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omments1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omments2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comments3.xml" ContentType="application/vnd.openxmlformats-officedocument.spreadsheetml.comment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comments4.xml" ContentType="application/vnd.openxmlformats-officedocument.spreadsheetml.comment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lperen\Desktop\bitirme excel\"/>
    </mc:Choice>
  </mc:AlternateContent>
  <xr:revisionPtr revIDLastSave="0" documentId="13_ncr:1_{E3912D55-8AFD-4607-BCAA-77D1EC60ED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IN" sheetId="2" r:id="rId1"/>
    <sheet name="MIDTERM" sheetId="3" r:id="rId2"/>
    <sheet name="FINAL" sheetId="4" r:id="rId3"/>
    <sheet name="HOMEWORK" sheetId="5" r:id="rId4"/>
    <sheet name="LAB" sheetId="6" r:id="rId5"/>
  </sheets>
  <externalReferences>
    <externalReference r:id="rId6"/>
  </externalReferenc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5" i="6" l="1"/>
  <c r="U5" i="6" a="1"/>
  <c r="U5" i="6"/>
  <c r="V5" i="6" a="1"/>
  <c r="V5" i="6" s="1"/>
  <c r="W5" i="6" a="1"/>
  <c r="W5" i="6" s="1"/>
  <c r="X5" i="6" a="1"/>
  <c r="X5" i="6" s="1"/>
  <c r="T6" i="6"/>
  <c r="U6" i="6" a="1"/>
  <c r="U6" i="6" s="1"/>
  <c r="V6" i="6" a="1"/>
  <c r="V6" i="6" s="1"/>
  <c r="W6" i="6" a="1"/>
  <c r="W6" i="6" s="1"/>
  <c r="X6" i="6" a="1"/>
  <c r="X6" i="6" s="1"/>
  <c r="T7" i="6"/>
  <c r="U7" i="6" a="1"/>
  <c r="U7" i="6" s="1"/>
  <c r="V7" i="6" a="1"/>
  <c r="V7" i="6" s="1"/>
  <c r="W7" i="6" a="1"/>
  <c r="W7" i="6" s="1"/>
  <c r="X7" i="6" a="1"/>
  <c r="X7" i="6" s="1"/>
  <c r="T8" i="6"/>
  <c r="U8" i="6" a="1"/>
  <c r="U8" i="6" s="1"/>
  <c r="Y8" i="6" s="1"/>
  <c r="V8" i="6" a="1"/>
  <c r="V8" i="6" s="1"/>
  <c r="W8" i="6" a="1"/>
  <c r="W8" i="6" s="1"/>
  <c r="X8" i="6" a="1"/>
  <c r="X8" i="6" s="1"/>
  <c r="T9" i="6"/>
  <c r="U9" i="6" a="1"/>
  <c r="U9" i="6" s="1"/>
  <c r="Y9" i="6" s="1"/>
  <c r="V9" i="6" a="1"/>
  <c r="V9" i="6" s="1"/>
  <c r="W9" i="6" a="1"/>
  <c r="W9" i="6" s="1"/>
  <c r="X9" i="6" a="1"/>
  <c r="X9" i="6" s="1"/>
  <c r="T10" i="6"/>
  <c r="U10" i="6" a="1"/>
  <c r="U10" i="6" s="1"/>
  <c r="V10" i="6" a="1"/>
  <c r="V10" i="6" s="1"/>
  <c r="W10" i="6" a="1"/>
  <c r="W10" i="6" s="1"/>
  <c r="X10" i="6" a="1"/>
  <c r="X10" i="6" s="1"/>
  <c r="T11" i="6"/>
  <c r="U11" i="6" a="1"/>
  <c r="U11" i="6" s="1"/>
  <c r="V11" i="6" a="1"/>
  <c r="V11" i="6" s="1"/>
  <c r="W11" i="6" a="1"/>
  <c r="W11" i="6" s="1"/>
  <c r="X11" i="6" a="1"/>
  <c r="X11" i="6" s="1"/>
  <c r="T12" i="6"/>
  <c r="U12" i="6" a="1"/>
  <c r="U12" i="6" s="1"/>
  <c r="V12" i="6" a="1"/>
  <c r="V12" i="6" s="1"/>
  <c r="W12" i="6" a="1"/>
  <c r="W12" i="6" s="1"/>
  <c r="X12" i="6" a="1"/>
  <c r="X12" i="6" s="1"/>
  <c r="T13" i="6"/>
  <c r="U13" i="6" a="1"/>
  <c r="U13" i="6" s="1"/>
  <c r="V13" i="6" a="1"/>
  <c r="V13" i="6" s="1"/>
  <c r="W13" i="6" a="1"/>
  <c r="W13" i="6" s="1"/>
  <c r="X13" i="6" a="1"/>
  <c r="X13" i="6" s="1"/>
  <c r="T14" i="6"/>
  <c r="U14" i="6" a="1"/>
  <c r="U14" i="6" s="1"/>
  <c r="V14" i="6" a="1"/>
  <c r="V14" i="6" s="1"/>
  <c r="W14" i="6" a="1"/>
  <c r="W14" i="6" s="1"/>
  <c r="X14" i="6" a="1"/>
  <c r="X14" i="6" s="1"/>
  <c r="T15" i="6"/>
  <c r="U15" i="6" a="1"/>
  <c r="U15" i="6" s="1"/>
  <c r="Y15" i="6" s="1"/>
  <c r="V15" i="6" a="1"/>
  <c r="V15" i="6" s="1"/>
  <c r="W15" i="6" a="1"/>
  <c r="W15" i="6" s="1"/>
  <c r="X15" i="6" a="1"/>
  <c r="X15" i="6" s="1"/>
  <c r="T16" i="6"/>
  <c r="U16" i="6" a="1"/>
  <c r="U16" i="6" s="1"/>
  <c r="V16" i="6" a="1"/>
  <c r="V16" i="6" s="1"/>
  <c r="W16" i="6" a="1"/>
  <c r="W16" i="6" s="1"/>
  <c r="X16" i="6" a="1"/>
  <c r="X16" i="6" s="1"/>
  <c r="T17" i="6"/>
  <c r="U17" i="6" a="1"/>
  <c r="U17" i="6" s="1"/>
  <c r="V17" i="6" a="1"/>
  <c r="V17" i="6" s="1"/>
  <c r="W17" i="6" a="1"/>
  <c r="W17" i="6" s="1"/>
  <c r="X17" i="6" a="1"/>
  <c r="X17" i="6" s="1"/>
  <c r="T18" i="6"/>
  <c r="U18" i="6" a="1"/>
  <c r="U18" i="6" s="1"/>
  <c r="V18" i="6" a="1"/>
  <c r="V18" i="6" s="1"/>
  <c r="W18" i="6" a="1"/>
  <c r="W18" i="6" s="1"/>
  <c r="X18" i="6" a="1"/>
  <c r="X18" i="6" s="1"/>
  <c r="T19" i="6"/>
  <c r="U19" i="6" a="1"/>
  <c r="U19" i="6" s="1"/>
  <c r="V19" i="6" a="1"/>
  <c r="V19" i="6" s="1"/>
  <c r="W19" i="6" a="1"/>
  <c r="W19" i="6" s="1"/>
  <c r="X19" i="6" a="1"/>
  <c r="X19" i="6" s="1"/>
  <c r="T20" i="6"/>
  <c r="Y37" i="6" s="1"/>
  <c r="U20" i="6" a="1"/>
  <c r="U20" i="6" s="1"/>
  <c r="V20" i="6" a="1"/>
  <c r="V20" i="6" s="1"/>
  <c r="W20" i="6" a="1"/>
  <c r="W20" i="6" s="1"/>
  <c r="X20" i="6" a="1"/>
  <c r="X20" i="6" s="1"/>
  <c r="T21" i="6"/>
  <c r="U21" i="6" a="1"/>
  <c r="U21" i="6" s="1"/>
  <c r="Y21" i="6" s="1"/>
  <c r="V21" i="6" a="1"/>
  <c r="V21" i="6" s="1"/>
  <c r="W21" i="6" a="1"/>
  <c r="W21" i="6" s="1"/>
  <c r="X21" i="6" a="1"/>
  <c r="X21" i="6" s="1"/>
  <c r="T22" i="6"/>
  <c r="U22" i="6" a="1"/>
  <c r="U22" i="6" s="1"/>
  <c r="V22" i="6" a="1"/>
  <c r="V22" i="6" s="1"/>
  <c r="W22" i="6" a="1"/>
  <c r="W22" i="6" s="1"/>
  <c r="X22" i="6" a="1"/>
  <c r="X22" i="6" s="1"/>
  <c r="T23" i="6"/>
  <c r="U23" i="6" a="1"/>
  <c r="U23" i="6" s="1"/>
  <c r="V23" i="6" a="1"/>
  <c r="V23" i="6" s="1"/>
  <c r="W23" i="6" a="1"/>
  <c r="W23" i="6" s="1"/>
  <c r="X23" i="6" a="1"/>
  <c r="X23" i="6" s="1"/>
  <c r="T24" i="6"/>
  <c r="U24" i="6" a="1"/>
  <c r="U24" i="6" s="1"/>
  <c r="V24" i="6" a="1"/>
  <c r="V24" i="6" s="1"/>
  <c r="W24" i="6" a="1"/>
  <c r="W24" i="6" s="1"/>
  <c r="X24" i="6" a="1"/>
  <c r="X24" i="6" s="1"/>
  <c r="T25" i="6"/>
  <c r="U25" i="6" a="1"/>
  <c r="U25" i="6" s="1"/>
  <c r="V25" i="6" a="1"/>
  <c r="V25" i="6" s="1"/>
  <c r="W25" i="6" a="1"/>
  <c r="W25" i="6" s="1"/>
  <c r="X25" i="6" a="1"/>
  <c r="X25" i="6" s="1"/>
  <c r="T26" i="6"/>
  <c r="U26" i="6" a="1"/>
  <c r="U26" i="6" s="1"/>
  <c r="V26" i="6" a="1"/>
  <c r="V26" i="6" s="1"/>
  <c r="W26" i="6" a="1"/>
  <c r="W26" i="6" s="1"/>
  <c r="X26" i="6" a="1"/>
  <c r="X26" i="6" s="1"/>
  <c r="T27" i="6"/>
  <c r="U27" i="6" a="1"/>
  <c r="U27" i="6" s="1"/>
  <c r="Y27" i="6" s="1"/>
  <c r="V27" i="6" a="1"/>
  <c r="V27" i="6" s="1"/>
  <c r="W27" i="6" a="1"/>
  <c r="W27" i="6" s="1"/>
  <c r="X27" i="6" a="1"/>
  <c r="X27" i="6" s="1"/>
  <c r="T28" i="6"/>
  <c r="U28" i="6" a="1"/>
  <c r="U28" i="6" s="1"/>
  <c r="V28" i="6" a="1"/>
  <c r="V28" i="6" s="1"/>
  <c r="W28" i="6" a="1"/>
  <c r="W28" i="6" s="1"/>
  <c r="X28" i="6" a="1"/>
  <c r="X28" i="6" s="1"/>
  <c r="T29" i="6"/>
  <c r="U29" i="6" a="1"/>
  <c r="U29" i="6" s="1"/>
  <c r="V29" i="6" a="1"/>
  <c r="V29" i="6" s="1"/>
  <c r="W29" i="6" a="1"/>
  <c r="W29" i="6" s="1"/>
  <c r="X29" i="6" a="1"/>
  <c r="X29" i="6" s="1"/>
  <c r="T30" i="6"/>
  <c r="U30" i="6" a="1"/>
  <c r="U30" i="6" s="1"/>
  <c r="V30" i="6" a="1"/>
  <c r="V30" i="6" s="1"/>
  <c r="W30" i="6" a="1"/>
  <c r="W30" i="6" s="1"/>
  <c r="X30" i="6" a="1"/>
  <c r="X30" i="6" s="1"/>
  <c r="T31" i="6"/>
  <c r="U31" i="6" a="1"/>
  <c r="U31" i="6" s="1"/>
  <c r="V31" i="6" a="1"/>
  <c r="V31" i="6" s="1"/>
  <c r="W31" i="6" a="1"/>
  <c r="W31" i="6" s="1"/>
  <c r="X31" i="6" a="1"/>
  <c r="X31" i="6" s="1"/>
  <c r="T32" i="6"/>
  <c r="U32" i="6" a="1"/>
  <c r="U32" i="6" s="1"/>
  <c r="V32" i="6" a="1"/>
  <c r="V32" i="6" s="1"/>
  <c r="W32" i="6" a="1"/>
  <c r="W32" i="6" s="1"/>
  <c r="X32" i="6" a="1"/>
  <c r="X32" i="6" s="1"/>
  <c r="T33" i="6"/>
  <c r="U33" i="6" a="1"/>
  <c r="U33" i="6" s="1"/>
  <c r="Y33" i="6" s="1"/>
  <c r="V33" i="6" a="1"/>
  <c r="V33" i="6" s="1"/>
  <c r="W33" i="6" a="1"/>
  <c r="W33" i="6" s="1"/>
  <c r="X33" i="6" a="1"/>
  <c r="X33" i="6" s="1"/>
  <c r="T34" i="6"/>
  <c r="U34" i="6" a="1"/>
  <c r="U34" i="6" s="1"/>
  <c r="V34" i="6" a="1"/>
  <c r="V34" i="6" s="1"/>
  <c r="W34" i="6" a="1"/>
  <c r="W34" i="6" s="1"/>
  <c r="X34" i="6" a="1"/>
  <c r="X34" i="6" s="1"/>
  <c r="Q37" i="6"/>
  <c r="X37" i="6"/>
  <c r="Q38" i="6"/>
  <c r="E47" i="6" s="1"/>
  <c r="Q39" i="6"/>
  <c r="Q40" i="6"/>
  <c r="Q43" i="6"/>
  <c r="E46" i="6"/>
  <c r="E48" i="6"/>
  <c r="E49" i="6"/>
  <c r="H45" i="5"/>
  <c r="I41" i="5"/>
  <c r="P41" i="5" s="1"/>
  <c r="I40" i="5"/>
  <c r="P40" i="5" s="1"/>
  <c r="P39" i="5"/>
  <c r="I39" i="5"/>
  <c r="I38" i="5"/>
  <c r="P38" i="5" s="1"/>
  <c r="O34" i="5" a="1"/>
  <c r="O34" i="5" s="1"/>
  <c r="N34" i="5"/>
  <c r="N34" i="5" a="1"/>
  <c r="M34" i="5"/>
  <c r="M34" i="5" a="1"/>
  <c r="L34" i="5" a="1"/>
  <c r="L34" i="5" s="1"/>
  <c r="P34" i="5" s="1"/>
  <c r="K34" i="5"/>
  <c r="O33" i="5"/>
  <c r="O33" i="5" a="1"/>
  <c r="N33" i="5"/>
  <c r="N33" i="5" a="1"/>
  <c r="M33" i="5" a="1"/>
  <c r="M33" i="5" s="1"/>
  <c r="L33" i="5" a="1"/>
  <c r="L33" i="5" s="1"/>
  <c r="P33" i="5" s="1"/>
  <c r="K33" i="5"/>
  <c r="O32" i="5" a="1"/>
  <c r="O32" i="5" s="1"/>
  <c r="N32" i="5" a="1"/>
  <c r="N32" i="5" s="1"/>
  <c r="M32" i="5"/>
  <c r="M32" i="5" a="1"/>
  <c r="L32" i="5"/>
  <c r="L32" i="5" a="1"/>
  <c r="K32" i="5"/>
  <c r="O31" i="5"/>
  <c r="O31" i="5" a="1"/>
  <c r="N31" i="5"/>
  <c r="N31" i="5" a="1"/>
  <c r="M31" i="5"/>
  <c r="M31" i="5" a="1"/>
  <c r="L31" i="5" a="1"/>
  <c r="L31" i="5" s="1"/>
  <c r="P31" i="5" s="1"/>
  <c r="K31" i="5"/>
  <c r="O30" i="5" a="1"/>
  <c r="O30" i="5" s="1"/>
  <c r="N30" i="5" a="1"/>
  <c r="N30" i="5" s="1"/>
  <c r="M30" i="5" a="1"/>
  <c r="M30" i="5" s="1"/>
  <c r="P30" i="5" s="1"/>
  <c r="L30" i="5"/>
  <c r="L30" i="5" a="1"/>
  <c r="K30" i="5"/>
  <c r="O29" i="5" a="1"/>
  <c r="O29" i="5" s="1"/>
  <c r="P29" i="5" s="1"/>
  <c r="N29" i="5"/>
  <c r="N29" i="5" a="1"/>
  <c r="M29" i="5"/>
  <c r="M29" i="5" a="1"/>
  <c r="L29" i="5"/>
  <c r="L29" i="5" a="1"/>
  <c r="K29" i="5"/>
  <c r="O28" i="5"/>
  <c r="O28" i="5" a="1"/>
  <c r="N28" i="5" a="1"/>
  <c r="N28" i="5" s="1"/>
  <c r="M28" i="5" a="1"/>
  <c r="M28" i="5" s="1"/>
  <c r="L28" i="5" a="1"/>
  <c r="L28" i="5" s="1"/>
  <c r="K28" i="5"/>
  <c r="O27" i="5" a="1"/>
  <c r="O27" i="5" s="1"/>
  <c r="N27" i="5" a="1"/>
  <c r="N27" i="5" s="1"/>
  <c r="P27" i="5" s="1"/>
  <c r="M27" i="5"/>
  <c r="M27" i="5" a="1"/>
  <c r="L27" i="5"/>
  <c r="L27" i="5" a="1"/>
  <c r="K27" i="5"/>
  <c r="O26" i="5"/>
  <c r="O26" i="5" a="1"/>
  <c r="N26" i="5"/>
  <c r="N26" i="5" a="1"/>
  <c r="M26" i="5" a="1"/>
  <c r="M26" i="5" s="1"/>
  <c r="L26" i="5" a="1"/>
  <c r="L26" i="5" s="1"/>
  <c r="P26" i="5" s="1"/>
  <c r="K26" i="5"/>
  <c r="O25" i="5" a="1"/>
  <c r="O25" i="5" s="1"/>
  <c r="N25" i="5" a="1"/>
  <c r="N25" i="5" s="1"/>
  <c r="M25" i="5" a="1"/>
  <c r="M25" i="5" s="1"/>
  <c r="L25" i="5"/>
  <c r="L25" i="5" a="1"/>
  <c r="K25" i="5"/>
  <c r="O24" i="5"/>
  <c r="O24" i="5" a="1"/>
  <c r="N24" i="5"/>
  <c r="N24" i="5" a="1"/>
  <c r="M24" i="5"/>
  <c r="M24" i="5" a="1"/>
  <c r="L24" i="5" a="1"/>
  <c r="L24" i="5" s="1"/>
  <c r="P24" i="5" s="1"/>
  <c r="K24" i="5"/>
  <c r="O23" i="5"/>
  <c r="O23" i="5" a="1"/>
  <c r="N23" i="5" a="1"/>
  <c r="N23" i="5" s="1"/>
  <c r="M23" i="5" a="1"/>
  <c r="M23" i="5" s="1"/>
  <c r="L23" i="5" a="1"/>
  <c r="L23" i="5" s="1"/>
  <c r="P23" i="5" s="1"/>
  <c r="K23" i="5"/>
  <c r="O22" i="5" a="1"/>
  <c r="O22" i="5" s="1"/>
  <c r="N22" i="5"/>
  <c r="N22" i="5" a="1"/>
  <c r="M22" i="5"/>
  <c r="M22" i="5" a="1"/>
  <c r="L22" i="5"/>
  <c r="P22" i="5" s="1"/>
  <c r="L22" i="5" a="1"/>
  <c r="K22" i="5"/>
  <c r="O21" i="5"/>
  <c r="O21" i="5" a="1"/>
  <c r="N21" i="5"/>
  <c r="N21" i="5" a="1"/>
  <c r="M21" i="5" a="1"/>
  <c r="M21" i="5" s="1"/>
  <c r="L21" i="5" a="1"/>
  <c r="L21" i="5" s="1"/>
  <c r="K21" i="5"/>
  <c r="O20" i="5" a="1"/>
  <c r="O20" i="5" s="1"/>
  <c r="N20" i="5" a="1"/>
  <c r="N20" i="5" s="1"/>
  <c r="M20" i="5"/>
  <c r="M20" i="5" a="1"/>
  <c r="L20" i="5"/>
  <c r="L20" i="5" a="1"/>
  <c r="K20" i="5"/>
  <c r="O19" i="5"/>
  <c r="O19" i="5" a="1"/>
  <c r="N19" i="5"/>
  <c r="N19" i="5" a="1"/>
  <c r="M19" i="5"/>
  <c r="M19" i="5" a="1"/>
  <c r="L19" i="5" a="1"/>
  <c r="L19" i="5" s="1"/>
  <c r="P19" i="5" s="1"/>
  <c r="K19" i="5"/>
  <c r="O18" i="5" a="1"/>
  <c r="O18" i="5" s="1"/>
  <c r="N18" i="5" a="1"/>
  <c r="N18" i="5" s="1"/>
  <c r="M18" i="5" a="1"/>
  <c r="M18" i="5" s="1"/>
  <c r="L18" i="5"/>
  <c r="P18" i="5" s="1"/>
  <c r="L18" i="5" a="1"/>
  <c r="K18" i="5"/>
  <c r="O17" i="5" a="1"/>
  <c r="O17" i="5" s="1"/>
  <c r="P17" i="5" s="1"/>
  <c r="N17" i="5"/>
  <c r="N17" i="5" a="1"/>
  <c r="M17" i="5"/>
  <c r="M17" i="5" a="1"/>
  <c r="L17" i="5"/>
  <c r="L17" i="5" a="1"/>
  <c r="K17" i="5"/>
  <c r="O16" i="5"/>
  <c r="O16" i="5" a="1"/>
  <c r="N16" i="5" a="1"/>
  <c r="N16" i="5" s="1"/>
  <c r="M16" i="5" a="1"/>
  <c r="M16" i="5" s="1"/>
  <c r="L16" i="5" a="1"/>
  <c r="L16" i="5" s="1"/>
  <c r="K16" i="5"/>
  <c r="O15" i="5" a="1"/>
  <c r="O15" i="5" s="1"/>
  <c r="N15" i="5" a="1"/>
  <c r="N15" i="5" s="1"/>
  <c r="P15" i="5" s="1"/>
  <c r="M15" i="5"/>
  <c r="M15" i="5" a="1"/>
  <c r="L15" i="5"/>
  <c r="L15" i="5" a="1"/>
  <c r="K15" i="5"/>
  <c r="O14" i="5"/>
  <c r="O14" i="5" a="1"/>
  <c r="N14" i="5"/>
  <c r="N14" i="5" a="1"/>
  <c r="M14" i="5" a="1"/>
  <c r="M14" i="5" s="1"/>
  <c r="L14" i="5" a="1"/>
  <c r="L14" i="5" s="1"/>
  <c r="P14" i="5" s="1"/>
  <c r="K14" i="5"/>
  <c r="O13" i="5" a="1"/>
  <c r="O13" i="5" s="1"/>
  <c r="N13" i="5" a="1"/>
  <c r="N13" i="5" s="1"/>
  <c r="M13" i="5" a="1"/>
  <c r="M13" i="5" s="1"/>
  <c r="L13" i="5"/>
  <c r="L13" i="5" a="1"/>
  <c r="K13" i="5"/>
  <c r="O12" i="5"/>
  <c r="O12" i="5" a="1"/>
  <c r="N12" i="5"/>
  <c r="N12" i="5" a="1"/>
  <c r="M12" i="5"/>
  <c r="M12" i="5" a="1"/>
  <c r="L12" i="5" a="1"/>
  <c r="L12" i="5" s="1"/>
  <c r="P12" i="5" s="1"/>
  <c r="K12" i="5"/>
  <c r="O11" i="5"/>
  <c r="O11" i="5" a="1"/>
  <c r="N11" i="5" a="1"/>
  <c r="N11" i="5" s="1"/>
  <c r="M11" i="5" a="1"/>
  <c r="M11" i="5" s="1"/>
  <c r="L11" i="5" a="1"/>
  <c r="L11" i="5" s="1"/>
  <c r="P11" i="5" s="1"/>
  <c r="K11" i="5"/>
  <c r="O10" i="5" a="1"/>
  <c r="O10" i="5" s="1"/>
  <c r="N10" i="5"/>
  <c r="N10" i="5" a="1"/>
  <c r="M10" i="5"/>
  <c r="M10" i="5" a="1"/>
  <c r="L10" i="5"/>
  <c r="P10" i="5" s="1"/>
  <c r="L10" i="5" a="1"/>
  <c r="K10" i="5"/>
  <c r="O9" i="5"/>
  <c r="O9" i="5" a="1"/>
  <c r="N9" i="5"/>
  <c r="N9" i="5" a="1"/>
  <c r="M9" i="5" a="1"/>
  <c r="M9" i="5" s="1"/>
  <c r="L9" i="5" a="1"/>
  <c r="L9" i="5" s="1"/>
  <c r="K9" i="5"/>
  <c r="O8" i="5" a="1"/>
  <c r="O8" i="5" s="1"/>
  <c r="N8" i="5" a="1"/>
  <c r="N8" i="5" s="1"/>
  <c r="M8" i="5"/>
  <c r="M8" i="5" a="1"/>
  <c r="L8" i="5"/>
  <c r="L8" i="5" a="1"/>
  <c r="K8" i="5"/>
  <c r="O7" i="5"/>
  <c r="O7" i="5" a="1"/>
  <c r="N7" i="5"/>
  <c r="N7" i="5" a="1"/>
  <c r="M7" i="5"/>
  <c r="M7" i="5" a="1"/>
  <c r="L7" i="5" a="1"/>
  <c r="L7" i="5" s="1"/>
  <c r="P7" i="5" s="1"/>
  <c r="K7" i="5"/>
  <c r="O6" i="5" a="1"/>
  <c r="O6" i="5" s="1"/>
  <c r="N6" i="5" a="1"/>
  <c r="N6" i="5" s="1"/>
  <c r="M6" i="5" a="1"/>
  <c r="M6" i="5" s="1"/>
  <c r="L6" i="5"/>
  <c r="P6" i="5" s="1"/>
  <c r="L6" i="5" a="1"/>
  <c r="K6" i="5"/>
  <c r="T4" i="5" s="1"/>
  <c r="O5" i="5" a="1"/>
  <c r="O5" i="5" s="1"/>
  <c r="N5" i="5"/>
  <c r="N5" i="5" a="1"/>
  <c r="M5" i="5"/>
  <c r="M5" i="5" a="1"/>
  <c r="L5" i="5" a="1"/>
  <c r="L5" i="5" s="1"/>
  <c r="P5" i="5" s="1"/>
  <c r="K5" i="5"/>
  <c r="J46" i="4"/>
  <c r="E40" i="4" s="1"/>
  <c r="J45" i="4"/>
  <c r="E39" i="4" s="1"/>
  <c r="J44" i="4"/>
  <c r="E38" i="4" s="1"/>
  <c r="J43" i="4"/>
  <c r="D40" i="4"/>
  <c r="D39" i="4"/>
  <c r="O37" i="4"/>
  <c r="D37" i="4"/>
  <c r="E37" i="4" s="1"/>
  <c r="Q34" i="4" a="1"/>
  <c r="Q34" i="4" s="1"/>
  <c r="P34" i="4" a="1"/>
  <c r="P34" i="4" s="1"/>
  <c r="O34" i="4" a="1"/>
  <c r="O34" i="4" s="1"/>
  <c r="N34" i="4" a="1"/>
  <c r="N34" i="4" s="1"/>
  <c r="M34" i="4"/>
  <c r="Q33" i="4" a="1"/>
  <c r="Q33" i="4" s="1"/>
  <c r="P33" i="4"/>
  <c r="P33" i="4" a="1"/>
  <c r="O33" i="4" a="1"/>
  <c r="O33" i="4" s="1"/>
  <c r="N33" i="4"/>
  <c r="N33" i="4" a="1"/>
  <c r="M33" i="4"/>
  <c r="Q32" i="4"/>
  <c r="Q32" i="4" a="1"/>
  <c r="P32" i="4" a="1"/>
  <c r="P32" i="4" s="1"/>
  <c r="O32" i="4" a="1"/>
  <c r="O32" i="4" s="1"/>
  <c r="N32" i="4" a="1"/>
  <c r="N32" i="4" s="1"/>
  <c r="M32" i="4"/>
  <c r="Q31" i="4" a="1"/>
  <c r="Q31" i="4" s="1"/>
  <c r="P31" i="4" a="1"/>
  <c r="P31" i="4" s="1"/>
  <c r="O31" i="4"/>
  <c r="O31" i="4" a="1"/>
  <c r="N31" i="4" a="1"/>
  <c r="N31" i="4" s="1"/>
  <c r="M31" i="4"/>
  <c r="Q30" i="4" a="1"/>
  <c r="Q30" i="4" s="1"/>
  <c r="P30" i="4"/>
  <c r="P30" i="4" a="1"/>
  <c r="O30" i="4" a="1"/>
  <c r="O30" i="4" s="1"/>
  <c r="N30" i="4" a="1"/>
  <c r="N30" i="4" s="1"/>
  <c r="M30" i="4"/>
  <c r="Q29" i="4" a="1"/>
  <c r="Q29" i="4" s="1"/>
  <c r="P29" i="4" a="1"/>
  <c r="P29" i="4" s="1"/>
  <c r="O29" i="4" a="1"/>
  <c r="O29" i="4" s="1"/>
  <c r="N29" i="4"/>
  <c r="N29" i="4" a="1"/>
  <c r="M29" i="4"/>
  <c r="Q28" i="4" a="1"/>
  <c r="Q28" i="4" s="1"/>
  <c r="P28" i="4" a="1"/>
  <c r="P28" i="4" s="1"/>
  <c r="O28" i="4"/>
  <c r="O28" i="4" a="1"/>
  <c r="N28" i="4" a="1"/>
  <c r="N28" i="4" s="1"/>
  <c r="M28" i="4"/>
  <c r="Q27" i="4"/>
  <c r="Q27" i="4" a="1"/>
  <c r="P27" i="4" a="1"/>
  <c r="P27" i="4" s="1"/>
  <c r="O27" i="4" a="1"/>
  <c r="O27" i="4" s="1"/>
  <c r="N27" i="4" a="1"/>
  <c r="N27" i="4" s="1"/>
  <c r="R27" i="4" s="1"/>
  <c r="M27" i="4"/>
  <c r="Q26" i="4" a="1"/>
  <c r="Q26" i="4" s="1"/>
  <c r="P26" i="4" a="1"/>
  <c r="P26" i="4" s="1"/>
  <c r="O26" i="4" a="1"/>
  <c r="O26" i="4" s="1"/>
  <c r="N26" i="4"/>
  <c r="N26" i="4" a="1"/>
  <c r="M26" i="4"/>
  <c r="Q25" i="4" a="1"/>
  <c r="Q25" i="4" s="1"/>
  <c r="P25" i="4"/>
  <c r="P25" i="4" a="1"/>
  <c r="O25" i="4" a="1"/>
  <c r="O25" i="4" s="1"/>
  <c r="N25" i="4" a="1"/>
  <c r="N25" i="4" s="1"/>
  <c r="R25" i="4" s="1"/>
  <c r="M25" i="4"/>
  <c r="Q24" i="4" a="1"/>
  <c r="Q24" i="4" s="1"/>
  <c r="P24" i="4" a="1"/>
  <c r="P24" i="4" s="1"/>
  <c r="O24" i="4" a="1"/>
  <c r="O24" i="4" s="1"/>
  <c r="N24" i="4" a="1"/>
  <c r="N24" i="4" s="1"/>
  <c r="M24" i="4"/>
  <c r="Q23" i="4"/>
  <c r="Q23" i="4" a="1"/>
  <c r="P23" i="4" a="1"/>
  <c r="P23" i="4" s="1"/>
  <c r="O23" i="4"/>
  <c r="O23" i="4" a="1"/>
  <c r="N23" i="4" a="1"/>
  <c r="N23" i="4" s="1"/>
  <c r="M23" i="4"/>
  <c r="Q22" i="4" a="1"/>
  <c r="Q22" i="4" s="1"/>
  <c r="P22" i="4" a="1"/>
  <c r="P22" i="4" s="1"/>
  <c r="O22" i="4" a="1"/>
  <c r="O22" i="4" s="1"/>
  <c r="N22" i="4" a="1"/>
  <c r="N22" i="4" s="1"/>
  <c r="M22" i="4"/>
  <c r="Q21" i="4" a="1"/>
  <c r="Q21" i="4" s="1"/>
  <c r="P21" i="4"/>
  <c r="P21" i="4" a="1"/>
  <c r="O21" i="4" a="1"/>
  <c r="O21" i="4" s="1"/>
  <c r="N21" i="4"/>
  <c r="N21" i="4" a="1"/>
  <c r="M21" i="4"/>
  <c r="Q20" i="4"/>
  <c r="Q20" i="4" a="1"/>
  <c r="P20" i="4" a="1"/>
  <c r="P20" i="4" s="1"/>
  <c r="O20" i="4" a="1"/>
  <c r="O20" i="4" s="1"/>
  <c r="N20" i="4" a="1"/>
  <c r="N20" i="4" s="1"/>
  <c r="M20" i="4"/>
  <c r="Q19" i="4" a="1"/>
  <c r="Q19" i="4" s="1"/>
  <c r="P19" i="4" a="1"/>
  <c r="P19" i="4" s="1"/>
  <c r="O19" i="4"/>
  <c r="O19" i="4" a="1"/>
  <c r="N19" i="4" a="1"/>
  <c r="N19" i="4" s="1"/>
  <c r="M19" i="4"/>
  <c r="Q18" i="4" a="1"/>
  <c r="Q18" i="4" s="1"/>
  <c r="P18" i="4"/>
  <c r="P18" i="4" a="1"/>
  <c r="O18" i="4" a="1"/>
  <c r="O18" i="4" s="1"/>
  <c r="N18" i="4" a="1"/>
  <c r="N18" i="4" s="1"/>
  <c r="M18" i="4"/>
  <c r="Q17" i="4" a="1"/>
  <c r="Q17" i="4" s="1"/>
  <c r="P17" i="4" a="1"/>
  <c r="P17" i="4" s="1"/>
  <c r="O17" i="4" a="1"/>
  <c r="O17" i="4" s="1"/>
  <c r="N17" i="4"/>
  <c r="N17" i="4" a="1"/>
  <c r="M17" i="4"/>
  <c r="Q16" i="4" a="1"/>
  <c r="Q16" i="4" s="1"/>
  <c r="P16" i="4" a="1"/>
  <c r="P16" i="4" s="1"/>
  <c r="O16" i="4"/>
  <c r="O16" i="4" a="1"/>
  <c r="N16" i="4" a="1"/>
  <c r="N16" i="4" s="1"/>
  <c r="M16" i="4"/>
  <c r="Q15" i="4"/>
  <c r="Q15" i="4" a="1"/>
  <c r="P15" i="4" a="1"/>
  <c r="P15" i="4" s="1"/>
  <c r="O15" i="4" a="1"/>
  <c r="O15" i="4" s="1"/>
  <c r="N15" i="4" a="1"/>
  <c r="N15" i="4" s="1"/>
  <c r="M15" i="4"/>
  <c r="Q14" i="4" a="1"/>
  <c r="Q14" i="4" s="1"/>
  <c r="P14" i="4" a="1"/>
  <c r="P14" i="4" s="1"/>
  <c r="O14" i="4" a="1"/>
  <c r="O14" i="4" s="1"/>
  <c r="N14" i="4"/>
  <c r="N14" i="4" a="1"/>
  <c r="M14" i="4"/>
  <c r="Q13" i="4" a="1"/>
  <c r="Q13" i="4" s="1"/>
  <c r="P13" i="4"/>
  <c r="P13" i="4" a="1"/>
  <c r="O13" i="4" a="1"/>
  <c r="O13" i="4" s="1"/>
  <c r="N13" i="4" a="1"/>
  <c r="N13" i="4" s="1"/>
  <c r="M13" i="4"/>
  <c r="Q12" i="4" a="1"/>
  <c r="Q12" i="4" s="1"/>
  <c r="P12" i="4" a="1"/>
  <c r="P12" i="4" s="1"/>
  <c r="O12" i="4" a="1"/>
  <c r="O12" i="4" s="1"/>
  <c r="N12" i="4" a="1"/>
  <c r="N12" i="4" s="1"/>
  <c r="M12" i="4"/>
  <c r="Q11" i="4"/>
  <c r="Q11" i="4" a="1"/>
  <c r="P11" i="4" a="1"/>
  <c r="P11" i="4" s="1"/>
  <c r="O11" i="4"/>
  <c r="O11" i="4" a="1"/>
  <c r="N11" i="4" a="1"/>
  <c r="N11" i="4" s="1"/>
  <c r="M11" i="4"/>
  <c r="Q10" i="4" a="1"/>
  <c r="Q10" i="4" s="1"/>
  <c r="P10" i="4" a="1"/>
  <c r="P10" i="4" s="1"/>
  <c r="O10" i="4" a="1"/>
  <c r="O10" i="4" s="1"/>
  <c r="N10" i="4" a="1"/>
  <c r="N10" i="4" s="1"/>
  <c r="M10" i="4"/>
  <c r="Q9" i="4" a="1"/>
  <c r="Q9" i="4" s="1"/>
  <c r="P9" i="4"/>
  <c r="P9" i="4" a="1"/>
  <c r="O9" i="4" a="1"/>
  <c r="O9" i="4" s="1"/>
  <c r="N9" i="4" a="1"/>
  <c r="N9" i="4" s="1"/>
  <c r="M9" i="4"/>
  <c r="N56" i="4" s="1"/>
  <c r="Q8" i="4"/>
  <c r="Q8" i="4" a="1"/>
  <c r="P8" i="4" a="1"/>
  <c r="P8" i="4" s="1"/>
  <c r="O8" i="4" a="1"/>
  <c r="O8" i="4" s="1"/>
  <c r="N8" i="4" a="1"/>
  <c r="N8" i="4" s="1"/>
  <c r="M8" i="4"/>
  <c r="Q7" i="4" a="1"/>
  <c r="Q7" i="4" s="1"/>
  <c r="P7" i="4" a="1"/>
  <c r="P7" i="4" s="1"/>
  <c r="O7" i="4"/>
  <c r="O7" i="4" a="1"/>
  <c r="N7" i="4" a="1"/>
  <c r="N7" i="4" s="1"/>
  <c r="M7" i="4"/>
  <c r="Q6" i="4" a="1"/>
  <c r="Q6" i="4" s="1"/>
  <c r="P6" i="4"/>
  <c r="P6" i="4" a="1"/>
  <c r="O6" i="4" a="1"/>
  <c r="O6" i="4" s="1"/>
  <c r="N6" i="4" a="1"/>
  <c r="N6" i="4" s="1"/>
  <c r="M6" i="4"/>
  <c r="Q5" i="4" a="1"/>
  <c r="Q5" i="4" s="1"/>
  <c r="P5" i="4" a="1"/>
  <c r="P5" i="4" s="1"/>
  <c r="O5" i="4" a="1"/>
  <c r="O5" i="4" s="1"/>
  <c r="N5" i="4"/>
  <c r="N5" i="4" a="1"/>
  <c r="M5" i="4"/>
  <c r="O56" i="4" s="1"/>
  <c r="J46" i="3"/>
  <c r="E40" i="3" s="1"/>
  <c r="J45" i="3"/>
  <c r="K45" i="3" s="1"/>
  <c r="L45" i="3" s="1"/>
  <c r="J44" i="3"/>
  <c r="E38" i="3" s="1"/>
  <c r="J43" i="3"/>
  <c r="D40" i="3"/>
  <c r="E39" i="3"/>
  <c r="D38" i="3"/>
  <c r="O37" i="3"/>
  <c r="D37" i="3"/>
  <c r="Q34" i="3" a="1"/>
  <c r="Q34" i="3" s="1"/>
  <c r="P34" i="3" a="1"/>
  <c r="P34" i="3" s="1"/>
  <c r="O34" i="3"/>
  <c r="O34" i="3" a="1"/>
  <c r="N34" i="3" a="1"/>
  <c r="N34" i="3" s="1"/>
  <c r="R34" i="3" s="1"/>
  <c r="M34" i="3"/>
  <c r="Q33" i="3" a="1"/>
  <c r="Q33" i="3" s="1"/>
  <c r="P33" i="3" a="1"/>
  <c r="P33" i="3" s="1"/>
  <c r="R33" i="3" s="1"/>
  <c r="O33" i="3"/>
  <c r="O33" i="3" a="1"/>
  <c r="N33" i="3"/>
  <c r="N33" i="3" a="1"/>
  <c r="M33" i="3"/>
  <c r="Q32" i="3"/>
  <c r="Q32" i="3" a="1"/>
  <c r="P32" i="3" a="1"/>
  <c r="P32" i="3" s="1"/>
  <c r="O32" i="3" a="1"/>
  <c r="O32" i="3" s="1"/>
  <c r="N32" i="3"/>
  <c r="R32" i="3" s="1"/>
  <c r="N32" i="3" a="1"/>
  <c r="M32" i="3"/>
  <c r="Q31" i="3" a="1"/>
  <c r="Q31" i="3" s="1"/>
  <c r="P31" i="3" a="1"/>
  <c r="P31" i="3" s="1"/>
  <c r="O31" i="3" a="1"/>
  <c r="O31" i="3" s="1"/>
  <c r="N31" i="3"/>
  <c r="R31" i="3" s="1"/>
  <c r="N31" i="3" a="1"/>
  <c r="M31" i="3"/>
  <c r="Q30" i="3" a="1"/>
  <c r="Q30" i="3" s="1"/>
  <c r="P30" i="3"/>
  <c r="P30" i="3" a="1"/>
  <c r="O30" i="3" a="1"/>
  <c r="O30" i="3" s="1"/>
  <c r="N30" i="3" a="1"/>
  <c r="N30" i="3" s="1"/>
  <c r="M30" i="3"/>
  <c r="Q29" i="3" a="1"/>
  <c r="Q29" i="3" s="1"/>
  <c r="P29" i="3" a="1"/>
  <c r="P29" i="3" s="1"/>
  <c r="O29" i="3" a="1"/>
  <c r="O29" i="3" s="1"/>
  <c r="N29" i="3" a="1"/>
  <c r="N29" i="3" s="1"/>
  <c r="R29" i="3" s="1"/>
  <c r="M29" i="3"/>
  <c r="Q28" i="3" a="1"/>
  <c r="Q28" i="3" s="1"/>
  <c r="P28" i="3" a="1"/>
  <c r="P28" i="3" s="1"/>
  <c r="O28" i="3"/>
  <c r="O28" i="3" a="1"/>
  <c r="N28" i="3" a="1"/>
  <c r="N28" i="3" s="1"/>
  <c r="R28" i="3" s="1"/>
  <c r="M28" i="3"/>
  <c r="Q27" i="3"/>
  <c r="Q27" i="3" a="1"/>
  <c r="P27" i="3" a="1"/>
  <c r="P27" i="3" s="1"/>
  <c r="O27" i="3" a="1"/>
  <c r="O27" i="3" s="1"/>
  <c r="N27" i="3" a="1"/>
  <c r="N27" i="3" s="1"/>
  <c r="R27" i="3" s="1"/>
  <c r="M27" i="3"/>
  <c r="Q26" i="3"/>
  <c r="Q26" i="3" a="1"/>
  <c r="P26" i="3" a="1"/>
  <c r="P26" i="3" s="1"/>
  <c r="O26" i="3" a="1"/>
  <c r="O26" i="3" s="1"/>
  <c r="N26" i="3"/>
  <c r="R26" i="3" s="1"/>
  <c r="N26" i="3" a="1"/>
  <c r="M26" i="3"/>
  <c r="Q25" i="3" a="1"/>
  <c r="Q25" i="3" s="1"/>
  <c r="P25" i="3"/>
  <c r="P25" i="3" a="1"/>
  <c r="O25" i="3" a="1"/>
  <c r="O25" i="3" s="1"/>
  <c r="N25" i="3" a="1"/>
  <c r="N25" i="3" s="1"/>
  <c r="M25" i="3"/>
  <c r="Q24" i="3" a="1"/>
  <c r="Q24" i="3" s="1"/>
  <c r="P24" i="3"/>
  <c r="P24" i="3" a="1"/>
  <c r="O24" i="3" a="1"/>
  <c r="O24" i="3" s="1"/>
  <c r="N24" i="3" a="1"/>
  <c r="N24" i="3" s="1"/>
  <c r="M24" i="3"/>
  <c r="Q23" i="3" a="1"/>
  <c r="Q23" i="3" s="1"/>
  <c r="P23" i="3" a="1"/>
  <c r="P23" i="3" s="1"/>
  <c r="O23" i="3"/>
  <c r="O23" i="3" a="1"/>
  <c r="N23" i="3" a="1"/>
  <c r="N23" i="3" s="1"/>
  <c r="R23" i="3" s="1"/>
  <c r="M23" i="3"/>
  <c r="Q22" i="3" a="1"/>
  <c r="Q22" i="3" s="1"/>
  <c r="P22" i="3" a="1"/>
  <c r="P22" i="3" s="1"/>
  <c r="O22" i="3"/>
  <c r="O22" i="3" a="1"/>
  <c r="N22" i="3" a="1"/>
  <c r="N22" i="3" s="1"/>
  <c r="M22" i="3"/>
  <c r="Q21" i="3" a="1"/>
  <c r="Q21" i="3" s="1"/>
  <c r="P21" i="3" a="1"/>
  <c r="P21" i="3" s="1"/>
  <c r="O21" i="3" a="1"/>
  <c r="O21" i="3" s="1"/>
  <c r="N21" i="3"/>
  <c r="N21" i="3" a="1"/>
  <c r="M21" i="3"/>
  <c r="Q20" i="3"/>
  <c r="Q20" i="3" a="1"/>
  <c r="P20" i="3" a="1"/>
  <c r="P20" i="3" s="1"/>
  <c r="O20" i="3" a="1"/>
  <c r="O20" i="3" s="1"/>
  <c r="N20" i="3"/>
  <c r="N20" i="3" a="1"/>
  <c r="M20" i="3"/>
  <c r="Q19" i="3" a="1"/>
  <c r="Q19" i="3" s="1"/>
  <c r="P19" i="3" a="1"/>
  <c r="P19" i="3" s="1"/>
  <c r="O19" i="3" a="1"/>
  <c r="O19" i="3" s="1"/>
  <c r="N19" i="3" a="1"/>
  <c r="N19" i="3" s="1"/>
  <c r="M19" i="3"/>
  <c r="Q18" i="3" a="1"/>
  <c r="Q18" i="3" s="1"/>
  <c r="P18" i="3"/>
  <c r="P18" i="3" a="1"/>
  <c r="O18" i="3" a="1"/>
  <c r="O18" i="3" s="1"/>
  <c r="N18" i="3" a="1"/>
  <c r="N18" i="3" s="1"/>
  <c r="M18" i="3"/>
  <c r="Q17" i="3" a="1"/>
  <c r="Q17" i="3" s="1"/>
  <c r="P17" i="3" a="1"/>
  <c r="P17" i="3" s="1"/>
  <c r="O17" i="3" a="1"/>
  <c r="O17" i="3" s="1"/>
  <c r="N17" i="3" a="1"/>
  <c r="N17" i="3" s="1"/>
  <c r="R17" i="3" s="1"/>
  <c r="M17" i="3"/>
  <c r="Q16" i="3" a="1"/>
  <c r="Q16" i="3" s="1"/>
  <c r="P16" i="3" a="1"/>
  <c r="P16" i="3" s="1"/>
  <c r="O16" i="3"/>
  <c r="O16" i="3" a="1"/>
  <c r="N16" i="3" a="1"/>
  <c r="N16" i="3" s="1"/>
  <c r="R16" i="3" s="1"/>
  <c r="M16" i="3"/>
  <c r="Q15" i="3"/>
  <c r="Q15" i="3" a="1"/>
  <c r="P15" i="3" a="1"/>
  <c r="P15" i="3" s="1"/>
  <c r="O15" i="3" a="1"/>
  <c r="O15" i="3" s="1"/>
  <c r="N15" i="3" a="1"/>
  <c r="N15" i="3" s="1"/>
  <c r="R15" i="3" s="1"/>
  <c r="M15" i="3"/>
  <c r="Q14" i="3"/>
  <c r="Q14" i="3" a="1"/>
  <c r="P14" i="3" a="1"/>
  <c r="P14" i="3" s="1"/>
  <c r="O14" i="3" a="1"/>
  <c r="O14" i="3" s="1"/>
  <c r="R14" i="3" s="1"/>
  <c r="N14" i="3"/>
  <c r="N14" i="3" a="1"/>
  <c r="M14" i="3"/>
  <c r="Q13" i="3" a="1"/>
  <c r="Q13" i="3" s="1"/>
  <c r="P13" i="3"/>
  <c r="P13" i="3" a="1"/>
  <c r="O13" i="3" a="1"/>
  <c r="O13" i="3" s="1"/>
  <c r="N13" i="3" a="1"/>
  <c r="N13" i="3" s="1"/>
  <c r="M13" i="3"/>
  <c r="Q12" i="3" a="1"/>
  <c r="Q12" i="3" s="1"/>
  <c r="P12" i="3"/>
  <c r="P12" i="3" a="1"/>
  <c r="O12" i="3" a="1"/>
  <c r="O12" i="3" s="1"/>
  <c r="N12" i="3" a="1"/>
  <c r="N12" i="3" s="1"/>
  <c r="M12" i="3"/>
  <c r="Q11" i="3" a="1"/>
  <c r="Q11" i="3" s="1"/>
  <c r="P11" i="3" a="1"/>
  <c r="P11" i="3" s="1"/>
  <c r="O11" i="3"/>
  <c r="O11" i="3" a="1"/>
  <c r="N11" i="3" a="1"/>
  <c r="N11" i="3" s="1"/>
  <c r="R11" i="3" s="1"/>
  <c r="M11" i="3"/>
  <c r="Q10" i="3" a="1"/>
  <c r="Q10" i="3" s="1"/>
  <c r="P10" i="3" a="1"/>
  <c r="P10" i="3" s="1"/>
  <c r="O10" i="3"/>
  <c r="O10" i="3" a="1"/>
  <c r="N10" i="3" a="1"/>
  <c r="N10" i="3" s="1"/>
  <c r="M10" i="3"/>
  <c r="Q9" i="3" a="1"/>
  <c r="Q9" i="3" s="1"/>
  <c r="P9" i="3" a="1"/>
  <c r="P9" i="3" s="1"/>
  <c r="O9" i="3" a="1"/>
  <c r="O9" i="3" s="1"/>
  <c r="N9" i="3"/>
  <c r="N9" i="3" a="1"/>
  <c r="M9" i="3"/>
  <c r="Q8" i="3"/>
  <c r="Q8" i="3" a="1"/>
  <c r="P8" i="3" a="1"/>
  <c r="P8" i="3" s="1"/>
  <c r="O8" i="3" a="1"/>
  <c r="O8" i="3" s="1"/>
  <c r="N8" i="3"/>
  <c r="N8" i="3" a="1"/>
  <c r="M8" i="3"/>
  <c r="Q7" i="3" a="1"/>
  <c r="Q7" i="3" s="1"/>
  <c r="P7" i="3" a="1"/>
  <c r="P7" i="3" s="1"/>
  <c r="O7" i="3" a="1"/>
  <c r="O7" i="3" s="1"/>
  <c r="N7" i="3" a="1"/>
  <c r="N7" i="3" s="1"/>
  <c r="M7" i="3"/>
  <c r="Q6" i="3" a="1"/>
  <c r="Q6" i="3" s="1"/>
  <c r="P6" i="3"/>
  <c r="P6" i="3" a="1"/>
  <c r="O6" i="3" a="1"/>
  <c r="O6" i="3" s="1"/>
  <c r="N6" i="3" a="1"/>
  <c r="N6" i="3" s="1"/>
  <c r="M6" i="3"/>
  <c r="Q5" i="3" a="1"/>
  <c r="Q5" i="3" s="1"/>
  <c r="P5" i="3" a="1"/>
  <c r="P5" i="3" s="1"/>
  <c r="O5" i="3" a="1"/>
  <c r="O5" i="3" s="1"/>
  <c r="N5" i="3" a="1"/>
  <c r="N5" i="3" s="1"/>
  <c r="R5" i="3" s="1"/>
  <c r="M5" i="3"/>
  <c r="O56" i="3" s="1"/>
  <c r="F3" i="2"/>
  <c r="G3" i="2"/>
  <c r="H3" i="2"/>
  <c r="I3" i="2"/>
  <c r="F4" i="2"/>
  <c r="G4" i="2"/>
  <c r="H4" i="2"/>
  <c r="I4" i="2"/>
  <c r="F5" i="2"/>
  <c r="G5" i="2"/>
  <c r="H5" i="2"/>
  <c r="I5" i="2"/>
  <c r="F6" i="2"/>
  <c r="G6" i="2"/>
  <c r="H6" i="2"/>
  <c r="I6" i="2"/>
  <c r="F7" i="2"/>
  <c r="G7" i="2"/>
  <c r="H7" i="2"/>
  <c r="I7" i="2"/>
  <c r="F8" i="2"/>
  <c r="G8" i="2"/>
  <c r="H8" i="2"/>
  <c r="I8" i="2"/>
  <c r="F9" i="2"/>
  <c r="G9" i="2"/>
  <c r="H9" i="2"/>
  <c r="I9" i="2"/>
  <c r="F10" i="2"/>
  <c r="G10" i="2"/>
  <c r="H10" i="2"/>
  <c r="I10" i="2"/>
  <c r="F11" i="2"/>
  <c r="G11" i="2"/>
  <c r="H11" i="2"/>
  <c r="I11" i="2"/>
  <c r="F12" i="2"/>
  <c r="G12" i="2"/>
  <c r="H12" i="2"/>
  <c r="I12" i="2"/>
  <c r="F13" i="2"/>
  <c r="G13" i="2"/>
  <c r="H13" i="2"/>
  <c r="I13" i="2"/>
  <c r="F14" i="2"/>
  <c r="G14" i="2"/>
  <c r="H14" i="2"/>
  <c r="I14" i="2"/>
  <c r="F15" i="2"/>
  <c r="G15" i="2"/>
  <c r="H15" i="2"/>
  <c r="I15" i="2"/>
  <c r="F16" i="2"/>
  <c r="G16" i="2"/>
  <c r="H16" i="2"/>
  <c r="I16" i="2"/>
  <c r="F17" i="2"/>
  <c r="G17" i="2"/>
  <c r="H17" i="2"/>
  <c r="I17" i="2"/>
  <c r="F18" i="2"/>
  <c r="G18" i="2"/>
  <c r="H18" i="2"/>
  <c r="I18" i="2"/>
  <c r="F19" i="2"/>
  <c r="G19" i="2"/>
  <c r="H19" i="2"/>
  <c r="I19" i="2"/>
  <c r="P19" i="2" a="1"/>
  <c r="P19" i="2" s="1"/>
  <c r="F20" i="2"/>
  <c r="G20" i="2"/>
  <c r="H20" i="2"/>
  <c r="I20" i="2"/>
  <c r="P20" i="2" a="1"/>
  <c r="P20" i="2" s="1"/>
  <c r="F21" i="2"/>
  <c r="G21" i="2"/>
  <c r="H21" i="2"/>
  <c r="I21" i="2"/>
  <c r="P21" i="2" a="1"/>
  <c r="P21" i="2"/>
  <c r="F22" i="2"/>
  <c r="G22" i="2"/>
  <c r="H22" i="2"/>
  <c r="I22" i="2"/>
  <c r="P22" i="2" a="1"/>
  <c r="P22" i="2" s="1"/>
  <c r="F23" i="2"/>
  <c r="G23" i="2"/>
  <c r="H23" i="2"/>
  <c r="I23" i="2"/>
  <c r="O23" i="2"/>
  <c r="F24" i="2"/>
  <c r="G24" i="2"/>
  <c r="H24" i="2"/>
  <c r="I24" i="2"/>
  <c r="F25" i="2"/>
  <c r="G25" i="2"/>
  <c r="H25" i="2"/>
  <c r="I25" i="2"/>
  <c r="F26" i="2"/>
  <c r="G26" i="2"/>
  <c r="H26" i="2"/>
  <c r="I26" i="2"/>
  <c r="F27" i="2"/>
  <c r="G27" i="2"/>
  <c r="H27" i="2"/>
  <c r="I27" i="2"/>
  <c r="F28" i="2"/>
  <c r="G28" i="2"/>
  <c r="H28" i="2"/>
  <c r="I28" i="2"/>
  <c r="F29" i="2"/>
  <c r="G29" i="2"/>
  <c r="H29" i="2"/>
  <c r="I29" i="2"/>
  <c r="F30" i="2"/>
  <c r="G30" i="2"/>
  <c r="H30" i="2"/>
  <c r="I30" i="2"/>
  <c r="F31" i="2"/>
  <c r="G31" i="2"/>
  <c r="H31" i="2"/>
  <c r="I31" i="2"/>
  <c r="F32" i="2"/>
  <c r="G32" i="2"/>
  <c r="H32" i="2"/>
  <c r="I32" i="2"/>
  <c r="R35" i="2"/>
  <c r="S35" i="2"/>
  <c r="Q36" i="2"/>
  <c r="R36" i="2"/>
  <c r="S36" i="2"/>
  <c r="P37" i="2"/>
  <c r="R37" i="2"/>
  <c r="S37" i="2"/>
  <c r="R38" i="2"/>
  <c r="S38" i="2"/>
  <c r="R41" i="2"/>
  <c r="Q42" i="2"/>
  <c r="R42" i="2"/>
  <c r="P43" i="2"/>
  <c r="R43" i="2"/>
  <c r="R44" i="2"/>
  <c r="C69" i="2"/>
  <c r="E69" i="2"/>
  <c r="G69" i="2"/>
  <c r="I69" i="2"/>
  <c r="I73" i="2" s="1"/>
  <c r="K69" i="2"/>
  <c r="M69" i="2"/>
  <c r="O69" i="2"/>
  <c r="Q69" i="2"/>
  <c r="Q73" i="2" s="1"/>
  <c r="S69" i="2"/>
  <c r="U69" i="2"/>
  <c r="W69" i="2"/>
  <c r="C70" i="2"/>
  <c r="C73" i="2" s="1"/>
  <c r="E70" i="2"/>
  <c r="G70" i="2"/>
  <c r="I70" i="2"/>
  <c r="K70" i="2"/>
  <c r="M70" i="2"/>
  <c r="O70" i="2"/>
  <c r="Q70" i="2"/>
  <c r="S70" i="2"/>
  <c r="U70" i="2"/>
  <c r="W70" i="2"/>
  <c r="C71" i="2"/>
  <c r="E71" i="2"/>
  <c r="G71" i="2"/>
  <c r="I71" i="2"/>
  <c r="K71" i="2"/>
  <c r="M71" i="2"/>
  <c r="O71" i="2"/>
  <c r="Q71" i="2"/>
  <c r="S71" i="2"/>
  <c r="U71" i="2"/>
  <c r="W71" i="2"/>
  <c r="C72" i="2"/>
  <c r="E72" i="2"/>
  <c r="G72" i="2"/>
  <c r="I72" i="2"/>
  <c r="K72" i="2"/>
  <c r="M72" i="2"/>
  <c r="O72" i="2"/>
  <c r="Q72" i="2"/>
  <c r="S72" i="2"/>
  <c r="U72" i="2"/>
  <c r="W72" i="2"/>
  <c r="G73" i="2"/>
  <c r="Y17" i="6" l="1"/>
  <c r="Y26" i="6"/>
  <c r="Y14" i="6"/>
  <c r="Y23" i="6"/>
  <c r="Y11" i="6"/>
  <c r="Y28" i="6"/>
  <c r="Y30" i="6"/>
  <c r="Y18" i="6"/>
  <c r="R37" i="6"/>
  <c r="S37" i="6" s="1"/>
  <c r="O41" i="2" s="1"/>
  <c r="Y6" i="6"/>
  <c r="Y16" i="6"/>
  <c r="Y25" i="6"/>
  <c r="Y13" i="6"/>
  <c r="Y32" i="6"/>
  <c r="Y20" i="6"/>
  <c r="R40" i="6"/>
  <c r="S40" i="6" s="1"/>
  <c r="O44" i="2" s="1"/>
  <c r="Z7" i="6" a="1"/>
  <c r="Z7" i="6" s="1"/>
  <c r="Z18" i="6" a="1"/>
  <c r="Z18" i="6" s="1"/>
  <c r="Z26" i="6" a="1"/>
  <c r="Z26" i="6" s="1"/>
  <c r="Z34" i="6" a="1"/>
  <c r="Z34" i="6" s="1"/>
  <c r="Z6" i="6" a="1"/>
  <c r="Z6" i="6" s="1"/>
  <c r="Z15" i="6" a="1"/>
  <c r="Z15" i="6" s="1"/>
  <c r="Z16" i="6" a="1"/>
  <c r="Z16" i="6" s="1"/>
  <c r="Z20" i="6" a="1"/>
  <c r="Z20" i="6" s="1"/>
  <c r="Z25" i="6" a="1"/>
  <c r="Z25" i="6" s="1"/>
  <c r="Z28" i="6" a="1"/>
  <c r="Z28" i="6" s="1"/>
  <c r="Z31" i="6" a="1"/>
  <c r="Z31" i="6" s="1"/>
  <c r="Z5" i="6" a="1"/>
  <c r="Z5" i="6" s="1"/>
  <c r="Z22" i="6" a="1"/>
  <c r="Z22" i="6" s="1"/>
  <c r="Z9" i="6" a="1"/>
  <c r="Z9" i="6" s="1"/>
  <c r="Z11" i="6" a="1"/>
  <c r="Z11" i="6" s="1"/>
  <c r="Z12" i="6" a="1"/>
  <c r="Z12" i="6" s="1"/>
  <c r="Z23" i="6" a="1"/>
  <c r="Z23" i="6" s="1"/>
  <c r="Z30" i="6" a="1"/>
  <c r="Z30" i="6" s="1"/>
  <c r="Z8" i="6" a="1"/>
  <c r="Z8" i="6" s="1"/>
  <c r="Z19" i="6" a="1"/>
  <c r="Z19" i="6" s="1"/>
  <c r="Z29" i="6" a="1"/>
  <c r="Z29" i="6" s="1"/>
  <c r="Z10" i="6" a="1"/>
  <c r="Z10" i="6" s="1"/>
  <c r="Z14" i="6" a="1"/>
  <c r="Z14" i="6" s="1"/>
  <c r="Z17" i="6" a="1"/>
  <c r="Z17" i="6" s="1"/>
  <c r="Z21" i="6" a="1"/>
  <c r="Z21" i="6" s="1"/>
  <c r="Z27" i="6" a="1"/>
  <c r="Z27" i="6" s="1"/>
  <c r="Z33" i="6" a="1"/>
  <c r="Z33" i="6" s="1"/>
  <c r="Z13" i="6" a="1"/>
  <c r="Z13" i="6" s="1"/>
  <c r="Z24" i="6" a="1"/>
  <c r="Z24" i="6" s="1"/>
  <c r="Z32" i="6" a="1"/>
  <c r="Z32" i="6" s="1"/>
  <c r="R39" i="6"/>
  <c r="S39" i="6" s="1"/>
  <c r="O43" i="2" s="1"/>
  <c r="Y34" i="6"/>
  <c r="Y22" i="6"/>
  <c r="Y10" i="6"/>
  <c r="Y5" i="6"/>
  <c r="Y29" i="6"/>
  <c r="Y24" i="6"/>
  <c r="Y12" i="6"/>
  <c r="Y31" i="6"/>
  <c r="Y19" i="6"/>
  <c r="Y7" i="6"/>
  <c r="O73" i="2"/>
  <c r="S73" i="2"/>
  <c r="M73" i="2"/>
  <c r="K73" i="2"/>
  <c r="R38" i="6"/>
  <c r="S38" i="6" s="1"/>
  <c r="O42" i="2" s="1"/>
  <c r="U73" i="2"/>
  <c r="E73" i="2"/>
  <c r="W73" i="2"/>
  <c r="J39" i="5"/>
  <c r="K39" i="5" s="1"/>
  <c r="P8" i="5"/>
  <c r="P13" i="5"/>
  <c r="P20" i="5"/>
  <c r="P25" i="5"/>
  <c r="P32" i="5"/>
  <c r="P9" i="5"/>
  <c r="P21" i="5"/>
  <c r="P16" i="5"/>
  <c r="P28" i="5"/>
  <c r="U4" i="5"/>
  <c r="Q9" i="5" s="1"/>
  <c r="J40" i="5"/>
  <c r="K40" i="5" s="1"/>
  <c r="J38" i="5"/>
  <c r="K38" i="5" s="1"/>
  <c r="J41" i="5"/>
  <c r="K41" i="5" s="1"/>
  <c r="R16" i="4"/>
  <c r="R18" i="4"/>
  <c r="R20" i="4"/>
  <c r="R28" i="4"/>
  <c r="R30" i="4"/>
  <c r="R32" i="4"/>
  <c r="R6" i="4"/>
  <c r="R8" i="4"/>
  <c r="R10" i="4"/>
  <c r="R12" i="4"/>
  <c r="R14" i="4"/>
  <c r="R22" i="4"/>
  <c r="R24" i="4"/>
  <c r="R26" i="4"/>
  <c r="R34" i="4"/>
  <c r="S24" i="4"/>
  <c r="S12" i="4"/>
  <c r="S13" i="4"/>
  <c r="S26" i="4"/>
  <c r="S14" i="4"/>
  <c r="S7" i="4"/>
  <c r="S27" i="4"/>
  <c r="S15" i="4"/>
  <c r="S32" i="4"/>
  <c r="S9" i="4"/>
  <c r="S28" i="4"/>
  <c r="S16" i="4"/>
  <c r="S29" i="4"/>
  <c r="S17" i="4"/>
  <c r="S5" i="4"/>
  <c r="S20" i="4"/>
  <c r="S30" i="4"/>
  <c r="S18" i="4"/>
  <c r="S6" i="4"/>
  <c r="S33" i="4"/>
  <c r="S21" i="4"/>
  <c r="S34" i="4"/>
  <c r="S10" i="4"/>
  <c r="S31" i="4"/>
  <c r="S19" i="4"/>
  <c r="S8" i="4"/>
  <c r="S23" i="4"/>
  <c r="S11" i="4"/>
  <c r="S25" i="4"/>
  <c r="S22" i="4"/>
  <c r="R11" i="4"/>
  <c r="R13" i="4"/>
  <c r="R15" i="4"/>
  <c r="R19" i="4"/>
  <c r="R23" i="4"/>
  <c r="R31" i="4"/>
  <c r="R17" i="4"/>
  <c r="R29" i="4"/>
  <c r="R7" i="4"/>
  <c r="R9" i="4"/>
  <c r="R5" i="4"/>
  <c r="R21" i="4"/>
  <c r="R33" i="4"/>
  <c r="K43" i="4"/>
  <c r="L43" i="4" s="1"/>
  <c r="K44" i="4"/>
  <c r="L44" i="4" s="1"/>
  <c r="K45" i="4"/>
  <c r="L45" i="4" s="1"/>
  <c r="K46" i="4"/>
  <c r="L46" i="4" s="1"/>
  <c r="R7" i="3"/>
  <c r="R13" i="3"/>
  <c r="R19" i="3"/>
  <c r="R25" i="3"/>
  <c r="R9" i="3"/>
  <c r="R21" i="3"/>
  <c r="R6" i="3"/>
  <c r="R8" i="3"/>
  <c r="R10" i="3"/>
  <c r="R12" i="3"/>
  <c r="R18" i="3"/>
  <c r="R20" i="3"/>
  <c r="R22" i="3"/>
  <c r="R24" i="3"/>
  <c r="R30" i="3"/>
  <c r="K43" i="3"/>
  <c r="L43" i="3" s="1"/>
  <c r="N56" i="3"/>
  <c r="K44" i="3"/>
  <c r="L44" i="3" s="1"/>
  <c r="E37" i="3"/>
  <c r="K46" i="3"/>
  <c r="L46" i="3" s="1"/>
  <c r="J9" i="2"/>
  <c r="J18" i="2"/>
  <c r="J6" i="2"/>
  <c r="J22" i="2"/>
  <c r="J12" i="2"/>
  <c r="J16" i="2"/>
  <c r="J13" i="2"/>
  <c r="J10" i="2"/>
  <c r="J4" i="2"/>
  <c r="J24" i="2"/>
  <c r="J30" i="2"/>
  <c r="J15" i="2"/>
  <c r="J27" i="2"/>
  <c r="J17" i="2"/>
  <c r="J19" i="2"/>
  <c r="J7" i="2"/>
  <c r="J3" i="2"/>
  <c r="J29" i="2"/>
  <c r="J26" i="2"/>
  <c r="J23" i="2"/>
  <c r="J20" i="2"/>
  <c r="J31" i="2"/>
  <c r="J28" i="2"/>
  <c r="J25" i="2"/>
  <c r="J14" i="2"/>
  <c r="J11" i="2"/>
  <c r="J8" i="2"/>
  <c r="J5" i="2"/>
  <c r="J21" i="2"/>
  <c r="J32" i="2"/>
  <c r="P35" i="2"/>
  <c r="P36" i="2"/>
  <c r="O36" i="2" s="1"/>
  <c r="P38" i="2"/>
  <c r="Q26" i="5" l="1"/>
  <c r="Q5" i="5"/>
  <c r="Q28" i="5"/>
  <c r="Q21" i="5"/>
  <c r="Q17" i="5"/>
  <c r="Q13" i="5"/>
  <c r="Q33" i="5"/>
  <c r="Q29" i="5"/>
  <c r="Q14" i="5"/>
  <c r="Q25" i="5"/>
  <c r="Q8" i="5"/>
  <c r="Q16" i="5"/>
  <c r="Q20" i="5"/>
  <c r="Q12" i="5"/>
  <c r="Q32" i="5"/>
  <c r="Q27" i="5"/>
  <c r="Q34" i="5"/>
  <c r="Q6" i="5"/>
  <c r="Q24" i="5"/>
  <c r="Q7" i="5"/>
  <c r="Q11" i="5"/>
  <c r="Q19" i="5"/>
  <c r="Q23" i="5"/>
  <c r="Q31" i="5"/>
  <c r="Q15" i="5"/>
  <c r="Q10" i="5"/>
  <c r="Q18" i="5"/>
  <c r="Q30" i="5"/>
  <c r="Q22" i="5"/>
  <c r="S24" i="3"/>
  <c r="S12" i="3"/>
  <c r="S13" i="3"/>
  <c r="S14" i="3"/>
  <c r="S27" i="3"/>
  <c r="S28" i="3"/>
  <c r="S16" i="3"/>
  <c r="S29" i="3"/>
  <c r="S17" i="3"/>
  <c r="S5" i="3"/>
  <c r="S20" i="3"/>
  <c r="S30" i="3"/>
  <c r="S18" i="3"/>
  <c r="S6" i="3"/>
  <c r="S7" i="3"/>
  <c r="S32" i="3"/>
  <c r="S8" i="3"/>
  <c r="S21" i="3"/>
  <c r="S9" i="3"/>
  <c r="S31" i="3"/>
  <c r="S19" i="3"/>
  <c r="S34" i="3"/>
  <c r="S22" i="3"/>
  <c r="S33" i="3"/>
  <c r="S10" i="3"/>
  <c r="S23" i="3"/>
  <c r="S11" i="3"/>
  <c r="S25" i="3"/>
  <c r="S26" i="3"/>
  <c r="S15" i="3"/>
  <c r="K20" i="2" a="1"/>
  <c r="K20" i="2" s="1"/>
  <c r="K9" i="2" a="1"/>
  <c r="K9" i="2" s="1"/>
  <c r="K23" i="2" a="1"/>
  <c r="K23" i="2" s="1"/>
  <c r="K10" i="2" a="1"/>
  <c r="K10" i="2" s="1"/>
  <c r="K12" i="2" a="1"/>
  <c r="K12" i="2" s="1"/>
  <c r="K31" i="2" a="1"/>
  <c r="K31" i="2" s="1"/>
  <c r="K26" i="2" a="1"/>
  <c r="K26" i="2" s="1"/>
  <c r="K13" i="2" a="1"/>
  <c r="K13" i="2" s="1"/>
  <c r="K32" i="2" a="1"/>
  <c r="K32" i="2" s="1"/>
  <c r="K29" i="2" a="1"/>
  <c r="K29" i="2" s="1"/>
  <c r="K16" i="2" a="1"/>
  <c r="K16" i="2" s="1"/>
  <c r="K8" i="2" a="1"/>
  <c r="K8" i="2" s="1"/>
  <c r="K19" i="2" a="1"/>
  <c r="K19" i="2" s="1"/>
  <c r="Q35" i="2"/>
  <c r="O35" i="2" s="1"/>
  <c r="K11" i="2" a="1"/>
  <c r="K11" i="2" s="1"/>
  <c r="K17" i="2" a="1"/>
  <c r="K17" i="2" s="1"/>
  <c r="K22" i="2" a="1"/>
  <c r="K22" i="2" s="1"/>
  <c r="K21" i="2" a="1"/>
  <c r="K21" i="2" s="1"/>
  <c r="K5" i="2" a="1"/>
  <c r="K5" i="2" s="1"/>
  <c r="K7" i="2" a="1"/>
  <c r="K7" i="2" s="1"/>
  <c r="K14" i="2" a="1"/>
  <c r="K14" i="2" s="1"/>
  <c r="K27" i="2" a="1"/>
  <c r="K27" i="2" s="1"/>
  <c r="K6" i="2" a="1"/>
  <c r="K6" i="2" s="1"/>
  <c r="Q37" i="2"/>
  <c r="O37" i="2" s="1"/>
  <c r="K25" i="2" a="1"/>
  <c r="K25" i="2" s="1"/>
  <c r="K15" i="2" a="1"/>
  <c r="K15" i="2" s="1"/>
  <c r="Q38" i="2"/>
  <c r="O38" i="2" s="1"/>
  <c r="K28" i="2" a="1"/>
  <c r="K28" i="2" s="1"/>
  <c r="K30" i="2" a="1"/>
  <c r="K30" i="2" s="1"/>
  <c r="K18" i="2" a="1"/>
  <c r="K18" i="2" s="1"/>
  <c r="S31" i="2"/>
  <c r="T31" i="2"/>
  <c r="L13" i="2" s="1"/>
  <c r="K3" i="2" a="1"/>
  <c r="K3" i="2" s="1"/>
  <c r="K24" i="2" a="1"/>
  <c r="K24" i="2" s="1"/>
  <c r="K4" i="2" a="1"/>
  <c r="K4" i="2" s="1"/>
  <c r="P44" i="2"/>
  <c r="L31" i="2" l="1"/>
  <c r="L25" i="2"/>
  <c r="L5" i="2"/>
  <c r="L26" i="2"/>
  <c r="L18" i="2"/>
  <c r="L20" i="2"/>
  <c r="G49" i="2"/>
  <c r="G58" i="2"/>
  <c r="G64" i="2"/>
  <c r="G43" i="2"/>
  <c r="G57" i="2"/>
  <c r="G38" i="2"/>
  <c r="G45" i="2"/>
  <c r="G40" i="2"/>
  <c r="G47" i="2"/>
  <c r="G50" i="2"/>
  <c r="G53" i="2"/>
  <c r="G56" i="2"/>
  <c r="G59" i="2"/>
  <c r="G62" i="2"/>
  <c r="G54" i="2"/>
  <c r="G42" i="2"/>
  <c r="G51" i="2"/>
  <c r="G37" i="2"/>
  <c r="G60" i="2"/>
  <c r="G41" i="2"/>
  <c r="G48" i="2"/>
  <c r="G63" i="2"/>
  <c r="G36" i="2"/>
  <c r="G44" i="2"/>
  <c r="G35" i="2"/>
  <c r="G39" i="2"/>
  <c r="G46" i="2"/>
  <c r="G52" i="2"/>
  <c r="G55" i="2"/>
  <c r="G61" i="2"/>
  <c r="L30" i="2"/>
  <c r="L6" i="2"/>
  <c r="L16" i="2"/>
  <c r="L12" i="2"/>
  <c r="L27" i="2"/>
  <c r="L29" i="2"/>
  <c r="L4" i="2"/>
  <c r="L24" i="2"/>
  <c r="I50" i="2"/>
  <c r="L14" i="2"/>
  <c r="L11" i="2"/>
  <c r="L23" i="2"/>
  <c r="I44" i="2"/>
  <c r="I35" i="2"/>
  <c r="I39" i="2"/>
  <c r="I46" i="2"/>
  <c r="I64" i="2"/>
  <c r="I63" i="2"/>
  <c r="I43" i="2"/>
  <c r="I38" i="2"/>
  <c r="I42" i="2"/>
  <c r="I37" i="2"/>
  <c r="I56" i="2"/>
  <c r="I59" i="2"/>
  <c r="I41" i="2"/>
  <c r="I48" i="2"/>
  <c r="I54" i="2"/>
  <c r="I45" i="2"/>
  <c r="I51" i="2"/>
  <c r="L22" i="2"/>
  <c r="L28" i="2"/>
  <c r="L17" i="2"/>
  <c r="L10" i="2"/>
  <c r="L3" i="2"/>
  <c r="L32" i="2"/>
  <c r="L9" i="2"/>
  <c r="L15" i="2"/>
  <c r="L19" i="2"/>
  <c r="L7" i="2"/>
  <c r="L21" i="2"/>
  <c r="L8" i="2"/>
  <c r="P42" i="2"/>
  <c r="S42" i="2" s="1"/>
  <c r="I62" i="2" l="1"/>
  <c r="I57" i="2"/>
  <c r="I61" i="2"/>
  <c r="I58" i="2"/>
  <c r="H35" i="2"/>
  <c r="H58" i="2"/>
  <c r="H39" i="2"/>
  <c r="H37" i="2"/>
  <c r="H64" i="2"/>
  <c r="H43" i="2"/>
  <c r="H55" i="2"/>
  <c r="H38" i="2"/>
  <c r="H40" i="2"/>
  <c r="H47" i="2"/>
  <c r="H50" i="2"/>
  <c r="H53" i="2"/>
  <c r="H56" i="2"/>
  <c r="H59" i="2"/>
  <c r="H62" i="2"/>
  <c r="H36" i="2"/>
  <c r="H42" i="2"/>
  <c r="H52" i="2"/>
  <c r="H46" i="2"/>
  <c r="H49" i="2"/>
  <c r="H41" i="2"/>
  <c r="H45" i="2"/>
  <c r="H48" i="2"/>
  <c r="H51" i="2"/>
  <c r="H54" i="2"/>
  <c r="H57" i="2"/>
  <c r="H60" i="2"/>
  <c r="H63" i="2"/>
  <c r="H44" i="2"/>
  <c r="H61" i="2"/>
  <c r="Q43" i="2"/>
  <c r="S43" i="2" s="1"/>
  <c r="Q44" i="2"/>
  <c r="S44" i="2" s="1"/>
  <c r="I55" i="2"/>
  <c r="I36" i="2"/>
  <c r="I47" i="2"/>
  <c r="I52" i="2"/>
  <c r="Q41" i="2"/>
  <c r="I53" i="2"/>
  <c r="I60" i="2"/>
  <c r="I40" i="2"/>
  <c r="I49" i="2"/>
  <c r="P41" i="2" l="1"/>
  <c r="S41" i="2" s="1"/>
  <c r="F38" i="2" l="1"/>
  <c r="F63" i="2"/>
  <c r="F40" i="2"/>
  <c r="F47" i="2"/>
  <c r="F50" i="2"/>
  <c r="F53" i="2"/>
  <c r="F56" i="2"/>
  <c r="F59" i="2"/>
  <c r="F62" i="2"/>
  <c r="F45" i="2"/>
  <c r="F60" i="2"/>
  <c r="F42" i="2"/>
  <c r="F51" i="2"/>
  <c r="F37" i="2"/>
  <c r="F48" i="2"/>
  <c r="F57" i="2"/>
  <c r="F54" i="2"/>
  <c r="F44" i="2"/>
  <c r="F41" i="2"/>
  <c r="F36" i="2"/>
  <c r="F35" i="2"/>
  <c r="F39" i="2"/>
  <c r="F46" i="2"/>
  <c r="F49" i="2"/>
  <c r="F52" i="2"/>
  <c r="F55" i="2"/>
  <c r="F58" i="2"/>
  <c r="F61" i="2"/>
  <c r="F64" i="2"/>
  <c r="F4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Alperen</author>
  </authors>
  <commentList>
    <comment ref="K43" authorId="0" shapeId="0" xr:uid="{823BFF29-9E12-47F5-89A3-9B929352FE7B}">
      <text>
        <r>
          <rPr>
            <b/>
            <sz val="9"/>
            <color indexed="81"/>
            <rFont val="Tahoma"/>
            <family val="2"/>
            <charset val="162"/>
          </rPr>
          <t>Alperen:</t>
        </r>
        <r>
          <rPr>
            <sz val="9"/>
            <color indexed="81"/>
            <rFont val="Tahoma"/>
            <family val="2"/>
            <charset val="162"/>
          </rPr>
          <t xml:space="preserve">
Formül=&gt; (öğrenci sayısı * (toplam öğrenci dç-x puanı))/( öğrenci sayısı * dç-x katsayısı) &lt;=1</t>
        </r>
      </text>
    </comment>
    <comment ref="L43" authorId="0" shapeId="0" xr:uid="{572A87E0-FE13-40B8-8AA3-4C27493C9E87}">
      <text>
        <r>
          <rPr>
            <b/>
            <sz val="9"/>
            <color indexed="81"/>
            <rFont val="Tahoma"/>
            <family val="2"/>
            <charset val="162"/>
          </rPr>
          <t>Alperen:</t>
        </r>
        <r>
          <rPr>
            <sz val="9"/>
            <color indexed="81"/>
            <rFont val="Tahoma"/>
            <family val="2"/>
            <charset val="162"/>
          </rPr>
          <t xml:space="preserve">
MIDTERM TOTAL DÇ * DERS ÇIKTISI KATSAYISI= TOTAL CONTRIBUTION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Alperen</author>
  </authors>
  <commentList>
    <comment ref="K43" authorId="0" shapeId="0" xr:uid="{4D8EFECA-FB53-4980-87B3-BF84D5E6D5F4}">
      <text>
        <r>
          <rPr>
            <b/>
            <sz val="9"/>
            <color indexed="81"/>
            <rFont val="Tahoma"/>
            <family val="2"/>
            <charset val="162"/>
          </rPr>
          <t>Alperen:</t>
        </r>
        <r>
          <rPr>
            <sz val="9"/>
            <color indexed="81"/>
            <rFont val="Tahoma"/>
            <family val="2"/>
            <charset val="162"/>
          </rPr>
          <t xml:space="preserve">
Formül=&gt; (öğrenci sayısı * (toplam öğrenci dç-x puanı))/( öğrenci sayısı * dç-x katsayısı) &lt;=1</t>
        </r>
      </text>
    </comment>
    <comment ref="L43" authorId="0" shapeId="0" xr:uid="{8BCAC2B1-62BC-4483-BB79-B7416D11964F}">
      <text>
        <r>
          <rPr>
            <b/>
            <sz val="9"/>
            <color indexed="81"/>
            <rFont val="Tahoma"/>
            <family val="2"/>
            <charset val="162"/>
          </rPr>
          <t>Alperen:</t>
        </r>
        <r>
          <rPr>
            <sz val="9"/>
            <color indexed="81"/>
            <rFont val="Tahoma"/>
            <family val="2"/>
            <charset val="162"/>
          </rPr>
          <t xml:space="preserve">
MIDTERM TOTAL DÇ * DERS ÇIKTISI KATSAYISI= TOTAL CONTRIBUTION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Alperen</author>
  </authors>
  <commentList>
    <comment ref="J38" authorId="0" shapeId="0" xr:uid="{59F94FC8-A9CC-4EE2-A705-EE9613A3A628}">
      <text>
        <r>
          <rPr>
            <b/>
            <sz val="9"/>
            <color indexed="81"/>
            <rFont val="Tahoma"/>
            <family val="2"/>
            <charset val="162"/>
          </rPr>
          <t>Alperen:</t>
        </r>
        <r>
          <rPr>
            <sz val="9"/>
            <color indexed="81"/>
            <rFont val="Tahoma"/>
            <family val="2"/>
            <charset val="162"/>
          </rPr>
          <t xml:space="preserve">
Formül=&gt; (öğrenci sayısı * (toplam öğrenci dç-x puanı))/( öğrenci sayısı * dç-x katsayısı) &lt;=1</t>
        </r>
      </text>
    </comment>
    <comment ref="K38" authorId="0" shapeId="0" xr:uid="{386B70EC-032B-4343-A5FE-CD2988CF24BF}">
      <text>
        <r>
          <rPr>
            <b/>
            <sz val="9"/>
            <color indexed="81"/>
            <rFont val="Tahoma"/>
            <family val="2"/>
            <charset val="162"/>
          </rPr>
          <t>Alperen:</t>
        </r>
        <r>
          <rPr>
            <sz val="9"/>
            <color indexed="81"/>
            <rFont val="Tahoma"/>
            <family val="2"/>
            <charset val="162"/>
          </rPr>
          <t xml:space="preserve">
MIDTERM TOTAL DÇ * DERS ÇIKTISI KATSAYISI= TOTAL CONTRIBUTION</t>
        </r>
      </text>
    </comment>
    <comment ref="J39" authorId="0" shapeId="0" xr:uid="{3195F36B-174D-4C7A-8FFD-C0D9DA6AC0DA}">
      <text>
        <r>
          <rPr>
            <b/>
            <sz val="9"/>
            <color indexed="81"/>
            <rFont val="Tahoma"/>
            <family val="2"/>
            <charset val="162"/>
          </rPr>
          <t>Alperen:</t>
        </r>
        <r>
          <rPr>
            <sz val="9"/>
            <color indexed="81"/>
            <rFont val="Tahoma"/>
            <family val="2"/>
            <charset val="162"/>
          </rPr>
          <t xml:space="preserve">
Formül=&gt; (öğrenci sayısı * (toplam öğrenci dç-x puanı))/( öğrenci sayısı * dç-x katsayısı) &lt;=1</t>
        </r>
      </text>
    </comment>
    <comment ref="J40" authorId="0" shapeId="0" xr:uid="{C01D0741-4CBF-410E-8349-8129BCC2152F}">
      <text>
        <r>
          <rPr>
            <b/>
            <sz val="9"/>
            <color indexed="81"/>
            <rFont val="Tahoma"/>
            <family val="2"/>
            <charset val="162"/>
          </rPr>
          <t>Alperen:</t>
        </r>
        <r>
          <rPr>
            <sz val="9"/>
            <color indexed="81"/>
            <rFont val="Tahoma"/>
            <family val="2"/>
            <charset val="162"/>
          </rPr>
          <t xml:space="preserve">
Formül=&gt; (öğrenci sayısı * (toplam öğrenci dç-x puanı))/( öğrenci sayısı * dç-x katsayısı) &lt;=1</t>
        </r>
      </text>
    </comment>
    <comment ref="J41" authorId="0" shapeId="0" xr:uid="{955AB1CB-B8B1-4817-BA92-8C60527C685D}">
      <text>
        <r>
          <rPr>
            <b/>
            <sz val="9"/>
            <color indexed="81"/>
            <rFont val="Tahoma"/>
            <family val="2"/>
            <charset val="162"/>
          </rPr>
          <t>Alperen:</t>
        </r>
        <r>
          <rPr>
            <sz val="9"/>
            <color indexed="81"/>
            <rFont val="Tahoma"/>
            <family val="2"/>
            <charset val="162"/>
          </rPr>
          <t xml:space="preserve">
Formül=&gt; (öğrenci sayısı * (toplam öğrenci dç-x puanı))/( öğrenci sayısı * dç-x katsayısı) &lt;=1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Alperen</author>
  </authors>
  <commentList>
    <comment ref="R37" authorId="0" shapeId="0" xr:uid="{D98AB3F4-5C79-482E-8A9A-421A94BA088A}">
      <text>
        <r>
          <rPr>
            <b/>
            <sz val="9"/>
            <color indexed="81"/>
            <rFont val="Tahoma"/>
            <family val="2"/>
            <charset val="162"/>
          </rPr>
          <t>Alperen:</t>
        </r>
        <r>
          <rPr>
            <sz val="9"/>
            <color indexed="81"/>
            <rFont val="Tahoma"/>
            <family val="2"/>
            <charset val="162"/>
          </rPr>
          <t xml:space="preserve">
Formül=&gt; (öğrenci sayısı * (toplam öğrenci dç-x puanı))/( öğrenci sayısı * dç-x katsayısı) &lt;=1</t>
        </r>
      </text>
    </comment>
    <comment ref="S37" authorId="0" shapeId="0" xr:uid="{A4414B43-9471-4861-9B56-E288C2E715C0}">
      <text>
        <r>
          <rPr>
            <b/>
            <sz val="9"/>
            <color indexed="81"/>
            <rFont val="Tahoma"/>
            <family val="2"/>
            <charset val="162"/>
          </rPr>
          <t>Alperen:</t>
        </r>
        <r>
          <rPr>
            <sz val="9"/>
            <color indexed="81"/>
            <rFont val="Tahoma"/>
            <family val="2"/>
            <charset val="162"/>
          </rPr>
          <t xml:space="preserve">
MIDTERM TOTAL DÇ * DERS ÇIKTISI KATSAYISI= TOTAL CONTRIBUTION</t>
        </r>
      </text>
    </comment>
    <comment ref="R38" authorId="0" shapeId="0" xr:uid="{9CB0419D-02F9-4B8B-8DC7-8AC1DCF0FF21}">
      <text>
        <r>
          <rPr>
            <b/>
            <sz val="9"/>
            <color indexed="81"/>
            <rFont val="Tahoma"/>
            <family val="2"/>
            <charset val="162"/>
          </rPr>
          <t>Alperen:</t>
        </r>
        <r>
          <rPr>
            <sz val="9"/>
            <color indexed="81"/>
            <rFont val="Tahoma"/>
            <family val="2"/>
            <charset val="162"/>
          </rPr>
          <t xml:space="preserve">
Formül=&gt; (öğrenci sayısı * (toplam öğrenci dç-x puanı))/( öğrenci sayısı * dç-x katsayısı) &lt;=1</t>
        </r>
      </text>
    </comment>
    <comment ref="R39" authorId="0" shapeId="0" xr:uid="{6AC332CA-BF69-4684-91E4-770349C40F30}">
      <text>
        <r>
          <rPr>
            <b/>
            <sz val="9"/>
            <color indexed="81"/>
            <rFont val="Tahoma"/>
            <family val="2"/>
            <charset val="162"/>
          </rPr>
          <t>Alperen:</t>
        </r>
        <r>
          <rPr>
            <sz val="9"/>
            <color indexed="81"/>
            <rFont val="Tahoma"/>
            <family val="2"/>
            <charset val="162"/>
          </rPr>
          <t xml:space="preserve">
Formül=&gt; (öğrenci sayısı * (toplam öğrenci dç-x puanı))/( öğrenci sayısı * dç-x katsayısı) &lt;=1</t>
        </r>
      </text>
    </comment>
    <comment ref="R40" authorId="0" shapeId="0" xr:uid="{F9FAD21F-DF6B-4FB0-AE73-DCBEB723EDD3}">
      <text>
        <r>
          <rPr>
            <b/>
            <sz val="9"/>
            <color indexed="81"/>
            <rFont val="Tahoma"/>
            <family val="2"/>
            <charset val="162"/>
          </rPr>
          <t>Alperen:</t>
        </r>
        <r>
          <rPr>
            <sz val="9"/>
            <color indexed="81"/>
            <rFont val="Tahoma"/>
            <family val="2"/>
            <charset val="162"/>
          </rPr>
          <t xml:space="preserve">
Formül=&gt; (öğrenci sayısı * (toplam öğrenci dç-x puanı))/( öğrenci sayısı * dç-x katsayısı) &lt;=1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<sst xmlns="http://schemas.openxmlformats.org/spreadsheetml/2006/main" count="662" uniqueCount="117">
  <si>
    <t>DÇ4</t>
  </si>
  <si>
    <t>DÇ3</t>
  </si>
  <si>
    <t>DÇ2</t>
  </si>
  <si>
    <t>DÇ1</t>
  </si>
  <si>
    <t>PÇ11</t>
  </si>
  <si>
    <t>PÇ10</t>
  </si>
  <si>
    <t>PÇ9</t>
  </si>
  <si>
    <t>PÇ8</t>
  </si>
  <si>
    <t>PÇ7</t>
  </si>
  <si>
    <t>PÇ6</t>
  </si>
  <si>
    <t>PÇ5</t>
  </si>
  <si>
    <t>PÇ4</t>
  </si>
  <si>
    <t>PÇ3</t>
  </si>
  <si>
    <t>PÇ2</t>
  </si>
  <si>
    <t>PÇ1</t>
  </si>
  <si>
    <t>* This tablo shows the students dç contribution. This calculations max value is 1, min value is 0.</t>
  </si>
  <si>
    <t>Surname</t>
  </si>
  <si>
    <t>Name</t>
  </si>
  <si>
    <t>Çıktı-4</t>
  </si>
  <si>
    <t>Çıktı-3</t>
  </si>
  <si>
    <t>Çıktı-2</t>
  </si>
  <si>
    <t>Çıktı-1</t>
  </si>
  <si>
    <t>Toplam Katkı</t>
  </si>
  <si>
    <t>HOMEWORK</t>
  </si>
  <si>
    <t>FINAL</t>
  </si>
  <si>
    <t>Midterm</t>
  </si>
  <si>
    <t>LAB</t>
  </si>
  <si>
    <t>DERS ÇIKTISI ADI</t>
  </si>
  <si>
    <t>DERS ÇIKTILARI</t>
  </si>
  <si>
    <t>DÇ KATSAYISI</t>
  </si>
  <si>
    <t>DÇ-4</t>
  </si>
  <si>
    <t>DÇ-3</t>
  </si>
  <si>
    <t>DÇ-2</t>
  </si>
  <si>
    <t>DÇ-1</t>
  </si>
  <si>
    <t>Student Surname</t>
  </si>
  <si>
    <t>Student Name</t>
  </si>
  <si>
    <t>Student No</t>
  </si>
  <si>
    <t>Number</t>
  </si>
  <si>
    <t>Variance</t>
  </si>
  <si>
    <t>Mean</t>
  </si>
  <si>
    <t>* To use the graph select total points from the main tablo and order it by smallest to biggest.</t>
  </si>
  <si>
    <t>-</t>
  </si>
  <si>
    <t>Total</t>
  </si>
  <si>
    <t>Final</t>
  </si>
  <si>
    <t>Lab</t>
  </si>
  <si>
    <t>Homework</t>
  </si>
  <si>
    <t>Base Value</t>
  </si>
  <si>
    <t>Multiplier</t>
  </si>
  <si>
    <t>Item</t>
  </si>
  <si>
    <t>Grading  Constraints</t>
  </si>
  <si>
    <t>X</t>
  </si>
  <si>
    <t>NA</t>
  </si>
  <si>
    <t>FF</t>
  </si>
  <si>
    <t>FD</t>
  </si>
  <si>
    <t>DD</t>
  </si>
  <si>
    <t>CD</t>
  </si>
  <si>
    <t>CC</t>
  </si>
  <si>
    <t>CB</t>
  </si>
  <si>
    <t>BB</t>
  </si>
  <si>
    <t>BA</t>
  </si>
  <si>
    <t>AA</t>
  </si>
  <si>
    <t>Max</t>
  </si>
  <si>
    <t>Min</t>
  </si>
  <si>
    <t>Grade</t>
  </si>
  <si>
    <t>Letter Grade Range</t>
  </si>
  <si>
    <t>Normal Dist.</t>
  </si>
  <si>
    <t>Letter Grade</t>
  </si>
  <si>
    <t>Total Points</t>
  </si>
  <si>
    <t>CENG-XXX OVERALL STUDENT AND COURSE DATA</t>
  </si>
  <si>
    <t>CENG-XXX MIDTERM EXAM DATA</t>
  </si>
  <si>
    <t>STUDENT ID</t>
  </si>
  <si>
    <t>Q1</t>
  </si>
  <si>
    <t>Q2</t>
  </si>
  <si>
    <t>Q3</t>
  </si>
  <si>
    <t>Q4</t>
  </si>
  <si>
    <t>Q5</t>
  </si>
  <si>
    <t>Q6</t>
  </si>
  <si>
    <t>Q7</t>
  </si>
  <si>
    <t>TOTAL GRADE</t>
  </si>
  <si>
    <t>TOT</t>
  </si>
  <si>
    <t>Normal Dist</t>
  </si>
  <si>
    <t>DERS ÇIKTISI KATSAYISI</t>
  </si>
  <si>
    <t>KALAN KATSAYI</t>
  </si>
  <si>
    <t>Sütun1</t>
  </si>
  <si>
    <t>TOTAL</t>
  </si>
  <si>
    <t>PUAN</t>
  </si>
  <si>
    <t>Ders Çıktıları</t>
  </si>
  <si>
    <t>TOPLAM</t>
  </si>
  <si>
    <t>TOTAL DÇ</t>
  </si>
  <si>
    <t>CONTRIBUTION</t>
  </si>
  <si>
    <t>Her dç-x katsayısını ders çıktıları tablosuna bakaraktan yazınız. DÇ-1 için olan toplam 30 ise bu tablo da da toplam 30 olmalı.</t>
  </si>
  <si>
    <t>CENG-XXX FINAL EXAM DATA</t>
  </si>
  <si>
    <t>CENG-XXX HOMEWORK DATA</t>
  </si>
  <si>
    <t>MEAN</t>
  </si>
  <si>
    <t>VARIANCE</t>
  </si>
  <si>
    <t>HW1</t>
  </si>
  <si>
    <t>HW2</t>
  </si>
  <si>
    <t>HW3</t>
  </si>
  <si>
    <t>HW4</t>
  </si>
  <si>
    <t>HW5</t>
  </si>
  <si>
    <t>POINTS</t>
  </si>
  <si>
    <t>LW14</t>
  </si>
  <si>
    <t>LW13</t>
  </si>
  <si>
    <t>LW12</t>
  </si>
  <si>
    <t>LW11</t>
  </si>
  <si>
    <t>LW10</t>
  </si>
  <si>
    <t>LW9</t>
  </si>
  <si>
    <t>LW8</t>
  </si>
  <si>
    <t>LW7</t>
  </si>
  <si>
    <t>LW6</t>
  </si>
  <si>
    <t>LW5</t>
  </si>
  <si>
    <t>LW4</t>
  </si>
  <si>
    <t>LW3</t>
  </si>
  <si>
    <t>LW2</t>
  </si>
  <si>
    <t>LW1</t>
  </si>
  <si>
    <t>TOTAL2</t>
  </si>
  <si>
    <t>CENG-XXX LABWORK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</si>
</sst>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00"/>
    <numFmt numFmtId="165" formatCode="0.00000000000"/>
    <numFmt numFmtId="166" formatCode="0.0000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</font>
    <font>
      <sz val="11"/>
      <name val="Calibri"/>
      <charset val="1"/>
    </font>
    <font>
      <sz val="10"/>
      <name val="Noto Sans"/>
      <family val="2"/>
      <charset val="1"/>
    </font>
    <font>
      <b/>
      <sz val="12"/>
      <color rgb="FFBDC1C6"/>
      <name val="Arial"/>
      <family val="2"/>
      <charset val="162"/>
    </font>
    <font>
      <sz val="11"/>
      <color theme="0"/>
      <name val="Calibri"/>
      <family val="2"/>
      <charset val="162"/>
    </font>
    <font>
      <sz val="11"/>
      <color theme="1" tint="0.249977111117893"/>
      <name val="Calibri"/>
      <family val="2"/>
      <charset val="162"/>
    </font>
    <font>
      <sz val="10"/>
      <color theme="1" tint="0.249977111117893"/>
      <name val="Noto Sans"/>
      <family val="2"/>
      <charset val="1"/>
    </font>
    <font>
      <sz val="11"/>
      <name val="Calibri"/>
      <family val="2"/>
      <charset val="162"/>
    </font>
    <font>
      <sz val="11"/>
      <name val="Calibri"/>
      <family val="2"/>
      <charset val="1"/>
    </font>
    <font>
      <sz val="12"/>
      <name val="Calibri"/>
      <family val="2"/>
      <charset val="162"/>
    </font>
    <font>
      <b/>
      <sz val="11"/>
      <name val="Calibri"/>
      <family val="2"/>
      <charset val="162"/>
    </font>
    <font>
      <b/>
      <sz val="11"/>
      <name val="Calibri"/>
      <family val="2"/>
      <charset val="1"/>
    </font>
    <font>
      <b/>
      <sz val="11"/>
      <color theme="0"/>
      <name val="Calibri"/>
      <family val="2"/>
      <charset val="162"/>
    </font>
    <font>
      <b/>
      <i/>
      <sz val="11"/>
      <name val="Calibri"/>
      <family val="2"/>
      <charset val="162"/>
    </font>
    <font>
      <sz val="26"/>
      <name val="Calibri"/>
      <family val="2"/>
      <charset val="162"/>
    </font>
    <font>
      <b/>
      <sz val="9"/>
      <color indexed="81"/>
      <name val="Tahoma"/>
      <family val="2"/>
      <charset val="162"/>
    </font>
    <font>
      <sz val="9"/>
      <color indexed="81"/>
      <name val="Tahoma"/>
      <family val="2"/>
      <charset val="162"/>
    </font>
    <font>
      <b/>
      <sz val="11"/>
      <name val="Calibri"/>
      <family val="2"/>
    </font>
    <font>
      <sz val="1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/>
        <bgColor theme="9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theme="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C0C0C0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</borders>
  <cellStyleXfs count="2">
    <xf numFmtId="0" fontId="0" fillId="0" borderId="0"/>
    <xf numFmtId="0" fontId="2" fillId="0" borderId="0"/>
  </cellStyleXfs>
  <cellXfs count="85">
    <xf numFmtId="0" fontId="0" fillId="0" borderId="0" xfId="0"/>
    <xf numFmtId="0" fontId="2" fillId="0" borderId="0" xfId="1"/>
    <xf numFmtId="2" fontId="2" fillId="0" borderId="0" xfId="1" applyNumberFormat="1"/>
    <xf numFmtId="0" fontId="2" fillId="0" borderId="0" xfId="1" applyAlignment="1">
      <alignment horizontal="center" vertical="center"/>
    </xf>
    <xf numFmtId="0" fontId="3" fillId="0" borderId="0" xfId="1" applyFont="1" applyAlignment="1">
      <alignment horizontal="center" vertical="center"/>
    </xf>
    <xf numFmtId="1" fontId="2" fillId="0" borderId="0" xfId="1" applyNumberFormat="1" applyAlignment="1">
      <alignment horizontal="center" vertical="center"/>
    </xf>
    <xf numFmtId="0" fontId="4" fillId="0" borderId="0" xfId="1" applyFont="1"/>
    <xf numFmtId="0" fontId="5" fillId="0" borderId="0" xfId="1" applyFont="1"/>
    <xf numFmtId="0" fontId="2" fillId="2" borderId="1" xfId="1" applyFill="1" applyBorder="1" applyAlignment="1">
      <alignment horizontal="center" vertical="center"/>
    </xf>
    <xf numFmtId="0" fontId="6" fillId="3" borderId="2" xfId="1" applyFont="1" applyFill="1" applyBorder="1"/>
    <xf numFmtId="0" fontId="2" fillId="2" borderId="2" xfId="1" applyFill="1" applyBorder="1" applyAlignment="1">
      <alignment horizontal="center" vertical="center"/>
    </xf>
    <xf numFmtId="164" fontId="2" fillId="2" borderId="2" xfId="1" applyNumberFormat="1" applyFill="1" applyBorder="1" applyAlignment="1">
      <alignment horizontal="center" vertical="center"/>
    </xf>
    <xf numFmtId="0" fontId="6" fillId="3" borderId="2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7" fillId="3" borderId="2" xfId="1" applyFont="1" applyFill="1" applyBorder="1" applyAlignment="1">
      <alignment horizontal="center" vertical="center"/>
    </xf>
    <xf numFmtId="1" fontId="2" fillId="0" borderId="3" xfId="1" applyNumberFormat="1" applyBorder="1" applyAlignment="1">
      <alignment horizontal="center" vertical="center"/>
    </xf>
    <xf numFmtId="1" fontId="2" fillId="2" borderId="3" xfId="1" applyNumberFormat="1" applyFill="1" applyBorder="1" applyAlignment="1">
      <alignment horizontal="center" vertical="center"/>
    </xf>
    <xf numFmtId="0" fontId="2" fillId="2" borderId="4" xfId="1" applyFill="1" applyBorder="1" applyAlignment="1">
      <alignment horizontal="center" vertical="center"/>
    </xf>
    <xf numFmtId="0" fontId="6" fillId="3" borderId="5" xfId="1" applyFont="1" applyFill="1" applyBorder="1"/>
    <xf numFmtId="0" fontId="2" fillId="2" borderId="5" xfId="1" applyFill="1" applyBorder="1" applyAlignment="1">
      <alignment horizontal="center" vertical="center"/>
    </xf>
    <xf numFmtId="164" fontId="2" fillId="2" borderId="5" xfId="1" applyNumberForma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  <xf numFmtId="0" fontId="7" fillId="3" borderId="5" xfId="1" applyFont="1" applyFill="1" applyBorder="1" applyAlignment="1">
      <alignment horizontal="center" vertical="center"/>
    </xf>
    <xf numFmtId="1" fontId="2" fillId="2" borderId="6" xfId="1" applyNumberFormat="1" applyFill="1" applyBorder="1" applyAlignment="1">
      <alignment horizontal="center" vertical="center"/>
    </xf>
    <xf numFmtId="0" fontId="2" fillId="2" borderId="4" xfId="1" applyFill="1" applyBorder="1"/>
    <xf numFmtId="0" fontId="8" fillId="2" borderId="5" xfId="1" applyFont="1" applyFill="1" applyBorder="1" applyAlignment="1">
      <alignment horizontal="center" vertical="center"/>
    </xf>
    <xf numFmtId="0" fontId="2" fillId="2" borderId="5" xfId="1" applyFill="1" applyBorder="1"/>
    <xf numFmtId="2" fontId="2" fillId="2" borderId="5" xfId="1" applyNumberFormat="1" applyFill="1" applyBorder="1"/>
    <xf numFmtId="0" fontId="2" fillId="0" borderId="0" xfId="1" applyAlignment="1">
      <alignment horizontal="center"/>
    </xf>
    <xf numFmtId="0" fontId="8" fillId="0" borderId="0" xfId="1" applyFont="1" applyAlignment="1">
      <alignment horizontal="center"/>
    </xf>
    <xf numFmtId="0" fontId="1" fillId="4" borderId="7" xfId="1" applyFont="1" applyFill="1" applyBorder="1" applyAlignment="1">
      <alignment horizontal="center" vertical="center"/>
    </xf>
    <xf numFmtId="0" fontId="1" fillId="5" borderId="8" xfId="1" applyFont="1" applyFill="1" applyBorder="1" applyAlignment="1">
      <alignment horizontal="center" vertical="center"/>
    </xf>
    <xf numFmtId="0" fontId="1" fillId="4" borderId="8" xfId="1" applyFont="1" applyFill="1" applyBorder="1" applyAlignment="1">
      <alignment horizontal="center" vertical="center"/>
    </xf>
    <xf numFmtId="0" fontId="9" fillId="0" borderId="0" xfId="1" applyFont="1"/>
    <xf numFmtId="0" fontId="2" fillId="0" borderId="0" xfId="1" applyAlignment="1">
      <alignment horizontal="center"/>
    </xf>
    <xf numFmtId="2" fontId="2" fillId="0" borderId="0" xfId="1" applyNumberFormat="1" applyAlignment="1">
      <alignment horizontal="center"/>
    </xf>
    <xf numFmtId="0" fontId="9" fillId="0" borderId="0" xfId="1" applyFont="1" applyAlignment="1">
      <alignment horizontal="center" vertical="center"/>
    </xf>
    <xf numFmtId="0" fontId="10" fillId="0" borderId="0" xfId="1" applyFont="1" applyAlignment="1">
      <alignment horizontal="center"/>
    </xf>
    <xf numFmtId="0" fontId="11" fillId="0" borderId="0" xfId="1" applyFont="1" applyAlignment="1">
      <alignment horizontal="center" vertical="center"/>
    </xf>
    <xf numFmtId="0" fontId="12" fillId="0" borderId="0" xfId="1" applyFont="1" applyAlignment="1">
      <alignment horizontal="center"/>
    </xf>
    <xf numFmtId="0" fontId="8" fillId="0" borderId="0" xfId="1" applyFont="1" applyAlignment="1">
      <alignment horizontal="center"/>
    </xf>
    <xf numFmtId="0" fontId="8" fillId="0" borderId="0" xfId="1" applyFont="1" applyAlignment="1">
      <alignment horizontal="center" vertical="center"/>
    </xf>
    <xf numFmtId="0" fontId="8" fillId="0" borderId="0" xfId="1" applyFont="1"/>
    <xf numFmtId="0" fontId="13" fillId="6" borderId="9" xfId="1" applyFont="1" applyFill="1" applyBorder="1" applyAlignment="1">
      <alignment horizontal="center" vertical="center"/>
    </xf>
    <xf numFmtId="2" fontId="2" fillId="0" borderId="0" xfId="1" applyNumberFormat="1" applyAlignment="1">
      <alignment horizontal="center" vertical="center"/>
    </xf>
    <xf numFmtId="1" fontId="8" fillId="0" borderId="0" xfId="1" applyNumberFormat="1" applyFont="1" applyAlignment="1">
      <alignment horizontal="center" vertical="center"/>
    </xf>
    <xf numFmtId="0" fontId="1" fillId="7" borderId="7" xfId="1" applyFont="1" applyFill="1" applyBorder="1" applyAlignment="1">
      <alignment horizontal="center"/>
    </xf>
    <xf numFmtId="0" fontId="1" fillId="8" borderId="8" xfId="1" applyFont="1" applyFill="1" applyBorder="1" applyAlignment="1">
      <alignment horizontal="center"/>
    </xf>
    <xf numFmtId="0" fontId="1" fillId="7" borderId="8" xfId="1" applyFont="1" applyFill="1" applyBorder="1" applyAlignment="1">
      <alignment horizontal="center"/>
    </xf>
    <xf numFmtId="0" fontId="14" fillId="0" borderId="0" xfId="1" applyFont="1"/>
    <xf numFmtId="0" fontId="14" fillId="0" borderId="0" xfId="1" applyFont="1" applyAlignment="1">
      <alignment horizontal="center"/>
    </xf>
    <xf numFmtId="0" fontId="8" fillId="9" borderId="0" xfId="1" applyFont="1" applyFill="1" applyAlignment="1">
      <alignment horizontal="center" vertical="center"/>
    </xf>
    <xf numFmtId="0" fontId="2" fillId="10" borderId="0" xfId="1" applyFill="1" applyAlignment="1">
      <alignment horizontal="center"/>
    </xf>
    <xf numFmtId="0" fontId="11" fillId="9" borderId="0" xfId="1" applyFont="1" applyFill="1" applyAlignment="1">
      <alignment horizontal="center"/>
    </xf>
    <xf numFmtId="0" fontId="11" fillId="11" borderId="0" xfId="1" applyFont="1" applyFill="1" applyAlignment="1">
      <alignment horizontal="center"/>
    </xf>
    <xf numFmtId="2" fontId="11" fillId="0" borderId="0" xfId="1" applyNumberFormat="1" applyFont="1" applyAlignment="1">
      <alignment horizontal="center" vertical="center"/>
    </xf>
    <xf numFmtId="0" fontId="11" fillId="0" borderId="0" xfId="1" applyFont="1" applyAlignment="1">
      <alignment horizontal="center"/>
    </xf>
    <xf numFmtId="0" fontId="13" fillId="12" borderId="9" xfId="1" applyFont="1" applyFill="1" applyBorder="1" applyAlignment="1">
      <alignment horizontal="center" vertical="center"/>
    </xf>
    <xf numFmtId="0" fontId="15" fillId="0" borderId="0" xfId="1" applyFont="1" applyAlignment="1">
      <alignment horizontal="center" vertical="center"/>
    </xf>
    <xf numFmtId="0" fontId="15" fillId="0" borderId="0" xfId="1" applyFont="1" applyAlignment="1">
      <alignment vertical="center"/>
    </xf>
    <xf numFmtId="0" fontId="12" fillId="0" borderId="0" xfId="1" applyFont="1" applyAlignment="1">
      <alignment horizontal="center" vertical="center"/>
    </xf>
    <xf numFmtId="0" fontId="2" fillId="13" borderId="0" xfId="1" applyFill="1" applyAlignment="1">
      <alignment horizontal="center"/>
    </xf>
    <xf numFmtId="1" fontId="8" fillId="13" borderId="0" xfId="1" applyNumberFormat="1" applyFont="1" applyFill="1" applyAlignment="1">
      <alignment horizontal="center" vertical="center"/>
    </xf>
    <xf numFmtId="0" fontId="2" fillId="13" borderId="0" xfId="1" applyFill="1" applyAlignment="1">
      <alignment horizontal="center" vertical="center"/>
    </xf>
    <xf numFmtId="2" fontId="8" fillId="0" borderId="0" xfId="1" applyNumberFormat="1" applyFont="1" applyAlignment="1">
      <alignment horizontal="center" vertical="center"/>
    </xf>
    <xf numFmtId="1" fontId="2" fillId="13" borderId="0" xfId="1" applyNumberFormat="1" applyFill="1" applyAlignment="1">
      <alignment horizontal="center" vertical="center"/>
    </xf>
    <xf numFmtId="0" fontId="12" fillId="0" borderId="0" xfId="1" applyFont="1"/>
    <xf numFmtId="165" fontId="2" fillId="0" borderId="0" xfId="1" applyNumberFormat="1" applyAlignment="1">
      <alignment horizontal="center"/>
    </xf>
    <xf numFmtId="2" fontId="8" fillId="0" borderId="0" xfId="1" applyNumberFormat="1" applyFont="1" applyAlignment="1">
      <alignment horizontal="center"/>
    </xf>
    <xf numFmtId="0" fontId="11" fillId="0" borderId="0" xfId="1" applyFont="1" applyAlignment="1">
      <alignment horizontal="center"/>
    </xf>
    <xf numFmtId="0" fontId="18" fillId="0" borderId="0" xfId="1" applyFont="1"/>
    <xf numFmtId="0" fontId="18" fillId="0" borderId="0" xfId="1" applyFont="1" applyAlignment="1">
      <alignment horizontal="center"/>
    </xf>
    <xf numFmtId="2" fontId="19" fillId="0" borderId="0" xfId="1" applyNumberFormat="1" applyFont="1" applyAlignment="1">
      <alignment horizontal="center"/>
    </xf>
    <xf numFmtId="0" fontId="19" fillId="0" borderId="0" xfId="1" applyFont="1" applyAlignment="1">
      <alignment horizontal="center"/>
    </xf>
    <xf numFmtId="0" fontId="2" fillId="14" borderId="0" xfId="1" applyFill="1" applyAlignment="1">
      <alignment horizontal="center" vertical="center"/>
    </xf>
    <xf numFmtId="0" fontId="13" fillId="12" borderId="10" xfId="1" applyFont="1" applyFill="1" applyBorder="1" applyAlignment="1">
      <alignment horizontal="center" vertical="center"/>
    </xf>
    <xf numFmtId="0" fontId="11" fillId="0" borderId="0" xfId="1" applyFont="1"/>
    <xf numFmtId="0" fontId="1" fillId="8" borderId="11" xfId="1" applyFont="1" applyFill="1" applyBorder="1" applyAlignment="1">
      <alignment horizontal="center"/>
    </xf>
    <xf numFmtId="0" fontId="1" fillId="7" borderId="11" xfId="1" applyFont="1" applyFill="1" applyBorder="1" applyAlignment="1">
      <alignment horizontal="center"/>
    </xf>
    <xf numFmtId="0" fontId="1" fillId="7" borderId="12" xfId="1" applyFont="1" applyFill="1" applyBorder="1" applyAlignment="1">
      <alignment horizontal="center"/>
    </xf>
    <xf numFmtId="166" fontId="8" fillId="0" borderId="0" xfId="1" applyNumberFormat="1" applyFont="1" applyAlignment="1">
      <alignment horizontal="center"/>
    </xf>
    <xf numFmtId="166" fontId="2" fillId="0" borderId="0" xfId="1" applyNumberFormat="1" applyAlignment="1">
      <alignment horizontal="center"/>
    </xf>
    <xf numFmtId="0" fontId="13" fillId="0" borderId="0" xfId="1" applyFont="1"/>
    <xf numFmtId="0" fontId="1" fillId="0" borderId="0" xfId="1" applyFont="1"/>
  </cellXfs>
  <cellStyles count="2">
    <cellStyle name="Normal" xfId="0" builtinId="0"/>
    <cellStyle name="Normal 2" xfId="1" xr:uid="{EC1FBB6E-0A75-4E24-B0CE-EAC212BDC2C7}"/>
  </cellStyles>
  <dxfs count="37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>
          <bgColor rgb="FF92D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</dxf>
    <dxf>
      <numFmt numFmtId="166" formatCode="0.00000000"/>
      <alignment horizontal="center" vertical="bottom" textRotation="0" wrapText="0" indent="0" justifyLastLine="0" shrinkToFit="0" readingOrder="0"/>
    </dxf>
    <dxf>
      <numFmt numFmtId="165" formatCode="0.000000000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</dxf>
    <dxf>
      <numFmt numFmtId="2" formatCode="0.0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  <numFmt numFmtId="1" formatCode="0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left style="thin">
          <color theme="0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none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6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numFmt numFmtId="166" formatCode="0.00000000"/>
      <alignment horizontal="center" textRotation="0" wrapText="0" indent="0" justifyLastLine="0" shrinkToFit="0" readingOrder="0"/>
    </dxf>
    <dxf>
      <numFmt numFmtId="165" formatCode="0.00000000000"/>
      <alignment horizontal="center" textRotation="0" wrapText="0" indent="0" justifyLastLine="0" shrinkToFit="0" readingOrder="0"/>
    </dxf>
    <dxf>
      <numFmt numFmtId="2" formatCode="0.00"/>
      <alignment horizontal="center" textRotation="0" wrapText="0" indent="0" justifyLastLine="0" shrinkToFit="0" readingOrder="0"/>
    </dxf>
    <dxf>
      <numFmt numFmtId="2" formatCode="0.00"/>
      <alignment horizontal="center" textRotation="0" wrapText="0" indent="0" justifyLastLine="0" shrinkToFit="0" readingOrder="0"/>
    </dxf>
    <dxf>
      <numFmt numFmtId="2" formatCode="0.00"/>
      <alignment horizontal="center" textRotation="0" wrapText="0" indent="0" justifyLastLine="0" shrinkToFit="0" readingOrder="0"/>
    </dxf>
    <dxf>
      <numFmt numFmtId="2" formatCode="0.00"/>
      <alignment horizontal="center" textRotation="0" wrapText="0" indent="0" justifyLastLine="0" shrinkToFit="0" readingOrder="0"/>
    </dxf>
    <dxf>
      <numFmt numFmtId="2" formatCode="0.00"/>
      <alignment horizontal="center" textRotation="0" wrapText="0" indent="0" justifyLastLine="0" shrinkToFit="0" readingOrder="0"/>
    </dxf>
    <dxf>
      <numFmt numFmtId="2" formatCode="0.00"/>
      <alignment horizont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</dxf>
    <dxf>
      <numFmt numFmtId="2" formatCode="0.0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  <numFmt numFmtId="1" formatCode="0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left style="thin">
          <color theme="0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alignment horizontal="center" vertical="center" textRotation="0" wrapText="0" indent="0" justifyLastLine="0" shrinkToFit="0" readingOrder="0"/>
    </dxf>
    <dxf>
      <numFmt numFmtId="2" formatCode="0.00"/>
      <alignment horizontal="center" textRotation="0" wrapText="0" indent="0" justifyLastLine="0" shrinkToFit="0" readingOrder="0"/>
    </dxf>
    <dxf>
      <numFmt numFmtId="165" formatCode="0.00000000000"/>
      <alignment horizontal="center" textRotation="0" wrapText="0" indent="0" justifyLastLine="0" shrinkToFit="0" readingOrder="0"/>
    </dxf>
    <dxf>
      <numFmt numFmtId="2" formatCode="0.00"/>
      <alignment horizontal="center" textRotation="0" wrapText="0" indent="0" justifyLastLine="0" shrinkToFit="0" readingOrder="0"/>
    </dxf>
    <dxf>
      <numFmt numFmtId="2" formatCode="0.00"/>
      <alignment horizontal="center" textRotation="0" wrapText="0" indent="0" justifyLastLine="0" shrinkToFit="0" readingOrder="0"/>
    </dxf>
    <dxf>
      <numFmt numFmtId="2" formatCode="0.00"/>
      <alignment horizontal="center" textRotation="0" wrapText="0" indent="0" justifyLastLine="0" shrinkToFit="0" readingOrder="0"/>
    </dxf>
    <dxf>
      <numFmt numFmtId="2" formatCode="0.00"/>
      <alignment horizontal="center" textRotation="0" wrapText="0" indent="0" justifyLastLine="0" shrinkToFit="0" readingOrder="0"/>
    </dxf>
    <dxf>
      <numFmt numFmtId="2" formatCode="0.00"/>
      <alignment horizontal="center" textRotation="0" wrapText="0" indent="0" justifyLastLine="0" shrinkToFit="0" readingOrder="0"/>
    </dxf>
    <dxf>
      <numFmt numFmtId="2" formatCode="0.00"/>
      <alignment horizontal="center" textRotation="0" wrapText="0" indent="0" justifyLastLine="0" shrinkToFit="0" readingOrder="0"/>
    </dxf>
    <dxf>
      <numFmt numFmtId="2" formatCode="0.00"/>
      <alignment horizontal="center" textRotation="0" wrapText="0" indent="0" justifyLastLine="0" shrinkToFit="0" readingOrder="0"/>
    </dxf>
    <dxf>
      <numFmt numFmtId="2" formatCode="0.00"/>
      <alignment horizont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</dxf>
    <dxf>
      <numFmt numFmtId="0" formatCode="General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  <numFmt numFmtId="1" formatCode="0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alignment horizontal="center" vertical="center" textRotation="0" wrapText="0" indent="0" justifyLastLine="0" shrinkToFit="0" readingOrder="0"/>
    </dxf>
    <dxf>
      <numFmt numFmtId="2" formatCode="0.00"/>
      <alignment horizontal="center" textRotation="0" wrapText="0" indent="0" justifyLastLine="0" shrinkToFit="0" readingOrder="0"/>
    </dxf>
    <dxf>
      <numFmt numFmtId="165" formatCode="0.00000000000"/>
      <alignment horizontal="center" textRotation="0" wrapText="0" indent="0" justifyLastLine="0" shrinkToFit="0" readingOrder="0"/>
    </dxf>
    <dxf>
      <numFmt numFmtId="2" formatCode="0.00"/>
      <alignment horizontal="center" textRotation="0" wrapText="0" indent="0" justifyLastLine="0" shrinkToFit="0" readingOrder="0"/>
    </dxf>
    <dxf>
      <numFmt numFmtId="2" formatCode="0.00"/>
      <alignment horizontal="center" textRotation="0" wrapText="0" indent="0" justifyLastLine="0" shrinkToFit="0" readingOrder="0"/>
    </dxf>
    <dxf>
      <numFmt numFmtId="2" formatCode="0.00"/>
      <alignment horizontal="center" textRotation="0" wrapText="0" indent="0" justifyLastLine="0" shrinkToFit="0" readingOrder="0"/>
    </dxf>
    <dxf>
      <numFmt numFmtId="2" formatCode="0.00"/>
      <alignment horizontal="center" textRotation="0" wrapText="0" indent="0" justifyLastLine="0" shrinkToFit="0" readingOrder="0"/>
    </dxf>
    <dxf>
      <numFmt numFmtId="2" formatCode="0.00"/>
      <alignment horizontal="center" textRotation="0" wrapText="0" indent="0" justifyLastLine="0" shrinkToFit="0" readingOrder="0"/>
    </dxf>
    <dxf>
      <numFmt numFmtId="2" formatCode="0.00"/>
      <alignment horizontal="center" textRotation="0" wrapText="0" indent="0" justifyLastLine="0" shrinkToFit="0" readingOrder="0"/>
    </dxf>
    <dxf>
      <numFmt numFmtId="2" formatCode="0.00"/>
      <alignment horizontal="center" textRotation="0" wrapText="0" indent="0" justifyLastLine="0" shrinkToFit="0" readingOrder="0"/>
    </dxf>
    <dxf>
      <numFmt numFmtId="2" formatCode="0.00"/>
      <alignment horizont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alignment horizontal="center" vertic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alignment horizontal="center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alignment horizontal="center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Noto Sans"/>
        <family val="2"/>
        <charset val="1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Noto Sans"/>
        <family val="2"/>
        <charset val="1"/>
        <scheme val="none"/>
      </font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Noto Sans"/>
        <family val="2"/>
        <charset val="1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Noto Sans"/>
        <family val="2"/>
        <charset val="1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numFmt numFmtId="1" formatCode="0"/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CENG-XXX CURVE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MAIN!$J$3:$J$32</c:f>
              <c:numCache>
                <c:formatCode>0.00</c:formatCode>
                <c:ptCount val="30"/>
                <c:pt idx="0">
                  <c:v>7.56</c:v>
                </c:pt>
                <c:pt idx="1">
                  <c:v>7.6</c:v>
                </c:pt>
                <c:pt idx="2">
                  <c:v>8.42</c:v>
                </c:pt>
                <c:pt idx="3">
                  <c:v>21.48</c:v>
                </c:pt>
                <c:pt idx="4">
                  <c:v>24.52</c:v>
                </c:pt>
                <c:pt idx="5">
                  <c:v>27.5</c:v>
                </c:pt>
                <c:pt idx="6">
                  <c:v>28.2</c:v>
                </c:pt>
                <c:pt idx="7">
                  <c:v>29.82</c:v>
                </c:pt>
                <c:pt idx="8">
                  <c:v>31.02</c:v>
                </c:pt>
                <c:pt idx="9">
                  <c:v>34.040000000000006</c:v>
                </c:pt>
                <c:pt idx="10">
                  <c:v>36.46</c:v>
                </c:pt>
                <c:pt idx="11">
                  <c:v>36.5</c:v>
                </c:pt>
                <c:pt idx="12">
                  <c:v>37.1</c:v>
                </c:pt>
                <c:pt idx="13">
                  <c:v>39.4</c:v>
                </c:pt>
                <c:pt idx="14">
                  <c:v>39.480000000000004</c:v>
                </c:pt>
                <c:pt idx="15">
                  <c:v>39.620000000000005</c:v>
                </c:pt>
                <c:pt idx="16">
                  <c:v>41.300000000000004</c:v>
                </c:pt>
                <c:pt idx="17">
                  <c:v>41.7</c:v>
                </c:pt>
                <c:pt idx="18">
                  <c:v>42.3</c:v>
                </c:pt>
                <c:pt idx="19">
                  <c:v>43.870000000000005</c:v>
                </c:pt>
                <c:pt idx="20">
                  <c:v>44.08</c:v>
                </c:pt>
                <c:pt idx="21">
                  <c:v>45.24</c:v>
                </c:pt>
                <c:pt idx="22">
                  <c:v>46.239999999999995</c:v>
                </c:pt>
                <c:pt idx="23">
                  <c:v>46.379999999999995</c:v>
                </c:pt>
                <c:pt idx="24">
                  <c:v>47.3</c:v>
                </c:pt>
                <c:pt idx="25">
                  <c:v>49.04</c:v>
                </c:pt>
                <c:pt idx="26">
                  <c:v>52.839999999999996</c:v>
                </c:pt>
                <c:pt idx="27">
                  <c:v>53.2</c:v>
                </c:pt>
                <c:pt idx="28">
                  <c:v>57.7</c:v>
                </c:pt>
                <c:pt idx="29">
                  <c:v>63</c:v>
                </c:pt>
              </c:numCache>
            </c:numRef>
          </c:xVal>
          <c:yVal>
            <c:numRef>
              <c:f>MAIN!$L$3:$L$32</c:f>
              <c:numCache>
                <c:formatCode>General</c:formatCode>
                <c:ptCount val="30"/>
                <c:pt idx="0">
                  <c:v>2.5835198658602518E-3</c:v>
                </c:pt>
                <c:pt idx="1">
                  <c:v>2.6004063125194665E-3</c:v>
                </c:pt>
                <c:pt idx="2">
                  <c:v>2.966255095607051E-3</c:v>
                </c:pt>
                <c:pt idx="3">
                  <c:v>1.4720569026309553E-2</c:v>
                </c:pt>
                <c:pt idx="4">
                  <c:v>1.8701540010571848E-2</c:v>
                </c:pt>
                <c:pt idx="5">
                  <c:v>2.2517649931579547E-2</c:v>
                </c:pt>
                <c:pt idx="6">
                  <c:v>2.3356865475674778E-2</c:v>
                </c:pt>
                <c:pt idx="7">
                  <c:v>2.5161640685374652E-2</c:v>
                </c:pt>
                <c:pt idx="8">
                  <c:v>2.6343500813529274E-2</c:v>
                </c:pt>
                <c:pt idx="9">
                  <c:v>2.855894170296823E-2</c:v>
                </c:pt>
                <c:pt idx="10">
                  <c:v>2.9393100692773337E-2</c:v>
                </c:pt>
                <c:pt idx="11">
                  <c:v>2.9399197861535199E-2</c:v>
                </c:pt>
                <c:pt idx="12">
                  <c:v>2.9459928382259248E-2</c:v>
                </c:pt>
                <c:pt idx="13">
                  <c:v>2.9158442590746642E-2</c:v>
                </c:pt>
                <c:pt idx="14">
                  <c:v>2.9132875007177667E-2</c:v>
                </c:pt>
                <c:pt idx="15">
                  <c:v>2.908574155866496E-2</c:v>
                </c:pt>
                <c:pt idx="16">
                  <c:v>2.8289088090760511E-2</c:v>
                </c:pt>
                <c:pt idx="17">
                  <c:v>2.8038931309781329E-2</c:v>
                </c:pt>
                <c:pt idx="18">
                  <c:v>2.7622585181342061E-2</c:v>
                </c:pt>
                <c:pt idx="19">
                  <c:v>2.631642468448479E-2</c:v>
                </c:pt>
                <c:pt idx="20">
                  <c:v>2.6119813534685173E-2</c:v>
                </c:pt>
                <c:pt idx="21">
                  <c:v>2.4951526469312774E-2</c:v>
                </c:pt>
                <c:pt idx="22">
                  <c:v>2.384547790320761E-2</c:v>
                </c:pt>
                <c:pt idx="23">
                  <c:v>2.3684279603739766E-2</c:v>
                </c:pt>
                <c:pt idx="24">
                  <c:v>2.2591563133072187E-2</c:v>
                </c:pt>
                <c:pt idx="25">
                  <c:v>2.0401607494210355E-2</c:v>
                </c:pt>
                <c:pt idx="26">
                  <c:v>1.5417492944803013E-2</c:v>
                </c:pt>
                <c:pt idx="27">
                  <c:v>1.4952525787742199E-2</c:v>
                </c:pt>
                <c:pt idx="28">
                  <c:v>9.6064371118935454E-3</c:v>
                </c:pt>
                <c:pt idx="29">
                  <c:v>4.9511906617681943E-3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C4-4229-8F91-24C2806CCD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0302671"/>
        <c:axId val="520303503"/>
      </c:scatterChart>
      <c:valAx>
        <c:axId val="520302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303503"/>
        <c:crosses val="autoZero"/>
        <c:crossBetween val="midCat"/>
      </c:valAx>
      <c:valAx>
        <c:axId val="520303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3026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 baseline="0"/>
              <a:t>CENG-XXX MIDTERM CURVE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MIDTERM!$M$5:$M$34</c:f>
              <c:numCache>
                <c:formatCode>General</c:formatCode>
                <c:ptCount val="30"/>
                <c:pt idx="0">
                  <c:v>71</c:v>
                </c:pt>
                <c:pt idx="1">
                  <c:v>67</c:v>
                </c:pt>
                <c:pt idx="2">
                  <c:v>62</c:v>
                </c:pt>
                <c:pt idx="3">
                  <c:v>57</c:v>
                </c:pt>
                <c:pt idx="4">
                  <c:v>55</c:v>
                </c:pt>
                <c:pt idx="5">
                  <c:v>53</c:v>
                </c:pt>
                <c:pt idx="6">
                  <c:v>50</c:v>
                </c:pt>
                <c:pt idx="7">
                  <c:v>50</c:v>
                </c:pt>
                <c:pt idx="8">
                  <c:v>48</c:v>
                </c:pt>
                <c:pt idx="9">
                  <c:v>48</c:v>
                </c:pt>
                <c:pt idx="10">
                  <c:v>47</c:v>
                </c:pt>
                <c:pt idx="11">
                  <c:v>44</c:v>
                </c:pt>
                <c:pt idx="12">
                  <c:v>43</c:v>
                </c:pt>
                <c:pt idx="13">
                  <c:v>42</c:v>
                </c:pt>
                <c:pt idx="14">
                  <c:v>42</c:v>
                </c:pt>
                <c:pt idx="15">
                  <c:v>40</c:v>
                </c:pt>
                <c:pt idx="16">
                  <c:v>40</c:v>
                </c:pt>
                <c:pt idx="17">
                  <c:v>37</c:v>
                </c:pt>
                <c:pt idx="18">
                  <c:v>36</c:v>
                </c:pt>
                <c:pt idx="19">
                  <c:v>36</c:v>
                </c:pt>
                <c:pt idx="20">
                  <c:v>35</c:v>
                </c:pt>
                <c:pt idx="21">
                  <c:v>28</c:v>
                </c:pt>
                <c:pt idx="22">
                  <c:v>25</c:v>
                </c:pt>
                <c:pt idx="23">
                  <c:v>24</c:v>
                </c:pt>
                <c:pt idx="24">
                  <c:v>22</c:v>
                </c:pt>
                <c:pt idx="25">
                  <c:v>21</c:v>
                </c:pt>
                <c:pt idx="26">
                  <c:v>17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xVal>
          <c:yVal>
            <c:numRef>
              <c:f>MIDTERM!$S$5:$S$34</c:f>
              <c:numCache>
                <c:formatCode>General</c:formatCode>
                <c:ptCount val="30"/>
                <c:pt idx="0">
                  <c:v>4.1940278803414199E-3</c:v>
                </c:pt>
                <c:pt idx="1">
                  <c:v>6.1180895764037227E-3</c:v>
                </c:pt>
                <c:pt idx="2">
                  <c:v>9.1588558478442415E-3</c:v>
                </c:pt>
                <c:pt idx="3">
                  <c:v>1.2705893806020505E-2</c:v>
                </c:pt>
                <c:pt idx="4">
                  <c:v>1.4177956179946404E-2</c:v>
                </c:pt>
                <c:pt idx="5">
                  <c:v>1.5629036846777963E-2</c:v>
                </c:pt>
                <c:pt idx="6">
                  <c:v>1.7680383242776862E-2</c:v>
                </c:pt>
                <c:pt idx="7">
                  <c:v>1.7680383242776862E-2</c:v>
                </c:pt>
                <c:pt idx="8">
                  <c:v>1.8905392662284057E-2</c:v>
                </c:pt>
                <c:pt idx="9">
                  <c:v>1.8905392662284057E-2</c:v>
                </c:pt>
                <c:pt idx="10">
                  <c:v>1.9460277639275211E-2</c:v>
                </c:pt>
                <c:pt idx="11">
                  <c:v>2.0840315400294896E-2</c:v>
                </c:pt>
                <c:pt idx="12">
                  <c:v>2.1192285407833772E-2</c:v>
                </c:pt>
                <c:pt idx="13">
                  <c:v>2.1484677809694316E-2</c:v>
                </c:pt>
                <c:pt idx="14">
                  <c:v>2.1484677809694316E-2</c:v>
                </c:pt>
                <c:pt idx="15">
                  <c:v>2.1880819321820844E-2</c:v>
                </c:pt>
                <c:pt idx="16">
                  <c:v>2.1880819321820844E-2</c:v>
                </c:pt>
                <c:pt idx="17">
                  <c:v>2.1980990760215053E-2</c:v>
                </c:pt>
                <c:pt idx="18">
                  <c:v>2.1880819321820844E-2</c:v>
                </c:pt>
                <c:pt idx="19">
                  <c:v>2.1880819321820844E-2</c:v>
                </c:pt>
                <c:pt idx="20">
                  <c:v>2.1714880340688841E-2</c:v>
                </c:pt>
                <c:pt idx="21">
                  <c:v>1.8905392662284057E-2</c:v>
                </c:pt>
                <c:pt idx="22">
                  <c:v>1.7020055707633003E-2</c:v>
                </c:pt>
                <c:pt idx="23">
                  <c:v>1.6334574426045821E-2</c:v>
                </c:pt>
                <c:pt idx="24">
                  <c:v>1.4908506887514609E-2</c:v>
                </c:pt>
                <c:pt idx="25">
                  <c:v>1.4177956179946404E-2</c:v>
                </c:pt>
                <c:pt idx="26">
                  <c:v>1.1248820574905113E-2</c:v>
                </c:pt>
                <c:pt idx="27">
                  <c:v>2.4428421796479677E-3</c:v>
                </c:pt>
                <c:pt idx="28">
                  <c:v>2.4428421796479677E-3</c:v>
                </c:pt>
                <c:pt idx="29">
                  <c:v>2.4428421796479677E-3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A6-43A2-95B0-255C8B6BDA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7640431"/>
        <c:axId val="367637103"/>
      </c:scatterChart>
      <c:valAx>
        <c:axId val="3676404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637103"/>
        <c:crosses val="autoZero"/>
        <c:crossBetween val="midCat"/>
      </c:valAx>
      <c:valAx>
        <c:axId val="367637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640431"/>
        <c:crosses val="autoZero"/>
        <c:crossBetween val="midCat"/>
      </c:valAx>
      <c:spPr>
        <a:noFill/>
        <a:ln>
          <a:noFill/>
        </a:ln>
        <a:effectLst>
          <a:glow rad="63500">
            <a:schemeClr val="accent1">
              <a:satMod val="175000"/>
              <a:alpha val="40000"/>
            </a:schemeClr>
          </a:glow>
        </a:effectLst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>
      <a:glow rad="127000">
        <a:schemeClr val="bg1"/>
      </a:glo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 baseline="0"/>
              <a:t>CENG-XXX FINAL CURVE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[1]MIDTERM!$M$5:$M$34</c:f>
              <c:numCache>
                <c:formatCode>General</c:formatCode>
                <c:ptCount val="30"/>
                <c:pt idx="0">
                  <c:v>71</c:v>
                </c:pt>
                <c:pt idx="1">
                  <c:v>67</c:v>
                </c:pt>
                <c:pt idx="2">
                  <c:v>62</c:v>
                </c:pt>
                <c:pt idx="3">
                  <c:v>57</c:v>
                </c:pt>
                <c:pt idx="4">
                  <c:v>55</c:v>
                </c:pt>
                <c:pt idx="5">
                  <c:v>53</c:v>
                </c:pt>
                <c:pt idx="6">
                  <c:v>50</c:v>
                </c:pt>
                <c:pt idx="7">
                  <c:v>50</c:v>
                </c:pt>
                <c:pt idx="8">
                  <c:v>48</c:v>
                </c:pt>
                <c:pt idx="9">
                  <c:v>48</c:v>
                </c:pt>
                <c:pt idx="10">
                  <c:v>47</c:v>
                </c:pt>
                <c:pt idx="11">
                  <c:v>44</c:v>
                </c:pt>
                <c:pt idx="12">
                  <c:v>43</c:v>
                </c:pt>
                <c:pt idx="13">
                  <c:v>42</c:v>
                </c:pt>
                <c:pt idx="14">
                  <c:v>42</c:v>
                </c:pt>
                <c:pt idx="15">
                  <c:v>40</c:v>
                </c:pt>
                <c:pt idx="16">
                  <c:v>40</c:v>
                </c:pt>
                <c:pt idx="17">
                  <c:v>37</c:v>
                </c:pt>
                <c:pt idx="18">
                  <c:v>36</c:v>
                </c:pt>
                <c:pt idx="19">
                  <c:v>36</c:v>
                </c:pt>
                <c:pt idx="20">
                  <c:v>35</c:v>
                </c:pt>
                <c:pt idx="21">
                  <c:v>28</c:v>
                </c:pt>
                <c:pt idx="22">
                  <c:v>25</c:v>
                </c:pt>
                <c:pt idx="23">
                  <c:v>24</c:v>
                </c:pt>
                <c:pt idx="24">
                  <c:v>22</c:v>
                </c:pt>
                <c:pt idx="25">
                  <c:v>21</c:v>
                </c:pt>
                <c:pt idx="26">
                  <c:v>17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xVal>
          <c:yVal>
            <c:numRef>
              <c:f>[1]MIDTERM!$S$5:$S$34</c:f>
              <c:numCache>
                <c:formatCode>General</c:formatCode>
                <c:ptCount val="30"/>
                <c:pt idx="0">
                  <c:v>4.1940278803414199E-3</c:v>
                </c:pt>
                <c:pt idx="1">
                  <c:v>6.1180895764037227E-3</c:v>
                </c:pt>
                <c:pt idx="2">
                  <c:v>9.1588558478442415E-3</c:v>
                </c:pt>
                <c:pt idx="3">
                  <c:v>1.2705893806020505E-2</c:v>
                </c:pt>
                <c:pt idx="4">
                  <c:v>1.4177956179946404E-2</c:v>
                </c:pt>
                <c:pt idx="5">
                  <c:v>1.5629036846777963E-2</c:v>
                </c:pt>
                <c:pt idx="6">
                  <c:v>1.7680383242776862E-2</c:v>
                </c:pt>
                <c:pt idx="7">
                  <c:v>1.7680383242776862E-2</c:v>
                </c:pt>
                <c:pt idx="8">
                  <c:v>1.8905392662284057E-2</c:v>
                </c:pt>
                <c:pt idx="9">
                  <c:v>1.8905392662284057E-2</c:v>
                </c:pt>
                <c:pt idx="10">
                  <c:v>1.9460277639275211E-2</c:v>
                </c:pt>
                <c:pt idx="11">
                  <c:v>2.0840315400294896E-2</c:v>
                </c:pt>
                <c:pt idx="12">
                  <c:v>2.1192285407833772E-2</c:v>
                </c:pt>
                <c:pt idx="13">
                  <c:v>2.1484677809694316E-2</c:v>
                </c:pt>
                <c:pt idx="14">
                  <c:v>2.1484677809694316E-2</c:v>
                </c:pt>
                <c:pt idx="15">
                  <c:v>2.1880819321820844E-2</c:v>
                </c:pt>
                <c:pt idx="16">
                  <c:v>2.1880819321820844E-2</c:v>
                </c:pt>
                <c:pt idx="17">
                  <c:v>2.1980990760215053E-2</c:v>
                </c:pt>
                <c:pt idx="18">
                  <c:v>2.1880819321820844E-2</c:v>
                </c:pt>
                <c:pt idx="19">
                  <c:v>2.1880819321820844E-2</c:v>
                </c:pt>
                <c:pt idx="20">
                  <c:v>2.1714880340688841E-2</c:v>
                </c:pt>
                <c:pt idx="21">
                  <c:v>1.8905392662284057E-2</c:v>
                </c:pt>
                <c:pt idx="22">
                  <c:v>1.7020055707633003E-2</c:v>
                </c:pt>
                <c:pt idx="23">
                  <c:v>1.6334574426045821E-2</c:v>
                </c:pt>
                <c:pt idx="24">
                  <c:v>1.4908506887514609E-2</c:v>
                </c:pt>
                <c:pt idx="25">
                  <c:v>1.4177956179946404E-2</c:v>
                </c:pt>
                <c:pt idx="26">
                  <c:v>1.1248820574905113E-2</c:v>
                </c:pt>
                <c:pt idx="27">
                  <c:v>2.4428421796479677E-3</c:v>
                </c:pt>
                <c:pt idx="28">
                  <c:v>2.4428421796479677E-3</c:v>
                </c:pt>
                <c:pt idx="29">
                  <c:v>2.4428421796479677E-3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1B-47B6-B6E1-4FA33EF027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7640431"/>
        <c:axId val="367637103"/>
      </c:scatterChart>
      <c:valAx>
        <c:axId val="3676404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637103"/>
        <c:crosses val="autoZero"/>
        <c:crossBetween val="midCat"/>
      </c:valAx>
      <c:valAx>
        <c:axId val="367637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640431"/>
        <c:crosses val="autoZero"/>
        <c:crossBetween val="midCat"/>
      </c:valAx>
      <c:spPr>
        <a:noFill/>
        <a:ln>
          <a:noFill/>
        </a:ln>
        <a:effectLst>
          <a:glow rad="63500">
            <a:schemeClr val="accent1">
              <a:satMod val="175000"/>
              <a:alpha val="40000"/>
            </a:schemeClr>
          </a:glow>
        </a:effectLst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>
      <a:glow rad="127000">
        <a:schemeClr val="bg1"/>
      </a:glo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 sz="1800" b="1" i="0" baseline="0">
                <a:effectLst/>
              </a:rPr>
              <a:t>CENG-XXX HOMEWORK CURVE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HOMEWORK!$K$5:$K$34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2.2000000000000002</c:v>
                </c:pt>
                <c:pt idx="4">
                  <c:v>2.8</c:v>
                </c:pt>
                <c:pt idx="5">
                  <c:v>3.4</c:v>
                </c:pt>
                <c:pt idx="6">
                  <c:v>4</c:v>
                </c:pt>
                <c:pt idx="7">
                  <c:v>4</c:v>
                </c:pt>
                <c:pt idx="8">
                  <c:v>4.2</c:v>
                </c:pt>
                <c:pt idx="9">
                  <c:v>4.2</c:v>
                </c:pt>
                <c:pt idx="10">
                  <c:v>4.4000000000000004</c:v>
                </c:pt>
                <c:pt idx="11">
                  <c:v>4.4000000000000004</c:v>
                </c:pt>
                <c:pt idx="12">
                  <c:v>4.8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5.2</c:v>
                </c:pt>
                <c:pt idx="19">
                  <c:v>5.4</c:v>
                </c:pt>
                <c:pt idx="20">
                  <c:v>5.4</c:v>
                </c:pt>
                <c:pt idx="21">
                  <c:v>5.6</c:v>
                </c:pt>
                <c:pt idx="22">
                  <c:v>5.6</c:v>
                </c:pt>
                <c:pt idx="23">
                  <c:v>5.8</c:v>
                </c:pt>
                <c:pt idx="24">
                  <c:v>5.8</c:v>
                </c:pt>
                <c:pt idx="25">
                  <c:v>6</c:v>
                </c:pt>
                <c:pt idx="26">
                  <c:v>6</c:v>
                </c:pt>
                <c:pt idx="27">
                  <c:v>6.2</c:v>
                </c:pt>
                <c:pt idx="28">
                  <c:v>6.7</c:v>
                </c:pt>
                <c:pt idx="29">
                  <c:v>10</c:v>
                </c:pt>
              </c:numCache>
            </c:numRef>
          </c:xVal>
          <c:yVal>
            <c:numRef>
              <c:f>HOMEWORK!$Q$5:$Q$34</c:f>
              <c:numCache>
                <c:formatCode>General</c:formatCode>
                <c:ptCount val="30"/>
                <c:pt idx="0">
                  <c:v>1.0618999877097624E-2</c:v>
                </c:pt>
                <c:pt idx="1">
                  <c:v>1.0618999877097624E-2</c:v>
                </c:pt>
                <c:pt idx="2">
                  <c:v>8.0064646434437295E-2</c:v>
                </c:pt>
                <c:pt idx="3">
                  <c:v>9.2180416175694557E-2</c:v>
                </c:pt>
                <c:pt idx="4">
                  <c:v>0.13160788610670937</c:v>
                </c:pt>
                <c:pt idx="5">
                  <c:v>0.17001983922354477</c:v>
                </c:pt>
                <c:pt idx="6">
                  <c:v>0.19874294797332615</c:v>
                </c:pt>
                <c:pt idx="7">
                  <c:v>0.19874294797332615</c:v>
                </c:pt>
                <c:pt idx="8">
                  <c:v>0.20475710386720036</c:v>
                </c:pt>
                <c:pt idx="9">
                  <c:v>0.20475710386720036</c:v>
                </c:pt>
                <c:pt idx="10">
                  <c:v>0.20862251012305136</c:v>
                </c:pt>
                <c:pt idx="11">
                  <c:v>0.20862251012305136</c:v>
                </c:pt>
                <c:pt idx="12">
                  <c:v>0.20947411102404476</c:v>
                </c:pt>
                <c:pt idx="13">
                  <c:v>0.20643216019283087</c:v>
                </c:pt>
                <c:pt idx="14">
                  <c:v>0.20643216019283087</c:v>
                </c:pt>
                <c:pt idx="15">
                  <c:v>0.20643216019283087</c:v>
                </c:pt>
                <c:pt idx="16">
                  <c:v>0.20643216019283087</c:v>
                </c:pt>
                <c:pt idx="17">
                  <c:v>0.20643216019283087</c:v>
                </c:pt>
                <c:pt idx="18">
                  <c:v>0.20118671342007613</c:v>
                </c:pt>
                <c:pt idx="19">
                  <c:v>0.19390819893198225</c:v>
                </c:pt>
                <c:pt idx="20">
                  <c:v>0.19390819893198225</c:v>
                </c:pt>
                <c:pt idx="21">
                  <c:v>0.18482809471308606</c:v>
                </c:pt>
                <c:pt idx="22">
                  <c:v>0.18482809471308606</c:v>
                </c:pt>
                <c:pt idx="23">
                  <c:v>0.17422671106222601</c:v>
                </c:pt>
                <c:pt idx="24">
                  <c:v>0.17422671106222601</c:v>
                </c:pt>
                <c:pt idx="25">
                  <c:v>0.16241884871807252</c:v>
                </c:pt>
                <c:pt idx="26">
                  <c:v>0.16241884871807252</c:v>
                </c:pt>
                <c:pt idx="27">
                  <c:v>0.14973835396183968</c:v>
                </c:pt>
                <c:pt idx="28">
                  <c:v>0.11640321468986572</c:v>
                </c:pt>
                <c:pt idx="29">
                  <c:v>3.8708569066472501E-3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A8-4823-99D0-B56BCBC627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927983"/>
        <c:axId val="205922159"/>
      </c:scatterChart>
      <c:valAx>
        <c:axId val="205927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922159"/>
        <c:crosses val="autoZero"/>
        <c:crossBetween val="midCat"/>
      </c:valAx>
      <c:valAx>
        <c:axId val="205922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9279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CENG-XXX LABWORK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LAB!$T$5:$T$34</c:f>
              <c:numCache>
                <c:formatCode>General</c:formatCode>
                <c:ptCount val="30"/>
                <c:pt idx="0">
                  <c:v>33</c:v>
                </c:pt>
                <c:pt idx="1">
                  <c:v>35</c:v>
                </c:pt>
                <c:pt idx="2">
                  <c:v>35</c:v>
                </c:pt>
                <c:pt idx="3">
                  <c:v>36</c:v>
                </c:pt>
                <c:pt idx="4">
                  <c:v>40</c:v>
                </c:pt>
                <c:pt idx="5">
                  <c:v>42</c:v>
                </c:pt>
                <c:pt idx="6">
                  <c:v>43</c:v>
                </c:pt>
                <c:pt idx="7">
                  <c:v>45</c:v>
                </c:pt>
                <c:pt idx="8">
                  <c:v>47</c:v>
                </c:pt>
                <c:pt idx="9">
                  <c:v>49</c:v>
                </c:pt>
                <c:pt idx="10">
                  <c:v>49</c:v>
                </c:pt>
                <c:pt idx="11">
                  <c:v>49</c:v>
                </c:pt>
                <c:pt idx="12">
                  <c:v>50</c:v>
                </c:pt>
                <c:pt idx="13">
                  <c:v>53</c:v>
                </c:pt>
                <c:pt idx="14">
                  <c:v>54</c:v>
                </c:pt>
                <c:pt idx="15">
                  <c:v>54</c:v>
                </c:pt>
                <c:pt idx="16">
                  <c:v>55</c:v>
                </c:pt>
                <c:pt idx="17">
                  <c:v>56</c:v>
                </c:pt>
                <c:pt idx="18">
                  <c:v>56</c:v>
                </c:pt>
                <c:pt idx="19">
                  <c:v>56</c:v>
                </c:pt>
                <c:pt idx="20">
                  <c:v>57</c:v>
                </c:pt>
                <c:pt idx="21">
                  <c:v>58</c:v>
                </c:pt>
                <c:pt idx="22">
                  <c:v>59</c:v>
                </c:pt>
                <c:pt idx="23">
                  <c:v>60</c:v>
                </c:pt>
                <c:pt idx="24">
                  <c:v>61</c:v>
                </c:pt>
                <c:pt idx="25">
                  <c:v>62</c:v>
                </c:pt>
                <c:pt idx="26">
                  <c:v>62</c:v>
                </c:pt>
                <c:pt idx="27">
                  <c:v>64</c:v>
                </c:pt>
                <c:pt idx="28">
                  <c:v>66</c:v>
                </c:pt>
                <c:pt idx="29">
                  <c:v>69</c:v>
                </c:pt>
              </c:numCache>
            </c:numRef>
          </c:xVal>
          <c:yVal>
            <c:numRef>
              <c:f>LAB!$Z$5:$Z$34</c:f>
              <c:numCache>
                <c:formatCode>General</c:formatCode>
                <c:ptCount val="30"/>
                <c:pt idx="0">
                  <c:v>4.2256317597747228E-3</c:v>
                </c:pt>
                <c:pt idx="1">
                  <c:v>4.2432936677509877E-3</c:v>
                </c:pt>
                <c:pt idx="2">
                  <c:v>4.2432936677509877E-3</c:v>
                </c:pt>
                <c:pt idx="3">
                  <c:v>4.251406456380895E-3</c:v>
                </c:pt>
                <c:pt idx="4">
                  <c:v>4.2790060550299217E-3</c:v>
                </c:pt>
                <c:pt idx="5">
                  <c:v>4.2898618775489101E-3</c:v>
                </c:pt>
                <c:pt idx="6">
                  <c:v>4.2945467150302128E-3</c:v>
                </c:pt>
                <c:pt idx="7">
                  <c:v>4.3024220538293171E-3</c:v>
                </c:pt>
                <c:pt idx="8">
                  <c:v>4.3082960479747072E-3</c:v>
                </c:pt>
                <c:pt idx="9">
                  <c:v>4.3121604671926758E-3</c:v>
                </c:pt>
                <c:pt idx="10">
                  <c:v>4.3121604671926758E-3</c:v>
                </c:pt>
                <c:pt idx="11">
                  <c:v>4.3121604671926758E-3</c:v>
                </c:pt>
                <c:pt idx="12">
                  <c:v>4.313337282650564E-3</c:v>
                </c:pt>
                <c:pt idx="13">
                  <c:v>4.3138417304417745E-3</c:v>
                </c:pt>
                <c:pt idx="14">
                  <c:v>4.3130010168949727E-3</c:v>
                </c:pt>
                <c:pt idx="15">
                  <c:v>4.3130010168949727E-3</c:v>
                </c:pt>
                <c:pt idx="16">
                  <c:v>4.311656216003378E-3</c:v>
                </c:pt>
                <c:pt idx="17">
                  <c:v>4.3098077994072441E-3</c:v>
                </c:pt>
                <c:pt idx="18">
                  <c:v>4.3098077994072441E-3</c:v>
                </c:pt>
                <c:pt idx="19">
                  <c:v>4.3098077994072441E-3</c:v>
                </c:pt>
                <c:pt idx="20">
                  <c:v>4.3074564152117325E-3</c:v>
                </c:pt>
                <c:pt idx="21">
                  <c:v>4.3046028876081843E-3</c:v>
                </c:pt>
                <c:pt idx="22">
                  <c:v>4.3012482163926596E-3</c:v>
                </c:pt>
                <c:pt idx="23">
                  <c:v>4.2973935763821261E-3</c:v>
                </c:pt>
                <c:pt idx="24">
                  <c:v>4.2930403167287757E-3</c:v>
                </c:pt>
                <c:pt idx="25">
                  <c:v>4.2881899601330403E-3</c:v>
                </c:pt>
                <c:pt idx="26">
                  <c:v>4.2881899601330403E-3</c:v>
                </c:pt>
                <c:pt idx="27">
                  <c:v>4.2770049092314341E-3</c:v>
                </c:pt>
                <c:pt idx="28">
                  <c:v>4.2638540400225184E-3</c:v>
                </c:pt>
                <c:pt idx="29">
                  <c:v>4.2404826455504779E-3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4D-4B21-8797-5BEE3B318F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2124448"/>
        <c:axId val="312125280"/>
      </c:scatterChart>
      <c:valAx>
        <c:axId val="312124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125280"/>
        <c:crosses val="autoZero"/>
        <c:crossBetween val="midCat"/>
      </c:valAx>
      <c:valAx>
        <c:axId val="31212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124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trlProps/ctrlProp1.xml><?xml version="1.0" encoding="utf-8"?>
<formControlPr xmlns="http://schemas.microsoft.com/office/spreadsheetml/2009/9/main" objectType="CheckBox" fmlaLink="$B$69" lockText="1" noThreeD="1"/>
</file>

<file path=xl/ctrlProps/ctrlProp2.xml><?xml version="1.0" encoding="utf-8"?>
<formControlPr xmlns="http://schemas.microsoft.com/office/spreadsheetml/2009/9/main" objectType="CheckBox" fmlaLink="$B$70" lockText="1" noThreeD="1"/>
</file>

<file path=xl/ctrlProps/ctrlProp3.xml><?xml version="1.0" encoding="utf-8"?>
<formControlPr xmlns="http://schemas.microsoft.com/office/spreadsheetml/2009/9/main" objectType="CheckBox" fmlaLink="$B$71" lockText="1" noThreeD="1"/>
</file>

<file path=xl/ctrlProps/ctrlProp4.xml><?xml version="1.0" encoding="utf-8"?>
<formControlPr xmlns="http://schemas.microsoft.com/office/spreadsheetml/2009/9/main" objectType="CheckBox" fmlaLink="$B$72" lockText="1" noThreeD="1"/>
</file>

<file path=xl/ctrlProps/ctrlProp5.xml><?xml version="1.0" encoding="utf-8"?>
<formControlPr xmlns="http://schemas.microsoft.com/office/spreadsheetml/2009/9/main" objectType="CheckBox" fmlaLink="$D$69" lockText="1" noThreeD="1"/>
</file>

<file path=xl/ctrlProps/ctrlProp6.xml><?xml version="1.0" encoding="utf-8"?>
<formControlPr xmlns="http://schemas.microsoft.com/office/spreadsheetml/2009/9/main" objectType="CheckBox" fmlaLink="$D$70" lockText="1" noThreeD="1"/>
</file>

<file path=xl/ctrlProps/ctrlProp7.xml><?xml version="1.0" encoding="utf-8"?>
<formControlPr xmlns="http://schemas.microsoft.com/office/spreadsheetml/2009/9/main" objectType="CheckBox" fmlaLink="$D$71" lockText="1" noThreeD="1"/>
</file>

<file path=xl/ctrlProps/ctrlProp8.xml><?xml version="1.0" encoding="utf-8"?>
<formControlPr xmlns="http://schemas.microsoft.com/office/spreadsheetml/2009/9/main" objectType="CheckBox" fmlaLink="$D$72" lockText="1" noThreeD="1"/>
</file>

<file path=xl/ctrlProps/ctrlProp9.xml><?xml version="1.0" encoding="utf-8"?>
<formControlPr xmlns="http://schemas.microsoft.com/office/spreadsheetml/2009/9/main" objectType="CheckBox" fmlaLink="$F$69" lockText="1" noThreeD="1"/>
</file>

<file path=xl/ctrlProps/ctrlProp10.xml><?xml version="1.0" encoding="utf-8"?>
<formControlPr xmlns="http://schemas.microsoft.com/office/spreadsheetml/2009/9/main" objectType="CheckBox" fmlaLink="$F$70" lockText="1" noThreeD="1"/>
</file>

<file path=xl/ctrlProps/ctrlProp11.xml><?xml version="1.0" encoding="utf-8"?>
<formControlPr xmlns="http://schemas.microsoft.com/office/spreadsheetml/2009/9/main" objectType="CheckBox" fmlaLink="$F$71" lockText="1" noThreeD="1"/>
</file>

<file path=xl/ctrlProps/ctrlProp12.xml><?xml version="1.0" encoding="utf-8"?>
<formControlPr xmlns="http://schemas.microsoft.com/office/spreadsheetml/2009/9/main" objectType="CheckBox" fmlaLink="$F$72" lockText="1" noThreeD="1"/>
</file>

<file path=xl/ctrlProps/ctrlProp13.xml><?xml version="1.0" encoding="utf-8"?>
<formControlPr xmlns="http://schemas.microsoft.com/office/spreadsheetml/2009/9/main" objectType="CheckBox" fmlaLink="$H$69" lockText="1" noThreeD="1"/>
</file>

<file path=xl/ctrlProps/ctrlProp14.xml><?xml version="1.0" encoding="utf-8"?>
<formControlPr xmlns="http://schemas.microsoft.com/office/spreadsheetml/2009/9/main" objectType="CheckBox" fmlaLink="$H$70" lockText="1" noThreeD="1"/>
</file>

<file path=xl/ctrlProps/ctrlProp15.xml><?xml version="1.0" encoding="utf-8"?>
<formControlPr xmlns="http://schemas.microsoft.com/office/spreadsheetml/2009/9/main" objectType="CheckBox" fmlaLink="$H$71" lockText="1" noThreeD="1"/>
</file>

<file path=xl/ctrlProps/ctrlProp16.xml><?xml version="1.0" encoding="utf-8"?>
<formControlPr xmlns="http://schemas.microsoft.com/office/spreadsheetml/2009/9/main" objectType="CheckBox" fmlaLink="$H$72" lockText="1" noThreeD="1"/>
</file>

<file path=xl/ctrlProps/ctrlProp17.xml><?xml version="1.0" encoding="utf-8"?>
<formControlPr xmlns="http://schemas.microsoft.com/office/spreadsheetml/2009/9/main" objectType="CheckBox" fmlaLink="$J$69" lockText="1" noThreeD="1"/>
</file>

<file path=xl/ctrlProps/ctrlProp18.xml><?xml version="1.0" encoding="utf-8"?>
<formControlPr xmlns="http://schemas.microsoft.com/office/spreadsheetml/2009/9/main" objectType="CheckBox" fmlaLink="$J$70" lockText="1" noThreeD="1"/>
</file>

<file path=xl/ctrlProps/ctrlProp19.xml><?xml version="1.0" encoding="utf-8"?>
<formControlPr xmlns="http://schemas.microsoft.com/office/spreadsheetml/2009/9/main" objectType="CheckBox" fmlaLink="$J$71" lockText="1" noThreeD="1"/>
</file>

<file path=xl/ctrlProps/ctrlProp20.xml><?xml version="1.0" encoding="utf-8"?>
<formControlPr xmlns="http://schemas.microsoft.com/office/spreadsheetml/2009/9/main" objectType="CheckBox" fmlaLink="$J$72" lockText="1" noThreeD="1"/>
</file>

<file path=xl/ctrlProps/ctrlProp21.xml><?xml version="1.0" encoding="utf-8"?>
<formControlPr xmlns="http://schemas.microsoft.com/office/spreadsheetml/2009/9/main" objectType="CheckBox" fmlaLink="$L$69" lockText="1" noThreeD="1"/>
</file>

<file path=xl/ctrlProps/ctrlProp22.xml><?xml version="1.0" encoding="utf-8"?>
<formControlPr xmlns="http://schemas.microsoft.com/office/spreadsheetml/2009/9/main" objectType="CheckBox" fmlaLink="$L$70" lockText="1" noThreeD="1"/>
</file>

<file path=xl/ctrlProps/ctrlProp23.xml><?xml version="1.0" encoding="utf-8"?>
<formControlPr xmlns="http://schemas.microsoft.com/office/spreadsheetml/2009/9/main" objectType="CheckBox" fmlaLink="$L$71" lockText="1" noThreeD="1"/>
</file>

<file path=xl/ctrlProps/ctrlProp24.xml><?xml version="1.0" encoding="utf-8"?>
<formControlPr xmlns="http://schemas.microsoft.com/office/spreadsheetml/2009/9/main" objectType="CheckBox" fmlaLink="$L$72" lockText="1" noThreeD="1"/>
</file>

<file path=xl/ctrlProps/ctrlProp25.xml><?xml version="1.0" encoding="utf-8"?>
<formControlPr xmlns="http://schemas.microsoft.com/office/spreadsheetml/2009/9/main" objectType="CheckBox" fmlaLink="$N$69" lockText="1" noThreeD="1"/>
</file>

<file path=xl/ctrlProps/ctrlProp26.xml><?xml version="1.0" encoding="utf-8"?>
<formControlPr xmlns="http://schemas.microsoft.com/office/spreadsheetml/2009/9/main" objectType="CheckBox" fmlaLink="$N$70" lockText="1" noThreeD="1"/>
</file>

<file path=xl/ctrlProps/ctrlProp27.xml><?xml version="1.0" encoding="utf-8"?>
<formControlPr xmlns="http://schemas.microsoft.com/office/spreadsheetml/2009/9/main" objectType="CheckBox" fmlaLink="$N$71" lockText="1" noThreeD="1"/>
</file>

<file path=xl/ctrlProps/ctrlProp28.xml><?xml version="1.0" encoding="utf-8"?>
<formControlPr xmlns="http://schemas.microsoft.com/office/spreadsheetml/2009/9/main" objectType="CheckBox" fmlaLink="$N$72" lockText="1" noThreeD="1"/>
</file>

<file path=xl/ctrlProps/ctrlProp29.xml><?xml version="1.0" encoding="utf-8"?>
<formControlPr xmlns="http://schemas.microsoft.com/office/spreadsheetml/2009/9/main" objectType="CheckBox" fmlaLink="$P$69" lockText="1" noThreeD="1"/>
</file>

<file path=xl/ctrlProps/ctrlProp30.xml><?xml version="1.0" encoding="utf-8"?>
<formControlPr xmlns="http://schemas.microsoft.com/office/spreadsheetml/2009/9/main" objectType="CheckBox" fmlaLink="$P$70" lockText="1" noThreeD="1"/>
</file>

<file path=xl/ctrlProps/ctrlProp31.xml><?xml version="1.0" encoding="utf-8"?>
<formControlPr xmlns="http://schemas.microsoft.com/office/spreadsheetml/2009/9/main" objectType="CheckBox" fmlaLink="$P$71" lockText="1" noThreeD="1"/>
</file>

<file path=xl/ctrlProps/ctrlProp32.xml><?xml version="1.0" encoding="utf-8"?>
<formControlPr xmlns="http://schemas.microsoft.com/office/spreadsheetml/2009/9/main" objectType="CheckBox" fmlaLink="$P$72" lockText="1" noThreeD="1"/>
</file>

<file path=xl/ctrlProps/ctrlProp33.xml><?xml version="1.0" encoding="utf-8"?>
<formControlPr xmlns="http://schemas.microsoft.com/office/spreadsheetml/2009/9/main" objectType="CheckBox" fmlaLink="$R$69" lockText="1" noThreeD="1"/>
</file>

<file path=xl/ctrlProps/ctrlProp34.xml><?xml version="1.0" encoding="utf-8"?>
<formControlPr xmlns="http://schemas.microsoft.com/office/spreadsheetml/2009/9/main" objectType="CheckBox" fmlaLink="$R$70" lockText="1" noThreeD="1"/>
</file>

<file path=xl/ctrlProps/ctrlProp35.xml><?xml version="1.0" encoding="utf-8"?>
<formControlPr xmlns="http://schemas.microsoft.com/office/spreadsheetml/2009/9/main" objectType="CheckBox" fmlaLink="$R$71" lockText="1" noThreeD="1"/>
</file>

<file path=xl/ctrlProps/ctrlProp36.xml><?xml version="1.0" encoding="utf-8"?>
<formControlPr xmlns="http://schemas.microsoft.com/office/spreadsheetml/2009/9/main" objectType="CheckBox" fmlaLink="$R$72" lockText="1" noThreeD="1"/>
</file>

<file path=xl/ctrlProps/ctrlProp37.xml><?xml version="1.0" encoding="utf-8"?>
<formControlPr xmlns="http://schemas.microsoft.com/office/spreadsheetml/2009/9/main" objectType="CheckBox" fmlaLink="$T$69" lockText="1" noThreeD="1"/>
</file>

<file path=xl/ctrlProps/ctrlProp38.xml><?xml version="1.0" encoding="utf-8"?>
<formControlPr xmlns="http://schemas.microsoft.com/office/spreadsheetml/2009/9/main" objectType="CheckBox" fmlaLink="$T$70" lockText="1" noThreeD="1"/>
</file>

<file path=xl/ctrlProps/ctrlProp39.xml><?xml version="1.0" encoding="utf-8"?>
<formControlPr xmlns="http://schemas.microsoft.com/office/spreadsheetml/2009/9/main" objectType="CheckBox" fmlaLink="$T$71" lockText="1" noThreeD="1"/>
</file>

<file path=xl/ctrlProps/ctrlProp40.xml><?xml version="1.0" encoding="utf-8"?>
<formControlPr xmlns="http://schemas.microsoft.com/office/spreadsheetml/2009/9/main" objectType="CheckBox" fmlaLink="$T$72" lockText="1" noThreeD="1"/>
</file>

<file path=xl/ctrlProps/ctrlProp41.xml><?xml version="1.0" encoding="utf-8"?>
<formControlPr xmlns="http://schemas.microsoft.com/office/spreadsheetml/2009/9/main" objectType="CheckBox" fmlaLink="$V$69" lockText="1" noThreeD="1"/>
</file>

<file path=xl/ctrlProps/ctrlProp42.xml><?xml version="1.0" encoding="utf-8"?>
<formControlPr xmlns="http://schemas.microsoft.com/office/spreadsheetml/2009/9/main" objectType="CheckBox" fmlaLink="$V$70" lockText="1" noThreeD="1"/>
</file>

<file path=xl/ctrlProps/ctrlProp43.xml><?xml version="1.0" encoding="utf-8"?>
<formControlPr xmlns="http://schemas.microsoft.com/office/spreadsheetml/2009/9/main" objectType="CheckBox" fmlaLink="$V$71" lockText="1" noThreeD="1"/>
</file>

<file path=xl/ctrlProps/ctrlProp44.xml><?xml version="1.0" encoding="utf-8"?>
<formControlPr xmlns="http://schemas.microsoft.com/office/spreadsheetml/2009/9/main" objectType="CheckBox" fmlaLink="$V$72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1.png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1.png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97717</xdr:colOff>
      <xdr:row>0</xdr:row>
      <xdr:rowOff>81131</xdr:rowOff>
    </xdr:from>
    <xdr:ext cx="892711" cy="897467"/>
    <xdr:pic>
      <xdr:nvPicPr>
        <xdr:cNvPr id="2" name="Resim 1" descr="Bilgisayar Mühendisliği - Çankaya Üniversitesi">
          <a:extLst>
            <a:ext uri="{FF2B5EF4-FFF2-40B4-BE49-F238E27FC236}">
              <a16:creationId xmlns:a16="http://schemas.microsoft.com/office/drawing/2014/main" id="{661DBB0E-D29B-4420-8E6C-7AD3A1AEE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717" y="81131"/>
          <a:ext cx="892711" cy="8974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24</xdr:col>
      <xdr:colOff>215858</xdr:colOff>
      <xdr:row>0</xdr:row>
      <xdr:rowOff>21771</xdr:rowOff>
    </xdr:from>
    <xdr:ext cx="891116" cy="876178"/>
    <xdr:pic>
      <xdr:nvPicPr>
        <xdr:cNvPr id="3" name="Resim 2" descr="Çankaya Üniversitesi - Vikipedi">
          <a:extLst>
            <a:ext uri="{FF2B5EF4-FFF2-40B4-BE49-F238E27FC236}">
              <a16:creationId xmlns:a16="http://schemas.microsoft.com/office/drawing/2014/main" id="{E0876EF9-907B-49BF-8846-8B6ED19D08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97618" y="21771"/>
          <a:ext cx="891116" cy="8761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17</xdr:col>
      <xdr:colOff>21773</xdr:colOff>
      <xdr:row>4</xdr:row>
      <xdr:rowOff>10886</xdr:rowOff>
    </xdr:from>
    <xdr:to>
      <xdr:col>25</xdr:col>
      <xdr:colOff>10886</xdr:colOff>
      <xdr:row>25</xdr:row>
      <xdr:rowOff>163286</xdr:rowOff>
    </xdr:to>
    <xdr:graphicFrame macro="">
      <xdr:nvGraphicFramePr>
        <xdr:cNvPr id="4" name="Grafik 3">
          <a:extLst>
            <a:ext uri="{FF2B5EF4-FFF2-40B4-BE49-F238E27FC236}">
              <a16:creationId xmlns:a16="http://schemas.microsoft.com/office/drawing/2014/main" id="{50B29E77-6FDC-4D31-B780-AD7231C61C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7620</xdr:colOff>
          <xdr:row>68</xdr:row>
          <xdr:rowOff>7620</xdr:rowOff>
        </xdr:from>
        <xdr:ext cx="1122218" cy="216823"/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4EA2FDAF-D689-4771-9D4E-2E43EE539A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7620</xdr:colOff>
          <xdr:row>69</xdr:row>
          <xdr:rowOff>7620</xdr:rowOff>
        </xdr:from>
        <xdr:ext cx="1122218" cy="216824"/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2AC1FDAB-CF9D-4A9D-8B17-975A15EB06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7620</xdr:colOff>
          <xdr:row>70</xdr:row>
          <xdr:rowOff>7620</xdr:rowOff>
        </xdr:from>
        <xdr:ext cx="1122218" cy="216823"/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D4D302CD-6980-4C95-87C0-7E83D309A2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7620</xdr:colOff>
          <xdr:row>71</xdr:row>
          <xdr:rowOff>7620</xdr:rowOff>
        </xdr:from>
        <xdr:ext cx="1122218" cy="216824"/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899E0179-D386-4C01-B952-20FEFFE584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7620</xdr:colOff>
          <xdr:row>68</xdr:row>
          <xdr:rowOff>7620</xdr:rowOff>
        </xdr:from>
        <xdr:ext cx="1253144" cy="216823"/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AF47DFD5-98F2-425C-A026-6F3B4D9E59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7620</xdr:colOff>
          <xdr:row>69</xdr:row>
          <xdr:rowOff>7620</xdr:rowOff>
        </xdr:from>
        <xdr:ext cx="1253144" cy="216824"/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B4D9BCC-CC86-406C-B9B2-3DAE4BFCEC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7620</xdr:colOff>
          <xdr:row>70</xdr:row>
          <xdr:rowOff>7620</xdr:rowOff>
        </xdr:from>
        <xdr:ext cx="1253144" cy="216823"/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9BED8ED0-688B-405D-9D0D-4BEA8C1758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7620</xdr:colOff>
          <xdr:row>71</xdr:row>
          <xdr:rowOff>7620</xdr:rowOff>
        </xdr:from>
        <xdr:ext cx="1253144" cy="216824"/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78614F2B-92B4-420C-8F82-A69AE5BFC4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7620</xdr:colOff>
          <xdr:row>68</xdr:row>
          <xdr:rowOff>7620</xdr:rowOff>
        </xdr:from>
        <xdr:ext cx="858982" cy="216823"/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2EFC6D22-E3A0-4882-8E6B-784B7D6BEF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7620</xdr:colOff>
          <xdr:row>69</xdr:row>
          <xdr:rowOff>7620</xdr:rowOff>
        </xdr:from>
        <xdr:ext cx="858982" cy="216824"/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8F7AA81-D4EB-4D9A-AC4F-CA3EA62BDA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7620</xdr:colOff>
          <xdr:row>70</xdr:row>
          <xdr:rowOff>7620</xdr:rowOff>
        </xdr:from>
        <xdr:ext cx="858982" cy="216823"/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B55A43A6-112B-404A-9212-850F6FFAFF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7620</xdr:colOff>
          <xdr:row>71</xdr:row>
          <xdr:rowOff>7620</xdr:rowOff>
        </xdr:from>
        <xdr:ext cx="858982" cy="216824"/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C078CDE5-0124-4D84-BD09-A07A0FFB8A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7620</xdr:colOff>
          <xdr:row>68</xdr:row>
          <xdr:rowOff>7620</xdr:rowOff>
        </xdr:from>
        <xdr:ext cx="1253144" cy="216823"/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BE8E965E-96FC-4323-91AE-26DC694ADB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7620</xdr:colOff>
          <xdr:row>69</xdr:row>
          <xdr:rowOff>7620</xdr:rowOff>
        </xdr:from>
        <xdr:ext cx="1253144" cy="216824"/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EA7EEFC5-56DA-4466-AFC0-7BAC8C4F96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7620</xdr:colOff>
          <xdr:row>70</xdr:row>
          <xdr:rowOff>7620</xdr:rowOff>
        </xdr:from>
        <xdr:ext cx="1253144" cy="216823"/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350F2BC4-B870-4773-B410-3F0EB677AC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7620</xdr:colOff>
          <xdr:row>71</xdr:row>
          <xdr:rowOff>7620</xdr:rowOff>
        </xdr:from>
        <xdr:ext cx="1253144" cy="216824"/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6B2170C-6830-4539-9604-C0F0EAEE1D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7620</xdr:colOff>
          <xdr:row>68</xdr:row>
          <xdr:rowOff>7620</xdr:rowOff>
        </xdr:from>
        <xdr:ext cx="1191491" cy="216823"/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AE9681A9-CB0C-400B-B4F5-55F5B99CBD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7620</xdr:colOff>
          <xdr:row>69</xdr:row>
          <xdr:rowOff>7620</xdr:rowOff>
        </xdr:from>
        <xdr:ext cx="1191491" cy="216824"/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C846AB69-DF51-4993-8648-B5E582D22E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7620</xdr:colOff>
          <xdr:row>70</xdr:row>
          <xdr:rowOff>7620</xdr:rowOff>
        </xdr:from>
        <xdr:ext cx="1191491" cy="216823"/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C5179AF7-4652-472B-9DBE-1BAD49C7BB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7620</xdr:colOff>
          <xdr:row>71</xdr:row>
          <xdr:rowOff>7620</xdr:rowOff>
        </xdr:from>
        <xdr:ext cx="1191491" cy="216824"/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BBF6A35F-A66A-4578-B2E2-CA64477C9B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7620</xdr:colOff>
          <xdr:row>68</xdr:row>
          <xdr:rowOff>7620</xdr:rowOff>
        </xdr:from>
        <xdr:ext cx="1163782" cy="216823"/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EC121DA7-9119-4139-A5E5-F024465A28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7620</xdr:colOff>
          <xdr:row>69</xdr:row>
          <xdr:rowOff>7620</xdr:rowOff>
        </xdr:from>
        <xdr:ext cx="1163782" cy="216824"/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5A7EEC3B-1ABE-4F59-96C3-0AE24DC29A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7620</xdr:colOff>
          <xdr:row>70</xdr:row>
          <xdr:rowOff>7620</xdr:rowOff>
        </xdr:from>
        <xdr:ext cx="1163782" cy="216823"/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3AF1C839-ADD0-40CD-8E40-82F000051E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7620</xdr:colOff>
          <xdr:row>71</xdr:row>
          <xdr:rowOff>7620</xdr:rowOff>
        </xdr:from>
        <xdr:ext cx="1163782" cy="216824"/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814249E1-0845-4E03-9ECE-0D76E8FD8C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7620</xdr:colOff>
          <xdr:row>68</xdr:row>
          <xdr:rowOff>7620</xdr:rowOff>
        </xdr:from>
        <xdr:ext cx="1253143" cy="216823"/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5AF9F459-598D-4EAA-8277-2890721F57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7620</xdr:colOff>
          <xdr:row>69</xdr:row>
          <xdr:rowOff>7620</xdr:rowOff>
        </xdr:from>
        <xdr:ext cx="1253143" cy="216824"/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4DAF7CF7-D68F-4C43-BFDB-3AAF1F1428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7620</xdr:colOff>
          <xdr:row>70</xdr:row>
          <xdr:rowOff>7620</xdr:rowOff>
        </xdr:from>
        <xdr:ext cx="1253143" cy="216823"/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FCDD29D-3586-470B-BCD3-F73D2E25AE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7620</xdr:colOff>
          <xdr:row>71</xdr:row>
          <xdr:rowOff>7620</xdr:rowOff>
        </xdr:from>
        <xdr:ext cx="1253143" cy="216824"/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950F1515-79BA-4434-AD36-0232A28375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15</xdr:col>
          <xdr:colOff>7620</xdr:colOff>
          <xdr:row>68</xdr:row>
          <xdr:rowOff>7620</xdr:rowOff>
        </xdr:from>
        <xdr:ext cx="1052945" cy="216823"/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13E5C948-A4E5-4D62-8DE8-A31DF9A95D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15</xdr:col>
          <xdr:colOff>7620</xdr:colOff>
          <xdr:row>69</xdr:row>
          <xdr:rowOff>7620</xdr:rowOff>
        </xdr:from>
        <xdr:ext cx="1052945" cy="216824"/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6A6DAD11-CDE2-4E91-B8FE-78EA01B433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15</xdr:col>
          <xdr:colOff>7620</xdr:colOff>
          <xdr:row>70</xdr:row>
          <xdr:rowOff>7620</xdr:rowOff>
        </xdr:from>
        <xdr:ext cx="1052945" cy="216823"/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FF7D538C-DB19-43BF-A0D6-A53D892838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15</xdr:col>
          <xdr:colOff>7620</xdr:colOff>
          <xdr:row>71</xdr:row>
          <xdr:rowOff>7620</xdr:rowOff>
        </xdr:from>
        <xdr:ext cx="1052945" cy="216824"/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2FC26293-22AE-4D3B-97A5-9CB4443327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17</xdr:col>
          <xdr:colOff>7620</xdr:colOff>
          <xdr:row>68</xdr:row>
          <xdr:rowOff>7620</xdr:rowOff>
        </xdr:from>
        <xdr:ext cx="1253144" cy="216823"/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E379D630-AC9A-4B9A-BDBF-456DD57093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17</xdr:col>
          <xdr:colOff>7620</xdr:colOff>
          <xdr:row>69</xdr:row>
          <xdr:rowOff>7620</xdr:rowOff>
        </xdr:from>
        <xdr:ext cx="1253144" cy="216824"/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83E3EDDD-2DFA-4DD7-A3EB-F7B5068015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17</xdr:col>
          <xdr:colOff>7620</xdr:colOff>
          <xdr:row>70</xdr:row>
          <xdr:rowOff>7620</xdr:rowOff>
        </xdr:from>
        <xdr:ext cx="1253144" cy="216823"/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B9639BFA-001C-4320-A277-7A6316D0F5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17</xdr:col>
          <xdr:colOff>7620</xdr:colOff>
          <xdr:row>71</xdr:row>
          <xdr:rowOff>7620</xdr:rowOff>
        </xdr:from>
        <xdr:ext cx="1253144" cy="216824"/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19A80406-8182-4CCB-A29F-390DB500F2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19</xdr:col>
          <xdr:colOff>7620</xdr:colOff>
          <xdr:row>68</xdr:row>
          <xdr:rowOff>7620</xdr:rowOff>
        </xdr:from>
        <xdr:ext cx="1025236" cy="216823"/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49954E48-9BAE-4BD9-9E1E-80B805BE07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19</xdr:col>
          <xdr:colOff>7620</xdr:colOff>
          <xdr:row>69</xdr:row>
          <xdr:rowOff>7620</xdr:rowOff>
        </xdr:from>
        <xdr:ext cx="1025236" cy="216824"/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C5348AC1-2E39-4B13-92D6-DDA420C3D0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19</xdr:col>
          <xdr:colOff>7620</xdr:colOff>
          <xdr:row>70</xdr:row>
          <xdr:rowOff>7620</xdr:rowOff>
        </xdr:from>
        <xdr:ext cx="1025236" cy="216823"/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F2FAABF9-8D2A-4FE7-A384-B54815344B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19</xdr:col>
          <xdr:colOff>7620</xdr:colOff>
          <xdr:row>71</xdr:row>
          <xdr:rowOff>7620</xdr:rowOff>
        </xdr:from>
        <xdr:ext cx="1025236" cy="216824"/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5DA6248D-E89D-4F97-A0C1-6E504B2923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21</xdr:col>
          <xdr:colOff>7620</xdr:colOff>
          <xdr:row>68</xdr:row>
          <xdr:rowOff>7620</xdr:rowOff>
        </xdr:from>
        <xdr:ext cx="581891" cy="216823"/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4F4226F2-9FDF-4817-9BFB-B29A622474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21</xdr:col>
          <xdr:colOff>7620</xdr:colOff>
          <xdr:row>69</xdr:row>
          <xdr:rowOff>7620</xdr:rowOff>
        </xdr:from>
        <xdr:ext cx="581891" cy="216824"/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A17AF0BD-ACC4-4EA3-A64A-B6162B3BBA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21</xdr:col>
          <xdr:colOff>7620</xdr:colOff>
          <xdr:row>70</xdr:row>
          <xdr:rowOff>7620</xdr:rowOff>
        </xdr:from>
        <xdr:ext cx="581891" cy="216823"/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1545BDB4-054D-4F79-A875-5F39B95C4B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21</xdr:col>
          <xdr:colOff>7620</xdr:colOff>
          <xdr:row>71</xdr:row>
          <xdr:rowOff>7620</xdr:rowOff>
        </xdr:from>
        <xdr:ext cx="581891" cy="216824"/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C6C8C08C-13F8-4603-9D18-F208DAADB7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48</xdr:row>
      <xdr:rowOff>178654</xdr:rowOff>
    </xdr:from>
    <xdr:to>
      <xdr:col>12</xdr:col>
      <xdr:colOff>1</xdr:colOff>
      <xdr:row>66</xdr:row>
      <xdr:rowOff>65314</xdr:rowOff>
    </xdr:to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DD082901-E34E-4DBA-868F-36699013B9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892711</xdr:colOff>
      <xdr:row>3</xdr:row>
      <xdr:rowOff>101821</xdr:rowOff>
    </xdr:to>
    <xdr:pic>
      <xdr:nvPicPr>
        <xdr:cNvPr id="3" name="Resim 2" descr="Bilgisayar Mühendisliği - Çankaya Üniversitesi">
          <a:extLst>
            <a:ext uri="{FF2B5EF4-FFF2-40B4-BE49-F238E27FC236}">
              <a16:creationId xmlns:a16="http://schemas.microsoft.com/office/drawing/2014/main" id="{81D4DD2C-6599-496D-A0CF-4DAB1D9416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2711" cy="8943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5442</xdr:colOff>
      <xdr:row>0</xdr:row>
      <xdr:rowOff>10885</xdr:rowOff>
    </xdr:from>
    <xdr:to>
      <xdr:col>24</xdr:col>
      <xdr:colOff>211042</xdr:colOff>
      <xdr:row>3</xdr:row>
      <xdr:rowOff>88032</xdr:rowOff>
    </xdr:to>
    <xdr:pic>
      <xdr:nvPicPr>
        <xdr:cNvPr id="4" name="Resim 3">
          <a:extLst>
            <a:ext uri="{FF2B5EF4-FFF2-40B4-BE49-F238E27FC236}">
              <a16:creationId xmlns:a16="http://schemas.microsoft.com/office/drawing/2014/main" id="{DF979313-C49A-4D7A-8F36-1CE4855552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003882" y="10885"/>
          <a:ext cx="899020" cy="86962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875978</xdr:colOff>
      <xdr:row>50</xdr:row>
      <xdr:rowOff>178654</xdr:rowOff>
    </xdr:from>
    <xdr:to>
      <xdr:col>11</xdr:col>
      <xdr:colOff>1164771</xdr:colOff>
      <xdr:row>68</xdr:row>
      <xdr:rowOff>163286</xdr:rowOff>
    </xdr:to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2825EAFE-D063-4B69-902A-F401D099C4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892629</xdr:colOff>
      <xdr:row>3</xdr:row>
      <xdr:rowOff>105343</xdr:rowOff>
    </xdr:to>
    <xdr:pic>
      <xdr:nvPicPr>
        <xdr:cNvPr id="3" name="Resim 2" descr="Bilgisayar Mühendisliği - Çankaya Üniversitesi">
          <a:extLst>
            <a:ext uri="{FF2B5EF4-FFF2-40B4-BE49-F238E27FC236}">
              <a16:creationId xmlns:a16="http://schemas.microsoft.com/office/drawing/2014/main" id="{A05A405A-A7B8-4CFB-A6E8-FCAC68AA8F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2629" cy="8978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185057</xdr:colOff>
      <xdr:row>0</xdr:row>
      <xdr:rowOff>0</xdr:rowOff>
    </xdr:from>
    <xdr:to>
      <xdr:col>22</xdr:col>
      <xdr:colOff>79176</xdr:colOff>
      <xdr:row>3</xdr:row>
      <xdr:rowOff>105343</xdr:rowOff>
    </xdr:to>
    <xdr:pic>
      <xdr:nvPicPr>
        <xdr:cNvPr id="4" name="Resim 3">
          <a:extLst>
            <a:ext uri="{FF2B5EF4-FFF2-40B4-BE49-F238E27FC236}">
              <a16:creationId xmlns:a16="http://schemas.microsoft.com/office/drawing/2014/main" id="{A47997FF-3BDB-4FE7-BC0E-B45AA4E094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991217" y="0"/>
          <a:ext cx="899959" cy="89782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283111</xdr:colOff>
      <xdr:row>3</xdr:row>
      <xdr:rowOff>101821</xdr:rowOff>
    </xdr:to>
    <xdr:pic>
      <xdr:nvPicPr>
        <xdr:cNvPr id="2" name="Resim 1" descr="Bilgisayar Mühendisliği - Çankaya Üniversitesi">
          <a:extLst>
            <a:ext uri="{FF2B5EF4-FFF2-40B4-BE49-F238E27FC236}">
              <a16:creationId xmlns:a16="http://schemas.microsoft.com/office/drawing/2014/main" id="{C6F60DEE-0DD3-4E25-96A9-B84D1E1188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2711" cy="8943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538842</xdr:colOff>
      <xdr:row>0</xdr:row>
      <xdr:rowOff>10885</xdr:rowOff>
    </xdr:from>
    <xdr:to>
      <xdr:col>30</xdr:col>
      <xdr:colOff>221928</xdr:colOff>
      <xdr:row>3</xdr:row>
      <xdr:rowOff>88032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321E9BCC-6F2E-434F-BA80-55FBDD3885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620322" y="10885"/>
          <a:ext cx="902286" cy="869627"/>
        </a:xfrm>
        <a:prstGeom prst="rect">
          <a:avLst/>
        </a:prstGeom>
      </xdr:spPr>
    </xdr:pic>
    <xdr:clientData/>
  </xdr:twoCellAnchor>
  <xdr:twoCellAnchor>
    <xdr:from>
      <xdr:col>17</xdr:col>
      <xdr:colOff>609600</xdr:colOff>
      <xdr:row>4</xdr:row>
      <xdr:rowOff>179613</xdr:rowOff>
    </xdr:from>
    <xdr:to>
      <xdr:col>26</xdr:col>
      <xdr:colOff>10886</xdr:colOff>
      <xdr:row>33</xdr:row>
      <xdr:rowOff>163285</xdr:rowOff>
    </xdr:to>
    <xdr:graphicFrame macro="">
      <xdr:nvGraphicFramePr>
        <xdr:cNvPr id="4" name="Grafik 3">
          <a:extLst>
            <a:ext uri="{FF2B5EF4-FFF2-40B4-BE49-F238E27FC236}">
              <a16:creationId xmlns:a16="http://schemas.microsoft.com/office/drawing/2014/main" id="{039BA0DA-5A85-4BDC-AD31-5280D7D24E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</xdr:rowOff>
    </xdr:from>
    <xdr:ext cx="892711" cy="855022"/>
    <xdr:pic>
      <xdr:nvPicPr>
        <xdr:cNvPr id="2" name="Resim 1" descr="Bilgisayar Mühendisliği - Çankaya Üniversitesi">
          <a:extLst>
            <a:ext uri="{FF2B5EF4-FFF2-40B4-BE49-F238E27FC236}">
              <a16:creationId xmlns:a16="http://schemas.microsoft.com/office/drawing/2014/main" id="{5F61DF70-17A3-4596-AF40-A54A8F68A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"/>
          <a:ext cx="892711" cy="8550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31</xdr:col>
      <xdr:colOff>408214</xdr:colOff>
      <xdr:row>0</xdr:row>
      <xdr:rowOff>0</xdr:rowOff>
    </xdr:from>
    <xdr:ext cx="902286" cy="865909"/>
    <xdr:pic>
      <xdr:nvPicPr>
        <xdr:cNvPr id="3" name="Resim 2">
          <a:extLst>
            <a:ext uri="{FF2B5EF4-FFF2-40B4-BE49-F238E27FC236}">
              <a16:creationId xmlns:a16="http://schemas.microsoft.com/office/drawing/2014/main" id="{D3D0442D-3CD3-4840-A741-3CEA61D819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305814" y="0"/>
          <a:ext cx="902286" cy="865909"/>
        </a:xfrm>
        <a:prstGeom prst="rect">
          <a:avLst/>
        </a:prstGeom>
      </xdr:spPr>
    </xdr:pic>
    <xdr:clientData/>
  </xdr:oneCellAnchor>
  <xdr:twoCellAnchor>
    <xdr:from>
      <xdr:col>19</xdr:col>
      <xdr:colOff>632360</xdr:colOff>
      <xdr:row>37</xdr:row>
      <xdr:rowOff>41068</xdr:rowOff>
    </xdr:from>
    <xdr:to>
      <xdr:col>32</xdr:col>
      <xdr:colOff>174171</xdr:colOff>
      <xdr:row>64</xdr:row>
      <xdr:rowOff>77188</xdr:rowOff>
    </xdr:to>
    <xdr:graphicFrame macro="">
      <xdr:nvGraphicFramePr>
        <xdr:cNvPr id="4" name="Grafik 3">
          <a:extLst>
            <a:ext uri="{FF2B5EF4-FFF2-40B4-BE49-F238E27FC236}">
              <a16:creationId xmlns:a16="http://schemas.microsoft.com/office/drawing/2014/main" id="{C0671B18-44AE-4EB6-8D41-8C8A93F26A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peren/Downloads/DersCiktilari-TaslakExcel_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yfa1"/>
      <sheetName val="Tablo6"/>
      <sheetName val="MIDTERM"/>
      <sheetName val="FINAL"/>
      <sheetName val="HOMEWORK"/>
    </sheetNames>
    <sheetDataSet>
      <sheetData sheetId="0"/>
      <sheetData sheetId="1"/>
      <sheetData sheetId="2">
        <row r="5">
          <cell r="M5">
            <v>71</v>
          </cell>
          <cell r="N5">
            <v>13.666666666666666</v>
          </cell>
          <cell r="O5">
            <v>6.5</v>
          </cell>
          <cell r="P5">
            <v>3.6666666666666665</v>
          </cell>
          <cell r="Q5">
            <v>36.166666666666664</v>
          </cell>
          <cell r="S5">
            <v>4.1940278803414199E-3</v>
          </cell>
        </row>
        <row r="6">
          <cell r="M6">
            <v>67</v>
          </cell>
          <cell r="N6">
            <v>17.75</v>
          </cell>
          <cell r="O6">
            <v>8</v>
          </cell>
          <cell r="P6">
            <v>2</v>
          </cell>
          <cell r="Q6">
            <v>30.666666666666668</v>
          </cell>
          <cell r="S6">
            <v>6.1180895764037227E-3</v>
          </cell>
        </row>
        <row r="7">
          <cell r="M7">
            <v>62</v>
          </cell>
          <cell r="N7">
            <v>14.666666666666666</v>
          </cell>
          <cell r="O7">
            <v>2.333333333333333</v>
          </cell>
          <cell r="P7">
            <v>3.6666666666666665</v>
          </cell>
          <cell r="Q7">
            <v>31.166666666666668</v>
          </cell>
          <cell r="S7">
            <v>9.1588558478442415E-3</v>
          </cell>
        </row>
        <row r="8">
          <cell r="M8">
            <v>57</v>
          </cell>
          <cell r="N8">
            <v>14.333333333333334</v>
          </cell>
          <cell r="O8">
            <v>2.6666666666666665</v>
          </cell>
          <cell r="P8">
            <v>4.3333333333333339</v>
          </cell>
          <cell r="Q8">
            <v>31</v>
          </cell>
          <cell r="S8">
            <v>1.2705893806020505E-2</v>
          </cell>
        </row>
        <row r="9">
          <cell r="M9">
            <v>55</v>
          </cell>
          <cell r="N9">
            <v>11.5</v>
          </cell>
          <cell r="O9">
            <v>5.5</v>
          </cell>
          <cell r="P9">
            <v>2</v>
          </cell>
          <cell r="Q9">
            <v>22.166666666666664</v>
          </cell>
          <cell r="S9">
            <v>1.4177956179946404E-2</v>
          </cell>
        </row>
        <row r="10">
          <cell r="M10">
            <v>53</v>
          </cell>
          <cell r="N10">
            <v>9.1666666666666661</v>
          </cell>
          <cell r="O10">
            <v>5.5</v>
          </cell>
          <cell r="P10">
            <v>2.6666666666666665</v>
          </cell>
          <cell r="Q10">
            <v>23</v>
          </cell>
          <cell r="S10">
            <v>1.5629036846777963E-2</v>
          </cell>
        </row>
        <row r="11">
          <cell r="M11">
            <v>50</v>
          </cell>
          <cell r="N11">
            <v>13.833333333333332</v>
          </cell>
          <cell r="O11">
            <v>2</v>
          </cell>
          <cell r="P11">
            <v>3.333333333333333</v>
          </cell>
          <cell r="Q11">
            <v>12.833333333333332</v>
          </cell>
          <cell r="S11">
            <v>1.7680383242776862E-2</v>
          </cell>
        </row>
        <row r="12">
          <cell r="M12">
            <v>50</v>
          </cell>
          <cell r="N12">
            <v>11.666666666666666</v>
          </cell>
          <cell r="O12">
            <v>3</v>
          </cell>
          <cell r="P12">
            <v>2.6666666666666665</v>
          </cell>
          <cell r="Q12">
            <v>24.833333333333332</v>
          </cell>
          <cell r="S12">
            <v>1.7680383242776862E-2</v>
          </cell>
        </row>
        <row r="13">
          <cell r="M13">
            <v>48</v>
          </cell>
          <cell r="N13">
            <v>8.5</v>
          </cell>
          <cell r="O13">
            <v>3.833333333333333</v>
          </cell>
          <cell r="P13">
            <v>2</v>
          </cell>
          <cell r="Q13">
            <v>25</v>
          </cell>
          <cell r="S13">
            <v>1.8905392662284057E-2</v>
          </cell>
        </row>
        <row r="14">
          <cell r="M14">
            <v>48</v>
          </cell>
          <cell r="N14">
            <v>11.666666666666666</v>
          </cell>
          <cell r="O14">
            <v>4.333333333333333</v>
          </cell>
          <cell r="P14">
            <v>3.6666666666666665</v>
          </cell>
          <cell r="Q14">
            <v>25</v>
          </cell>
          <cell r="S14">
            <v>1.8905392662284057E-2</v>
          </cell>
        </row>
        <row r="15">
          <cell r="M15">
            <v>47</v>
          </cell>
          <cell r="N15">
            <v>7.5</v>
          </cell>
          <cell r="O15">
            <v>4.833333333333333</v>
          </cell>
          <cell r="P15">
            <v>3</v>
          </cell>
          <cell r="Q15">
            <v>25.333333333333332</v>
          </cell>
          <cell r="S15">
            <v>1.9460277639275211E-2</v>
          </cell>
        </row>
        <row r="16">
          <cell r="M16">
            <v>44</v>
          </cell>
          <cell r="N16">
            <v>12</v>
          </cell>
          <cell r="O16">
            <v>2.6666666666666665</v>
          </cell>
          <cell r="P16">
            <v>2</v>
          </cell>
          <cell r="Q16">
            <v>15</v>
          </cell>
          <cell r="S16">
            <v>2.0840315400294896E-2</v>
          </cell>
        </row>
        <row r="17">
          <cell r="M17">
            <v>43</v>
          </cell>
          <cell r="N17">
            <v>9.6666666666666661</v>
          </cell>
          <cell r="O17">
            <v>3.6666666666666665</v>
          </cell>
          <cell r="P17">
            <v>1.6666666666666665</v>
          </cell>
          <cell r="Q17">
            <v>18.833333333333332</v>
          </cell>
          <cell r="S17">
            <v>2.1192285407833772E-2</v>
          </cell>
        </row>
        <row r="18">
          <cell r="M18">
            <v>42</v>
          </cell>
          <cell r="N18">
            <v>14.5</v>
          </cell>
          <cell r="O18">
            <v>2.1666666666666665</v>
          </cell>
          <cell r="P18">
            <v>2</v>
          </cell>
          <cell r="Q18">
            <v>15.666666666666668</v>
          </cell>
          <cell r="S18">
            <v>2.1484677809694316E-2</v>
          </cell>
        </row>
        <row r="19">
          <cell r="M19">
            <v>42</v>
          </cell>
          <cell r="N19">
            <v>5.5</v>
          </cell>
          <cell r="O19">
            <v>3.333333333333333</v>
          </cell>
          <cell r="P19">
            <v>2</v>
          </cell>
          <cell r="Q19">
            <v>18.166666666666664</v>
          </cell>
          <cell r="S19">
            <v>2.1484677809694316E-2</v>
          </cell>
        </row>
        <row r="20">
          <cell r="M20">
            <v>40</v>
          </cell>
          <cell r="N20">
            <v>12.666666666666666</v>
          </cell>
          <cell r="O20">
            <v>2.1666666666666665</v>
          </cell>
          <cell r="P20">
            <v>2.6666666666666665</v>
          </cell>
          <cell r="Q20">
            <v>10.666666666666666</v>
          </cell>
          <cell r="S20">
            <v>2.1880819321820844E-2</v>
          </cell>
        </row>
        <row r="21">
          <cell r="M21">
            <v>40</v>
          </cell>
          <cell r="N21">
            <v>8.5</v>
          </cell>
          <cell r="O21">
            <v>3.833333333333333</v>
          </cell>
          <cell r="P21">
            <v>1</v>
          </cell>
          <cell r="Q21">
            <v>15.499999999999998</v>
          </cell>
          <cell r="S21">
            <v>2.1880819321820844E-2</v>
          </cell>
        </row>
        <row r="22">
          <cell r="M22">
            <v>37</v>
          </cell>
          <cell r="N22">
            <v>9.1666666666666661</v>
          </cell>
          <cell r="O22">
            <v>1.5</v>
          </cell>
          <cell r="P22">
            <v>1.6666666666666665</v>
          </cell>
          <cell r="Q22">
            <v>22.166666666666664</v>
          </cell>
          <cell r="S22">
            <v>2.1980990760215053E-2</v>
          </cell>
        </row>
        <row r="23">
          <cell r="M23">
            <v>36</v>
          </cell>
          <cell r="N23">
            <v>11</v>
          </cell>
          <cell r="O23">
            <v>0</v>
          </cell>
          <cell r="P23">
            <v>2</v>
          </cell>
          <cell r="Q23">
            <v>13.166666666666666</v>
          </cell>
          <cell r="S23">
            <v>2.1880819321820844E-2</v>
          </cell>
        </row>
        <row r="24">
          <cell r="M24">
            <v>36</v>
          </cell>
          <cell r="N24">
            <v>12.5</v>
          </cell>
          <cell r="O24">
            <v>3.5</v>
          </cell>
          <cell r="P24">
            <v>2</v>
          </cell>
          <cell r="Q24">
            <v>10.333333333333334</v>
          </cell>
          <cell r="S24">
            <v>2.1880819321820844E-2</v>
          </cell>
        </row>
        <row r="25">
          <cell r="M25">
            <v>35</v>
          </cell>
          <cell r="N25">
            <v>14.666666666666666</v>
          </cell>
          <cell r="O25">
            <v>5.6666666666666661</v>
          </cell>
          <cell r="P25">
            <v>0.66666666666666663</v>
          </cell>
          <cell r="Q25">
            <v>12.666666666666668</v>
          </cell>
          <cell r="S25">
            <v>2.1714880340688841E-2</v>
          </cell>
        </row>
        <row r="26">
          <cell r="M26">
            <v>28</v>
          </cell>
          <cell r="N26">
            <v>8.1666666666666661</v>
          </cell>
          <cell r="O26">
            <v>1</v>
          </cell>
          <cell r="P26">
            <v>2.6666666666666665</v>
          </cell>
          <cell r="Q26">
            <v>7.6666666666666661</v>
          </cell>
          <cell r="S26">
            <v>1.8905392662284057E-2</v>
          </cell>
        </row>
        <row r="27">
          <cell r="M27">
            <v>25</v>
          </cell>
          <cell r="N27">
            <v>7.6666666666666661</v>
          </cell>
          <cell r="O27">
            <v>1</v>
          </cell>
          <cell r="P27">
            <v>1.6666666666666665</v>
          </cell>
          <cell r="Q27">
            <v>7.8333333333333321</v>
          </cell>
          <cell r="S27">
            <v>1.7020055707633003E-2</v>
          </cell>
        </row>
        <row r="28">
          <cell r="M28">
            <v>24</v>
          </cell>
          <cell r="N28">
            <v>3.6666666666666665</v>
          </cell>
          <cell r="O28">
            <v>1.6666666666666665</v>
          </cell>
          <cell r="P28">
            <v>0.66666666666666663</v>
          </cell>
          <cell r="Q28">
            <v>12</v>
          </cell>
          <cell r="S28">
            <v>1.6334574426045821E-2</v>
          </cell>
        </row>
        <row r="29">
          <cell r="M29">
            <v>22</v>
          </cell>
          <cell r="N29">
            <v>7.5</v>
          </cell>
          <cell r="O29">
            <v>0.5</v>
          </cell>
          <cell r="P29">
            <v>2</v>
          </cell>
          <cell r="Q29">
            <v>7.1666666666666661</v>
          </cell>
          <cell r="S29">
            <v>1.4908506887514609E-2</v>
          </cell>
        </row>
        <row r="30">
          <cell r="M30">
            <v>21</v>
          </cell>
          <cell r="N30">
            <v>4.5</v>
          </cell>
          <cell r="O30">
            <v>1.6666666666666665</v>
          </cell>
          <cell r="P30">
            <v>2</v>
          </cell>
          <cell r="Q30">
            <v>10.333333333333332</v>
          </cell>
          <cell r="S30">
            <v>1.4177956179946404E-2</v>
          </cell>
        </row>
        <row r="31">
          <cell r="M31">
            <v>17</v>
          </cell>
          <cell r="N31">
            <v>4</v>
          </cell>
          <cell r="O31">
            <v>1.3333333333333333</v>
          </cell>
          <cell r="P31">
            <v>1</v>
          </cell>
          <cell r="Q31">
            <v>11.333333333333334</v>
          </cell>
          <cell r="S31">
            <v>1.1248820574905113E-2</v>
          </cell>
        </row>
        <row r="32"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S32">
            <v>2.4428421796479677E-3</v>
          </cell>
        </row>
        <row r="33"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S33">
            <v>2.4428421796479677E-3</v>
          </cell>
        </row>
        <row r="34"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S34">
            <v>2.4428421796479677E-3</v>
          </cell>
        </row>
        <row r="37">
          <cell r="D37">
            <v>30</v>
          </cell>
        </row>
        <row r="38">
          <cell r="D38">
            <v>10</v>
          </cell>
        </row>
        <row r="39">
          <cell r="D39">
            <v>5</v>
          </cell>
        </row>
        <row r="40">
          <cell r="D40">
            <v>40</v>
          </cell>
        </row>
        <row r="43">
          <cell r="J43">
            <v>30</v>
          </cell>
          <cell r="L43">
            <v>9.3305555555555539</v>
          </cell>
        </row>
        <row r="44">
          <cell r="J44">
            <v>10</v>
          </cell>
          <cell r="L44">
            <v>2.8055555555555554</v>
          </cell>
        </row>
        <row r="45">
          <cell r="J45">
            <v>5</v>
          </cell>
          <cell r="L45">
            <v>2.0222222222222217</v>
          </cell>
        </row>
        <row r="46">
          <cell r="J46">
            <v>40</v>
          </cell>
          <cell r="L46">
            <v>16.522222222222226</v>
          </cell>
        </row>
      </sheetData>
      <sheetData sheetId="3">
        <row r="5">
          <cell r="N5">
            <v>54.333333333333329</v>
          </cell>
          <cell r="O5">
            <v>2.5</v>
          </cell>
          <cell r="P5">
            <v>27</v>
          </cell>
          <cell r="Q5">
            <v>6</v>
          </cell>
        </row>
        <row r="6">
          <cell r="N6">
            <v>47.75</v>
          </cell>
          <cell r="O6">
            <v>3.125</v>
          </cell>
          <cell r="P6">
            <v>27.875</v>
          </cell>
          <cell r="Q6">
            <v>12</v>
          </cell>
        </row>
        <row r="7">
          <cell r="N7">
            <v>48</v>
          </cell>
          <cell r="O7">
            <v>3.5</v>
          </cell>
          <cell r="P7">
            <v>22.666666666666668</v>
          </cell>
          <cell r="Q7">
            <v>4</v>
          </cell>
        </row>
        <row r="8">
          <cell r="N8">
            <v>43</v>
          </cell>
          <cell r="O8">
            <v>2.5</v>
          </cell>
          <cell r="P8">
            <v>15.833333333333334</v>
          </cell>
          <cell r="Q8">
            <v>8</v>
          </cell>
        </row>
        <row r="9">
          <cell r="N9">
            <v>39.5</v>
          </cell>
          <cell r="O9">
            <v>3.75</v>
          </cell>
          <cell r="P9">
            <v>26.75</v>
          </cell>
          <cell r="Q9">
            <v>2</v>
          </cell>
        </row>
        <row r="10">
          <cell r="N10">
            <v>39.833333333333329</v>
          </cell>
          <cell r="O10">
            <v>2.25</v>
          </cell>
          <cell r="P10">
            <v>23.75</v>
          </cell>
          <cell r="Q10">
            <v>2</v>
          </cell>
        </row>
        <row r="11">
          <cell r="N11">
            <v>36.166666666666664</v>
          </cell>
          <cell r="O11">
            <v>4.25</v>
          </cell>
          <cell r="P11">
            <v>26.25</v>
          </cell>
          <cell r="Q11">
            <v>0</v>
          </cell>
        </row>
        <row r="12">
          <cell r="N12">
            <v>40.333333333333329</v>
          </cell>
          <cell r="O12">
            <v>2</v>
          </cell>
          <cell r="P12">
            <v>21.5</v>
          </cell>
          <cell r="Q12">
            <v>0</v>
          </cell>
        </row>
        <row r="13">
          <cell r="N13">
            <v>37.166666666666664</v>
          </cell>
          <cell r="O13">
            <v>2.25</v>
          </cell>
          <cell r="P13">
            <v>19.416666666666664</v>
          </cell>
          <cell r="Q13">
            <v>2</v>
          </cell>
        </row>
        <row r="14">
          <cell r="N14">
            <v>37</v>
          </cell>
          <cell r="O14">
            <v>0</v>
          </cell>
          <cell r="P14">
            <v>12.666666666666666</v>
          </cell>
          <cell r="Q14">
            <v>12</v>
          </cell>
        </row>
        <row r="15">
          <cell r="N15">
            <v>37.166666666666664</v>
          </cell>
          <cell r="O15">
            <v>0.25</v>
          </cell>
          <cell r="P15">
            <v>15.416666666666666</v>
          </cell>
          <cell r="Q15">
            <v>6</v>
          </cell>
        </row>
        <row r="16">
          <cell r="N16">
            <v>31.333333333333332</v>
          </cell>
          <cell r="O16">
            <v>3.5</v>
          </cell>
          <cell r="P16">
            <v>20.833333333333332</v>
          </cell>
          <cell r="Q16">
            <v>4</v>
          </cell>
        </row>
        <row r="17">
          <cell r="N17">
            <v>30.666666666666664</v>
          </cell>
          <cell r="O17">
            <v>3.5</v>
          </cell>
          <cell r="P17">
            <v>20.333333333333332</v>
          </cell>
          <cell r="Q17">
            <v>0</v>
          </cell>
        </row>
        <row r="18">
          <cell r="N18">
            <v>30.833333333333332</v>
          </cell>
          <cell r="O18">
            <v>2.75</v>
          </cell>
          <cell r="P18">
            <v>18.583333333333332</v>
          </cell>
          <cell r="Q18">
            <v>6</v>
          </cell>
        </row>
        <row r="19">
          <cell r="N19">
            <v>33.166666666666664</v>
          </cell>
          <cell r="O19">
            <v>1.75</v>
          </cell>
          <cell r="P19">
            <v>19.416666666666664</v>
          </cell>
          <cell r="Q19">
            <v>0</v>
          </cell>
        </row>
        <row r="20">
          <cell r="N20">
            <v>28.666666666666664</v>
          </cell>
          <cell r="O20">
            <v>3</v>
          </cell>
          <cell r="P20">
            <v>20.333333333333332</v>
          </cell>
          <cell r="Q20">
            <v>2</v>
          </cell>
        </row>
        <row r="21">
          <cell r="N21">
            <v>29.166666666666664</v>
          </cell>
          <cell r="O21">
            <v>2.75</v>
          </cell>
          <cell r="P21">
            <v>20.416666666666664</v>
          </cell>
          <cell r="Q21">
            <v>2</v>
          </cell>
        </row>
        <row r="22">
          <cell r="N22">
            <v>28.833333333333332</v>
          </cell>
          <cell r="O22">
            <v>1.75</v>
          </cell>
          <cell r="P22">
            <v>10.75</v>
          </cell>
          <cell r="Q22">
            <v>6</v>
          </cell>
        </row>
        <row r="23">
          <cell r="N23">
            <v>27</v>
          </cell>
          <cell r="O23">
            <v>3.5</v>
          </cell>
          <cell r="P23">
            <v>17</v>
          </cell>
          <cell r="Q23">
            <v>0</v>
          </cell>
        </row>
        <row r="24">
          <cell r="N24">
            <v>24.5</v>
          </cell>
          <cell r="O24">
            <v>1.75</v>
          </cell>
          <cell r="P24">
            <v>15.25</v>
          </cell>
          <cell r="Q24">
            <v>10</v>
          </cell>
        </row>
        <row r="25">
          <cell r="N25">
            <v>19.666666666666668</v>
          </cell>
          <cell r="O25">
            <v>2.5</v>
          </cell>
          <cell r="P25">
            <v>12.833333333333332</v>
          </cell>
          <cell r="Q25">
            <v>16</v>
          </cell>
        </row>
        <row r="26">
          <cell r="N26">
            <v>20.833333333333332</v>
          </cell>
          <cell r="O26">
            <v>1.75</v>
          </cell>
          <cell r="P26">
            <v>13.25</v>
          </cell>
          <cell r="Q26">
            <v>0</v>
          </cell>
        </row>
        <row r="27">
          <cell r="N27">
            <v>18.333333333333332</v>
          </cell>
          <cell r="O27">
            <v>2</v>
          </cell>
          <cell r="P27">
            <v>12.5</v>
          </cell>
          <cell r="Q27">
            <v>0</v>
          </cell>
        </row>
        <row r="28">
          <cell r="N28">
            <v>18.666666666666668</v>
          </cell>
          <cell r="O28">
            <v>1.5</v>
          </cell>
          <cell r="P28">
            <v>10.833333333333332</v>
          </cell>
          <cell r="Q28">
            <v>0</v>
          </cell>
        </row>
        <row r="29">
          <cell r="N29">
            <v>15.5</v>
          </cell>
          <cell r="O29">
            <v>1.75</v>
          </cell>
          <cell r="P29">
            <v>8.75</v>
          </cell>
          <cell r="Q29">
            <v>2</v>
          </cell>
        </row>
        <row r="30">
          <cell r="N30">
            <v>14.833333333333332</v>
          </cell>
          <cell r="O30">
            <v>1.25</v>
          </cell>
          <cell r="P30">
            <v>7.083333333333333</v>
          </cell>
          <cell r="Q30">
            <v>0</v>
          </cell>
        </row>
        <row r="31">
          <cell r="N31">
            <v>13.666666666666668</v>
          </cell>
          <cell r="O31">
            <v>0</v>
          </cell>
          <cell r="P31">
            <v>3.6666666666666665</v>
          </cell>
          <cell r="Q31">
            <v>4</v>
          </cell>
        </row>
        <row r="32">
          <cell r="N32">
            <v>0</v>
          </cell>
          <cell r="O32">
            <v>0</v>
          </cell>
          <cell r="P32">
            <v>0</v>
          </cell>
          <cell r="Q32">
            <v>0</v>
          </cell>
        </row>
        <row r="33">
          <cell r="N33">
            <v>0</v>
          </cell>
          <cell r="O33">
            <v>0</v>
          </cell>
          <cell r="P33">
            <v>0</v>
          </cell>
          <cell r="Q33">
            <v>0</v>
          </cell>
        </row>
        <row r="34">
          <cell r="N34">
            <v>0</v>
          </cell>
          <cell r="O34">
            <v>0</v>
          </cell>
          <cell r="P34">
            <v>0</v>
          </cell>
          <cell r="Q34">
            <v>0</v>
          </cell>
        </row>
        <row r="37">
          <cell r="D37">
            <v>70</v>
          </cell>
        </row>
        <row r="38">
          <cell r="D38">
            <v>5</v>
          </cell>
        </row>
        <row r="39">
          <cell r="D39">
            <v>40</v>
          </cell>
        </row>
        <row r="40">
          <cell r="D40">
            <v>20</v>
          </cell>
        </row>
        <row r="43">
          <cell r="J43">
            <v>70</v>
          </cell>
          <cell r="L43">
            <v>28.197222222222219</v>
          </cell>
        </row>
        <row r="44">
          <cell r="J44">
            <v>5</v>
          </cell>
          <cell r="L44">
            <v>2.0458333333333334</v>
          </cell>
        </row>
        <row r="45">
          <cell r="J45">
            <v>40</v>
          </cell>
          <cell r="L45">
            <v>15.698611111111109</v>
          </cell>
        </row>
        <row r="46">
          <cell r="J46">
            <v>20</v>
          </cell>
          <cell r="L46">
            <v>3.5333333333333332</v>
          </cell>
        </row>
      </sheetData>
      <sheetData sheetId="4">
        <row r="5"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Q5">
            <v>1.0618999877097624E-2</v>
          </cell>
        </row>
        <row r="6"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Q6">
            <v>1.0618999877097624E-2</v>
          </cell>
        </row>
        <row r="7">
          <cell r="K7">
            <v>2</v>
          </cell>
          <cell r="L7">
            <v>4.6666666666666661</v>
          </cell>
          <cell r="M7">
            <v>1</v>
          </cell>
          <cell r="N7">
            <v>2.4166666666666665</v>
          </cell>
          <cell r="O7">
            <v>1</v>
          </cell>
          <cell r="Q7">
            <v>8.0064646434437295E-2</v>
          </cell>
        </row>
        <row r="8">
          <cell r="K8">
            <v>2.2000000000000002</v>
          </cell>
          <cell r="L8">
            <v>5.5</v>
          </cell>
          <cell r="M8">
            <v>0</v>
          </cell>
          <cell r="N8">
            <v>1.5</v>
          </cell>
          <cell r="O8">
            <v>0</v>
          </cell>
          <cell r="Q8">
            <v>9.2180416175694557E-2</v>
          </cell>
        </row>
        <row r="9">
          <cell r="K9">
            <v>2.8</v>
          </cell>
          <cell r="L9">
            <v>8</v>
          </cell>
          <cell r="M9">
            <v>0</v>
          </cell>
          <cell r="N9">
            <v>1.5</v>
          </cell>
          <cell r="O9">
            <v>0</v>
          </cell>
          <cell r="Q9">
            <v>0.13160788610670937</v>
          </cell>
        </row>
        <row r="10">
          <cell r="K10">
            <v>3.4</v>
          </cell>
          <cell r="L10">
            <v>9</v>
          </cell>
          <cell r="M10">
            <v>1</v>
          </cell>
          <cell r="N10">
            <v>2.25</v>
          </cell>
          <cell r="O10">
            <v>0</v>
          </cell>
          <cell r="Q10">
            <v>0.17001983922354477</v>
          </cell>
        </row>
        <row r="11">
          <cell r="K11">
            <v>4</v>
          </cell>
          <cell r="L11">
            <v>10.333333333333334</v>
          </cell>
          <cell r="M11">
            <v>1</v>
          </cell>
          <cell r="N11">
            <v>3.0833333333333335</v>
          </cell>
          <cell r="O11">
            <v>0.5</v>
          </cell>
          <cell r="Q11">
            <v>0.19874294797332615</v>
          </cell>
        </row>
        <row r="12">
          <cell r="K12">
            <v>4</v>
          </cell>
          <cell r="L12">
            <v>10.833333333333334</v>
          </cell>
          <cell r="M12">
            <v>2</v>
          </cell>
          <cell r="N12">
            <v>3.0833333333333335</v>
          </cell>
          <cell r="O12">
            <v>0</v>
          </cell>
          <cell r="Q12">
            <v>0.19874294797332615</v>
          </cell>
        </row>
        <row r="13">
          <cell r="K13">
            <v>4.2</v>
          </cell>
          <cell r="L13">
            <v>11.833333333333332</v>
          </cell>
          <cell r="M13">
            <v>0</v>
          </cell>
          <cell r="N13">
            <v>2.833333333333333</v>
          </cell>
          <cell r="O13">
            <v>0</v>
          </cell>
          <cell r="Q13">
            <v>0.20475710386720036</v>
          </cell>
        </row>
        <row r="14">
          <cell r="K14">
            <v>4.2</v>
          </cell>
          <cell r="L14">
            <v>6.833333333333333</v>
          </cell>
          <cell r="M14">
            <v>1</v>
          </cell>
          <cell r="N14">
            <v>3.3333333333333335</v>
          </cell>
          <cell r="O14">
            <v>4</v>
          </cell>
          <cell r="Q14">
            <v>0.20475710386720036</v>
          </cell>
        </row>
        <row r="15">
          <cell r="K15">
            <v>4.4000000000000004</v>
          </cell>
          <cell r="L15">
            <v>12</v>
          </cell>
          <cell r="M15">
            <v>1</v>
          </cell>
          <cell r="N15">
            <v>3</v>
          </cell>
          <cell r="O15">
            <v>0.5</v>
          </cell>
          <cell r="Q15">
            <v>0.20862251012305136</v>
          </cell>
        </row>
        <row r="16">
          <cell r="K16">
            <v>4.4000000000000004</v>
          </cell>
          <cell r="L16">
            <v>10.833333333333332</v>
          </cell>
          <cell r="M16">
            <v>1</v>
          </cell>
          <cell r="N16">
            <v>4.833333333333333</v>
          </cell>
          <cell r="O16">
            <v>1.5</v>
          </cell>
          <cell r="Q16">
            <v>0.20862251012305136</v>
          </cell>
        </row>
        <row r="17">
          <cell r="K17">
            <v>4.8</v>
          </cell>
          <cell r="L17">
            <v>10.333333333333332</v>
          </cell>
          <cell r="M17">
            <v>2</v>
          </cell>
          <cell r="N17">
            <v>5.833333333333333</v>
          </cell>
          <cell r="O17">
            <v>3</v>
          </cell>
          <cell r="Q17">
            <v>0.20947411102404476</v>
          </cell>
        </row>
        <row r="18">
          <cell r="K18">
            <v>5</v>
          </cell>
          <cell r="L18">
            <v>12.5</v>
          </cell>
          <cell r="M18">
            <v>1</v>
          </cell>
          <cell r="N18">
            <v>4</v>
          </cell>
          <cell r="O18">
            <v>1.5</v>
          </cell>
          <cell r="Q18">
            <v>0.20643216019283087</v>
          </cell>
        </row>
        <row r="19">
          <cell r="K19">
            <v>5</v>
          </cell>
          <cell r="L19">
            <v>12.833333333333332</v>
          </cell>
          <cell r="M19">
            <v>1</v>
          </cell>
          <cell r="N19">
            <v>3.833333333333333</v>
          </cell>
          <cell r="O19">
            <v>1</v>
          </cell>
          <cell r="Q19">
            <v>0.20643216019283087</v>
          </cell>
        </row>
        <row r="20">
          <cell r="K20">
            <v>5</v>
          </cell>
          <cell r="L20">
            <v>14</v>
          </cell>
          <cell r="M20">
            <v>2</v>
          </cell>
          <cell r="N20">
            <v>4</v>
          </cell>
          <cell r="O20">
            <v>0</v>
          </cell>
          <cell r="Q20">
            <v>0.20643216019283087</v>
          </cell>
        </row>
        <row r="21">
          <cell r="K21">
            <v>5</v>
          </cell>
          <cell r="L21">
            <v>13.833333333333332</v>
          </cell>
          <cell r="M21">
            <v>2</v>
          </cell>
          <cell r="N21">
            <v>4.333333333333333</v>
          </cell>
          <cell r="O21">
            <v>0</v>
          </cell>
          <cell r="Q21">
            <v>0.20643216019283087</v>
          </cell>
        </row>
        <row r="22">
          <cell r="K22">
            <v>5</v>
          </cell>
          <cell r="L22">
            <v>13.5</v>
          </cell>
          <cell r="M22">
            <v>1</v>
          </cell>
          <cell r="N22">
            <v>3.75</v>
          </cell>
          <cell r="O22">
            <v>0.5</v>
          </cell>
          <cell r="Q22">
            <v>0.20643216019283087</v>
          </cell>
        </row>
        <row r="23">
          <cell r="K23">
            <v>5.2</v>
          </cell>
          <cell r="L23">
            <v>14.333333333333332</v>
          </cell>
          <cell r="M23">
            <v>2</v>
          </cell>
          <cell r="N23">
            <v>4.333333333333333</v>
          </cell>
          <cell r="O23">
            <v>0</v>
          </cell>
          <cell r="Q23">
            <v>0.20118671342007613</v>
          </cell>
        </row>
        <row r="24">
          <cell r="K24">
            <v>5.4</v>
          </cell>
          <cell r="L24">
            <v>14.666666666666668</v>
          </cell>
          <cell r="M24">
            <v>1</v>
          </cell>
          <cell r="N24">
            <v>3.916666666666667</v>
          </cell>
          <cell r="O24">
            <v>0.5</v>
          </cell>
          <cell r="Q24">
            <v>0.19390819893198225</v>
          </cell>
        </row>
        <row r="25">
          <cell r="K25">
            <v>5.4</v>
          </cell>
          <cell r="L25">
            <v>14.333333333333332</v>
          </cell>
          <cell r="M25">
            <v>1</v>
          </cell>
          <cell r="N25">
            <v>4.083333333333333</v>
          </cell>
          <cell r="O25">
            <v>0.5</v>
          </cell>
          <cell r="Q25">
            <v>0.19390819893198225</v>
          </cell>
        </row>
        <row r="26">
          <cell r="K26">
            <v>5.6</v>
          </cell>
          <cell r="L26">
            <v>14.333333333333332</v>
          </cell>
          <cell r="M26">
            <v>2</v>
          </cell>
          <cell r="N26">
            <v>4.833333333333333</v>
          </cell>
          <cell r="O26">
            <v>1</v>
          </cell>
          <cell r="Q26">
            <v>0.18482809471308606</v>
          </cell>
        </row>
        <row r="27">
          <cell r="K27">
            <v>5.6</v>
          </cell>
          <cell r="L27">
            <v>12.833333333333332</v>
          </cell>
          <cell r="M27">
            <v>2</v>
          </cell>
          <cell r="N27">
            <v>5.083333333333333</v>
          </cell>
          <cell r="O27">
            <v>2.5</v>
          </cell>
          <cell r="Q27">
            <v>0.18482809471308606</v>
          </cell>
        </row>
        <row r="28">
          <cell r="K28">
            <v>5.8</v>
          </cell>
          <cell r="L28">
            <v>14.333333333333332</v>
          </cell>
          <cell r="M28">
            <v>2</v>
          </cell>
          <cell r="N28">
            <v>5.083333333333333</v>
          </cell>
          <cell r="O28">
            <v>1.5</v>
          </cell>
          <cell r="Q28">
            <v>0.17422671106222601</v>
          </cell>
        </row>
        <row r="29">
          <cell r="K29">
            <v>5.8</v>
          </cell>
          <cell r="L29">
            <v>13.833333333333332</v>
          </cell>
          <cell r="M29">
            <v>1</v>
          </cell>
          <cell r="N29">
            <v>4.833333333333333</v>
          </cell>
          <cell r="O29">
            <v>2</v>
          </cell>
          <cell r="Q29">
            <v>0.17422671106222601</v>
          </cell>
        </row>
        <row r="30">
          <cell r="K30">
            <v>6</v>
          </cell>
          <cell r="L30">
            <v>16.166666666666668</v>
          </cell>
          <cell r="M30">
            <v>3</v>
          </cell>
          <cell r="N30">
            <v>5.416666666666667</v>
          </cell>
          <cell r="O30">
            <v>0.5</v>
          </cell>
          <cell r="Q30">
            <v>0.16241884871807252</v>
          </cell>
        </row>
        <row r="31">
          <cell r="K31">
            <v>6</v>
          </cell>
          <cell r="L31">
            <v>16.5</v>
          </cell>
          <cell r="M31">
            <v>5</v>
          </cell>
          <cell r="N31">
            <v>6</v>
          </cell>
          <cell r="O31">
            <v>0</v>
          </cell>
          <cell r="Q31">
            <v>0.16241884871807252</v>
          </cell>
        </row>
        <row r="32">
          <cell r="K32">
            <v>6.2</v>
          </cell>
          <cell r="L32">
            <v>15.666666666666668</v>
          </cell>
          <cell r="M32">
            <v>4</v>
          </cell>
          <cell r="N32">
            <v>5.916666666666667</v>
          </cell>
          <cell r="O32">
            <v>1.5</v>
          </cell>
          <cell r="Q32">
            <v>0.14973835396183968</v>
          </cell>
        </row>
        <row r="33">
          <cell r="K33">
            <v>6.7</v>
          </cell>
          <cell r="L33">
            <v>15.416666666666668</v>
          </cell>
          <cell r="M33">
            <v>3.5</v>
          </cell>
          <cell r="N33">
            <v>6.416666666666667</v>
          </cell>
          <cell r="O33">
            <v>3</v>
          </cell>
          <cell r="Q33">
            <v>0.11640321468986572</v>
          </cell>
        </row>
        <row r="34">
          <cell r="K34">
            <v>10</v>
          </cell>
          <cell r="L34">
            <v>21.666666666666668</v>
          </cell>
          <cell r="M34">
            <v>10</v>
          </cell>
          <cell r="N34">
            <v>11.666666666666666</v>
          </cell>
          <cell r="O34">
            <v>5</v>
          </cell>
          <cell r="Q34">
            <v>3.8708569066472501E-3</v>
          </cell>
        </row>
        <row r="38">
          <cell r="I38">
            <v>45</v>
          </cell>
          <cell r="K38">
            <v>11.697222222222226</v>
          </cell>
          <cell r="O38">
            <v>45</v>
          </cell>
        </row>
        <row r="39">
          <cell r="I39">
            <v>10</v>
          </cell>
          <cell r="K39">
            <v>1.7833333333333334</v>
          </cell>
          <cell r="O39">
            <v>10</v>
          </cell>
        </row>
        <row r="40">
          <cell r="I40">
            <v>20</v>
          </cell>
          <cell r="K40">
            <v>4.0388888888888888</v>
          </cell>
          <cell r="O40">
            <v>20</v>
          </cell>
        </row>
        <row r="41">
          <cell r="I41">
            <v>10</v>
          </cell>
          <cell r="K41">
            <v>1.05</v>
          </cell>
          <cell r="O41">
            <v>10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9322E5-408E-48A0-93E5-F58A28894E30}" name="Tablo1" displayName="Tablo1" ref="C2:K32" totalsRowShown="0" headerRowDxfId="371" dataDxfId="370">
  <autoFilter ref="C2:K32" xr:uid="{003B8D3F-61E0-4F2B-BDC4-0D84F48031F7}"/>
  <sortState xmlns:xlrd2="http://schemas.microsoft.com/office/spreadsheetml/2017/richdata2" ref="C3:K32">
    <sortCondition ref="J2:J32"/>
  </sortState>
  <tableColumns count="9">
    <tableColumn id="1" xr3:uid="{87B70B12-F05E-46AC-A523-3AEE9F8C63FD}" name="Student No" dataDxfId="369">
      <calculatedColumnFormula>C2+1</calculatedColumnFormula>
    </tableColumn>
    <tableColumn id="2" xr3:uid="{1D7A633D-C27D-41B4-87F4-2D949F1626FB}" name="Name" dataDxfId="368"/>
    <tableColumn id="3" xr3:uid="{6358AD47-1AA9-40F2-903F-D6719DE699A0}" name="Surname" dataDxfId="367"/>
    <tableColumn id="4" xr3:uid="{8F722F7A-ECFA-43D9-93F9-D9FE5DA9855A}" name="Midterm" dataDxfId="366">
      <calculatedColumnFormula>VLOOKUP(Tablo1[[#This Row],[Student No]],[1]!Tablo17[[STUDENT ID]:[TOTAL GRADE]],11,FALSE)</calculatedColumnFormula>
    </tableColumn>
    <tableColumn id="5" xr3:uid="{D6501D28-1ED1-40EC-B10D-65D7917535DF}" name="FINAL" dataDxfId="365">
      <calculatedColumnFormula>VLOOKUP(Tablo1[[#This Row],[Student No]],[1]!Tablo1738[[STUDENT ID]:[TOTAL GRADE]],11,FALSE)</calculatedColumnFormula>
    </tableColumn>
    <tableColumn id="6" xr3:uid="{3B24B2A9-BEF3-4097-AB47-74F8EF01FC4F}" name="HOMEWORK" dataDxfId="364">
      <calculatedColumnFormula>VLOOKUP(Tablo1[[#This Row],[Student No]],[1]!Tablo3[[Student No]:[TOTAL]],9,FALSE)</calculatedColumnFormula>
    </tableColumn>
    <tableColumn id="7" xr3:uid="{0907EFBE-7EDD-4B49-9288-7C69693B6680}" name="LAB" dataDxfId="363">
      <calculatedColumnFormula>VLOOKUP(Tablo1[[#This Row],[Student No]],Tablo314[[Student No]:[TOTAL]],18,FALSE)</calculatedColumnFormula>
    </tableColumn>
    <tableColumn id="8" xr3:uid="{CF97909F-F568-42F6-896C-480CAB0DCF2C}" name="Total Points" dataDxfId="362">
      <calculatedColumnFormula>F3*$O$21%*100/$P$21+G3*$O$22%*100/$P$22+H3*$O$19%*100/$P$19+I3*$O$20%*100/$P$20</calculatedColumnFormula>
    </tableColumn>
    <tableColumn id="9" xr3:uid="{6DD557AD-57A7-4373-97A3-84DBBC8E04A7}" name="Letter Grade" dataDxfId="361">
      <calculatedColumnFormula array="1">_xlfn.IFS(AND(J3&gt;$O$6,J3&lt;$P$6),"AA",AND(J3&gt;$O$7,J3&lt;$P$7),"AB",AND(J3&gt;$O$8,J3&lt;$P$8),"BB",AND(J3&gt;$O$9,J3&lt;$P$9),"CB",AND(J3&gt;$O$10,J3&lt;$P$10),"CC",AND(J3&gt;$O$11,J3&lt;$P$11),"DC",AND(J3&gt;$O$12,J3&lt;$P$12),"DD",AND(J3&gt;$O$13,J3&lt;$P$13),"FD",AND(J3&gt;$O$14,J3&lt;$P$14),"FF")</calculatedColumnFormula>
    </tableColumn>
  </tableColumns>
  <tableStyleInfo name="TableStyleMedium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032875-38DD-4B87-819B-C7F0E300E966}" name="Tablo6" displayName="Tablo6" ref="N5:P15" totalsRowShown="0">
  <autoFilter ref="N5:P15" xr:uid="{EC0E0B44-7234-4F1F-88FB-1DED5C02D3D4}"/>
  <tableColumns count="3">
    <tableColumn id="1" xr3:uid="{733DC831-536C-41E5-815B-3413B069E6C3}" name="Grade"/>
    <tableColumn id="2" xr3:uid="{F400CE80-C0F6-4D18-8294-22F43AF79C67}" name="Min" dataDxfId="360"/>
    <tableColumn id="3" xr3:uid="{FD8090F6-51AE-460E-B218-EC5DF407C2E0}" name="Max" dataDxfId="359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8D43C40-2FFF-4A4E-B756-97D6BCFA472D}" name="Tablo8" displayName="Tablo8" ref="N18:P23" totalsRowShown="0">
  <autoFilter ref="N18:P23" xr:uid="{8139BC6B-F648-4220-AF63-57FDFB2CC3E4}"/>
  <tableColumns count="3">
    <tableColumn id="1" xr3:uid="{D0001403-0573-428B-8275-3B8B3BC6C28A}" name="Item"/>
    <tableColumn id="2" xr3:uid="{74F216CB-656A-4F8B-B569-3646CAE00C06}" name="Multiplier" dataDxfId="358"/>
    <tableColumn id="3" xr3:uid="{51F8D513-4123-4E08-86D4-2FECDC1C151C}" name="Base Value" dataDxfId="357"/>
  </tableColumns>
  <tableStyleInfo name="TableStyleMedium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333AB91-B927-4D1A-8DEC-B055E88900B1}" name="Tablo9" displayName="Tablo9" ref="L2:L32" totalsRowShown="0" headerRowDxfId="356" dataDxfId="355">
  <autoFilter ref="L2:L32" xr:uid="{EA17154D-6873-489E-8F36-2FB4EBBABD47}"/>
  <tableColumns count="1">
    <tableColumn id="1" xr3:uid="{936C5CA0-99E8-4635-975D-FEEFDCB09618}" name="Normal Dist." dataDxfId="354">
      <calculatedColumnFormula>_xlfn.NORM.DIST(J3,$S$31,$T$31,FALSE)</calculatedColumnFormula>
    </tableColumn>
  </tableColumns>
  <tableStyleInfo name="TableStyleMedium1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4BC3C80-45BF-458F-9489-E077D73CCFC8}" name="Tablo10" displayName="Tablo10" ref="S30:T31" totalsRowShown="0" headerRowDxfId="353" dataDxfId="352">
  <autoFilter ref="S30:T31" xr:uid="{BA65856D-8288-4CD4-BBED-CDDC7BAC08B9}"/>
  <tableColumns count="2">
    <tableColumn id="1" xr3:uid="{2151BCF9-D01C-4CD5-8187-1B0962A36C55}" name="Mean" dataDxfId="351">
      <calculatedColumnFormula>AVERAGE(Tablo1[Total Points])</calculatedColumnFormula>
    </tableColumn>
    <tableColumn id="2" xr3:uid="{CC423262-6FE0-45CC-A93A-15FE049F7D7E}" name="Variance" dataDxfId="350">
      <calculatedColumnFormula>_xlfn.STDEV.P(Tablo1[Total Points])</calculatedColumnFormula>
    </tableColumn>
  </tableColumns>
  <tableStyleInfo name="TableStyleMedium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E01B439-01C3-4083-B8FF-51CEEC8C8314}" name="Tablo2" displayName="Tablo2" ref="C34:I64" totalsRowShown="0" headerRowDxfId="349" dataDxfId="348">
  <autoFilter ref="C34:I64" xr:uid="{DEDDCB13-C9D9-4AA3-8F71-86DB1041A886}"/>
  <tableColumns count="7">
    <tableColumn id="1" xr3:uid="{431CAE3D-F837-4F4D-A2E5-69B23D24CB88}" name="Student No" dataDxfId="347"/>
    <tableColumn id="2" xr3:uid="{B117B532-9244-4EA1-9ACE-A3CA68CDF79B}" name="Student Name" dataDxfId="346"/>
    <tableColumn id="3" xr3:uid="{53BCACDB-11BF-408C-9B9D-1CB1947B9255}" name="Student Surname" dataDxfId="345"/>
    <tableColumn id="4" xr3:uid="{2E614CAF-3C8F-49EF-9906-830F14465F83}" name="DÇ-1" dataDxfId="344">
      <calculatedColumnFormula>([1]MIDTERM!N5/[1]MIDTERM!$D$37+[1]FINAL!N5/[1]FINAL!$D$37+[1]HOMEWORK!L5/[1]HOMEWORK!$O$38+LAB!U5/LAB!$D$46)/4</calculatedColumnFormula>
    </tableColumn>
    <tableColumn id="5" xr3:uid="{6019CB56-FF9E-4C37-A2D5-2D4ED86E229E}" name="DÇ-2" dataDxfId="343">
      <calculatedColumnFormula>([1]MIDTERM!O5/[1]MIDTERM!$D$38+[1]FINAL!O5/[1]FINAL!$D$38+[1]HOMEWORK!M5/[1]HOMEWORK!$O$39+LAB!V5/LAB!$D$47)/4</calculatedColumnFormula>
    </tableColumn>
    <tableColumn id="6" xr3:uid="{EB65A869-FF95-47D2-AABE-2744ACE1D7D9}" name="DÇ-3" dataDxfId="342">
      <calculatedColumnFormula>([1]MIDTERM!P5/[1]MIDTERM!$D$39+[1]FINAL!P5/[1]FINAL!$D$39+[1]HOMEWORK!N5/[1]HOMEWORK!$O$40+LAB!W5/LAB!$D$48)/4</calculatedColumnFormula>
    </tableColumn>
    <tableColumn id="7" xr3:uid="{CE5875E5-9299-4576-A6B1-BC12EA488BAC}" name="DÇ-4" dataDxfId="341">
      <calculatedColumnFormula>([1]MIDTERM!Q5/[1]MIDTERM!$D$40+[1]FINAL!Q5/[1]FINAL!$D$40+[1]HOMEWORK!O5/[1]HOMEWORK!$O$41+LAB!X5/LAB!$D$49)/4</calculatedColumnFormula>
    </tableColumn>
  </tableColumns>
  <tableStyleInfo name="TableStyleMedium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D6D8D5C-0F36-4D85-9D87-7AE47C9BB885}" name="Tablo413" displayName="Tablo413" ref="M34:S38" totalsRowShown="0" headerRowDxfId="340" dataDxfId="339">
  <autoFilter ref="M34:S38" xr:uid="{41641738-48B6-4143-B9C3-7BB111516182}"/>
  <tableColumns count="7">
    <tableColumn id="1" xr3:uid="{9ECBB15C-ACE5-46A2-9FAF-AA9CFCF9FE98}" name="DERS ÇIKTILARI" dataDxfId="338"/>
    <tableColumn id="2" xr3:uid="{02A7AD51-7FBF-415F-983B-4A445E11CADB}" name="DERS ÇIKTISI ADI" dataDxfId="337"/>
    <tableColumn id="3" xr3:uid="{EE93CB36-DD12-49AD-A671-37F2C241AB01}" name="DÇ KATSAYISI" dataDxfId="336">
      <calculatedColumnFormula>Tablo413[[#This Row],[Midterm]]+Tablo413[[#This Row],[FINAL]]+Tablo413[[#This Row],[HOMEWORK]]+Tablo413[[#This Row],[LAB]]</calculatedColumnFormula>
    </tableColumn>
    <tableColumn id="4" xr3:uid="{AABC19EE-15A4-462F-AD74-B8C6D1A1C4EE}" name="Midterm" dataDxfId="335">
      <calculatedColumnFormula>[1]MIDTERM!J43</calculatedColumnFormula>
    </tableColumn>
    <tableColumn id="5" xr3:uid="{C9F33DA8-C812-4D54-94C5-F13E22EBB8B4}" name="FINAL" dataDxfId="334">
      <calculatedColumnFormula>[1]FINAL!J43</calculatedColumnFormula>
    </tableColumn>
    <tableColumn id="6" xr3:uid="{28704818-7993-4985-832A-74A348701A09}" name="HOMEWORK" dataDxfId="333">
      <calculatedColumnFormula>[1]HOMEWORK!I38</calculatedColumnFormula>
    </tableColumn>
    <tableColumn id="7" xr3:uid="{34D28C7F-4861-498A-A08A-ED05544CEC2F}" name="LAB" dataDxfId="332">
      <calculatedColumnFormula>LAB!Q37</calculatedColumnFormula>
    </tableColumn>
  </tableColumns>
  <tableStyleInfo name="TableStyleMedium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D4E442A-0204-4EA2-8B7C-87B318F50C84}" name="Tablo41342" displayName="Tablo41342" ref="M40:S44" totalsRowShown="0" headerRowDxfId="331" dataDxfId="330">
  <autoFilter ref="M40:S44" xr:uid="{C5AA04C5-DD01-4DCA-AC46-04658F661912}"/>
  <tableColumns count="7">
    <tableColumn id="1" xr3:uid="{A0DF5F74-7AB7-4DA5-BA6C-AB936DA6F720}" name="DERS ÇIKTILARI" dataDxfId="329"/>
    <tableColumn id="2" xr3:uid="{EB77E333-04C2-4ECE-993E-CA911AD580D2}" name="DERS ÇIKTISI ADI" dataDxfId="328"/>
    <tableColumn id="3" xr3:uid="{CA5A9A6D-AF35-47FD-A751-5AD5FAC3565F}" name="LAB" dataDxfId="327">
      <calculatedColumnFormula>LAB!S37</calculatedColumnFormula>
    </tableColumn>
    <tableColumn id="4" xr3:uid="{4A4A94E5-0865-487C-936A-3DEAEB3E8291}" name="Midterm" dataDxfId="326">
      <calculatedColumnFormula>[1]MIDTERM!L43</calculatedColumnFormula>
    </tableColumn>
    <tableColumn id="5" xr3:uid="{56A76B6E-6071-48B1-8BBD-29111BD42946}" name="FINAL" dataDxfId="325">
      <calculatedColumnFormula>[1]FINAL!L43</calculatedColumnFormula>
    </tableColumn>
    <tableColumn id="6" xr3:uid="{C1851C0E-DD0E-495B-B680-E838FC3C8134}" name="HOMEWORK" dataDxfId="324">
      <calculatedColumnFormula>[1]HOMEWORK!K38</calculatedColumnFormula>
    </tableColumn>
    <tableColumn id="7" xr3:uid="{93C6A8D2-9915-4E51-A094-4373F376AB2B}" name="Toplam Katkı" dataDxfId="323">
      <calculatedColumnFormula>SUM(Tablo41342[[#This Row],[LAB]:[HOMEWORK]])</calculatedColumnFormula>
    </tableColumn>
  </tableColumns>
  <tableStyleInfo name="TableStyleMedium10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CB8FE5B-7521-46F2-AA7E-B52637B82170}" name="Tablo4" displayName="Tablo4" ref="B36:E40" totalsRowShown="0">
  <autoFilter ref="B36:E40" xr:uid="{6D21FA25-FDF7-4DA4-A79D-25DD4AF9FF07}">
    <filterColumn colId="0" hiddenButton="1"/>
    <filterColumn colId="1" hiddenButton="1"/>
    <filterColumn colId="2" hiddenButton="1"/>
    <filterColumn colId="3" hiddenButton="1"/>
  </autoFilter>
  <tableColumns count="4">
    <tableColumn id="1" xr3:uid="{CFB86DF2-AAEE-43C2-B04A-D30EE422F0DD}" name="DERS ÇIKTILARI" dataDxfId="322"/>
    <tableColumn id="2" xr3:uid="{AD847A00-0E21-464F-B411-D9718D7A302A}" name="DERS ÇIKTISI ADI"/>
    <tableColumn id="3" xr3:uid="{B759B239-D6AE-4569-9177-708737E7BB87}" name="DERS ÇIKTISI KATSAYISI" dataDxfId="321">
      <calculatedColumnFormula>MAIN!P35</calculatedColumnFormula>
    </tableColumn>
    <tableColumn id="4" xr3:uid="{CD4D69E0-C1CE-4B3C-8782-AF0B82B99E87}" name="KALAN KATSAYI" dataDxfId="320">
      <calculatedColumnFormula>Tablo4[[#This Row],[DERS ÇIKTISI KATSAYISI]]-J43</calculatedColumnFormula>
    </tableColumn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3C0FCBD-1DEC-4392-A918-CEC2C6359D6A}" name="Tablo16" displayName="Tablo16" ref="B42:L46" totalsRowShown="0">
  <autoFilter ref="B42:L46" xr:uid="{4F67F6BB-2F57-4582-8889-85F254035DE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086AB670-6F70-4C26-8881-656A3E2A63AE}" name="Ders Çıktıları" dataDxfId="319"/>
    <tableColumn id="2" xr3:uid="{C3F980C3-C31A-473D-AD19-9F607BAF7B97}" name="Q1" dataDxfId="318">
      <calculatedColumnFormula>SUM(N5:N34)</calculatedColumnFormula>
    </tableColumn>
    <tableColumn id="3" xr3:uid="{94727BB0-5EBC-4264-89C5-FE6F73CE1114}" name="Q2" dataDxfId="317"/>
    <tableColumn id="4" xr3:uid="{0ED22D35-9D02-4291-9E00-DF6C54A63937}" name="Q3" dataDxfId="316"/>
    <tableColumn id="5" xr3:uid="{D25F15C2-BE9D-447A-B490-0425F3B8392D}" name="Q4" dataDxfId="315"/>
    <tableColumn id="6" xr3:uid="{454E2AC0-19BE-49FF-A6A5-041CF74DBAA8}" name="Q5" dataDxfId="314"/>
    <tableColumn id="7" xr3:uid="{F59BEFC5-386D-4E34-BB98-5C6D77A89DC7}" name="Q6" dataDxfId="313"/>
    <tableColumn id="8" xr3:uid="{48B29D05-9D50-4F49-980C-9A2FA5C77733}" name="Q7" dataDxfId="312"/>
    <tableColumn id="9" xr3:uid="{8BA52A87-6387-4CAF-84F8-62B5F164B075}" name="TOPLAM" dataDxfId="311">
      <calculatedColumnFormula>SUM(Tablo16[[#This Row],[Q1]:[Q7]])</calculatedColumnFormula>
    </tableColumn>
    <tableColumn id="10" xr3:uid="{576AD4BD-4323-4424-87EA-59B7C5FF5BBD}" name="TOTAL DÇ" dataDxfId="310">
      <calculatedColumnFormula>SUM(Tablo17[DÇ1])/(30*D37)</calculatedColumnFormula>
    </tableColumn>
    <tableColumn id="11" xr3:uid="{5691D9A7-5001-4629-BFD2-EF8AA4094E42}" name="CONTRIBUTION" dataDxfId="309">
      <calculatedColumnFormula>$K43*$D37</calculatedColumnFormula>
    </tableColumn>
  </tableColumns>
  <tableStyleInfo name="TableStyleMedium10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87EDF6C-791B-48E1-B8A2-78067907995D}" name="Tablo17" displayName="Tablo17" ref="C4:R34" headerRowDxfId="308" dataDxfId="307" totalsRowDxfId="306">
  <autoFilter ref="C4:R34" xr:uid="{1D47A4E7-FFBD-4986-ADC6-27B2471D3E4F}"/>
  <sortState xmlns:xlrd2="http://schemas.microsoft.com/office/spreadsheetml/2017/richdata2" ref="C5:R34">
    <sortCondition descending="1" ref="M4:M34"/>
  </sortState>
  <tableColumns count="16">
    <tableColumn id="1" xr3:uid="{624F6CE3-7596-45D0-A8A4-854951C74EA5}" name="STUDENT ID" totalsRowLabel="Toplam" dataDxfId="305"/>
    <tableColumn id="16" xr3:uid="{7A634EDF-62F8-41A4-AB2F-175657FC25C4}" name="Name" dataDxfId="304"/>
    <tableColumn id="2" xr3:uid="{F4AA695D-A133-4A15-80F1-5AA44E7F7BC0}" name="Surname" dataDxfId="303"/>
    <tableColumn id="3" xr3:uid="{F362672A-8860-4028-9196-A5144B8F001B}" name="Q1" dataDxfId="301" totalsRowDxfId="302"/>
    <tableColumn id="4" xr3:uid="{BA5C52A0-830B-4FA6-BF90-8FE021FF52F3}" name="Q2" dataDxfId="299" totalsRowDxfId="300"/>
    <tableColumn id="5" xr3:uid="{F0809A83-4E55-46FB-814A-722150EAE431}" name="Q3" dataDxfId="297" totalsRowDxfId="298"/>
    <tableColumn id="6" xr3:uid="{6AE02478-E7B4-45D0-AEDB-2E655ED34F9F}" name="Q4" dataDxfId="295" totalsRowDxfId="296"/>
    <tableColumn id="7" xr3:uid="{EC4B43AD-AF4E-4094-90F8-9ECA4CC4D77B}" name="Q5" dataDxfId="293" totalsRowDxfId="294"/>
    <tableColumn id="8" xr3:uid="{2D39D17F-8AAC-4FA6-A540-5F961D95815C}" name="Q6" dataDxfId="291" totalsRowDxfId="292"/>
    <tableColumn id="9" xr3:uid="{BEA89F1D-41D1-40B4-83EB-F6437494ABA2}" name="Q7" totalsRowFunction="sum" dataDxfId="289" totalsRowDxfId="290"/>
    <tableColumn id="10" xr3:uid="{AC751746-1715-4197-BEE8-4156B9992526}" name="TOTAL GRADE" dataDxfId="288">
      <calculatedColumnFormula>SUM(F5:L5)</calculatedColumnFormula>
    </tableColumn>
    <tableColumn id="11" xr3:uid="{02B35023-D601-4B0C-8026-6A1A38023A1A}" name="DÇ1" dataDxfId="286" totalsRowDxfId="287">
      <calculatedColumnFormula array="1">Tablo17[[#This Row],[Q1]]/Tablo19[Q1]*$C$43+G5/Tablo19[Q2]*$D$43+H5/Tablo19[Q3]*$E$43+I5/Tablo19[Q4]*$F$43+J5/Tablo19[Q5]*$G$43+K5/Tablo19[Q6]*$H$43+L5/Tablo19[Q7]*$I$43</calculatedColumnFormula>
    </tableColumn>
    <tableColumn id="12" xr3:uid="{D00C7A75-5808-4FB6-A65A-196301472EE5}" name="DÇ2" dataDxfId="285">
      <calculatedColumnFormula array="1">Tablo17[[#This Row],[Q1]]/Tablo19[Q1]*$C$44+G5/Tablo19[Q2]*$D$44+H5/Tablo19[Q3]*$E$44+I5/Tablo19[Q4]*$F$44+J5/Tablo19[Q5]*$G$44+K5/Tablo19[Q6]*$H$44+L5/Tablo19[Q7]*$I$44</calculatedColumnFormula>
    </tableColumn>
    <tableColumn id="13" xr3:uid="{DB6D52AA-6E9E-449C-A6C8-C756C8D9585E}" name="DÇ3" dataDxfId="283" totalsRowDxfId="284">
      <calculatedColumnFormula array="1">Tablo17[[#This Row],[Q1]]/Tablo19[Q1]*$C$45+G5/Tablo19[Q2]*$D$45+H5/Tablo19[Q3]*$E$45+I5/Tablo19[Q4]*$F$45+J5/Tablo19[Q5]*$G$45+K5/Tablo19[Q6]*$H$45+L5/Tablo19[Q7]*$I$45</calculatedColumnFormula>
    </tableColumn>
    <tableColumn id="14" xr3:uid="{B0F72EA9-1306-4D08-ADE0-B70E8A40484A}" name="DÇ4" dataDxfId="281" totalsRowDxfId="282">
      <calculatedColumnFormula array="1">Tablo17[[#This Row],[Q1]]/Tablo19[Q1]*$C$46+G5/Tablo19[Q2]*$D$46+H5/Tablo19[Q3]*$E$46+I5/Tablo19[Q4]*$F$46+J5/Tablo19[Q5]*$G$46+K5/Tablo19[Q6]*$H$46+L5/Tablo19[Q7]*$I$46</calculatedColumnFormula>
    </tableColumn>
    <tableColumn id="15" xr3:uid="{0EF73315-C54F-4C15-AD42-83CDD705B80C}" name="TOT" dataDxfId="279" totalsRowDxfId="280">
      <calculatedColumnFormula>SUM(N5:Q5)</calculatedColumnFormula>
    </tableColumn>
  </tableColumns>
  <tableStyleInfo name="TableStyleMedium1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296E03-9400-4B96-9365-65CB218D7012}" name="Tablo19" displayName="Tablo19" ref="G36:O37" totalsRowShown="0" headerRowDxfId="278" dataDxfId="277">
  <autoFilter ref="G36:O37" xr:uid="{A67FE10B-DC8C-4119-87C3-07629A08B2C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7A1B7E41-556A-404C-9047-7DC818847502}" name="Sütun1"/>
    <tableColumn id="2" xr3:uid="{A67175CB-EC1E-4F50-8A70-A4782B76F78D}" name="Q1" dataDxfId="276"/>
    <tableColumn id="3" xr3:uid="{1CCC547B-5CE4-4738-9007-199F5985EC94}" name="Q2" dataDxfId="275"/>
    <tableColumn id="4" xr3:uid="{60036AAA-7A41-47AC-B235-CBC27F5F831D}" name="Q3" dataDxfId="274"/>
    <tableColumn id="5" xr3:uid="{BA709181-48D8-44EE-8509-183E4CF6F2E7}" name="Q4" dataDxfId="273"/>
    <tableColumn id="6" xr3:uid="{34BECABA-36F9-4282-8D03-C0E95B852692}" name="Q5" dataDxfId="272"/>
    <tableColumn id="7" xr3:uid="{CEC81232-FDE1-443F-89AC-066F4137D6E4}" name="Q6" dataDxfId="271"/>
    <tableColumn id="8" xr3:uid="{A25BDA24-75B7-4439-8095-CBFFE33A8492}" name="Q7" dataDxfId="270"/>
    <tableColumn id="9" xr3:uid="{9132CCDB-9889-4A0A-B04D-72C72DA6511D}" name="TOTAL" dataDxfId="269">
      <calculatedColumnFormula>SUM(H37:N37)</calculatedColumnFormula>
    </tableColumn>
  </tableColumns>
  <tableStyleInfo name="TableStyleMedium1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27BFF54-E0B5-4FBE-B0CF-2B78FE6D1814}" name="Tablo20" displayName="Tablo20" ref="N55:O56" totalsRowShown="0" headerRowDxfId="268" dataDxfId="267">
  <autoFilter ref="N55:O56" xr:uid="{C969751D-E417-49AC-84A5-5CA00045EC12}">
    <filterColumn colId="0" hiddenButton="1"/>
    <filterColumn colId="1" hiddenButton="1"/>
  </autoFilter>
  <tableColumns count="2">
    <tableColumn id="1" xr3:uid="{4B2AFB41-5B2C-4F63-B002-05CE4B806903}" name="Mean" dataDxfId="266">
      <calculatedColumnFormula>AVERAGE(Tablo17[TOTAL GRADE])</calculatedColumnFormula>
    </tableColumn>
    <tableColumn id="2" xr3:uid="{3B27D102-BA2E-4C75-BA02-6FA39CB7A8C9}" name="Variance" dataDxfId="265">
      <calculatedColumnFormula>_xlfn.STDEV.P(Tablo17[TOTAL GRADE])</calculatedColumnFormula>
    </tableColumn>
  </tableColumns>
  <tableStyleInfo name="TableStyleMedium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07FBFB6-AA7C-44E5-95F7-BA4B25FF7E67}" name="Tablo21" displayName="Tablo21" ref="S4:S34" totalsRowShown="0" headerRowDxfId="264" dataDxfId="263">
  <autoFilter ref="S4:S34" xr:uid="{D15F6FE7-C47D-42B5-B026-DE07E448DED7}">
    <filterColumn colId="0" hiddenButton="1"/>
  </autoFilter>
  <tableColumns count="1">
    <tableColumn id="1" xr3:uid="{B49DCEA6-8A37-4475-B13B-33F5F78D996A}" name="Normal Dist" dataDxfId="262">
      <calculatedColumnFormula>_xlfn.NORM.DIST(Tablo17[[#This Row],[TOTAL GRADE]],$N$56,$O$56,FALSE)</calculatedColumnFormula>
    </tableColumn>
  </tableColumns>
  <tableStyleInfo name="TableStyleMedium18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4AD388D4-11D3-4638-BF4C-7B376518E635}" name="Tablo436" displayName="Tablo436" ref="B36:E40" totalsRowShown="0">
  <autoFilter ref="B36:E40" xr:uid="{607B75E6-4E48-4262-AB0D-0E8CA21242AC}"/>
  <tableColumns count="4">
    <tableColumn id="1" xr3:uid="{3ECC23CC-6737-4AD1-A145-84D0F89590D3}" name="DERS ÇIKTILARI" dataDxfId="261"/>
    <tableColumn id="2" xr3:uid="{397F9F77-602E-4F69-B401-03E015CAE982}" name="DERS ÇIKTISI ADI" dataDxfId="260"/>
    <tableColumn id="3" xr3:uid="{3E5864E2-F1CA-45F2-B2F2-E1795EE284DA}" name="DERS ÇIKTISI KATSAYISI" dataDxfId="259">
      <calculatedColumnFormula>MAIN!Q35</calculatedColumnFormula>
    </tableColumn>
    <tableColumn id="4" xr3:uid="{DE4F75A9-64B1-4207-B755-798928D7EE05}" name="KALAN KATSAYI" dataDxfId="258">
      <calculatedColumnFormula>Tablo436[[#This Row],[DERS ÇIKTISI KATSAYISI]]-J43</calculatedColumnFormula>
    </tableColumn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B3801653-DD3B-4709-BC6A-0394AE2922C5}" name="Tablo1637" displayName="Tablo1637" ref="B42:L46" totalsRowShown="0">
  <autoFilter ref="B42:L46" xr:uid="{10ED5F68-3C25-4D8E-A7B6-C61D51D81891}"/>
  <tableColumns count="11">
    <tableColumn id="1" xr3:uid="{A6A31595-F376-49A3-8EFD-1FDB1AED007C}" name="Ders Çıktıları" dataDxfId="257"/>
    <tableColumn id="2" xr3:uid="{618F9F40-0A96-44B7-98BD-578AD9B72CC9}" name="Q1" dataDxfId="256">
      <calculatedColumnFormula>SUM(N5:N34)</calculatedColumnFormula>
    </tableColumn>
    <tableColumn id="3" xr3:uid="{27F32FBF-C226-4665-A0B0-0A9FA75E63CC}" name="Q2" dataDxfId="255"/>
    <tableColumn id="4" xr3:uid="{048BE934-C4F2-48F0-BC10-DBA544BFCBBF}" name="Q3" dataDxfId="254"/>
    <tableColumn id="5" xr3:uid="{A1BF4EA4-4E9B-4DD0-8387-3DD50EBAF152}" name="Q4" dataDxfId="253"/>
    <tableColumn id="6" xr3:uid="{0C05BB33-C20C-4F9A-86EA-192B55E0969E}" name="Q5" dataDxfId="252"/>
    <tableColumn id="7" xr3:uid="{F10A64C9-946D-44E6-8A1C-DCBFAF911966}" name="Q6" dataDxfId="251"/>
    <tableColumn id="8" xr3:uid="{77560AB6-9699-47C5-B749-FAE7BC2D1B7A}" name="Q7" dataDxfId="250"/>
    <tableColumn id="9" xr3:uid="{F62F419A-5BD6-40C9-B079-F9CCBF981BFE}" name="TOPLAM" dataDxfId="249">
      <calculatedColumnFormula>SUM(Tablo1637[[#This Row],[Q1]:[Q7]])</calculatedColumnFormula>
    </tableColumn>
    <tableColumn id="10" xr3:uid="{A7E4BB71-2E00-4FA5-9460-21DA316B502D}" name="TOTAL DÇ" dataDxfId="248">
      <calculatedColumnFormula>SUM([1]!Tablo17[DÇ1])/(30*D37)</calculatedColumnFormula>
    </tableColumn>
    <tableColumn id="11" xr3:uid="{6D503E20-9B7F-4483-8CE5-BDFCF1A9C5B0}" name="CONTRIBUTION" dataDxfId="247">
      <calculatedColumnFormula>$K43*$D37</calculatedColumnFormula>
    </tableColumn>
  </tableColumns>
  <tableStyleInfo name="TableStyleMedium10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8BC58B6-22F5-44C4-829F-289BA7C42498}" name="Tablo1738" displayName="Tablo1738" ref="C4:R34" headerRowDxfId="246" dataDxfId="245" totalsRowDxfId="244">
  <autoFilter ref="C4:R34" xr:uid="{D7B6876A-FBD5-42C2-BF21-0E0EC28E7295}"/>
  <sortState xmlns:xlrd2="http://schemas.microsoft.com/office/spreadsheetml/2017/richdata2" ref="C5:R34">
    <sortCondition descending="1" ref="M4:M34"/>
  </sortState>
  <tableColumns count="16">
    <tableColumn id="1" xr3:uid="{AA409A15-D21E-4921-B47D-70F2BB555BF4}" name="STUDENT ID" totalsRowLabel="Toplam" dataDxfId="243"/>
    <tableColumn id="16" xr3:uid="{571EB061-5574-4CBD-8A1F-9EAFEBFF98A1}" name="Name" dataDxfId="242"/>
    <tableColumn id="2" xr3:uid="{0DEEBD68-176C-42FE-AEBC-1C5DE41FE16E}" name="Surname" dataDxfId="241"/>
    <tableColumn id="3" xr3:uid="{F9F15921-A300-4B33-920A-1E5FC6AF7ADC}" name="Q1" dataDxfId="239" totalsRowDxfId="240"/>
    <tableColumn id="4" xr3:uid="{E35DC3B1-81C4-4A6F-B9C9-4D4F865FF1B7}" name="Q2" dataDxfId="237" totalsRowDxfId="238"/>
    <tableColumn id="5" xr3:uid="{B1BB979F-EE9C-4212-B187-DF59C9BD9B61}" name="Q3" dataDxfId="235" totalsRowDxfId="236"/>
    <tableColumn id="6" xr3:uid="{EC593F76-E338-446B-82F9-F0FF98FE41EC}" name="Q4" dataDxfId="233" totalsRowDxfId="234"/>
    <tableColumn id="7" xr3:uid="{E2494260-F554-44D8-A61F-503A4C27D4F8}" name="Q5" dataDxfId="231" totalsRowDxfId="232"/>
    <tableColumn id="8" xr3:uid="{358F9EDE-F42A-4B3D-8483-64FEC582A16D}" name="Q6" dataDxfId="229" totalsRowDxfId="230"/>
    <tableColumn id="9" xr3:uid="{02B815CC-ED76-4F23-8A24-E68C9E08443E}" name="Q7" totalsRowFunction="sum" dataDxfId="227" totalsRowDxfId="228"/>
    <tableColumn id="10" xr3:uid="{2F989E7F-80F5-4E3C-A70B-C6F21BE02D7D}" name="TOTAL GRADE" dataDxfId="226">
      <calculatedColumnFormula>SUM(F5:L5)</calculatedColumnFormula>
    </tableColumn>
    <tableColumn id="11" xr3:uid="{E5ADC038-52A2-4181-A554-85076C3D67CA}" name="DÇ1" dataDxfId="224" totalsRowDxfId="225">
      <calculatedColumnFormula array="1">Tablo1738[[#This Row],[Q1]]/Tablo1939[Q1]*$C$43+G5/Tablo1939[Q2]*$D$43+H5/Tablo1939[Q3]*$E$43+I5/Tablo1939[Q4]*$F$43+J5/Tablo1939[Q5]*$G$43+K5/Tablo1939[Q6]*$H$43+L5/Tablo1939[Q7]*$I$43</calculatedColumnFormula>
    </tableColumn>
    <tableColumn id="12" xr3:uid="{996C36A0-401E-4C91-A4BA-3EF5273F4386}" name="DÇ2" dataDxfId="223">
      <calculatedColumnFormula array="1">Tablo1738[[#This Row],[Q1]]/Tablo1939[Q1]*$C$44+G5/Tablo1939[Q2]*$D$44+H5/Tablo1939[Q3]*$E$44+I5/Tablo1939[Q4]*$F$44+J5/Tablo1939[Q5]*$G$44+K5/Tablo1939[Q6]*$H$44+L5/Tablo1939[Q7]*$I$44</calculatedColumnFormula>
    </tableColumn>
    <tableColumn id="13" xr3:uid="{FAFD3594-4315-481D-B9B6-8FF78CC58619}" name="DÇ3" dataDxfId="221" totalsRowDxfId="222">
      <calculatedColumnFormula array="1">Tablo1738[[#This Row],[Q1]]/Tablo1939[Q1]*$C$45+G5/Tablo1939[Q2]*$D$45+H5/Tablo1939[Q3]*$E$45+I5/Tablo1939[Q4]*$F$45+J5/Tablo1939[Q5]*$G$45+K5/Tablo1939[Q6]*$H$45+L5/Tablo1939[Q7]*$I$45</calculatedColumnFormula>
    </tableColumn>
    <tableColumn id="14" xr3:uid="{B1EE8F9B-3C75-4ABD-997D-D8D07DD9C355}" name="DÇ4" dataDxfId="219" totalsRowDxfId="220">
      <calculatedColumnFormula array="1">Tablo1738[[#This Row],[Q1]]/Tablo1939[Q1]*$C$46+G5/Tablo1939[Q2]*$D$46+H5/Tablo1939[Q3]*$E$46+I5/Tablo1939[Q4]*$F$46+J5/Tablo1939[Q5]*$G$46+K5/Tablo1939[Q6]*$H$46+L5/Tablo1939[Q7]*$I$46</calculatedColumnFormula>
    </tableColumn>
    <tableColumn id="15" xr3:uid="{E145DA79-F15D-4A4A-81D0-04641064CC7A}" name="TOT" dataDxfId="217" totalsRowDxfId="218">
      <calculatedColumnFormula>SUM(N5:Q5)</calculatedColumnFormula>
    </tableColumn>
  </tableColumns>
  <tableStyleInfo name="TableStyleMedium1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A9B9350D-B2E1-426A-AC53-1D88A54A3375}" name="Tablo1939" displayName="Tablo1939" ref="G36:O37" totalsRowShown="0" headerRowDxfId="216" dataDxfId="215">
  <autoFilter ref="G36:O37" xr:uid="{C8DB74EE-95F5-4CB9-B054-21FC77C8A3E7}"/>
  <tableColumns count="9">
    <tableColumn id="1" xr3:uid="{B474AFFF-1B57-409D-9627-B45EED840B47}" name="Sütun1"/>
    <tableColumn id="2" xr3:uid="{60620A17-14AB-4A99-9055-A3CB7449C1A6}" name="Q1" dataDxfId="214"/>
    <tableColumn id="3" xr3:uid="{1C37BD10-00B8-4BDD-A717-9DE1E0F2969F}" name="Q2" dataDxfId="213"/>
    <tableColumn id="4" xr3:uid="{179AC8F2-DF3C-48DA-9E98-D12BF6537F34}" name="Q3" dataDxfId="212"/>
    <tableColumn id="5" xr3:uid="{0DAB3068-E1EE-4DD1-88AA-2AA16257E39D}" name="Q4" dataDxfId="211"/>
    <tableColumn id="6" xr3:uid="{F2C1E03B-B33E-4D61-B7EB-197F7769EFF2}" name="Q5" dataDxfId="210"/>
    <tableColumn id="7" xr3:uid="{E6341DBE-AD34-48E9-A67E-88367E61D913}" name="Q6" dataDxfId="209"/>
    <tableColumn id="8" xr3:uid="{FB41BB26-E40F-4308-A094-F7E3D35667F8}" name="Q7" dataDxfId="208"/>
    <tableColumn id="9" xr3:uid="{026418AA-AB1F-4BDE-A002-DB582BF8FB91}" name="TOTAL" dataDxfId="207">
      <calculatedColumnFormula>SUM(H37:N37)</calculatedColumnFormula>
    </tableColumn>
  </tableColumns>
  <tableStyleInfo name="TableStyleMedium1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FC09ADE3-1827-40F7-95F9-B5A01143AF48}" name="Tablo2040" displayName="Tablo2040" ref="N55:O56" totalsRowShown="0" headerRowDxfId="206" dataDxfId="205">
  <autoFilter ref="N55:O56" xr:uid="{D3CE9768-4064-42B8-9A6C-5EEBC7B68549}"/>
  <tableColumns count="2">
    <tableColumn id="1" xr3:uid="{152A5043-3C23-49F8-8C0D-AAB669D9B441}" name="Mean" dataDxfId="204">
      <calculatedColumnFormula>AVERAGE(Tablo1738[TOTAL GRADE])</calculatedColumnFormula>
    </tableColumn>
    <tableColumn id="2" xr3:uid="{E2A88E37-1979-4E91-820E-B024731F901B}" name="Variance" dataDxfId="203">
      <calculatedColumnFormula>_xlfn.STDEV.P(Tablo1738[TOTAL GRADE])</calculatedColumnFormula>
    </tableColumn>
  </tableColumns>
  <tableStyleInfo name="TableStyleMedium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D6CF5321-ACF8-4C5C-A798-BDC2ABE8052B}" name="Tablo2141" displayName="Tablo2141" ref="S4:S34" totalsRowShown="0" headerRowDxfId="202" dataDxfId="201">
  <autoFilter ref="S4:S34" xr:uid="{9DF85829-5DB2-4C32-AE9A-9091B669958C}"/>
  <tableColumns count="1">
    <tableColumn id="1" xr3:uid="{119BFFFA-B5B2-4F26-BC19-1A0CB5E9C2DF}" name="Normal Dist" dataDxfId="200">
      <calculatedColumnFormula>_xlfn.NORM.DIST(Tablo1738[[#This Row],[TOTAL GRADE]],$N$56,$O$56,FALSE)</calculatedColumnFormula>
    </tableColumn>
  </tableColumns>
  <tableStyleInfo name="TableStyleMedium18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98DE6900-6BA2-472A-AC63-B847DD8E2788}" name="Tablo3" displayName="Tablo3" ref="C4:P34" totalsRowShown="0" headerRowDxfId="199" tableBorderDxfId="198">
  <autoFilter ref="C4:P34" xr:uid="{5F48C87D-7E2D-4EBF-9C66-2787BCE67361}"/>
  <sortState xmlns:xlrd2="http://schemas.microsoft.com/office/spreadsheetml/2017/richdata2" ref="C5:P34">
    <sortCondition ref="K4:K34"/>
  </sortState>
  <tableColumns count="14">
    <tableColumn id="1" xr3:uid="{9A207D81-B0DF-4846-91D8-365AFA56B12E}" name="Student No" dataDxfId="197"/>
    <tableColumn id="2" xr3:uid="{24531382-0308-4C2B-8095-0025CFD93D5E}" name="Name" dataDxfId="196"/>
    <tableColumn id="3" xr3:uid="{88FEED3E-63BF-48B3-BE8E-337F979CF259}" name="Surname" dataDxfId="195"/>
    <tableColumn id="4" xr3:uid="{56F285D5-4E05-4C8B-A3A5-E64399B4AFBE}" name="HW1"/>
    <tableColumn id="5" xr3:uid="{53922A1A-962C-4CC4-B8D2-8F15E30840C7}" name="HW2"/>
    <tableColumn id="6" xr3:uid="{52FF881C-C228-42E4-8AD6-E7D3F5769C92}" name="HW3"/>
    <tableColumn id="7" xr3:uid="{73AA8DD3-F2C6-475C-B3AE-C317C4C2E87A}" name="HW4"/>
    <tableColumn id="8" xr3:uid="{6CEA17E9-2129-4AD2-83C8-D2177A95CC04}" name="HW5"/>
    <tableColumn id="9" xr3:uid="{301B9D6A-F533-4EB3-9E5D-0B173B7C3E03}" name="TOTAL" dataDxfId="194">
      <calculatedColumnFormula>(Tablo3[[#This Row],[HW1]]+Tablo3[[#This Row],[HW2]]+Tablo3[[#This Row],[HW3]]+Tablo3[[#This Row],[HW4]]+Tablo3[[#This Row],[HW5]])/5</calculatedColumnFormula>
    </tableColumn>
    <tableColumn id="10" xr3:uid="{96B17699-F2AE-4BB5-8C40-98BD87619C0A}" name="DÇ1" dataDxfId="193">
      <calculatedColumnFormula array="1">Tablo3[[#This Row],[HW1]]*$D$38/Tablo11[HW1]+Tablo3[[#This Row],[HW2]]*$E$38/Tablo11[HW2]+Tablo3[[#This Row],[HW3]]*$F$38/Tablo11[HW3]+Tablo3[[#This Row],[HW4]]*$G$38/Tablo11[HW4]+Tablo3[[#This Row],[HW5]]*$H$38/Tablo11[HW5]</calculatedColumnFormula>
    </tableColumn>
    <tableColumn id="11" xr3:uid="{6EDDC76A-7926-457F-B3C0-3A5B1F28ECC5}" name="DÇ2" dataDxfId="192">
      <calculatedColumnFormula array="1">Tablo3[[#This Row],[HW1]]*$D$39/Tablo11[HW1]+Tablo3[[#This Row],[HW2]]*$E$39/Tablo11[HW2]+Tablo3[[#This Row],[HW3]]*$F$39/Tablo11[HW3]+Tablo3[[#This Row],[HW4]]*$G$39/Tablo11[HW4]+Tablo3[[#This Row],[HW5]]*$H$39/Tablo11[HW5]</calculatedColumnFormula>
    </tableColumn>
    <tableColumn id="12" xr3:uid="{2B8DCBDF-4900-404C-B867-2658E57118FE}" name="DÇ3" dataDxfId="191">
      <calculatedColumnFormula array="1">Tablo3[[#This Row],[HW1]]*$D$40/Tablo11[HW1]+Tablo3[[#This Row],[HW2]]*$E$40/Tablo11[HW2]+Tablo3[[#This Row],[HW3]]*$F$40/Tablo11[HW3]+Tablo3[[#This Row],[HW4]]*$G$40/Tablo11[HW4]+Tablo3[[#This Row],[HW5]]*$H$40/Tablo11[HW5]</calculatedColumnFormula>
    </tableColumn>
    <tableColumn id="13" xr3:uid="{51B33AF2-73E0-448C-87D3-F6D6A4F43C14}" name="DÇ4" dataDxfId="190">
      <calculatedColumnFormula array="1">Tablo3[[#This Row],[HW1]]*$D$41/Tablo11[HW1]+Tablo3[[#This Row],[HW2]]*$E$41/Tablo11[HW2]+Tablo3[[#This Row],[HW3]]*$F$41/Tablo11[HW3]+Tablo3[[#This Row],[HW4]]*$G$41/Tablo11[HW4]+Tablo3[[#This Row],[HW5]]*$H$41/Tablo11[HW5]</calculatedColumnFormula>
    </tableColumn>
    <tableColumn id="14" xr3:uid="{0F3EA892-B91E-4FA9-95E2-0B9B322CDF28}" name="TOT" dataDxfId="189">
      <calculatedColumnFormula>SUM(L5,M5,N5,O5)</calculatedColumnFormula>
    </tableColumn>
  </tableColumns>
  <tableStyleInfo name="TableStyleMedium1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EAF85E9-18C8-4855-B22C-63EA3DB202EB}" name="Tablo415" displayName="Tablo415" ref="M37:P41" totalsRowShown="0">
  <autoFilter ref="M37:P41" xr:uid="{6A1B2EA3-82E5-4319-AAFF-D9FCD741E90D}"/>
  <tableColumns count="4">
    <tableColumn id="1" xr3:uid="{66504994-2487-430A-8385-90FAF8A1D6D7}" name="DERS ÇIKTILARI" dataDxfId="188"/>
    <tableColumn id="2" xr3:uid="{06D8BE87-7625-4AC3-9CA2-6341BB6235C7}" name="DERS ÇIKTISI ADI"/>
    <tableColumn id="3" xr3:uid="{AB671540-6B25-44E5-9CBB-005969348F6A}" name="DERS ÇIKTISI KATSAYISI" dataDxfId="187">
      <calculatedColumnFormula>MAIN!AJ3</calculatedColumnFormula>
    </tableColumn>
    <tableColumn id="4" xr3:uid="{7B53FD63-2A85-48E5-9460-336EDDD762C1}" name="KALAN KATSAYI" dataDxfId="186">
      <calculatedColumnFormula>Tablo415[[#This Row],[DERS ÇIKTISI KATSAYISI]]-Tablo163719[[#This Row],[TOPLAM]]</calculatedColumnFormula>
    </tableColumn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570396C4-9200-41D5-8B29-E419215006A5}" name="Tablo15" displayName="Tablo15" ref="Q4:Q34" totalsRowShown="0" headerRowDxfId="185">
  <autoFilter ref="Q4:Q34" xr:uid="{C692B30A-24DB-48A3-A891-000932C144AE}">
    <filterColumn colId="0" hiddenButton="1"/>
  </autoFilter>
  <tableColumns count="1">
    <tableColumn id="1" xr3:uid="{FF392846-786A-416F-8789-89F430CA18C3}" name="Normal Dist.">
      <calculatedColumnFormula>_xlfn.NORM.DIST(Tablo3[[#This Row],[TOTAL]],$T$4,$U$4,FALSE)</calculatedColumnFormula>
    </tableColumn>
  </tableColumns>
  <tableStyleInfo name="TableStyleMedium18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B2DE9961-BEEA-4AD9-B881-4926B4118EAA}" name="Tablo5" displayName="Tablo5" ref="T3:U4" totalsRowShown="0" headerRowDxfId="184" dataDxfId="183">
  <autoFilter ref="T3:U4" xr:uid="{4CEC3AA9-BB35-4FDD-9D0A-3D3FB432F4CC}">
    <filterColumn colId="0" hiddenButton="1"/>
    <filterColumn colId="1" hiddenButton="1"/>
  </autoFilter>
  <tableColumns count="2">
    <tableColumn id="1" xr3:uid="{96DE93D7-B076-4DB7-92B8-91FEADD72CFD}" name="MEAN" dataDxfId="182">
      <calculatedColumnFormula>AVERAGE(Tablo3[TOTAL])</calculatedColumnFormula>
    </tableColumn>
    <tableColumn id="2" xr3:uid="{B796E4DE-2002-4A83-9CD2-B13043CECCE6}" name="VARIANCE" dataDxfId="181">
      <calculatedColumnFormula>_xlfn.STDEV.P(Tablo3[TOTAL])</calculatedColumnFormula>
    </tableColumn>
  </tableColumns>
  <tableStyleInfo name="TableStyleMedium4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6D0F3A3E-12F1-4D57-B524-F7C64371884E}" name="Tablo163719" displayName="Tablo163719" ref="C37:K41" totalsRowShown="0">
  <autoFilter ref="C37:K41" xr:uid="{BD66FC37-911E-4F42-B3EB-5F56AC417542}"/>
  <tableColumns count="9">
    <tableColumn id="1" xr3:uid="{F0FBA763-646E-4601-BFFE-6128AE5662F7}" name="Ders Çıktıları" dataDxfId="180"/>
    <tableColumn id="2" xr3:uid="{E59D1D75-9414-4D86-9030-DB22FA8B9246}" name="HW1" dataDxfId="179">
      <calculatedColumnFormula>SUM(#REF!)</calculatedColumnFormula>
    </tableColumn>
    <tableColumn id="3" xr3:uid="{2AC84A42-462E-4D82-B150-25459B6BAAD4}" name="HW2" dataDxfId="178"/>
    <tableColumn id="4" xr3:uid="{85C3B901-7039-4B9F-89BE-812734047AC7}" name="HW3" dataDxfId="177"/>
    <tableColumn id="5" xr3:uid="{7C0EF261-D926-4A85-B4D7-9B5903653BE0}" name="HW4" dataDxfId="176"/>
    <tableColumn id="6" xr3:uid="{0AA6889A-CAF3-468A-BF1B-1FA6BB5BC761}" name="HW5" dataDxfId="175"/>
    <tableColumn id="9" xr3:uid="{7C7BCF6E-6D73-48C3-9D87-BF41481C34F0}" name="TOPLAM" dataDxfId="174">
      <calculatedColumnFormula>SUM(Tablo163719[[#This Row],[HW1]:[HW5]])</calculatedColumnFormula>
    </tableColumn>
    <tableColumn id="10" xr3:uid="{E2DEB42B-AAF1-4598-A0B5-947DA53970BE}" name="TOTAL DÇ" dataDxfId="173">
      <calculatedColumnFormula>SUM([1]!Tablo17[DÇ1])/(30*E32)</calculatedColumnFormula>
    </tableColumn>
    <tableColumn id="11" xr3:uid="{76B4191F-9F5F-4ABC-A579-6EA20916246A}" name="CONTRIBUTION" dataDxfId="172">
      <calculatedColumnFormula>$J38*Tablo415[[#This Row],[DERS ÇIKTISI KATSAYISI]]</calculatedColumnFormula>
    </tableColumn>
  </tableColumns>
  <tableStyleInfo name="TableStyleMedium10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D0E462BD-5B76-4E29-BE3F-1AF56C28BE6B}" name="Tablo11" displayName="Tablo11" ref="C44:H45" totalsRowShown="0" headerRowDxfId="171" dataDxfId="170">
  <autoFilter ref="C44:H45" xr:uid="{30DDF577-6D29-4192-BD1D-A1605310E74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485FECC4-7C9F-4F99-A8A3-E085E50FE0C0}" name="HW1" dataDxfId="169"/>
    <tableColumn id="2" xr3:uid="{B1A6DFE5-56E2-4AAE-81F0-B15A49C1D5B0}" name="HW2" dataDxfId="168"/>
    <tableColumn id="3" xr3:uid="{B7C506D9-1A48-4DB6-BD8E-11FCEB6106FD}" name="HW3" dataDxfId="167"/>
    <tableColumn id="4" xr3:uid="{CE88BF0B-D8C9-4A52-B9FC-33630319D405}" name="HW4" dataDxfId="166"/>
    <tableColumn id="5" xr3:uid="{559FE2E4-7872-4917-9A5D-D8334DED0D9F}" name="HW5" dataDxfId="165"/>
    <tableColumn id="6" xr3:uid="{EF32442C-F38D-429E-9FCF-4A9B706AE66B}" name="TOTAL" dataDxfId="164">
      <calculatedColumnFormula>SUM(C45,D45,E45,F45,G45)</calculatedColumnFormula>
    </tableColumn>
  </tableColumns>
  <tableStyleInfo name="TableStyleMedium1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E7B6FEDC-A93A-4CAC-A214-6B1AEEEC4202}" name="Tablo314" displayName="Tablo314" ref="C4:Y34" totalsRowShown="0" headerRowDxfId="163" tableBorderDxfId="162">
  <autoFilter ref="C4:Y34" xr:uid="{0F5C66F6-7459-4C10-9C64-C8DA4D698F11}"/>
  <sortState xmlns:xlrd2="http://schemas.microsoft.com/office/spreadsheetml/2017/richdata2" ref="C5:Y34">
    <sortCondition ref="T4:T34"/>
  </sortState>
  <tableColumns count="23">
    <tableColumn id="1" xr3:uid="{8120C5A4-2E95-4764-9CB0-39554C50DC15}" name="Student No" dataDxfId="161"/>
    <tableColumn id="2" xr3:uid="{5626EBC3-B94C-442F-A47D-22CF374DD55F}" name="Name" dataDxfId="160"/>
    <tableColumn id="3" xr3:uid="{2A7AF50E-1BA1-40E7-BD97-723A2D608BA1}" name="Surname" dataDxfId="159"/>
    <tableColumn id="4" xr3:uid="{EC461BAC-80BD-4181-8CE2-C376F21589E5}" name="LW1"/>
    <tableColumn id="5" xr3:uid="{D05D6E0B-7E62-448C-ADC5-D1103C445139}" name="LW2"/>
    <tableColumn id="6" xr3:uid="{D8C17BB3-29BD-45DB-AD07-27E72AA8D7C6}" name="LW3"/>
    <tableColumn id="7" xr3:uid="{7B1DE58B-B95E-4008-9584-5A8BD435C65B}" name="LW4"/>
    <tableColumn id="8" xr3:uid="{88ECFBE1-FBD0-4CFB-8610-489C561CC26F}" name="LW5"/>
    <tableColumn id="9" xr3:uid="{3D5B50C6-781B-4FE1-96DD-C76374F40204}" name="LW6"/>
    <tableColumn id="10" xr3:uid="{ADD06F1F-953E-4F89-B58F-E596F71DD028}" name="LW7"/>
    <tableColumn id="11" xr3:uid="{EA2EE125-3918-4E80-8B09-1C4AA2B59789}" name="LW8"/>
    <tableColumn id="12" xr3:uid="{CF223368-AEB9-436F-BE8E-9FBA3E0652CB}" name="LW9"/>
    <tableColumn id="13" xr3:uid="{5C9B5D4E-CB81-4EFB-86DF-6678ECEF4BD1}" name="LW10"/>
    <tableColumn id="14" xr3:uid="{D02D94D3-D76A-4F42-9CED-6737AB92F06F}" name="LW11"/>
    <tableColumn id="15" xr3:uid="{92CA4A4B-D53F-4BBB-9326-044C8386C4CB}" name="LW12"/>
    <tableColumn id="16" xr3:uid="{D379F611-8C8E-4A63-8F83-E305BB55200E}" name="LW13"/>
    <tableColumn id="17" xr3:uid="{5FDB416A-90BB-4D15-A0BD-6350CEB579FA}" name="LW14"/>
    <tableColumn id="18" xr3:uid="{23416A46-5B2C-4456-BFBF-FCF2B42CF4BE}" name="TOTAL" dataDxfId="158">
      <calculatedColumnFormula>SUM(Tablo314[[#This Row],[LW1]:[LW14]])</calculatedColumnFormula>
    </tableColumn>
    <tableColumn id="19" xr3:uid="{4BE7C2D7-604C-4756-87C2-78C6CC515C72}" name="DÇ1" dataDxfId="157">
      <calculatedColumnFormula array="1">F5/Tablo27[LW1]*$C$37+Tablo314[[#This Row],[LW2]]/Tablo27[LW2]*$D$37+Tablo314[[#This Row],[LW3]]/Tablo27[LW3]*$E$37+Tablo314[[#This Row],[LW4]]/Tablo27[LW4]*$F$37+Tablo314[[#This Row],[LW5]]/Tablo27[LW5]*$G$37+Tablo314[[#This Row],[LW6]]/Tablo27[LW6]*$H$37+Tablo314[[#This Row],[LW7]]/Tablo27[LW7]*$I$37+Tablo314[[#This Row],[LW8]]/Tablo27[LW8]*$J$37+Tablo314[[#This Row],[LW9]]/Tablo27[LW9]*$K$37+Tablo314[[#This Row],[LW10]]/Tablo27[LW10]*$L$37+Tablo314[[#This Row],[LW11]]/Tablo27[LW11]*$M$37+Tablo314[[#This Row],[LW12]]/Tablo27[LW12]*$N$37+Tablo314[[#This Row],[LW13]]/Tablo27[LW13]*$O$37+Tablo314[[#This Row],[LW14]]/Tablo27[LW14]*$P$37</calculatedColumnFormula>
    </tableColumn>
    <tableColumn id="20" xr3:uid="{935B279A-1565-46CC-A87D-7B9CFB60D6EC}" name="DÇ2" dataDxfId="156">
      <calculatedColumnFormula array="1">F5/Tablo27[LW1]*$C$38+Tablo314[[#This Row],[LW2]]/Tablo27[LW2]*$D$38+Tablo314[[#This Row],[LW3]]/Tablo27[LW3]*$E$38+Tablo314[[#This Row],[LW4]]/Tablo27[LW4]*$F$38+Tablo314[[#This Row],[LW5]]/Tablo27[LW5]*$G$38+Tablo314[[#This Row],[LW6]]/Tablo27[LW6]*$H$38+Tablo314[[#This Row],[LW7]]/Tablo27[LW7]*$I$38+Tablo314[[#This Row],[LW8]]/Tablo27[LW8]*$J$38+Tablo314[[#This Row],[LW9]]/Tablo27[LW9]*$K$38+Tablo314[[#This Row],[LW10]]/Tablo27[LW10]*$L$38+Tablo314[[#This Row],[LW11]]/Tablo27[LW11]*$M$38+Tablo314[[#This Row],[LW12]]/Tablo27[LW12]*$N$38+Tablo314[[#This Row],[LW13]]/Tablo27[LW13]*$O$38+Tablo314[[#This Row],[LW14]]/Tablo27[LW14]*$P$38</calculatedColumnFormula>
    </tableColumn>
    <tableColumn id="21" xr3:uid="{375F4B4B-ACFB-4E1D-B60A-9BE4E3027314}" name="DÇ3" dataDxfId="155">
      <calculatedColumnFormula array="1">F5/Tablo27[LW1]*$C$39+Tablo314[[#This Row],[LW2]]/Tablo27[LW2]*$D$39+Tablo314[[#This Row],[LW3]]/Tablo27[LW3]*$E$39+Tablo314[[#This Row],[LW4]]/Tablo27[LW4]*$F$39+Tablo314[[#This Row],[LW5]]/Tablo27[LW5]*$G$39+Tablo314[[#This Row],[LW6]]/Tablo27[LW6]*$H$39+Tablo314[[#This Row],[LW7]]/Tablo27[LW7]*$I$39+Tablo314[[#This Row],[LW8]]/Tablo27[LW8]*$J$39+Tablo314[[#This Row],[LW9]]/Tablo27[LW9]*$K$39+Tablo314[[#This Row],[LW10]]/Tablo27[LW10]*$L$39+Tablo314[[#This Row],[LW11]]/Tablo27[LW11]*$M$39+Tablo314[[#This Row],[LW12]]/Tablo27[LW12]*$N$39+Tablo314[[#This Row],[LW13]]/Tablo27[LW13]*$O$39+Tablo314[[#This Row],[LW14]]/Tablo27[LW14]*$P$39</calculatedColumnFormula>
    </tableColumn>
    <tableColumn id="22" xr3:uid="{E1B84BD6-32F0-475E-A4AF-8FDDDE500C12}" name="DÇ4" dataDxfId="154">
      <calculatedColumnFormula array="1">F5/Tablo27[LW1]*$C$40+Tablo314[[#This Row],[LW2]]/Tablo27[LW2]*$D$40+Tablo314[[#This Row],[LW3]]/Tablo27[LW3]*$E$40+Tablo314[[#This Row],[LW4]]/Tablo27[LW4]*$F$40+Tablo314[[#This Row],[LW5]]/Tablo27[LW5]*$G$40+Tablo314[[#This Row],[LW6]]/Tablo27[LW6]*$H$40+Tablo314[[#This Row],[LW7]]/Tablo27[LW7]*$I$40+Tablo314[[#This Row],[LW8]]/Tablo27[LW8]*$J$40+Tablo314[[#This Row],[LW9]]/Tablo27[LW9]*$K$40+Tablo314[[#This Row],[LW10]]/Tablo27[LW10]*$L$40+Tablo314[[#This Row],[LW11]]/Tablo27[LW11]*$M$40+Tablo314[[#This Row],[LW12]]/Tablo27[LW12]*$N$40+Tablo314[[#This Row],[LW13]]/Tablo27[LW13]*$O$40+Tablo314[[#This Row],[LW14]]/Tablo27[LW14]*$P$40</calculatedColumnFormula>
    </tableColumn>
    <tableColumn id="23" xr3:uid="{90ACCCD3-E773-4D82-B6D8-C9D6B8AD9604}" name="TOTAL2" dataDxfId="153">
      <calculatedColumnFormula>SUM(Tablo314[[#This Row],[DÇ1]],Tablo314[[#This Row],[DÇ2]],Tablo314[[#This Row],[DÇ3]],Tablo314[[#This Row],[DÇ4]])</calculatedColumnFormula>
    </tableColumn>
  </tableColumns>
  <tableStyleInfo name="TableStyleMedium1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E2EBE726-57DF-449A-8561-82D0069D3362}" name="Tablo41525" displayName="Tablo41525" ref="B45:E49" totalsRowShown="0">
  <autoFilter ref="B45:E49" xr:uid="{46882393-E710-4AC0-87C9-509A90594C80}"/>
  <tableColumns count="4">
    <tableColumn id="1" xr3:uid="{30F85C75-CB22-4FE5-9657-50C06DF27BF0}" name="DERS ÇIKTILARI" dataDxfId="152"/>
    <tableColumn id="2" xr3:uid="{A9B90061-F313-447A-9A9D-6F9A2DC9C9F1}" name="DERS ÇIKTISI ADI"/>
    <tableColumn id="3" xr3:uid="{28606BF4-DDDD-4C43-AA74-9A2912CABA57}" name="DERS ÇIKTISI KATSAYISI" dataDxfId="151">
      <calculatedColumnFormula>MAIN!AI3</calculatedColumnFormula>
    </tableColumn>
    <tableColumn id="4" xr3:uid="{23EBF13C-91B5-48A9-B8C4-72D8BABDD343}" name="KALAN KATSAYI" dataDxfId="150">
      <calculatedColumnFormula>Tablo41525[[#This Row],[DERS ÇIKTISI KATSAYISI]]-Q37</calculatedColumnFormula>
    </tableColumn>
  </tableColumns>
  <tableStyleInfo name="TableStyleMedium9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612E671D-F8FD-46A5-9B71-199896A85E1A}" name="Tablo26" displayName="Tablo26" ref="B36:S40" totalsRowShown="0" headerRowDxfId="149">
  <autoFilter ref="B36:S40" xr:uid="{2AFA98F5-E4D6-4F77-9978-F40AED7179CB}"/>
  <tableColumns count="18">
    <tableColumn id="1" xr3:uid="{1DB0006A-E5F7-4B17-A287-D56B86465311}" name="Ders Çıktıları"/>
    <tableColumn id="2" xr3:uid="{18484132-9274-4235-BBB7-AD977591ACBE}" name="LW1"/>
    <tableColumn id="3" xr3:uid="{F2E4FF2F-6404-433A-85AB-F9D5ADD8CA40}" name="LW2"/>
    <tableColumn id="4" xr3:uid="{7F6345E1-96CA-42FC-BCF8-98E74C0F5644}" name="LW3"/>
    <tableColumn id="5" xr3:uid="{ECCF8600-33E5-47DB-8807-F1E9FE6613CF}" name="LW4"/>
    <tableColumn id="6" xr3:uid="{B5D3BD26-3004-447A-BA8B-61CCD34103C4}" name="LW5"/>
    <tableColumn id="7" xr3:uid="{30D1DDE1-306F-4C98-A724-8F6D95A36B5D}" name="LW6"/>
    <tableColumn id="8" xr3:uid="{D4EFDF94-618F-4CBE-8460-63F5A85C8357}" name="LW7"/>
    <tableColumn id="9" xr3:uid="{5290DD9E-93BE-4104-BC48-D412A4EA0B9C}" name="LW8"/>
    <tableColumn id="10" xr3:uid="{07735D4B-A740-47FF-8DC2-319079FD10B8}" name="LW9"/>
    <tableColumn id="11" xr3:uid="{CDE4E196-33AC-43B1-9C86-1A782994BF93}" name="LW10"/>
    <tableColumn id="12" xr3:uid="{78305853-479C-4CC8-B4A4-8F3E0487283D}" name="LW11"/>
    <tableColumn id="13" xr3:uid="{345C44AE-D74B-4A95-AFAF-DBD7D9C2859C}" name="LW12"/>
    <tableColumn id="14" xr3:uid="{BD8E71AC-C0AB-49DD-B5A7-7D328ACEC18F}" name="LW13"/>
    <tableColumn id="15" xr3:uid="{5D183C4A-149A-4937-8968-C2E5FB2FDB7A}" name="LW14"/>
    <tableColumn id="16" xr3:uid="{E0661ACE-1E96-4BF2-BE49-21F29B73ED40}" name="TOPLAM" dataDxfId="148">
      <calculatedColumnFormula>SUM(Tablo26[[#This Row],[LW1]:[LW14]])</calculatedColumnFormula>
    </tableColumn>
    <tableColumn id="17" xr3:uid="{05D553A9-1A8E-4EE7-95A8-5EB0DFFB3FFD}" name="TOTAL DÇ" dataDxfId="147">
      <calculatedColumnFormula>IF(Q37=0,"0",SUM(Tablo314[DÇ1])/(30*D46))</calculatedColumnFormula>
    </tableColumn>
    <tableColumn id="18" xr3:uid="{2287AF1B-68D9-41D4-8FC6-206F05F16547}" name="CONTRIBUTION" dataDxfId="146">
      <calculatedColumnFormula>Tablo26[[#This Row],[TOTAL DÇ]]*D46</calculatedColumnFormula>
    </tableColumn>
  </tableColumns>
  <tableStyleInfo name="TableStyleMedium10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2631B587-AC8E-4447-A884-EA799ABDD2C9}" name="Tablo27" displayName="Tablo27" ref="B42:Q43" totalsRowShown="0">
  <autoFilter ref="B42:Q43" xr:uid="{65AFC5A6-CAFA-419E-A2AA-A843B6D3758F}"/>
  <tableColumns count="16">
    <tableColumn id="1" xr3:uid="{F5EEEF16-9248-46BD-B0A6-DBC2B4B31E16}" name="-"/>
    <tableColumn id="2" xr3:uid="{71FC1762-72A3-45C4-A130-2CC1B10FCAA6}" name="LW1"/>
    <tableColumn id="3" xr3:uid="{D55C43CE-CDF6-4515-A95C-0D6C1AE0690C}" name="LW2"/>
    <tableColumn id="4" xr3:uid="{8D6F8EB8-94B6-4E17-9510-4E2114E85A52}" name="LW3"/>
    <tableColumn id="5" xr3:uid="{85327AE2-DCCC-482E-9686-EC3EE3113F4B}" name="LW4"/>
    <tableColumn id="6" xr3:uid="{54C752A0-0D1E-416C-9A1C-EA18FB075F84}" name="LW5" dataDxfId="145"/>
    <tableColumn id="7" xr3:uid="{AEC10F4B-2E1C-4A51-8C26-72A30FF8D054}" name="LW6" dataDxfId="144"/>
    <tableColumn id="8" xr3:uid="{A3689F0C-17A8-4FCB-82E1-F423F51596FD}" name="LW7" dataDxfId="143"/>
    <tableColumn id="9" xr3:uid="{D6DDEB18-A96E-4B81-AB64-19B9CAF596CB}" name="LW8" dataDxfId="142"/>
    <tableColumn id="10" xr3:uid="{2FF81ED9-B986-486A-A8C6-440B38386D4E}" name="LW9" dataDxfId="141"/>
    <tableColumn id="11" xr3:uid="{EA5EF21D-95B5-4D7B-BD12-D03CC118EDDF}" name="LW10" dataDxfId="140"/>
    <tableColumn id="12" xr3:uid="{6998393E-62A8-4338-BEF8-4C259DDA59BF}" name="LW11" dataDxfId="139"/>
    <tableColumn id="13" xr3:uid="{E4177717-336C-460F-A8EE-81B0E9489B73}" name="LW12" dataDxfId="138"/>
    <tableColumn id="14" xr3:uid="{D3C7B6DF-07CC-46F6-86CE-5CA031801086}" name="LW13" dataDxfId="137"/>
    <tableColumn id="15" xr3:uid="{B161BEA2-143E-48E5-B7FA-47A22FD4677F}" name="LW14"/>
    <tableColumn id="16" xr3:uid="{044C47EC-BC5F-467C-98F1-4B8589B4F9EB}" name="TOPLAM">
      <calculatedColumnFormula>SUM(Tablo27[[#This Row],[LW1]:[LW14]])</calculatedColumnFormula>
    </tableColumn>
  </tableColumns>
  <tableStyleInfo name="TableStyleMedium1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FDF95AF3-4916-470B-9371-3F2EF20AFE05}" name="Tablo28" displayName="Tablo28" ref="Z4:Z34" totalsRowShown="0" headerRowDxfId="136">
  <autoFilter ref="Z4:Z34" xr:uid="{DEF6F60C-97C6-4D42-B9FD-C3AFFB79406B}"/>
  <tableColumns count="1">
    <tableColumn id="1" xr3:uid="{C7EC52C5-A9A5-44C6-A444-9EAA882E2059}" name="Normal Dist." dataDxfId="135">
      <calculatedColumnFormula array="1">_xlfn.NORM.DIST(Tablo314[[#This Row],[TOTAL]],Tablo29[Mean],Tablo29[Variance],FALSE)</calculatedColumnFormula>
    </tableColumn>
  </tableColumns>
  <tableStyleInfo name="TableStyleMedium11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9B6055A4-4408-4CF4-8243-A806A1DF1362}" name="Tablo29" displayName="Tablo29" ref="X36:Y37" totalsRowShown="0" headerRowDxfId="134">
  <autoFilter ref="X36:Y37" xr:uid="{B7F0D9B6-9D3E-40C9-A264-2DCE8B24F58A}">
    <filterColumn colId="0" hiddenButton="1"/>
    <filterColumn colId="1" hiddenButton="1"/>
  </autoFilter>
  <tableColumns count="2">
    <tableColumn id="1" xr3:uid="{B201CBD6-D254-4387-9A83-E43219BA82B1}" name="Mean">
      <calculatedColumnFormula>AVERAGE(Tablo314[TOTAL])</calculatedColumnFormula>
    </tableColumn>
    <tableColumn id="2" xr3:uid="{40B08320-4892-4A84-B167-EE75945845FA}" name="Variance">
      <calculatedColumnFormula>_xlfn.VAR.P(Tablo314[TOTAL])</calculatedColumnFormula>
    </tableColumn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table" Target="../tables/table3.xml"/><Relationship Id="rId55" Type="http://schemas.openxmlformats.org/officeDocument/2006/relationships/table" Target="../tables/table8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table" Target="../tables/table6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table" Target="../tables/table5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table" Target="../tables/table1.xml"/><Relationship Id="rId8" Type="http://schemas.openxmlformats.org/officeDocument/2006/relationships/ctrlProp" Target="../ctrlProps/ctrlProp5.xml"/><Relationship Id="rId51" Type="http://schemas.openxmlformats.org/officeDocument/2006/relationships/table" Target="../tables/table4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table" Target="../tables/table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3.xml"/><Relationship Id="rId3" Type="http://schemas.openxmlformats.org/officeDocument/2006/relationships/vmlDrawing" Target="../drawings/vmlDrawing2.vml"/><Relationship Id="rId7" Type="http://schemas.openxmlformats.org/officeDocument/2006/relationships/table" Target="../tables/table1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11.xml"/><Relationship Id="rId5" Type="http://schemas.openxmlformats.org/officeDocument/2006/relationships/table" Target="../tables/table10.xml"/><Relationship Id="rId10" Type="http://schemas.openxmlformats.org/officeDocument/2006/relationships/comments" Target="../comments1.xml"/><Relationship Id="rId4" Type="http://schemas.openxmlformats.org/officeDocument/2006/relationships/table" Target="../tables/table9.xml"/><Relationship Id="rId9" Type="http://schemas.openxmlformats.org/officeDocument/2006/relationships/table" Target="../tables/table14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9.xml"/><Relationship Id="rId3" Type="http://schemas.openxmlformats.org/officeDocument/2006/relationships/vmlDrawing" Target="../drawings/vmlDrawing3.vml"/><Relationship Id="rId7" Type="http://schemas.openxmlformats.org/officeDocument/2006/relationships/table" Target="../tables/table18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17.xml"/><Relationship Id="rId5" Type="http://schemas.openxmlformats.org/officeDocument/2006/relationships/table" Target="../tables/table16.xml"/><Relationship Id="rId10" Type="http://schemas.openxmlformats.org/officeDocument/2006/relationships/comments" Target="../comments2.xml"/><Relationship Id="rId4" Type="http://schemas.openxmlformats.org/officeDocument/2006/relationships/table" Target="../tables/table15.xml"/><Relationship Id="rId9" Type="http://schemas.openxmlformats.org/officeDocument/2006/relationships/table" Target="../tables/table20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5.xml"/><Relationship Id="rId3" Type="http://schemas.openxmlformats.org/officeDocument/2006/relationships/vmlDrawing" Target="../drawings/vmlDrawing4.vml"/><Relationship Id="rId7" Type="http://schemas.openxmlformats.org/officeDocument/2006/relationships/table" Target="../tables/table2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23.xml"/><Relationship Id="rId5" Type="http://schemas.openxmlformats.org/officeDocument/2006/relationships/table" Target="../tables/table22.xml"/><Relationship Id="rId10" Type="http://schemas.openxmlformats.org/officeDocument/2006/relationships/comments" Target="../comments3.xml"/><Relationship Id="rId4" Type="http://schemas.openxmlformats.org/officeDocument/2006/relationships/table" Target="../tables/table21.xml"/><Relationship Id="rId9" Type="http://schemas.openxmlformats.org/officeDocument/2006/relationships/table" Target="../tables/table26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1.xml"/><Relationship Id="rId3" Type="http://schemas.openxmlformats.org/officeDocument/2006/relationships/vmlDrawing" Target="../drawings/vmlDrawing5.vml"/><Relationship Id="rId7" Type="http://schemas.openxmlformats.org/officeDocument/2006/relationships/table" Target="../tables/table30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6" Type="http://schemas.openxmlformats.org/officeDocument/2006/relationships/table" Target="../tables/table29.xml"/><Relationship Id="rId5" Type="http://schemas.openxmlformats.org/officeDocument/2006/relationships/table" Target="../tables/table28.xml"/><Relationship Id="rId10" Type="http://schemas.openxmlformats.org/officeDocument/2006/relationships/comments" Target="../comments4.xml"/><Relationship Id="rId4" Type="http://schemas.openxmlformats.org/officeDocument/2006/relationships/table" Target="../tables/table27.xml"/><Relationship Id="rId9" Type="http://schemas.openxmlformats.org/officeDocument/2006/relationships/table" Target="../tables/table3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F2F39-1D5A-4B93-BAF1-7C6CD15D7002}">
  <dimension ref="A1:Y96"/>
  <sheetViews>
    <sheetView tabSelected="1" topLeftCell="A37" zoomScale="55" zoomScaleNormal="55" workbookViewId="0">
      <selection activeCell="AE34" sqref="AE34"/>
    </sheetView>
  </sheetViews>
  <sheetFormatPr defaultColWidth="8.5546875" defaultRowHeight="14.4" x14ac:dyDescent="0.3"/>
  <cols>
    <col min="1" max="1" width="16.109375" style="3" customWidth="1"/>
    <col min="2" max="2" width="16.44140625" style="1" customWidth="1"/>
    <col min="3" max="3" width="15.6640625" style="1" customWidth="1"/>
    <col min="4" max="4" width="18.33203125" style="1" customWidth="1"/>
    <col min="5" max="5" width="15.33203125" style="1" bestFit="1" customWidth="1"/>
    <col min="6" max="6" width="12.44140625" style="1" bestFit="1" customWidth="1"/>
    <col min="7" max="7" width="13.33203125" style="1" bestFit="1" customWidth="1"/>
    <col min="8" max="8" width="18.33203125" style="3" customWidth="1"/>
    <col min="9" max="9" width="16.88671875" style="2" bestFit="1" customWidth="1"/>
    <col min="10" max="10" width="17.33203125" style="1" customWidth="1"/>
    <col min="11" max="11" width="15" style="1" bestFit="1" customWidth="1"/>
    <col min="12" max="13" width="16.88671875" style="1" bestFit="1" customWidth="1"/>
    <col min="14" max="14" width="18.33203125" style="1" bestFit="1" customWidth="1"/>
    <col min="15" max="15" width="15.6640625" style="1" bestFit="1" customWidth="1"/>
    <col min="16" max="16" width="15.33203125" style="1" bestFit="1" customWidth="1"/>
    <col min="17" max="17" width="12.44140625" style="1" bestFit="1" customWidth="1"/>
    <col min="18" max="18" width="18.33203125" style="1" bestFit="1" customWidth="1"/>
    <col min="19" max="19" width="16.88671875" style="1" customWidth="1"/>
    <col min="20" max="20" width="14.88671875" style="1" bestFit="1" customWidth="1"/>
    <col min="21" max="16384" width="8.5546875" style="1"/>
  </cols>
  <sheetData>
    <row r="1" spans="1:24" ht="33.6" x14ac:dyDescent="0.3">
      <c r="A1" s="1"/>
      <c r="B1" s="59" t="s">
        <v>68</v>
      </c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</row>
    <row r="2" spans="1:24" ht="15" thickBot="1" x14ac:dyDescent="0.35">
      <c r="B2" s="58" t="s">
        <v>37</v>
      </c>
      <c r="C2" s="39" t="s">
        <v>36</v>
      </c>
      <c r="D2" s="57" t="s">
        <v>17</v>
      </c>
      <c r="E2" s="57" t="s">
        <v>16</v>
      </c>
      <c r="F2" s="39" t="s">
        <v>25</v>
      </c>
      <c r="G2" s="39" t="s">
        <v>24</v>
      </c>
      <c r="H2" s="39" t="s">
        <v>23</v>
      </c>
      <c r="I2" s="39" t="s">
        <v>26</v>
      </c>
      <c r="J2" s="56" t="s">
        <v>67</v>
      </c>
      <c r="K2" s="39" t="s">
        <v>66</v>
      </c>
      <c r="L2" s="43" t="s">
        <v>65</v>
      </c>
    </row>
    <row r="3" spans="1:24" ht="15.6" thickTop="1" x14ac:dyDescent="0.3">
      <c r="B3" s="48">
        <v>1</v>
      </c>
      <c r="C3" s="35">
        <v>1</v>
      </c>
      <c r="D3" s="46" t="s">
        <v>17</v>
      </c>
      <c r="E3" s="46" t="s">
        <v>16</v>
      </c>
      <c r="F3" s="3">
        <f>VLOOKUP(Tablo1[[#This Row],[Student No]],[1]!Tablo17[[STUDENT ID]:[TOTAL GRADE]],11,FALSE)</f>
        <v>0</v>
      </c>
      <c r="G3" s="3">
        <f>VLOOKUP(Tablo1[[#This Row],[Student No]],[1]!Tablo1738[[STUDENT ID]:[TOTAL GRADE]],11,FALSE)</f>
        <v>0</v>
      </c>
      <c r="H3" s="4">
        <f>VLOOKUP(Tablo1[[#This Row],[Student No]],[1]!Tablo3[[Student No]:[TOTAL]],9,FALSE)</f>
        <v>5.6</v>
      </c>
      <c r="I3" s="4">
        <f>VLOOKUP(Tablo1[[#This Row],[Student No]],Tablo314[[Student No]:[TOTAL]],18,FALSE)</f>
        <v>35</v>
      </c>
      <c r="J3" s="45">
        <f>F3*$O$21%*100/$P$21+G3*$O$22%*100/$P$22+H3*$O$19%*100/$P$19+I3*$O$20%*100/$P$20</f>
        <v>7.56</v>
      </c>
      <c r="K3" s="3" t="str" cm="1">
        <f t="array" ref="K3">_xlfn.IFS(AND(J3&gt;$O$6,J3&lt;$P$6),"AA",AND(J3&gt;$O$7,J3&lt;$P$7),"AB",AND(J3&gt;$O$8,J3&lt;$P$8),"BB",AND(J3&gt;$O$9,J3&lt;$P$9),"CB",AND(J3&gt;$O$10,J3&lt;$P$10),"CC",AND(J3&gt;$O$11,J3&lt;$P$11),"DC",AND(J3&gt;$O$12,J3&lt;$P$12),"DD",AND(J3&gt;$O$13,J3&lt;$P$13),"FD",AND(J3&gt;$O$14,J3&lt;$P$14),"FF")</f>
        <v>FF</v>
      </c>
      <c r="L3" s="43">
        <f>_xlfn.NORM.DIST(J3,$S$31,$T$31,FALSE)</f>
        <v>2.5835198658602518E-3</v>
      </c>
    </row>
    <row r="4" spans="1:24" ht="15" x14ac:dyDescent="0.3">
      <c r="B4" s="49">
        <v>2</v>
      </c>
      <c r="C4" s="35">
        <v>2</v>
      </c>
      <c r="D4" s="5" t="s">
        <v>17</v>
      </c>
      <c r="E4" s="46" t="s">
        <v>16</v>
      </c>
      <c r="F4" s="3">
        <f>VLOOKUP(Tablo1[[#This Row],[Student No]],[1]!Tablo17[[STUDENT ID]:[TOTAL GRADE]],11,FALSE)</f>
        <v>0</v>
      </c>
      <c r="G4" s="3">
        <f>VLOOKUP(Tablo1[[#This Row],[Student No]],[1]!Tablo1738[[STUDENT ID]:[TOTAL GRADE]],11,FALSE)</f>
        <v>0</v>
      </c>
      <c r="H4" s="4">
        <f>VLOOKUP(Tablo1[[#This Row],[Student No]],[1]!Tablo3[[Student No]:[TOTAL]],9,FALSE)</f>
        <v>6</v>
      </c>
      <c r="I4" s="4">
        <f>VLOOKUP(Tablo1[[#This Row],[Student No]],Tablo314[[Student No]:[TOTAL]],18,FALSE)</f>
        <v>35</v>
      </c>
      <c r="J4" s="45">
        <f>F4*$O$21%*100/$P$21+G4*$O$22%*100/$P$22+H4*$O$19%*100/$P$19+I4*$O$20%*100/$P$20</f>
        <v>7.6</v>
      </c>
      <c r="K4" s="3" t="str" cm="1">
        <f t="array" ref="K4">_xlfn.IFS(AND(J4&gt;$O$6,J4&lt;$P$6),"AA",AND(J4&gt;$O$7,J4&lt;$P$7),"AB",AND(J4&gt;$O$8,J4&lt;$P$8),"BB",AND(J4&gt;$O$9,J4&lt;$P$9),"CB",AND(J4&gt;$O$10,J4&lt;$P$10),"CC",AND(J4&gt;$O$11,J4&lt;$P$11),"DC",AND(J4&gt;$O$12,J4&lt;$P$12),"DD",AND(J4&gt;$O$13,J4&lt;$P$13),"FD",AND(J4&gt;$O$14,J4&lt;$P$14),"FF")</f>
        <v>FF</v>
      </c>
      <c r="L4" s="43">
        <f>_xlfn.NORM.DIST(J4,$S$31,$T$31,FALSE)</f>
        <v>2.6004063125194665E-3</v>
      </c>
      <c r="N4" s="55" t="s">
        <v>64</v>
      </c>
      <c r="O4" s="55"/>
      <c r="P4" s="55"/>
    </row>
    <row r="5" spans="1:24" ht="15" x14ac:dyDescent="0.3">
      <c r="B5" s="48">
        <v>3</v>
      </c>
      <c r="C5" s="35">
        <v>3</v>
      </c>
      <c r="D5" s="5" t="s">
        <v>17</v>
      </c>
      <c r="E5" s="46" t="s">
        <v>16</v>
      </c>
      <c r="F5" s="3">
        <f>VLOOKUP(Tablo1[[#This Row],[Student No]],[1]!Tablo17[[STUDENT ID]:[TOTAL GRADE]],11,FALSE)</f>
        <v>0</v>
      </c>
      <c r="G5" s="3">
        <f>VLOOKUP(Tablo1[[#This Row],[Student No]],[1]!Tablo1738[[STUDENT ID]:[TOTAL GRADE]],11,FALSE)</f>
        <v>0</v>
      </c>
      <c r="H5" s="4">
        <f>VLOOKUP(Tablo1[[#This Row],[Student No]],[1]!Tablo3[[Student No]:[TOTAL]],9,FALSE)</f>
        <v>4.2</v>
      </c>
      <c r="I5" s="4">
        <f>VLOOKUP(Tablo1[[#This Row],[Student No]],Tablo314[[Student No]:[TOTAL]],18,FALSE)</f>
        <v>40</v>
      </c>
      <c r="J5" s="45">
        <f>F5*$O$21%*100/$P$21+G5*$O$22%*100/$P$22+H5*$O$19%*100/$P$19+I5*$O$20%*100/$P$20</f>
        <v>8.42</v>
      </c>
      <c r="K5" s="3" t="str" cm="1">
        <f t="array" ref="K5">_xlfn.IFS(AND(J5&gt;$O$6,J5&lt;$P$6),"AA",AND(J5&gt;$O$7,J5&lt;$P$7),"AB",AND(J5&gt;$O$8,J5&lt;$P$8),"BB",AND(J5&gt;$O$9,J5&lt;$P$9),"CB",AND(J5&gt;$O$10,J5&lt;$P$10),"CC",AND(J5&gt;$O$11,J5&lt;$P$11),"DC",AND(J5&gt;$O$12,J5&lt;$P$12),"DD",AND(J5&gt;$O$13,J5&lt;$P$13),"FD",AND(J5&gt;$O$14,J5&lt;$P$14),"FF")</f>
        <v>FF</v>
      </c>
      <c r="L5" s="43">
        <f>_xlfn.NORM.DIST(J5,$S$31,$T$31,FALSE)</f>
        <v>2.966255095607051E-3</v>
      </c>
      <c r="N5" s="1" t="s">
        <v>63</v>
      </c>
      <c r="O5" s="1" t="s">
        <v>62</v>
      </c>
      <c r="P5" s="1" t="s">
        <v>61</v>
      </c>
    </row>
    <row r="6" spans="1:24" ht="15" x14ac:dyDescent="0.3">
      <c r="B6" s="49">
        <v>4</v>
      </c>
      <c r="C6" s="35">
        <v>30</v>
      </c>
      <c r="D6" s="46" t="s">
        <v>17</v>
      </c>
      <c r="E6" s="46" t="s">
        <v>16</v>
      </c>
      <c r="F6" s="3">
        <f>VLOOKUP(Tablo1[[#This Row],[Student No]],[1]!Tablo17[[STUDENT ID]:[TOTAL GRADE]],11,FALSE)</f>
        <v>17</v>
      </c>
      <c r="G6" s="3">
        <f>VLOOKUP(Tablo1[[#This Row],[Student No]],[1]!Tablo1738[[STUDENT ID]:[TOTAL GRADE]],11,FALSE)</f>
        <v>17</v>
      </c>
      <c r="H6" s="4">
        <f>VLOOKUP(Tablo1[[#This Row],[Student No]],[1]!Tablo3[[Student No]:[TOTAL]],9,FALSE)</f>
        <v>5.8</v>
      </c>
      <c r="I6" s="4">
        <f>VLOOKUP(Tablo1[[#This Row],[Student No]],Tablo314[[Student No]:[TOTAL]],18,FALSE)</f>
        <v>45</v>
      </c>
      <c r="J6" s="45">
        <f>F6*$O$21%*100/$P$21+G6*$O$22%*100/$P$22+H6*$O$19%*100/$P$19+I6*$O$20%*100/$P$20</f>
        <v>21.48</v>
      </c>
      <c r="K6" s="3" t="str" cm="1">
        <f t="array" ref="K6">_xlfn.IFS(AND(J6&gt;$O$6,J6&lt;$P$6),"AA",AND(J6&gt;$O$7,J6&lt;$P$7),"AB",AND(J6&gt;$O$8,J6&lt;$P$8),"BB",AND(J6&gt;$O$9,J6&lt;$P$9),"CB",AND(J6&gt;$O$10,J6&lt;$P$10),"CC",AND(J6&gt;$O$11,J6&lt;$P$11),"DC",AND(J6&gt;$O$12,J6&lt;$P$12),"DD",AND(J6&gt;$O$13,J6&lt;$P$13),"FD",AND(J6&gt;$O$14,J6&lt;$P$14),"FF")</f>
        <v>FF</v>
      </c>
      <c r="L6" s="43">
        <f>_xlfn.NORM.DIST(J6,$S$31,$T$31,FALSE)</f>
        <v>1.4720569026309553E-2</v>
      </c>
      <c r="N6" s="1" t="s">
        <v>60</v>
      </c>
      <c r="O6" s="45">
        <v>90</v>
      </c>
      <c r="P6" s="45">
        <v>100</v>
      </c>
    </row>
    <row r="7" spans="1:24" ht="15" x14ac:dyDescent="0.3">
      <c r="B7" s="48">
        <v>5</v>
      </c>
      <c r="C7" s="35">
        <v>29</v>
      </c>
      <c r="D7" s="46" t="s">
        <v>17</v>
      </c>
      <c r="E7" s="46" t="s">
        <v>16</v>
      </c>
      <c r="F7" s="3">
        <f>VLOOKUP(Tablo1[[#This Row],[Student No]],[1]!Tablo17[[STUDENT ID]:[TOTAL GRADE]],11,FALSE)</f>
        <v>21</v>
      </c>
      <c r="G7" s="3">
        <f>VLOOKUP(Tablo1[[#This Row],[Student No]],[1]!Tablo1738[[STUDENT ID]:[TOTAL GRADE]],11,FALSE)</f>
        <v>21</v>
      </c>
      <c r="H7" s="4">
        <f>VLOOKUP(Tablo1[[#This Row],[Student No]],[1]!Tablo3[[Student No]:[TOTAL]],9,FALSE)</f>
        <v>4.2</v>
      </c>
      <c r="I7" s="4">
        <f>VLOOKUP(Tablo1[[#This Row],[Student No]],Tablo314[[Student No]:[TOTAL]],18,FALSE)</f>
        <v>47</v>
      </c>
      <c r="J7" s="45">
        <f>F7*$O$21%*100/$P$21+G7*$O$22%*100/$P$22+H7*$O$19%*100/$P$19+I7*$O$20%*100/$P$20</f>
        <v>24.52</v>
      </c>
      <c r="K7" s="3" t="str" cm="1">
        <f t="array" ref="K7">_xlfn.IFS(AND(J7&gt;$O$6,J7&lt;$P$6),"AA",AND(J7&gt;$O$7,J7&lt;$P$7),"AB",AND(J7&gt;$O$8,J7&lt;$P$8),"BB",AND(J7&gt;$O$9,J7&lt;$P$9),"CB",AND(J7&gt;$O$10,J7&lt;$P$10),"CC",AND(J7&gt;$O$11,J7&lt;$P$11),"DC",AND(J7&gt;$O$12,J7&lt;$P$12),"DD",AND(J7&gt;$O$13,J7&lt;$P$13),"FD",AND(J7&gt;$O$14,J7&lt;$P$14),"FF")</f>
        <v>FF</v>
      </c>
      <c r="L7" s="43">
        <f>_xlfn.NORM.DIST(J7,$S$31,$T$31,FALSE)</f>
        <v>1.8701540010571848E-2</v>
      </c>
      <c r="N7" s="1" t="s">
        <v>59</v>
      </c>
      <c r="O7" s="45">
        <v>85</v>
      </c>
      <c r="P7" s="45">
        <v>90</v>
      </c>
    </row>
    <row r="8" spans="1:24" ht="15" x14ac:dyDescent="0.3">
      <c r="B8" s="49">
        <v>6</v>
      </c>
      <c r="C8" s="35">
        <v>28</v>
      </c>
      <c r="D8" s="46" t="s">
        <v>17</v>
      </c>
      <c r="E8" s="46" t="s">
        <v>16</v>
      </c>
      <c r="F8" s="3">
        <f>VLOOKUP(Tablo1[[#This Row],[Student No]],[1]!Tablo17[[STUDENT ID]:[TOTAL GRADE]],11,FALSE)</f>
        <v>22</v>
      </c>
      <c r="G8" s="3">
        <f>VLOOKUP(Tablo1[[#This Row],[Student No]],[1]!Tablo1738[[STUDENT ID]:[TOTAL GRADE]],11,FALSE)</f>
        <v>22</v>
      </c>
      <c r="H8" s="4">
        <f>VLOOKUP(Tablo1[[#This Row],[Student No]],[1]!Tablo3[[Student No]:[TOTAL]],9,FALSE)</f>
        <v>5</v>
      </c>
      <c r="I8" s="4">
        <f>VLOOKUP(Tablo1[[#This Row],[Student No]],Tablo314[[Student No]:[TOTAL]],18,FALSE)</f>
        <v>58</v>
      </c>
      <c r="J8" s="45">
        <f>F8*$O$21%*100/$P$21+G8*$O$22%*100/$P$22+H8*$O$19%*100/$P$19+I8*$O$20%*100/$P$20</f>
        <v>27.5</v>
      </c>
      <c r="K8" s="3" t="str" cm="1">
        <f t="array" ref="K8">_xlfn.IFS(AND(J8&gt;$O$6,J8&lt;$P$6),"AA",AND(J8&gt;$O$7,J8&lt;$P$7),"AB",AND(J8&gt;$O$8,J8&lt;$P$8),"BB",AND(J8&gt;$O$9,J8&lt;$P$9),"CB",AND(J8&gt;$O$10,J8&lt;$P$10),"CC",AND(J8&gt;$O$11,J8&lt;$P$11),"DC",AND(J8&gt;$O$12,J8&lt;$P$12),"DD",AND(J8&gt;$O$13,J8&lt;$P$13),"FD",AND(J8&gt;$O$14,J8&lt;$P$14),"FF")</f>
        <v>FF</v>
      </c>
      <c r="L8" s="43">
        <f>_xlfn.NORM.DIST(J8,$S$31,$T$31,FALSE)</f>
        <v>2.2517649931579547E-2</v>
      </c>
      <c r="N8" s="1" t="s">
        <v>58</v>
      </c>
      <c r="O8" s="45">
        <v>80</v>
      </c>
      <c r="P8" s="45">
        <v>85</v>
      </c>
    </row>
    <row r="9" spans="1:24" ht="15" x14ac:dyDescent="0.3">
      <c r="B9" s="48">
        <v>7</v>
      </c>
      <c r="C9" s="35">
        <v>27</v>
      </c>
      <c r="D9" s="46" t="s">
        <v>17</v>
      </c>
      <c r="E9" s="46" t="s">
        <v>16</v>
      </c>
      <c r="F9" s="3">
        <f>VLOOKUP(Tablo1[[#This Row],[Student No]],[1]!Tablo17[[STUDENT ID]:[TOTAL GRADE]],11,FALSE)</f>
        <v>24</v>
      </c>
      <c r="G9" s="3">
        <f>VLOOKUP(Tablo1[[#This Row],[Student No]],[1]!Tablo1738[[STUDENT ID]:[TOTAL GRADE]],11,FALSE)</f>
        <v>24</v>
      </c>
      <c r="H9" s="4">
        <f>VLOOKUP(Tablo1[[#This Row],[Student No]],[1]!Tablo3[[Student No]:[TOTAL]],9,FALSE)</f>
        <v>4</v>
      </c>
      <c r="I9" s="4">
        <f>VLOOKUP(Tablo1[[#This Row],[Student No]],Tablo314[[Student No]:[TOTAL]],18,FALSE)</f>
        <v>55</v>
      </c>
      <c r="J9" s="45">
        <f>F9*$O$21%*100/$P$21+G9*$O$22%*100/$P$22+H9*$O$19%*100/$P$19+I9*$O$20%*100/$P$20</f>
        <v>28.2</v>
      </c>
      <c r="K9" s="3" t="str" cm="1">
        <f t="array" ref="K9">_xlfn.IFS(AND(J9&gt;$O$6,J9&lt;$P$6),"AA",AND(J9&gt;$O$7,J9&lt;$P$7),"AB",AND(J9&gt;$O$8,J9&lt;$P$8),"BB",AND(J9&gt;$O$9,J9&lt;$P$9),"CB",AND(J9&gt;$O$10,J9&lt;$P$10),"CC",AND(J9&gt;$O$11,J9&lt;$P$11),"DC",AND(J9&gt;$O$12,J9&lt;$P$12),"DD",AND(J9&gt;$O$13,J9&lt;$P$13),"FD",AND(J9&gt;$O$14,J9&lt;$P$14),"FF")</f>
        <v>FF</v>
      </c>
      <c r="L9" s="43">
        <f>_xlfn.NORM.DIST(J9,$S$31,$T$31,FALSE)</f>
        <v>2.3356865475674778E-2</v>
      </c>
      <c r="N9" s="1" t="s">
        <v>57</v>
      </c>
      <c r="O9" s="45">
        <v>75</v>
      </c>
      <c r="P9" s="45">
        <v>80</v>
      </c>
    </row>
    <row r="10" spans="1:24" ht="15" x14ac:dyDescent="0.3">
      <c r="B10" s="49">
        <v>8</v>
      </c>
      <c r="C10" s="35">
        <v>26</v>
      </c>
      <c r="D10" s="46" t="s">
        <v>17</v>
      </c>
      <c r="E10" s="46" t="s">
        <v>16</v>
      </c>
      <c r="F10" s="3">
        <f>VLOOKUP(Tablo1[[#This Row],[Student No]],[1]!Tablo17[[STUDENT ID]:[TOTAL GRADE]],11,FALSE)</f>
        <v>25</v>
      </c>
      <c r="G10" s="3">
        <f>VLOOKUP(Tablo1[[#This Row],[Student No]],[1]!Tablo1738[[STUDENT ID]:[TOTAL GRADE]],11,FALSE)</f>
        <v>25</v>
      </c>
      <c r="H10" s="4">
        <f>VLOOKUP(Tablo1[[#This Row],[Student No]],[1]!Tablo3[[Student No]:[TOTAL]],9,FALSE)</f>
        <v>5.2</v>
      </c>
      <c r="I10" s="4">
        <f>VLOOKUP(Tablo1[[#This Row],[Student No]],Tablo314[[Student No]:[TOTAL]],18,FALSE)</f>
        <v>59</v>
      </c>
      <c r="J10" s="45">
        <f>F10*$O$21%*100/$P$21+G10*$O$22%*100/$P$22+H10*$O$19%*100/$P$19+I10*$O$20%*100/$P$20</f>
        <v>29.82</v>
      </c>
      <c r="K10" s="3" t="str" cm="1">
        <f t="array" ref="K10">_xlfn.IFS(AND(J10&gt;$O$6,J10&lt;$P$6),"AA",AND(J10&gt;$O$7,J10&lt;$P$7),"AB",AND(J10&gt;$O$8,J10&lt;$P$8),"BB",AND(J10&gt;$O$9,J10&lt;$P$9),"CB",AND(J10&gt;$O$10,J10&lt;$P$10),"CC",AND(J10&gt;$O$11,J10&lt;$P$11),"DC",AND(J10&gt;$O$12,J10&lt;$P$12),"DD",AND(J10&gt;$O$13,J10&lt;$P$13),"FD",AND(J10&gt;$O$14,J10&lt;$P$14),"FF")</f>
        <v>FF</v>
      </c>
      <c r="L10" s="43">
        <f>_xlfn.NORM.DIST(J10,$S$31,$T$31,FALSE)</f>
        <v>2.5161640685374652E-2</v>
      </c>
      <c r="N10" s="1" t="s">
        <v>56</v>
      </c>
      <c r="O10" s="45">
        <v>70</v>
      </c>
      <c r="P10" s="45">
        <v>75</v>
      </c>
    </row>
    <row r="11" spans="1:24" ht="15" x14ac:dyDescent="0.3">
      <c r="B11" s="48">
        <v>9</v>
      </c>
      <c r="C11" s="35">
        <v>25</v>
      </c>
      <c r="D11" s="46" t="s">
        <v>17</v>
      </c>
      <c r="E11" s="46" t="s">
        <v>16</v>
      </c>
      <c r="F11" s="3">
        <f>VLOOKUP(Tablo1[[#This Row],[Student No]],[1]!Tablo17[[STUDENT ID]:[TOTAL GRADE]],11,FALSE)</f>
        <v>28</v>
      </c>
      <c r="G11" s="3">
        <f>VLOOKUP(Tablo1[[#This Row],[Student No]],[1]!Tablo1738[[STUDENT ID]:[TOTAL GRADE]],11,FALSE)</f>
        <v>28</v>
      </c>
      <c r="H11" s="4">
        <f>VLOOKUP(Tablo1[[#This Row],[Student No]],[1]!Tablo3[[Student No]:[TOTAL]],9,FALSE)</f>
        <v>2.2000000000000002</v>
      </c>
      <c r="I11" s="4">
        <f>VLOOKUP(Tablo1[[#This Row],[Student No]],Tablo314[[Student No]:[TOTAL]],18,FALSE)</f>
        <v>56</v>
      </c>
      <c r="J11" s="45">
        <f>F11*$O$21%*100/$P$21+G11*$O$22%*100/$P$22+H11*$O$19%*100/$P$19+I11*$O$20%*100/$P$20</f>
        <v>31.02</v>
      </c>
      <c r="K11" s="3" t="str" cm="1">
        <f t="array" ref="K11">_xlfn.IFS(AND(J11&gt;$O$6,J11&lt;$P$6),"AA",AND(J11&gt;$O$7,J11&lt;$P$7),"AB",AND(J11&gt;$O$8,J11&lt;$P$8),"BB",AND(J11&gt;$O$9,J11&lt;$P$9),"CB",AND(J11&gt;$O$10,J11&lt;$P$10),"CC",AND(J11&gt;$O$11,J11&lt;$P$11),"DC",AND(J11&gt;$O$12,J11&lt;$P$12),"DD",AND(J11&gt;$O$13,J11&lt;$P$13),"FD",AND(J11&gt;$O$14,J11&lt;$P$14),"FF")</f>
        <v>FF</v>
      </c>
      <c r="L11" s="43">
        <f>_xlfn.NORM.DIST(J11,$S$31,$T$31,FALSE)</f>
        <v>2.6343500813529274E-2</v>
      </c>
      <c r="N11" s="1" t="s">
        <v>55</v>
      </c>
      <c r="O11" s="45">
        <v>65</v>
      </c>
      <c r="P11" s="45">
        <v>70</v>
      </c>
    </row>
    <row r="12" spans="1:24" ht="15" x14ac:dyDescent="0.3">
      <c r="B12" s="49">
        <v>10</v>
      </c>
      <c r="C12" s="35">
        <v>22</v>
      </c>
      <c r="D12" s="46" t="s">
        <v>17</v>
      </c>
      <c r="E12" s="46" t="s">
        <v>16</v>
      </c>
      <c r="F12" s="3">
        <f>VLOOKUP(Tablo1[[#This Row],[Student No]],[1]!Tablo17[[STUDENT ID]:[TOTAL GRADE]],11,FALSE)</f>
        <v>36</v>
      </c>
      <c r="G12" s="3">
        <f>VLOOKUP(Tablo1[[#This Row],[Student No]],[1]!Tablo1738[[STUDENT ID]:[TOTAL GRADE]],11,FALSE)</f>
        <v>36</v>
      </c>
      <c r="H12" s="4">
        <f>VLOOKUP(Tablo1[[#This Row],[Student No]],[1]!Tablo3[[Student No]:[TOTAL]],9,FALSE)</f>
        <v>4.4000000000000004</v>
      </c>
      <c r="I12" s="4">
        <f>VLOOKUP(Tablo1[[#This Row],[Student No]],Tablo314[[Student No]:[TOTAL]],18,FALSE)</f>
        <v>42</v>
      </c>
      <c r="J12" s="45">
        <f>F12*$O$21%*100/$P$21+G12*$O$22%*100/$P$22+H12*$O$19%*100/$P$19+I12*$O$20%*100/$P$20</f>
        <v>34.040000000000006</v>
      </c>
      <c r="K12" s="3" t="str" cm="1">
        <f t="array" ref="K12">_xlfn.IFS(AND(J12&gt;$O$6,J12&lt;$P$6),"AA",AND(J12&gt;$O$7,J12&lt;$P$7),"AB",AND(J12&gt;$O$8,J12&lt;$P$8),"BB",AND(J12&gt;$O$9,J12&lt;$P$9),"CB",AND(J12&gt;$O$10,J12&lt;$P$10),"CC",AND(J12&gt;$O$11,J12&lt;$P$11),"DC",AND(J12&gt;$O$12,J12&lt;$P$12),"DD",AND(J12&gt;$O$13,J12&lt;$P$13),"FD",AND(J12&gt;$O$14,J12&lt;$P$14),"FF")</f>
        <v>FF</v>
      </c>
      <c r="L12" s="43">
        <f>_xlfn.NORM.DIST(J12,$S$31,$T$31,FALSE)</f>
        <v>2.855894170296823E-2</v>
      </c>
      <c r="N12" s="1" t="s">
        <v>54</v>
      </c>
      <c r="O12" s="45">
        <v>60</v>
      </c>
      <c r="P12" s="45">
        <v>65</v>
      </c>
    </row>
    <row r="13" spans="1:24" ht="15" x14ac:dyDescent="0.3">
      <c r="B13" s="48">
        <v>11</v>
      </c>
      <c r="C13" s="35">
        <v>24</v>
      </c>
      <c r="D13" s="46" t="s">
        <v>17</v>
      </c>
      <c r="E13" s="46" t="s">
        <v>16</v>
      </c>
      <c r="F13" s="3">
        <f>VLOOKUP(Tablo1[[#This Row],[Student No]],[1]!Tablo17[[STUDENT ID]:[TOTAL GRADE]],11,FALSE)</f>
        <v>35</v>
      </c>
      <c r="G13" s="3">
        <f>VLOOKUP(Tablo1[[#This Row],[Student No]],[1]!Tablo1738[[STUDENT ID]:[TOTAL GRADE]],11,FALSE)</f>
        <v>35</v>
      </c>
      <c r="H13" s="4">
        <f>VLOOKUP(Tablo1[[#This Row],[Student No]],[1]!Tablo3[[Student No]:[TOTAL]],9,FALSE)</f>
        <v>5.6</v>
      </c>
      <c r="I13" s="4">
        <f>VLOOKUP(Tablo1[[#This Row],[Student No]],Tablo314[[Student No]:[TOTAL]],18,FALSE)</f>
        <v>57</v>
      </c>
      <c r="J13" s="45">
        <f>F13*$O$21%*100/$P$21+G13*$O$22%*100/$P$22+H13*$O$19%*100/$P$19+I13*$O$20%*100/$P$20</f>
        <v>36.46</v>
      </c>
      <c r="K13" s="3" t="str" cm="1">
        <f t="array" ref="K13">_xlfn.IFS(AND(J13&gt;$O$6,J13&lt;$P$6),"AA",AND(J13&gt;$O$7,J13&lt;$P$7),"AB",AND(J13&gt;$O$8,J13&lt;$P$8),"BB",AND(J13&gt;$O$9,J13&lt;$P$9),"CB",AND(J13&gt;$O$10,J13&lt;$P$10),"CC",AND(J13&gt;$O$11,J13&lt;$P$11),"DC",AND(J13&gt;$O$12,J13&lt;$P$12),"DD",AND(J13&gt;$O$13,J13&lt;$P$13),"FD",AND(J13&gt;$O$14,J13&lt;$P$14),"FF")</f>
        <v>FF</v>
      </c>
      <c r="L13" s="43">
        <f>_xlfn.NORM.DIST(J13,$S$31,$T$31,FALSE)</f>
        <v>2.9393100692773337E-2</v>
      </c>
      <c r="N13" s="1" t="s">
        <v>53</v>
      </c>
      <c r="O13" s="45">
        <v>50</v>
      </c>
      <c r="P13" s="45">
        <v>60</v>
      </c>
    </row>
    <row r="14" spans="1:24" ht="15" x14ac:dyDescent="0.3">
      <c r="B14" s="49">
        <v>12</v>
      </c>
      <c r="C14" s="35">
        <v>17</v>
      </c>
      <c r="D14" s="46" t="s">
        <v>17</v>
      </c>
      <c r="E14" s="46" t="s">
        <v>16</v>
      </c>
      <c r="F14" s="3">
        <f>VLOOKUP(Tablo1[[#This Row],[Student No]],[1]!Tablo17[[STUDENT ID]:[TOTAL GRADE]],11,FALSE)</f>
        <v>42</v>
      </c>
      <c r="G14" s="3">
        <f>VLOOKUP(Tablo1[[#This Row],[Student No]],[1]!Tablo1738[[STUDENT ID]:[TOTAL GRADE]],11,FALSE)</f>
        <v>42</v>
      </c>
      <c r="H14" s="4">
        <f>VLOOKUP(Tablo1[[#This Row],[Student No]],[1]!Tablo3[[Student No]:[TOTAL]],9,FALSE)</f>
        <v>5</v>
      </c>
      <c r="I14" s="4">
        <f>VLOOKUP(Tablo1[[#This Row],[Student No]],Tablo314[[Student No]:[TOTAL]],18,FALSE)</f>
        <v>33</v>
      </c>
      <c r="J14" s="45">
        <f>F14*$O$21%*100/$P$21+G14*$O$22%*100/$P$22+H14*$O$19%*100/$P$19+I14*$O$20%*100/$P$20</f>
        <v>36.5</v>
      </c>
      <c r="K14" s="3" t="str" cm="1">
        <f t="array" ref="K14">_xlfn.IFS(AND(J14&gt;$O$6,J14&lt;$P$6),"AA",AND(J14&gt;$O$7,J14&lt;$P$7),"AB",AND(J14&gt;$O$8,J14&lt;$P$8),"BB",AND(J14&gt;$O$9,J14&lt;$P$9),"CB",AND(J14&gt;$O$10,J14&lt;$P$10),"CC",AND(J14&gt;$O$11,J14&lt;$P$11),"DC",AND(J14&gt;$O$12,J14&lt;$P$12),"DD",AND(J14&gt;$O$13,J14&lt;$P$13),"FD",AND(J14&gt;$O$14,J14&lt;$P$14),"FF")</f>
        <v>FF</v>
      </c>
      <c r="L14" s="43">
        <f>_xlfn.NORM.DIST(J14,$S$31,$T$31,FALSE)</f>
        <v>2.9399197861535199E-2</v>
      </c>
      <c r="N14" s="1" t="s">
        <v>52</v>
      </c>
      <c r="O14" s="45">
        <v>0</v>
      </c>
      <c r="P14" s="45">
        <v>50</v>
      </c>
    </row>
    <row r="15" spans="1:24" ht="15" x14ac:dyDescent="0.3">
      <c r="B15" s="48">
        <v>13</v>
      </c>
      <c r="C15" s="35">
        <v>21</v>
      </c>
      <c r="D15" s="46" t="s">
        <v>17</v>
      </c>
      <c r="E15" s="46" t="s">
        <v>16</v>
      </c>
      <c r="F15" s="3">
        <f>VLOOKUP(Tablo1[[#This Row],[Student No]],[1]!Tablo17[[STUDENT ID]:[TOTAL GRADE]],11,FALSE)</f>
        <v>37</v>
      </c>
      <c r="G15" s="3">
        <f>VLOOKUP(Tablo1[[#This Row],[Student No]],[1]!Tablo1738[[STUDENT ID]:[TOTAL GRADE]],11,FALSE)</f>
        <v>37</v>
      </c>
      <c r="H15" s="4">
        <f>VLOOKUP(Tablo1[[#This Row],[Student No]],[1]!Tablo3[[Student No]:[TOTAL]],9,FALSE)</f>
        <v>6</v>
      </c>
      <c r="I15" s="4">
        <f>VLOOKUP(Tablo1[[#This Row],[Student No]],Tablo314[[Student No]:[TOTAL]],18,FALSE)</f>
        <v>53</v>
      </c>
      <c r="J15" s="45">
        <f>F15*$O$21%*100/$P$21+G15*$O$22%*100/$P$22+H15*$O$19%*100/$P$19+I15*$O$20%*100/$P$20</f>
        <v>37.1</v>
      </c>
      <c r="K15" s="3" t="str" cm="1">
        <f t="array" ref="K15">_xlfn.IFS(AND(J15&gt;$O$6,J15&lt;$P$6),"AA",AND(J15&gt;$O$7,J15&lt;$P$7),"AB",AND(J15&gt;$O$8,J15&lt;$P$8),"BB",AND(J15&gt;$O$9,J15&lt;$P$9),"CB",AND(J15&gt;$O$10,J15&lt;$P$10),"CC",AND(J15&gt;$O$11,J15&lt;$P$11),"DC",AND(J15&gt;$O$12,J15&lt;$P$12),"DD",AND(J15&gt;$O$13,J15&lt;$P$13),"FD",AND(J15&gt;$O$14,J15&lt;$P$14),"FF")</f>
        <v>FF</v>
      </c>
      <c r="L15" s="43">
        <f>_xlfn.NORM.DIST(J15,$S$31,$T$31,FALSE)</f>
        <v>2.9459928382259248E-2</v>
      </c>
      <c r="N15" s="1" t="s">
        <v>51</v>
      </c>
      <c r="O15" s="3" t="s">
        <v>50</v>
      </c>
      <c r="P15" s="3" t="s">
        <v>50</v>
      </c>
    </row>
    <row r="16" spans="1:24" ht="15" x14ac:dyDescent="0.3">
      <c r="B16" s="49">
        <v>14</v>
      </c>
      <c r="C16" s="35">
        <v>20</v>
      </c>
      <c r="D16" s="46" t="s">
        <v>17</v>
      </c>
      <c r="E16" s="46" t="s">
        <v>16</v>
      </c>
      <c r="F16" s="3">
        <f>VLOOKUP(Tablo1[[#This Row],[Student No]],[1]!Tablo17[[STUDENT ID]:[TOTAL GRADE]],11,FALSE)</f>
        <v>40</v>
      </c>
      <c r="G16" s="3">
        <f>VLOOKUP(Tablo1[[#This Row],[Student No]],[1]!Tablo1738[[STUDENT ID]:[TOTAL GRADE]],11,FALSE)</f>
        <v>40</v>
      </c>
      <c r="H16" s="4">
        <f>VLOOKUP(Tablo1[[#This Row],[Student No]],[1]!Tablo3[[Student No]:[TOTAL]],9,FALSE)</f>
        <v>2</v>
      </c>
      <c r="I16" s="4">
        <f>VLOOKUP(Tablo1[[#This Row],[Student No]],Tablo314[[Student No]:[TOTAL]],18,FALSE)</f>
        <v>56</v>
      </c>
      <c r="J16" s="45">
        <f>F16*$O$21%*100/$P$21+G16*$O$22%*100/$P$22+H16*$O$19%*100/$P$19+I16*$O$20%*100/$P$20</f>
        <v>39.4</v>
      </c>
      <c r="K16" s="3" t="str" cm="1">
        <f t="array" ref="K16">_xlfn.IFS(AND(J16&gt;$O$6,J16&lt;$P$6),"AA",AND(J16&gt;$O$7,J16&lt;$P$7),"AB",AND(J16&gt;$O$8,J16&lt;$P$8),"BB",AND(J16&gt;$O$9,J16&lt;$P$9),"CB",AND(J16&gt;$O$10,J16&lt;$P$10),"CC",AND(J16&gt;$O$11,J16&lt;$P$11),"DC",AND(J16&gt;$O$12,J16&lt;$P$12),"DD",AND(J16&gt;$O$13,J16&lt;$P$13),"FD",AND(J16&gt;$O$14,J16&lt;$P$14),"FF")</f>
        <v>FF</v>
      </c>
      <c r="L16" s="43">
        <f>_xlfn.NORM.DIST(J16,$S$31,$T$31,FALSE)</f>
        <v>2.9158442590746642E-2</v>
      </c>
    </row>
    <row r="17" spans="2:25" ht="15" x14ac:dyDescent="0.3">
      <c r="B17" s="48">
        <v>15</v>
      </c>
      <c r="C17" s="35">
        <v>18</v>
      </c>
      <c r="D17" s="46" t="s">
        <v>17</v>
      </c>
      <c r="E17" s="46" t="s">
        <v>16</v>
      </c>
      <c r="F17" s="3">
        <f>VLOOKUP(Tablo1[[#This Row],[Student No]],[1]!Tablo17[[STUDENT ID]:[TOTAL GRADE]],11,FALSE)</f>
        <v>42</v>
      </c>
      <c r="G17" s="3">
        <f>VLOOKUP(Tablo1[[#This Row],[Student No]],[1]!Tablo1738[[STUDENT ID]:[TOTAL GRADE]],11,FALSE)</f>
        <v>42</v>
      </c>
      <c r="H17" s="4">
        <f>VLOOKUP(Tablo1[[#This Row],[Student No]],[1]!Tablo3[[Student No]:[TOTAL]],9,FALSE)</f>
        <v>2.8</v>
      </c>
      <c r="I17" s="4">
        <f>VLOOKUP(Tablo1[[#This Row],[Student No]],Tablo314[[Student No]:[TOTAL]],18,FALSE)</f>
        <v>49</v>
      </c>
      <c r="J17" s="45">
        <f>F17*$O$21%*100/$P$21+G17*$O$22%*100/$P$22+H17*$O$19%*100/$P$19+I17*$O$20%*100/$P$20</f>
        <v>39.480000000000004</v>
      </c>
      <c r="K17" s="3" t="str" cm="1">
        <f t="array" ref="K17">_xlfn.IFS(AND(J17&gt;$O$6,J17&lt;$P$6),"AA",AND(J17&gt;$O$7,J17&lt;$P$7),"AB",AND(J17&gt;$O$8,J17&lt;$P$8),"BB",AND(J17&gt;$O$9,J17&lt;$P$9),"CB",AND(J17&gt;$O$10,J17&lt;$P$10),"CC",AND(J17&gt;$O$11,J17&lt;$P$11),"DC",AND(J17&gt;$O$12,J17&lt;$P$12),"DD",AND(J17&gt;$O$13,J17&lt;$P$13),"FD",AND(J17&gt;$O$14,J17&lt;$P$14),"FF")</f>
        <v>FF</v>
      </c>
      <c r="L17" s="43">
        <f>_xlfn.NORM.DIST(J17,$S$31,$T$31,FALSE)</f>
        <v>2.9132875007177667E-2</v>
      </c>
      <c r="N17" s="54" t="s">
        <v>49</v>
      </c>
      <c r="O17" s="54"/>
      <c r="P17" s="54"/>
    </row>
    <row r="18" spans="2:25" ht="15" x14ac:dyDescent="0.3">
      <c r="B18" s="49">
        <v>16</v>
      </c>
      <c r="C18" s="35">
        <v>23</v>
      </c>
      <c r="D18" s="46" t="s">
        <v>17</v>
      </c>
      <c r="E18" s="46" t="s">
        <v>16</v>
      </c>
      <c r="F18" s="3">
        <f>VLOOKUP(Tablo1[[#This Row],[Student No]],[1]!Tablo17[[STUDENT ID]:[TOTAL GRADE]],11,FALSE)</f>
        <v>36</v>
      </c>
      <c r="G18" s="3">
        <f>VLOOKUP(Tablo1[[#This Row],[Student No]],[1]!Tablo1738[[STUDENT ID]:[TOTAL GRADE]],11,FALSE)</f>
        <v>36</v>
      </c>
      <c r="H18" s="4">
        <f>VLOOKUP(Tablo1[[#This Row],[Student No]],[1]!Tablo3[[Student No]:[TOTAL]],9,FALSE)</f>
        <v>6.2</v>
      </c>
      <c r="I18" s="4">
        <f>VLOOKUP(Tablo1[[#This Row],[Student No]],Tablo314[[Student No]:[TOTAL]],18,FALSE)</f>
        <v>69</v>
      </c>
      <c r="J18" s="45">
        <f>F18*$O$21%*100/$P$21+G18*$O$22%*100/$P$22+H18*$O$19%*100/$P$19+I18*$O$20%*100/$P$20</f>
        <v>39.620000000000005</v>
      </c>
      <c r="K18" s="3" t="str" cm="1">
        <f t="array" ref="K18">_xlfn.IFS(AND(J18&gt;$O$6,J18&lt;$P$6),"AA",AND(J18&gt;$O$7,J18&lt;$P$7),"AB",AND(J18&gt;$O$8,J18&lt;$P$8),"BB",AND(J18&gt;$O$9,J18&lt;$P$9),"CB",AND(J18&gt;$O$10,J18&lt;$P$10),"CC",AND(J18&gt;$O$11,J18&lt;$P$11),"DC",AND(J18&gt;$O$12,J18&lt;$P$12),"DD",AND(J18&gt;$O$13,J18&lt;$P$13),"FD",AND(J18&gt;$O$14,J18&lt;$P$14),"FF")</f>
        <v>FF</v>
      </c>
      <c r="L18" s="43">
        <f>_xlfn.NORM.DIST(J18,$S$31,$T$31,FALSE)</f>
        <v>2.908574155866496E-2</v>
      </c>
      <c r="N18" s="1" t="s">
        <v>48</v>
      </c>
      <c r="O18" s="1" t="s">
        <v>47</v>
      </c>
      <c r="P18" s="43" t="s">
        <v>46</v>
      </c>
    </row>
    <row r="19" spans="2:25" ht="15" x14ac:dyDescent="0.3">
      <c r="B19" s="48">
        <v>17</v>
      </c>
      <c r="C19" s="35">
        <v>12</v>
      </c>
      <c r="D19" s="46" t="s">
        <v>17</v>
      </c>
      <c r="E19" s="46" t="s">
        <v>16</v>
      </c>
      <c r="F19" s="3">
        <f>VLOOKUP(Tablo1[[#This Row],[Student No]],[1]!Tablo17[[STUDENT ID]:[TOTAL GRADE]],11,FALSE)</f>
        <v>48</v>
      </c>
      <c r="G19" s="3">
        <f>VLOOKUP(Tablo1[[#This Row],[Student No]],[1]!Tablo1738[[STUDENT ID]:[TOTAL GRADE]],11,FALSE)</f>
        <v>48</v>
      </c>
      <c r="H19" s="4">
        <f>VLOOKUP(Tablo1[[#This Row],[Student No]],[1]!Tablo3[[Student No]:[TOTAL]],9,FALSE)</f>
        <v>5</v>
      </c>
      <c r="I19" s="4">
        <f>VLOOKUP(Tablo1[[#This Row],[Student No]],Tablo314[[Student No]:[TOTAL]],18,FALSE)</f>
        <v>36</v>
      </c>
      <c r="J19" s="45">
        <f>F19*$O$21%*100/$P$21+G19*$O$22%*100/$P$22+H19*$O$19%*100/$P$19+I19*$O$20%*100/$P$20</f>
        <v>41.300000000000004</v>
      </c>
      <c r="K19" s="3" t="str" cm="1">
        <f t="array" ref="K19">_xlfn.IFS(AND(J19&gt;$O$6,J19&lt;$P$6),"AA",AND(J19&gt;$O$7,J19&lt;$P$7),"AB",AND(J19&gt;$O$8,J19&lt;$P$8),"BB",AND(J19&gt;$O$9,J19&lt;$P$9),"CB",AND(J19&gt;$O$10,J19&lt;$P$10),"CC",AND(J19&gt;$O$11,J19&lt;$P$11),"DC",AND(J19&gt;$O$12,J19&lt;$P$12),"DD",AND(J19&gt;$O$13,J19&lt;$P$13),"FD",AND(J19&gt;$O$14,J19&lt;$P$14),"FF")</f>
        <v>FF</v>
      </c>
      <c r="L19" s="43">
        <f>_xlfn.NORM.DIST(J19,$S$31,$T$31,FALSE)</f>
        <v>2.8289088090760511E-2</v>
      </c>
      <c r="N19" s="1" t="s">
        <v>45</v>
      </c>
      <c r="O19" s="35">
        <v>10</v>
      </c>
      <c r="P19" s="35" cm="1">
        <f t="array" ref="P19">[1]!Tablo11[TOTAL]</f>
        <v>100</v>
      </c>
    </row>
    <row r="20" spans="2:25" ht="15" x14ac:dyDescent="0.3">
      <c r="B20" s="49">
        <v>18</v>
      </c>
      <c r="C20" s="35">
        <v>19</v>
      </c>
      <c r="D20" s="46" t="s">
        <v>17</v>
      </c>
      <c r="E20" s="46" t="s">
        <v>16</v>
      </c>
      <c r="F20" s="3">
        <f>VLOOKUP(Tablo1[[#This Row],[Student No]],[1]!Tablo17[[STUDENT ID]:[TOTAL GRADE]],11,FALSE)</f>
        <v>40</v>
      </c>
      <c r="G20" s="3">
        <f>VLOOKUP(Tablo1[[#This Row],[Student No]],[1]!Tablo1738[[STUDENT ID]:[TOTAL GRADE]],11,FALSE)</f>
        <v>40</v>
      </c>
      <c r="H20" s="4">
        <f>VLOOKUP(Tablo1[[#This Row],[Student No]],[1]!Tablo3[[Student No]:[TOTAL]],9,FALSE)</f>
        <v>5</v>
      </c>
      <c r="I20" s="4">
        <f>VLOOKUP(Tablo1[[#This Row],[Student No]],Tablo314[[Student No]:[TOTAL]],18,FALSE)</f>
        <v>66</v>
      </c>
      <c r="J20" s="45">
        <f>F20*$O$21%*100/$P$21+G20*$O$22%*100/$P$22+H20*$O$19%*100/$P$19+I20*$O$20%*100/$P$20</f>
        <v>41.7</v>
      </c>
      <c r="K20" s="3" t="str" cm="1">
        <f t="array" ref="K20">_xlfn.IFS(AND(J20&gt;$O$6,J20&lt;$P$6),"AA",AND(J20&gt;$O$7,J20&lt;$P$7),"AB",AND(J20&gt;$O$8,J20&lt;$P$8),"BB",AND(J20&gt;$O$9,J20&lt;$P$9),"CB",AND(J20&gt;$O$10,J20&lt;$P$10),"CC",AND(J20&gt;$O$11,J20&lt;$P$11),"DC",AND(J20&gt;$O$12,J20&lt;$P$12),"DD",AND(J20&gt;$O$13,J20&lt;$P$13),"FD",AND(J20&gt;$O$14,J20&lt;$P$14),"FF")</f>
        <v>FF</v>
      </c>
      <c r="L20" s="43">
        <f>_xlfn.NORM.DIST(J20,$S$31,$T$31,FALSE)</f>
        <v>2.8038931309781329E-2</v>
      </c>
      <c r="N20" s="1" t="s">
        <v>44</v>
      </c>
      <c r="O20" s="35">
        <v>20</v>
      </c>
      <c r="P20" s="35" cm="1">
        <f t="array" ref="P20">Tablo27[TOPLAM]</f>
        <v>100</v>
      </c>
    </row>
    <row r="21" spans="2:25" ht="15" x14ac:dyDescent="0.3">
      <c r="B21" s="48">
        <v>19</v>
      </c>
      <c r="C21" s="35">
        <v>16</v>
      </c>
      <c r="D21" s="46" t="s">
        <v>17</v>
      </c>
      <c r="E21" s="46" t="s">
        <v>16</v>
      </c>
      <c r="F21" s="3">
        <f>VLOOKUP(Tablo1[[#This Row],[Student No]],[1]!Tablo17[[STUDENT ID]:[TOTAL GRADE]],11,FALSE)</f>
        <v>43</v>
      </c>
      <c r="G21" s="3">
        <f>VLOOKUP(Tablo1[[#This Row],[Student No]],[1]!Tablo1738[[STUDENT ID]:[TOTAL GRADE]],11,FALSE)</f>
        <v>43</v>
      </c>
      <c r="H21" s="4">
        <f>VLOOKUP(Tablo1[[#This Row],[Student No]],[1]!Tablo3[[Student No]:[TOTAL]],9,FALSE)</f>
        <v>10</v>
      </c>
      <c r="I21" s="4">
        <f>VLOOKUP(Tablo1[[#This Row],[Student No]],Tablo314[[Student No]:[TOTAL]],18,FALSE)</f>
        <v>56</v>
      </c>
      <c r="J21" s="45">
        <f>F21*$O$21%*100/$P$21+G21*$O$22%*100/$P$22+H21*$O$19%*100/$P$19+I21*$O$20%*100/$P$20</f>
        <v>42.3</v>
      </c>
      <c r="K21" s="3" t="str" cm="1">
        <f t="array" ref="K21">_xlfn.IFS(AND(J21&gt;$O$6,J21&lt;$P$6),"AA",AND(J21&gt;$O$7,J21&lt;$P$7),"AB",AND(J21&gt;$O$8,J21&lt;$P$8),"BB",AND(J21&gt;$O$9,J21&lt;$P$9),"CB",AND(J21&gt;$O$10,J21&lt;$P$10),"CC",AND(J21&gt;$O$11,J21&lt;$P$11),"DC",AND(J21&gt;$O$12,J21&lt;$P$12),"DD",AND(J21&gt;$O$13,J21&lt;$P$13),"FD",AND(J21&gt;$O$14,J21&lt;$P$14),"FF")</f>
        <v>FF</v>
      </c>
      <c r="L21" s="43">
        <f>_xlfn.NORM.DIST(J21,$S$31,$T$31,FALSE)</f>
        <v>2.7622585181342061E-2</v>
      </c>
      <c r="N21" s="1" t="s">
        <v>25</v>
      </c>
      <c r="O21" s="35">
        <v>30</v>
      </c>
      <c r="P21" s="35" cm="1">
        <f t="array" ref="P21">[1]!Tablo19[TOTAL]</f>
        <v>100</v>
      </c>
    </row>
    <row r="22" spans="2:25" ht="15" x14ac:dyDescent="0.3">
      <c r="B22" s="49">
        <v>20</v>
      </c>
      <c r="C22" s="35">
        <v>15</v>
      </c>
      <c r="D22" s="46" t="s">
        <v>17</v>
      </c>
      <c r="E22" s="46" t="s">
        <v>16</v>
      </c>
      <c r="F22" s="3">
        <f>VLOOKUP(Tablo1[[#This Row],[Student No]],[1]!Tablo17[[STUDENT ID]:[TOTAL GRADE]],11,FALSE)</f>
        <v>44</v>
      </c>
      <c r="G22" s="3">
        <f>VLOOKUP(Tablo1[[#This Row],[Student No]],[1]!Tablo1738[[STUDENT ID]:[TOTAL GRADE]],11,FALSE)</f>
        <v>44</v>
      </c>
      <c r="H22" s="4">
        <f>VLOOKUP(Tablo1[[#This Row],[Student No]],[1]!Tablo3[[Student No]:[TOTAL]],9,FALSE)</f>
        <v>6.7</v>
      </c>
      <c r="I22" s="4">
        <f>VLOOKUP(Tablo1[[#This Row],[Student No]],Tablo314[[Student No]:[TOTAL]],18,FALSE)</f>
        <v>62</v>
      </c>
      <c r="J22" s="45">
        <f>F22*$O$21%*100/$P$21+G22*$O$22%*100/$P$22+H22*$O$19%*100/$P$19+I22*$O$20%*100/$P$20</f>
        <v>43.870000000000005</v>
      </c>
      <c r="K22" s="3" t="str" cm="1">
        <f t="array" ref="K22">_xlfn.IFS(AND(J22&gt;$O$6,J22&lt;$P$6),"AA",AND(J22&gt;$O$7,J22&lt;$P$7),"AB",AND(J22&gt;$O$8,J22&lt;$P$8),"BB",AND(J22&gt;$O$9,J22&lt;$P$9),"CB",AND(J22&gt;$O$10,J22&lt;$P$10),"CC",AND(J22&gt;$O$11,J22&lt;$P$11),"DC",AND(J22&gt;$O$12,J22&lt;$P$12),"DD",AND(J22&gt;$O$13,J22&lt;$P$13),"FD",AND(J22&gt;$O$14,J22&lt;$P$14),"FF")</f>
        <v>FF</v>
      </c>
      <c r="L22" s="43">
        <f>_xlfn.NORM.DIST(J22,$S$31,$T$31,FALSE)</f>
        <v>2.631642468448479E-2</v>
      </c>
      <c r="N22" s="1" t="s">
        <v>43</v>
      </c>
      <c r="O22" s="35">
        <v>40</v>
      </c>
      <c r="P22" s="35" cm="1">
        <f t="array" ref="P22">[1]!Tablo1939[TOTAL]</f>
        <v>100</v>
      </c>
    </row>
    <row r="23" spans="2:25" ht="15" x14ac:dyDescent="0.3">
      <c r="B23" s="48">
        <v>21</v>
      </c>
      <c r="C23" s="35">
        <v>11</v>
      </c>
      <c r="D23" s="46" t="s">
        <v>17</v>
      </c>
      <c r="E23" s="46" t="s">
        <v>16</v>
      </c>
      <c r="F23" s="3">
        <f>VLOOKUP(Tablo1[[#This Row],[Student No]],[1]!Tablo17[[STUDENT ID]:[TOTAL GRADE]],11,FALSE)</f>
        <v>50</v>
      </c>
      <c r="G23" s="3">
        <f>VLOOKUP(Tablo1[[#This Row],[Student No]],[1]!Tablo1738[[STUDENT ID]:[TOTAL GRADE]],11,FALSE)</f>
        <v>50</v>
      </c>
      <c r="H23" s="4">
        <f>VLOOKUP(Tablo1[[#This Row],[Student No]],[1]!Tablo3[[Student No]:[TOTAL]],9,FALSE)</f>
        <v>4.8</v>
      </c>
      <c r="I23" s="4">
        <f>VLOOKUP(Tablo1[[#This Row],[Student No]],Tablo314[[Student No]:[TOTAL]],18,FALSE)</f>
        <v>43</v>
      </c>
      <c r="J23" s="45">
        <f>F23*$O$21%*100/$P$21+G23*$O$22%*100/$P$22+H23*$O$19%*100/$P$19+I23*$O$20%*100/$P$20</f>
        <v>44.08</v>
      </c>
      <c r="K23" s="3" t="str" cm="1">
        <f t="array" ref="K23">_xlfn.IFS(AND(J23&gt;$O$6,J23&lt;$P$6),"AA",AND(J23&gt;$O$7,J23&lt;$P$7),"AB",AND(J23&gt;$O$8,J23&lt;$P$8),"BB",AND(J23&gt;$O$9,J23&lt;$P$9),"CB",AND(J23&gt;$O$10,J23&lt;$P$10),"CC",AND(J23&gt;$O$11,J23&lt;$P$11),"DC",AND(J23&gt;$O$12,J23&lt;$P$12),"DD",AND(J23&gt;$O$13,J23&lt;$P$13),"FD",AND(J23&gt;$O$14,J23&lt;$P$14),"FF")</f>
        <v>FF</v>
      </c>
      <c r="L23" s="43">
        <f>_xlfn.NORM.DIST(J23,$S$31,$T$31,FALSE)</f>
        <v>2.6119813534685173E-2</v>
      </c>
      <c r="N23" s="1" t="s">
        <v>42</v>
      </c>
      <c r="O23" s="53">
        <f>SUM(O19,O20,O21,O22)</f>
        <v>100</v>
      </c>
      <c r="P23" s="52" t="s">
        <v>41</v>
      </c>
    </row>
    <row r="24" spans="2:25" ht="15" x14ac:dyDescent="0.3">
      <c r="B24" s="49">
        <v>22</v>
      </c>
      <c r="C24" s="35">
        <v>14</v>
      </c>
      <c r="D24" s="46" t="s">
        <v>17</v>
      </c>
      <c r="E24" s="46" t="s">
        <v>16</v>
      </c>
      <c r="F24" s="3">
        <f>VLOOKUP(Tablo1[[#This Row],[Student No]],[1]!Tablo17[[STUDENT ID]:[TOTAL GRADE]],11,FALSE)</f>
        <v>47</v>
      </c>
      <c r="G24" s="3">
        <f>VLOOKUP(Tablo1[[#This Row],[Student No]],[1]!Tablo1738[[STUDENT ID]:[TOTAL GRADE]],11,FALSE)</f>
        <v>47</v>
      </c>
      <c r="H24" s="4">
        <f>VLOOKUP(Tablo1[[#This Row],[Student No]],[1]!Tablo3[[Student No]:[TOTAL]],9,FALSE)</f>
        <v>3.4</v>
      </c>
      <c r="I24" s="4">
        <f>VLOOKUP(Tablo1[[#This Row],[Student No]],Tablo314[[Student No]:[TOTAL]],18,FALSE)</f>
        <v>60</v>
      </c>
      <c r="J24" s="45">
        <f>F24*$O$21%*100/$P$21+G24*$O$22%*100/$P$22+H24*$O$19%*100/$P$19+I24*$O$20%*100/$P$20</f>
        <v>45.24</v>
      </c>
      <c r="K24" s="3" t="str" cm="1">
        <f t="array" ref="K24">_xlfn.IFS(AND(J24&gt;$O$6,J24&lt;$P$6),"AA",AND(J24&gt;$O$7,J24&lt;$P$7),"AB",AND(J24&gt;$O$8,J24&lt;$P$8),"BB",AND(J24&gt;$O$9,J24&lt;$P$9),"CB",AND(J24&gt;$O$10,J24&lt;$P$10),"CC",AND(J24&gt;$O$11,J24&lt;$P$11),"DC",AND(J24&gt;$O$12,J24&lt;$P$12),"DD",AND(J24&gt;$O$13,J24&lt;$P$13),"FD",AND(J24&gt;$O$14,J24&lt;$P$14),"FF")</f>
        <v>FF</v>
      </c>
      <c r="L24" s="43">
        <f>_xlfn.NORM.DIST(J24,$S$31,$T$31,FALSE)</f>
        <v>2.4951526469312774E-2</v>
      </c>
    </row>
    <row r="25" spans="2:25" ht="15" x14ac:dyDescent="0.3">
      <c r="B25" s="48">
        <v>23</v>
      </c>
      <c r="C25" s="35">
        <v>13</v>
      </c>
      <c r="D25" s="46" t="s">
        <v>17</v>
      </c>
      <c r="E25" s="46" t="s">
        <v>16</v>
      </c>
      <c r="F25" s="3">
        <f>VLOOKUP(Tablo1[[#This Row],[Student No]],[1]!Tablo17[[STUDENT ID]:[TOTAL GRADE]],11,FALSE)</f>
        <v>48</v>
      </c>
      <c r="G25" s="3">
        <f>VLOOKUP(Tablo1[[#This Row],[Student No]],[1]!Tablo1738[[STUDENT ID]:[TOTAL GRADE]],11,FALSE)</f>
        <v>48</v>
      </c>
      <c r="H25" s="4">
        <f>VLOOKUP(Tablo1[[#This Row],[Student No]],[1]!Tablo3[[Student No]:[TOTAL]],9,FALSE)</f>
        <v>4.4000000000000004</v>
      </c>
      <c r="I25" s="4">
        <f>VLOOKUP(Tablo1[[#This Row],[Student No]],Tablo314[[Student No]:[TOTAL]],18,FALSE)</f>
        <v>61</v>
      </c>
      <c r="J25" s="45">
        <f>F25*$O$21%*100/$P$21+G25*$O$22%*100/$P$22+H25*$O$19%*100/$P$19+I25*$O$20%*100/$P$20</f>
        <v>46.239999999999995</v>
      </c>
      <c r="K25" s="3" t="str" cm="1">
        <f t="array" ref="K25">_xlfn.IFS(AND(J25&gt;$O$6,J25&lt;$P$6),"AA",AND(J25&gt;$O$7,J25&lt;$P$7),"AB",AND(J25&gt;$O$8,J25&lt;$P$8),"BB",AND(J25&gt;$O$9,J25&lt;$P$9),"CB",AND(J25&gt;$O$10,J25&lt;$P$10),"CC",AND(J25&gt;$O$11,J25&lt;$P$11),"DC",AND(J25&gt;$O$12,J25&lt;$P$12),"DD",AND(J25&gt;$O$13,J25&lt;$P$13),"FD",AND(J25&gt;$O$14,J25&lt;$P$14),"FF")</f>
        <v>FF</v>
      </c>
      <c r="L25" s="43">
        <f>_xlfn.NORM.DIST(J25,$S$31,$T$31,FALSE)</f>
        <v>2.384547790320761E-2</v>
      </c>
    </row>
    <row r="26" spans="2:25" ht="15" x14ac:dyDescent="0.3">
      <c r="B26" s="49">
        <v>24</v>
      </c>
      <c r="C26" s="35">
        <v>10</v>
      </c>
      <c r="D26" s="46" t="s">
        <v>17</v>
      </c>
      <c r="E26" s="46" t="s">
        <v>16</v>
      </c>
      <c r="F26" s="3">
        <f>VLOOKUP(Tablo1[[#This Row],[Student No]],[1]!Tablo17[[STUDENT ID]:[TOTAL GRADE]],11,FALSE)</f>
        <v>50</v>
      </c>
      <c r="G26" s="3">
        <f>VLOOKUP(Tablo1[[#This Row],[Student No]],[1]!Tablo1738[[STUDENT ID]:[TOTAL GRADE]],11,FALSE)</f>
        <v>50</v>
      </c>
      <c r="H26" s="4">
        <f>VLOOKUP(Tablo1[[#This Row],[Student No]],[1]!Tablo3[[Student No]:[TOTAL]],9,FALSE)</f>
        <v>5.8</v>
      </c>
      <c r="I26" s="4">
        <f>VLOOKUP(Tablo1[[#This Row],[Student No]],Tablo314[[Student No]:[TOTAL]],18,FALSE)</f>
        <v>54</v>
      </c>
      <c r="J26" s="45">
        <f>F26*$O$21%*100/$P$21+G26*$O$22%*100/$P$22+H26*$O$19%*100/$P$19+I26*$O$20%*100/$P$20</f>
        <v>46.379999999999995</v>
      </c>
      <c r="K26" s="3" t="str" cm="1">
        <f t="array" ref="K26">_xlfn.IFS(AND(J26&gt;$O$6,J26&lt;$P$6),"AA",AND(J26&gt;$O$7,J26&lt;$P$7),"AB",AND(J26&gt;$O$8,J26&lt;$P$8),"BB",AND(J26&gt;$O$9,J26&lt;$P$9),"CB",AND(J26&gt;$O$10,J26&lt;$P$10),"CC",AND(J26&gt;$O$11,J26&lt;$P$11),"DC",AND(J26&gt;$O$12,J26&lt;$P$12),"DD",AND(J26&gt;$O$13,J26&lt;$P$13),"FD",AND(J26&gt;$O$14,J26&lt;$P$14),"FF")</f>
        <v>FF</v>
      </c>
      <c r="L26" s="43">
        <f>_xlfn.NORM.DIST(J26,$S$31,$T$31,FALSE)</f>
        <v>2.3684279603739766E-2</v>
      </c>
    </row>
    <row r="27" spans="2:25" ht="15" x14ac:dyDescent="0.3">
      <c r="B27" s="48">
        <v>25</v>
      </c>
      <c r="C27" s="35">
        <v>9</v>
      </c>
      <c r="D27" s="46" t="s">
        <v>17</v>
      </c>
      <c r="E27" s="46" t="s">
        <v>16</v>
      </c>
      <c r="F27" s="3">
        <f>VLOOKUP(Tablo1[[#This Row],[Student No]],[1]!Tablo17[[STUDENT ID]:[TOTAL GRADE]],11,FALSE)</f>
        <v>53</v>
      </c>
      <c r="G27" s="3">
        <f>VLOOKUP(Tablo1[[#This Row],[Student No]],[1]!Tablo1738[[STUDENT ID]:[TOTAL GRADE]],11,FALSE)</f>
        <v>53</v>
      </c>
      <c r="H27" s="4">
        <f>VLOOKUP(Tablo1[[#This Row],[Student No]],[1]!Tablo3[[Student No]:[TOTAL]],9,FALSE)</f>
        <v>4</v>
      </c>
      <c r="I27" s="4">
        <f>VLOOKUP(Tablo1[[#This Row],[Student No]],Tablo314[[Student No]:[TOTAL]],18,FALSE)</f>
        <v>49</v>
      </c>
      <c r="J27" s="45">
        <f>F27*$O$21%*100/$P$21+G27*$O$22%*100/$P$22+H27*$O$19%*100/$P$19+I27*$O$20%*100/$P$20</f>
        <v>47.3</v>
      </c>
      <c r="K27" s="3" t="str" cm="1">
        <f t="array" ref="K27">_xlfn.IFS(AND(J27&gt;$O$6,J27&lt;$P$6),"AA",AND(J27&gt;$O$7,J27&lt;$P$7),"AB",AND(J27&gt;$O$8,J27&lt;$P$8),"BB",AND(J27&gt;$O$9,J27&lt;$P$9),"CB",AND(J27&gt;$O$10,J27&lt;$P$10),"CC",AND(J27&gt;$O$11,J27&lt;$P$11),"DC",AND(J27&gt;$O$12,J27&lt;$P$12),"DD",AND(J27&gt;$O$13,J27&lt;$P$13),"FD",AND(J27&gt;$O$14,J27&lt;$P$14),"FF")</f>
        <v>FF</v>
      </c>
      <c r="L27" s="43">
        <f>_xlfn.NORM.DIST(J27,$S$31,$T$31,FALSE)</f>
        <v>2.2591563133072187E-2</v>
      </c>
      <c r="R27" s="51" t="s">
        <v>40</v>
      </c>
      <c r="S27" s="51"/>
      <c r="T27" s="51"/>
      <c r="U27" s="51"/>
      <c r="V27" s="51"/>
      <c r="W27" s="51"/>
      <c r="X27" s="51"/>
    </row>
    <row r="28" spans="2:25" ht="15" x14ac:dyDescent="0.3">
      <c r="B28" s="49">
        <v>26</v>
      </c>
      <c r="C28" s="35">
        <v>8</v>
      </c>
      <c r="D28" s="46" t="s">
        <v>17</v>
      </c>
      <c r="E28" s="46" t="s">
        <v>16</v>
      </c>
      <c r="F28" s="3">
        <f>VLOOKUP(Tablo1[[#This Row],[Student No]],[1]!Tablo17[[STUDENT ID]:[TOTAL GRADE]],11,FALSE)</f>
        <v>55</v>
      </c>
      <c r="G28" s="3">
        <f>VLOOKUP(Tablo1[[#This Row],[Student No]],[1]!Tablo1738[[STUDENT ID]:[TOTAL GRADE]],11,FALSE)</f>
        <v>55</v>
      </c>
      <c r="H28" s="4">
        <f>VLOOKUP(Tablo1[[#This Row],[Student No]],[1]!Tablo3[[Student No]:[TOTAL]],9,FALSE)</f>
        <v>5.4</v>
      </c>
      <c r="I28" s="4">
        <f>VLOOKUP(Tablo1[[#This Row],[Student No]],Tablo314[[Student No]:[TOTAL]],18,FALSE)</f>
        <v>50</v>
      </c>
      <c r="J28" s="45">
        <f>F28*$O$21%*100/$P$21+G28*$O$22%*100/$P$22+H28*$O$19%*100/$P$19+I28*$O$20%*100/$P$20</f>
        <v>49.04</v>
      </c>
      <c r="K28" s="3" t="str" cm="1">
        <f t="array" ref="K28">_xlfn.IFS(AND(J28&gt;$O$6,J28&lt;$P$6),"AA",AND(J28&gt;$O$7,J28&lt;$P$7),"AB",AND(J28&gt;$O$8,J28&lt;$P$8),"BB",AND(J28&gt;$O$9,J28&lt;$P$9),"CB",AND(J28&gt;$O$10,J28&lt;$P$10),"CC",AND(J28&gt;$O$11,J28&lt;$P$11),"DC",AND(J28&gt;$O$12,J28&lt;$P$12),"DD",AND(J28&gt;$O$13,J28&lt;$P$13),"FD",AND(J28&gt;$O$14,J28&lt;$P$14),"FF")</f>
        <v>FF</v>
      </c>
      <c r="L28" s="43">
        <f>_xlfn.NORM.DIST(J28,$S$31,$T$31,FALSE)</f>
        <v>2.0401607494210355E-2</v>
      </c>
      <c r="R28" s="51"/>
      <c r="S28" s="51"/>
      <c r="T28" s="51"/>
      <c r="U28" s="51"/>
      <c r="V28" s="51"/>
      <c r="W28" s="51"/>
      <c r="X28" s="51"/>
      <c r="Y28" s="50"/>
    </row>
    <row r="29" spans="2:25" ht="15" x14ac:dyDescent="0.3">
      <c r="B29" s="48">
        <v>27</v>
      </c>
      <c r="C29" s="35">
        <v>7</v>
      </c>
      <c r="D29" s="46" t="s">
        <v>17</v>
      </c>
      <c r="E29" s="46" t="s">
        <v>16</v>
      </c>
      <c r="F29" s="3">
        <f>VLOOKUP(Tablo1[[#This Row],[Student No]],[1]!Tablo17[[STUDENT ID]:[TOTAL GRADE]],11,FALSE)</f>
        <v>57</v>
      </c>
      <c r="G29" s="3">
        <f>VLOOKUP(Tablo1[[#This Row],[Student No]],[1]!Tablo1738[[STUDENT ID]:[TOTAL GRADE]],11,FALSE)</f>
        <v>57</v>
      </c>
      <c r="H29" s="4">
        <f>VLOOKUP(Tablo1[[#This Row],[Student No]],[1]!Tablo3[[Student No]:[TOTAL]],9,FALSE)</f>
        <v>5.4</v>
      </c>
      <c r="I29" s="4">
        <f>VLOOKUP(Tablo1[[#This Row],[Student No]],Tablo314[[Student No]:[TOTAL]],18,FALSE)</f>
        <v>62</v>
      </c>
      <c r="J29" s="45">
        <f>F29*$O$21%*100/$P$21+G29*$O$22%*100/$P$22+H29*$O$19%*100/$P$19+I29*$O$20%*100/$P$20</f>
        <v>52.839999999999996</v>
      </c>
      <c r="K29" s="3" t="str" cm="1">
        <f t="array" ref="K29">_xlfn.IFS(AND(J29&gt;$O$6,J29&lt;$P$6),"AA",AND(J29&gt;$O$7,J29&lt;$P$7),"AB",AND(J29&gt;$O$8,J29&lt;$P$8),"BB",AND(J29&gt;$O$9,J29&lt;$P$9),"CB",AND(J29&gt;$O$10,J29&lt;$P$10),"CC",AND(J29&gt;$O$11,J29&lt;$P$11),"DC",AND(J29&gt;$O$12,J29&lt;$P$12),"DD",AND(J29&gt;$O$13,J29&lt;$P$13),"FD",AND(J29&gt;$O$14,J29&lt;$P$14),"FF")</f>
        <v>FD</v>
      </c>
      <c r="L29" s="43">
        <f>_xlfn.NORM.DIST(J29,$S$31,$T$31,FALSE)</f>
        <v>1.5417492944803013E-2</v>
      </c>
    </row>
    <row r="30" spans="2:25" ht="15" x14ac:dyDescent="0.3">
      <c r="B30" s="49">
        <v>28</v>
      </c>
      <c r="C30" s="35">
        <v>6</v>
      </c>
      <c r="D30" s="46" t="s">
        <v>17</v>
      </c>
      <c r="E30" s="46" t="s">
        <v>16</v>
      </c>
      <c r="F30" s="3">
        <f>VLOOKUP(Tablo1[[#This Row],[Student No]],[1]!Tablo17[[STUDENT ID]:[TOTAL GRADE]],11,FALSE)</f>
        <v>62</v>
      </c>
      <c r="G30" s="3">
        <f>VLOOKUP(Tablo1[[#This Row],[Student No]],[1]!Tablo1738[[STUDENT ID]:[TOTAL GRADE]],11,FALSE)</f>
        <v>62</v>
      </c>
      <c r="H30" s="4">
        <f>VLOOKUP(Tablo1[[#This Row],[Student No]],[1]!Tablo3[[Student No]:[TOTAL]],9,FALSE)</f>
        <v>0</v>
      </c>
      <c r="I30" s="4">
        <f>VLOOKUP(Tablo1[[#This Row],[Student No]],Tablo314[[Student No]:[TOTAL]],18,FALSE)</f>
        <v>49</v>
      </c>
      <c r="J30" s="45">
        <f>F30*$O$21%*100/$P$21+G30*$O$22%*100/$P$22+H30*$O$19%*100/$P$19+I30*$O$20%*100/$P$20</f>
        <v>53.2</v>
      </c>
      <c r="K30" s="3" t="str" cm="1">
        <f t="array" ref="K30">_xlfn.IFS(AND(J30&gt;$O$6,J30&lt;$P$6),"AA",AND(J30&gt;$O$7,J30&lt;$P$7),"AB",AND(J30&gt;$O$8,J30&lt;$P$8),"BB",AND(J30&gt;$O$9,J30&lt;$P$9),"CB",AND(J30&gt;$O$10,J30&lt;$P$10),"CC",AND(J30&gt;$O$11,J30&lt;$P$11),"DC",AND(J30&gt;$O$12,J30&lt;$P$12),"DD",AND(J30&gt;$O$13,J30&lt;$P$13),"FD",AND(J30&gt;$O$14,J30&lt;$P$14),"FF")</f>
        <v>FD</v>
      </c>
      <c r="L30" s="43">
        <f>_xlfn.NORM.DIST(J30,$S$31,$T$31,FALSE)</f>
        <v>1.4952525787742199E-2</v>
      </c>
      <c r="S30" s="41" t="s">
        <v>39</v>
      </c>
      <c r="T30" s="41" t="s">
        <v>38</v>
      </c>
    </row>
    <row r="31" spans="2:25" ht="15" x14ac:dyDescent="0.3">
      <c r="B31" s="48">
        <v>29</v>
      </c>
      <c r="C31" s="35">
        <v>5</v>
      </c>
      <c r="D31" s="46" t="s">
        <v>17</v>
      </c>
      <c r="E31" s="46" t="s">
        <v>16</v>
      </c>
      <c r="F31" s="3">
        <f>VLOOKUP(Tablo1[[#This Row],[Student No]],[1]!Tablo17[[STUDENT ID]:[TOTAL GRADE]],11,FALSE)</f>
        <v>67</v>
      </c>
      <c r="G31" s="3">
        <f>VLOOKUP(Tablo1[[#This Row],[Student No]],[1]!Tablo1738[[STUDENT ID]:[TOTAL GRADE]],11,FALSE)</f>
        <v>67</v>
      </c>
      <c r="H31" s="4">
        <f>VLOOKUP(Tablo1[[#This Row],[Student No]],[1]!Tablo3[[Student No]:[TOTAL]],9,FALSE)</f>
        <v>0</v>
      </c>
      <c r="I31" s="4">
        <f>VLOOKUP(Tablo1[[#This Row],[Student No]],Tablo314[[Student No]:[TOTAL]],18,FALSE)</f>
        <v>54</v>
      </c>
      <c r="J31" s="45">
        <f>F31*$O$21%*100/$P$21+G31*$O$22%*100/$P$22+H31*$O$19%*100/$P$19+I31*$O$20%*100/$P$20</f>
        <v>57.7</v>
      </c>
      <c r="K31" s="3" t="str" cm="1">
        <f t="array" ref="K31">_xlfn.IFS(AND(J31&gt;$O$6,J31&lt;$P$6),"AA",AND(J31&gt;$O$7,J31&lt;$P$7),"AB",AND(J31&gt;$O$8,J31&lt;$P$8),"BB",AND(J31&gt;$O$9,J31&lt;$P$9),"CB",AND(J31&gt;$O$10,J31&lt;$P$10),"CC",AND(J31&gt;$O$11,J31&lt;$P$11),"DC",AND(J31&gt;$O$12,J31&lt;$P$12),"DD",AND(J31&gt;$O$13,J31&lt;$P$13),"FD",AND(J31&gt;$O$14,J31&lt;$P$14),"FF")</f>
        <v>FD</v>
      </c>
      <c r="L31" s="43">
        <f>_xlfn.NORM.DIST(J31,$S$31,$T$31,FALSE)</f>
        <v>9.6064371118935454E-3</v>
      </c>
      <c r="S31" s="35">
        <f>AVERAGE(Tablo1[Total Points])</f>
        <v>37.430333333333337</v>
      </c>
      <c r="T31" s="35">
        <f>_xlfn.STDEV.P(Tablo1[Total Points])</f>
        <v>13.537831062946861</v>
      </c>
    </row>
    <row r="32" spans="2:25" ht="15" x14ac:dyDescent="0.3">
      <c r="B32" s="47">
        <v>30</v>
      </c>
      <c r="C32" s="35">
        <v>4</v>
      </c>
      <c r="D32" s="46" t="s">
        <v>17</v>
      </c>
      <c r="E32" s="46" t="s">
        <v>16</v>
      </c>
      <c r="F32" s="3">
        <f>VLOOKUP(Tablo1[[#This Row],[Student No]],[1]!Tablo17[[STUDENT ID]:[TOTAL GRADE]],11,FALSE)</f>
        <v>71</v>
      </c>
      <c r="G32" s="3">
        <f>VLOOKUP(Tablo1[[#This Row],[Student No]],[1]!Tablo1738[[STUDENT ID]:[TOTAL GRADE]],11,FALSE)</f>
        <v>71</v>
      </c>
      <c r="H32" s="4">
        <f>VLOOKUP(Tablo1[[#This Row],[Student No]],[1]!Tablo3[[Student No]:[TOTAL]],9,FALSE)</f>
        <v>5</v>
      </c>
      <c r="I32" s="4">
        <f>VLOOKUP(Tablo1[[#This Row],[Student No]],Tablo314[[Student No]:[TOTAL]],18,FALSE)</f>
        <v>64</v>
      </c>
      <c r="J32" s="45">
        <f>F32*$O$21%*100/$P$21+G32*$O$22%*100/$P$22+H32*$O$19%*100/$P$19+I32*$O$20%*100/$P$20</f>
        <v>63</v>
      </c>
      <c r="K32" s="3" t="str" cm="1">
        <f t="array" ref="K32">_xlfn.IFS(AND(J32&gt;$O$6,J32&lt;$P$6),"AA",AND(J32&gt;$O$7,J32&lt;$P$7),"AB",AND(J32&gt;$O$8,J32&lt;$P$8),"BB",AND(J32&gt;$O$9,J32&lt;$P$9),"CB",AND(J32&gt;$O$10,J32&lt;$P$10),"CC",AND(J32&gt;$O$11,J32&lt;$P$11),"DC",AND(J32&gt;$O$12,J32&lt;$P$12),"DD",AND(J32&gt;$O$13,J32&lt;$P$13),"FD",AND(J32&gt;$O$14,J32&lt;$P$14),"FF")</f>
        <v>DD</v>
      </c>
      <c r="L32" s="43">
        <f>_xlfn.NORM.DIST(J32,$S$31,$T$31,FALSE)</f>
        <v>4.9511906617681943E-3</v>
      </c>
    </row>
    <row r="33" spans="1:20" ht="15" x14ac:dyDescent="0.3">
      <c r="A33" s="5"/>
      <c r="D33" s="3"/>
      <c r="E33" s="3"/>
      <c r="F33" s="4"/>
      <c r="G33" s="4"/>
    </row>
    <row r="34" spans="1:20" ht="15" thickBot="1" x14ac:dyDescent="0.35">
      <c r="A34" s="5"/>
      <c r="B34" s="44" t="s">
        <v>37</v>
      </c>
      <c r="C34" s="43" t="s">
        <v>36</v>
      </c>
      <c r="D34" s="43" t="s">
        <v>35</v>
      </c>
      <c r="E34" s="42" t="s">
        <v>34</v>
      </c>
      <c r="F34" s="42" t="s">
        <v>33</v>
      </c>
      <c r="G34" s="42" t="s">
        <v>32</v>
      </c>
      <c r="H34" s="42" t="s">
        <v>31</v>
      </c>
      <c r="I34" s="42" t="s">
        <v>30</v>
      </c>
      <c r="M34" s="40" t="s">
        <v>28</v>
      </c>
      <c r="N34" s="40" t="s">
        <v>27</v>
      </c>
      <c r="O34" s="41" t="s">
        <v>29</v>
      </c>
      <c r="P34" s="39" t="s">
        <v>25</v>
      </c>
      <c r="Q34" s="39" t="s">
        <v>24</v>
      </c>
      <c r="R34" s="39" t="s">
        <v>23</v>
      </c>
      <c r="S34" s="39" t="s">
        <v>26</v>
      </c>
    </row>
    <row r="35" spans="1:20" ht="15.6" thickTop="1" x14ac:dyDescent="0.3">
      <c r="A35" s="5"/>
      <c r="B35" s="32">
        <v>1</v>
      </c>
      <c r="C35" s="3">
        <v>1</v>
      </c>
      <c r="D35" s="3" t="s">
        <v>17</v>
      </c>
      <c r="E35" s="3" t="s">
        <v>16</v>
      </c>
      <c r="F35" s="3">
        <f>([1]MIDTERM!N5/[1]MIDTERM!$D$37+[1]FINAL!N5/[1]FINAL!$D$37+[1]HOMEWORK!L5/[1]HOMEWORK!$O$38+LAB!U5/LAB!$D$46)/4</f>
        <v>0.46293650793650787</v>
      </c>
      <c r="G35" s="3">
        <f>([1]MIDTERM!O5/[1]MIDTERM!$D$38+[1]FINAL!O5/[1]FINAL!$D$38+[1]HOMEWORK!M5/[1]HOMEWORK!$O$39+LAB!V5/LAB!$D$47)/4</f>
        <v>0.37812499999999999</v>
      </c>
      <c r="H35" s="4">
        <f>([1]MIDTERM!P5/[1]MIDTERM!$D$39+[1]FINAL!P5/[1]FINAL!$D$39+[1]HOMEWORK!N5/[1]HOMEWORK!$O$40+LAB!W5/LAB!$D$48)/4</f>
        <v>0.43208333333333332</v>
      </c>
      <c r="I35" s="3">
        <f>([1]MIDTERM!Q5/[1]MIDTERM!$D$40+[1]FINAL!Q5/[1]FINAL!$D$40+[1]HOMEWORK!O5/[1]HOMEWORK!$O$41+LAB!X5/LAB!$D$49)/4</f>
        <v>0.39195075757575759</v>
      </c>
      <c r="M35" s="37">
        <v>1</v>
      </c>
      <c r="N35" s="35" t="s">
        <v>21</v>
      </c>
      <c r="O35" s="35">
        <f>Tablo413[[#This Row],[Midterm]]+Tablo413[[#This Row],[FINAL]]+Tablo413[[#This Row],[HOMEWORK]]+Tablo413[[#This Row],[LAB]]</f>
        <v>170</v>
      </c>
      <c r="P35" s="36">
        <f>[1]MIDTERM!J43</f>
        <v>30</v>
      </c>
      <c r="Q35" s="36">
        <f>[1]FINAL!J43</f>
        <v>70</v>
      </c>
      <c r="R35" s="36">
        <f>[1]HOMEWORK!I38</f>
        <v>45</v>
      </c>
      <c r="S35" s="36">
        <f>LAB!Q37</f>
        <v>25</v>
      </c>
    </row>
    <row r="36" spans="1:20" ht="15" x14ac:dyDescent="0.3">
      <c r="A36" s="5"/>
      <c r="B36" s="33">
        <v>2</v>
      </c>
      <c r="C36" s="3">
        <v>2</v>
      </c>
      <c r="D36" s="3" t="s">
        <v>17</v>
      </c>
      <c r="E36" s="3" t="s">
        <v>16</v>
      </c>
      <c r="F36" s="3">
        <f>([1]MIDTERM!N6/[1]MIDTERM!$D$37+[1]FINAL!N6/[1]FINAL!$D$37+[1]HOMEWORK!L6/[1]HOMEWORK!$O$38+LAB!U6/LAB!$D$46)/4</f>
        <v>0.4084523809523809</v>
      </c>
      <c r="G36" s="4">
        <f>([1]MIDTERM!O6/[1]MIDTERM!$D$38+[1]FINAL!O6/[1]FINAL!$D$38+[1]HOMEWORK!M6/[1]HOMEWORK!$O$39+LAB!V6/LAB!$D$47)/4</f>
        <v>0.47187500000000004</v>
      </c>
      <c r="H36" s="4">
        <f>([1]MIDTERM!P6/[1]MIDTERM!$D$39+[1]FINAL!P6/[1]FINAL!$D$39+[1]HOMEWORK!N6/[1]HOMEWORK!$O$40+LAB!W6/LAB!$D$48)/4</f>
        <v>0.37421875000000004</v>
      </c>
      <c r="I36" s="3">
        <f>([1]MIDTERM!Q6/[1]MIDTERM!$D$40+[1]FINAL!Q6/[1]FINAL!$D$40+[1]HOMEWORK!O6/[1]HOMEWORK!$O$41+LAB!X6/LAB!$D$49)/4</f>
        <v>0.44621212121212123</v>
      </c>
      <c r="M36" s="37">
        <v>2</v>
      </c>
      <c r="N36" s="35" t="s">
        <v>20</v>
      </c>
      <c r="O36" s="35">
        <f>Tablo413[[#This Row],[Midterm]]+Tablo413[[#This Row],[FINAL]]+Tablo413[[#This Row],[HOMEWORK]]+Tablo413[[#This Row],[LAB]]</f>
        <v>65</v>
      </c>
      <c r="P36" s="36">
        <f>[1]MIDTERM!J44</f>
        <v>10</v>
      </c>
      <c r="Q36" s="36">
        <f>[1]FINAL!J44</f>
        <v>5</v>
      </c>
      <c r="R36" s="36">
        <f>[1]HOMEWORK!I39</f>
        <v>10</v>
      </c>
      <c r="S36" s="36">
        <f>LAB!Q38</f>
        <v>40</v>
      </c>
    </row>
    <row r="37" spans="1:20" ht="15" x14ac:dyDescent="0.3">
      <c r="A37" s="5"/>
      <c r="B37" s="32">
        <v>3</v>
      </c>
      <c r="C37" s="3">
        <v>3</v>
      </c>
      <c r="D37" s="3" t="s">
        <v>17</v>
      </c>
      <c r="E37" s="3" t="s">
        <v>16</v>
      </c>
      <c r="F37" s="3">
        <f>([1]MIDTERM!N7/[1]MIDTERM!$D$37+[1]FINAL!N7/[1]FINAL!$D$37+[1]HOMEWORK!L7/[1]HOMEWORK!$O$38+LAB!U7/LAB!$D$46)/4</f>
        <v>0.48957671957671955</v>
      </c>
      <c r="G37" s="4">
        <f>([1]MIDTERM!O7/[1]MIDTERM!$D$38+[1]FINAL!O7/[1]FINAL!$D$38+[1]HOMEWORK!M7/[1]HOMEWORK!$O$39+LAB!V7/LAB!$D$47)/4</f>
        <v>0.36145833333333333</v>
      </c>
      <c r="H37" s="4">
        <f>([1]MIDTERM!P7/[1]MIDTERM!$D$39+[1]FINAL!P7/[1]FINAL!$D$39+[1]HOMEWORK!N7/[1]HOMEWORK!$O$40+LAB!W7/LAB!$D$48)/4</f>
        <v>0.45020833333333332</v>
      </c>
      <c r="I37" s="3">
        <f>([1]MIDTERM!Q7/[1]MIDTERM!$D$40+[1]FINAL!Q7/[1]FINAL!$D$40+[1]HOMEWORK!O7/[1]HOMEWORK!$O$41+LAB!X7/LAB!$D$49)/4</f>
        <v>0.35615530303030307</v>
      </c>
      <c r="M37" s="37">
        <v>3</v>
      </c>
      <c r="N37" s="35" t="s">
        <v>19</v>
      </c>
      <c r="O37" s="35">
        <f>Tablo413[[#This Row],[Midterm]]+Tablo413[[#This Row],[FINAL]]+Tablo413[[#This Row],[HOMEWORK]]+Tablo413[[#This Row],[LAB]]</f>
        <v>115</v>
      </c>
      <c r="P37" s="36">
        <f>[1]MIDTERM!J45</f>
        <v>5</v>
      </c>
      <c r="Q37" s="36">
        <f>[1]FINAL!J45</f>
        <v>40</v>
      </c>
      <c r="R37" s="36">
        <f>[1]HOMEWORK!I40</f>
        <v>20</v>
      </c>
      <c r="S37" s="36">
        <f>LAB!Q39</f>
        <v>50</v>
      </c>
    </row>
    <row r="38" spans="1:20" ht="15" x14ac:dyDescent="0.3">
      <c r="A38" s="5"/>
      <c r="B38" s="33">
        <v>4</v>
      </c>
      <c r="C38" s="3">
        <v>4</v>
      </c>
      <c r="D38" s="3" t="s">
        <v>17</v>
      </c>
      <c r="E38" s="3" t="s">
        <v>16</v>
      </c>
      <c r="F38" s="3">
        <f>([1]MIDTERM!N8/[1]MIDTERM!$D$37+[1]FINAL!N8/[1]FINAL!$D$37+[1]HOMEWORK!L8/[1]HOMEWORK!$O$38+LAB!U8/LAB!$D$46)/4</f>
        <v>0.41357142857142859</v>
      </c>
      <c r="G38" s="4">
        <f>([1]MIDTERM!O8/[1]MIDTERM!$D$38+[1]FINAL!O8/[1]FINAL!$D$38+[1]HOMEWORK!M8/[1]HOMEWORK!$O$39+LAB!V8/LAB!$D$47)/4</f>
        <v>0.27291666666666664</v>
      </c>
      <c r="H38" s="4">
        <f>([1]MIDTERM!P8/[1]MIDTERM!$D$39+[1]FINAL!P8/[1]FINAL!$D$39+[1]HOMEWORK!N8/[1]HOMEWORK!$O$40+LAB!W8/LAB!$D$48)/4</f>
        <v>0.41437500000000005</v>
      </c>
      <c r="I38" s="3">
        <f>([1]MIDTERM!Q8/[1]MIDTERM!$D$40+[1]FINAL!Q8/[1]FINAL!$D$40+[1]HOMEWORK!O8/[1]HOMEWORK!$O$41+LAB!X8/LAB!$D$49)/4</f>
        <v>0.38011363636363638</v>
      </c>
      <c r="M38" s="3">
        <v>4</v>
      </c>
      <c r="N38" s="35" t="s">
        <v>18</v>
      </c>
      <c r="O38" s="35">
        <f>Tablo413[[#This Row],[Midterm]]+Tablo413[[#This Row],[FINAL]]+Tablo413[[#This Row],[HOMEWORK]]+Tablo413[[#This Row],[LAB]]</f>
        <v>125</v>
      </c>
      <c r="P38" s="36">
        <f>[1]MIDTERM!J46</f>
        <v>40</v>
      </c>
      <c r="Q38" s="36">
        <f>[1]FINAL!J46</f>
        <v>20</v>
      </c>
      <c r="R38" s="36">
        <f>[1]HOMEWORK!I41</f>
        <v>10</v>
      </c>
      <c r="S38" s="36">
        <f>LAB!Q40</f>
        <v>55</v>
      </c>
    </row>
    <row r="39" spans="1:20" ht="15" x14ac:dyDescent="0.3">
      <c r="A39" s="5"/>
      <c r="B39" s="32">
        <v>5</v>
      </c>
      <c r="C39" s="3">
        <v>5</v>
      </c>
      <c r="D39" s="3" t="s">
        <v>17</v>
      </c>
      <c r="E39" s="3" t="s">
        <v>16</v>
      </c>
      <c r="F39" s="3">
        <f>([1]MIDTERM!N9/[1]MIDTERM!$D$37+[1]FINAL!N9/[1]FINAL!$D$37+[1]HOMEWORK!L9/[1]HOMEWORK!$O$38+LAB!U9/LAB!$D$46)/4</f>
        <v>0.43134920634920637</v>
      </c>
      <c r="G39" s="4">
        <f>([1]MIDTERM!O9/[1]MIDTERM!$D$38+[1]FINAL!O9/[1]FINAL!$D$38+[1]HOMEWORK!M9/[1]HOMEWORK!$O$39+LAB!V9/LAB!$D$47)/4</f>
        <v>0.45625000000000004</v>
      </c>
      <c r="H39" s="4">
        <f>([1]MIDTERM!P9/[1]MIDTERM!$D$39+[1]FINAL!P9/[1]FINAL!$D$39+[1]HOMEWORK!N9/[1]HOMEWORK!$O$40+LAB!W9/LAB!$D$48)/4</f>
        <v>0.36843750000000003</v>
      </c>
      <c r="I39" s="3">
        <f>([1]MIDTERM!Q9/[1]MIDTERM!$D$40+[1]FINAL!Q9/[1]FINAL!$D$40+[1]HOMEWORK!O9/[1]HOMEWORK!$O$41+LAB!X9/LAB!$D$49)/4</f>
        <v>0.26126893939393936</v>
      </c>
    </row>
    <row r="40" spans="1:20" ht="15.6" x14ac:dyDescent="0.3">
      <c r="A40" s="5"/>
      <c r="B40" s="33">
        <v>6</v>
      </c>
      <c r="C40" s="3">
        <v>6</v>
      </c>
      <c r="D40" s="3" t="s">
        <v>17</v>
      </c>
      <c r="E40" s="3" t="s">
        <v>16</v>
      </c>
      <c r="F40" s="3">
        <f>([1]MIDTERM!N10/[1]MIDTERM!$D$37+[1]FINAL!N10/[1]FINAL!$D$37+[1]HOMEWORK!L10/[1]HOMEWORK!$O$38+LAB!U10/LAB!$D$46)/4</f>
        <v>0.43865079365079362</v>
      </c>
      <c r="G40" s="4">
        <f>([1]MIDTERM!O10/[1]MIDTERM!$D$38+[1]FINAL!O10/[1]FINAL!$D$38+[1]HOMEWORK!M10/[1]HOMEWORK!$O$39+LAB!V10/LAB!$D$47)/4</f>
        <v>0.41875000000000001</v>
      </c>
      <c r="H40" s="4">
        <f>([1]MIDTERM!P10/[1]MIDTERM!$D$39+[1]FINAL!P10/[1]FINAL!$D$39+[1]HOMEWORK!N10/[1]HOMEWORK!$O$40+LAB!W10/LAB!$D$48)/4</f>
        <v>0.4223958333333333</v>
      </c>
      <c r="I40" s="3">
        <f>([1]MIDTERM!Q10/[1]MIDTERM!$D$40+[1]FINAL!Q10/[1]FINAL!$D$40+[1]HOMEWORK!O10/[1]HOMEWORK!$O$41+LAB!X10/LAB!$D$49)/4</f>
        <v>0.27102272727272725</v>
      </c>
      <c r="M40" s="40" t="s">
        <v>28</v>
      </c>
      <c r="N40" s="40" t="s">
        <v>27</v>
      </c>
      <c r="O40" s="39" t="s">
        <v>26</v>
      </c>
      <c r="P40" s="39" t="s">
        <v>25</v>
      </c>
      <c r="Q40" s="39" t="s">
        <v>24</v>
      </c>
      <c r="R40" s="39" t="s">
        <v>23</v>
      </c>
      <c r="S40" s="38" t="s">
        <v>22</v>
      </c>
      <c r="T40" s="35"/>
    </row>
    <row r="41" spans="1:20" ht="15" x14ac:dyDescent="0.3">
      <c r="A41" s="5"/>
      <c r="B41" s="32">
        <v>7</v>
      </c>
      <c r="C41" s="3">
        <v>7</v>
      </c>
      <c r="D41" s="3" t="s">
        <v>17</v>
      </c>
      <c r="E41" s="3" t="s">
        <v>16</v>
      </c>
      <c r="F41" s="3">
        <f>([1]MIDTERM!N11/[1]MIDTERM!$D$37+[1]FINAL!N11/[1]FINAL!$D$37+[1]HOMEWORK!L11/[1]HOMEWORK!$O$38+LAB!U11/LAB!$D$46)/4</f>
        <v>0.45185185185185184</v>
      </c>
      <c r="G41" s="4">
        <f>([1]MIDTERM!O11/[1]MIDTERM!$D$38+[1]FINAL!O11/[1]FINAL!$D$38+[1]HOMEWORK!M11/[1]HOMEWORK!$O$39+LAB!V11/LAB!$D$47)/4</f>
        <v>0.4</v>
      </c>
      <c r="H41" s="4">
        <f>([1]MIDTERM!P11/[1]MIDTERM!$D$39+[1]FINAL!P11/[1]FINAL!$D$39+[1]HOMEWORK!N11/[1]HOMEWORK!$O$40+LAB!W11/LAB!$D$48)/4</f>
        <v>0.46677083333333336</v>
      </c>
      <c r="I41" s="3">
        <f>([1]MIDTERM!Q11/[1]MIDTERM!$D$40+[1]FINAL!Q11/[1]FINAL!$D$40+[1]HOMEWORK!O11/[1]HOMEWORK!$O$41+LAB!X11/LAB!$D$49)/4</f>
        <v>0.19043560606060606</v>
      </c>
      <c r="M41" s="37">
        <v>1</v>
      </c>
      <c r="N41" s="35" t="s">
        <v>21</v>
      </c>
      <c r="O41" s="35">
        <f>LAB!S37</f>
        <v>14.816666666666666</v>
      </c>
      <c r="P41" s="36">
        <f>[1]MIDTERM!L43</f>
        <v>9.3305555555555539</v>
      </c>
      <c r="Q41" s="36">
        <f>[1]FINAL!L43</f>
        <v>28.197222222222219</v>
      </c>
      <c r="R41" s="35">
        <f>[1]HOMEWORK!K38</f>
        <v>11.697222222222226</v>
      </c>
      <c r="S41" s="35">
        <f>SUM(Tablo41342[[#This Row],[LAB]:[HOMEWORK]])</f>
        <v>64.041666666666657</v>
      </c>
      <c r="T41" s="35"/>
    </row>
    <row r="42" spans="1:20" ht="15" x14ac:dyDescent="0.3">
      <c r="A42" s="5"/>
      <c r="B42" s="33">
        <v>8</v>
      </c>
      <c r="C42" s="3">
        <v>8</v>
      </c>
      <c r="D42" s="3" t="s">
        <v>17</v>
      </c>
      <c r="E42" s="3" t="s">
        <v>16</v>
      </c>
      <c r="F42" s="3">
        <f>([1]MIDTERM!N12/[1]MIDTERM!$D$37+[1]FINAL!N12/[1]FINAL!$D$37+[1]HOMEWORK!L12/[1]HOMEWORK!$O$38+LAB!U12/LAB!$D$46)/4</f>
        <v>0.47145502645502646</v>
      </c>
      <c r="G42" s="4">
        <f>([1]MIDTERM!O12/[1]MIDTERM!$D$38+[1]FINAL!O12/[1]FINAL!$D$38+[1]HOMEWORK!M12/[1]HOMEWORK!$O$39+LAB!V12/LAB!$D$47)/4</f>
        <v>0.35624999999999996</v>
      </c>
      <c r="H42" s="4">
        <f>([1]MIDTERM!P12/[1]MIDTERM!$D$39+[1]FINAL!P12/[1]FINAL!$D$39+[1]HOMEWORK!N12/[1]HOMEWORK!$O$40+LAB!W12/LAB!$D$48)/4</f>
        <v>0.42625000000000002</v>
      </c>
      <c r="I42" s="3">
        <f>([1]MIDTERM!Q12/[1]MIDTERM!$D$40+[1]FINAL!Q12/[1]FINAL!$D$40+[1]HOMEWORK!O12/[1]HOMEWORK!$O$41+LAB!X12/LAB!$D$49)/4</f>
        <v>0.2824810606060606</v>
      </c>
      <c r="M42" s="37">
        <v>2</v>
      </c>
      <c r="N42" s="35" t="s">
        <v>20</v>
      </c>
      <c r="O42" s="35">
        <f>LAB!S38</f>
        <v>22.866666666666667</v>
      </c>
      <c r="P42" s="36">
        <f>[1]MIDTERM!L44</f>
        <v>2.8055555555555554</v>
      </c>
      <c r="Q42" s="36">
        <f>[1]FINAL!L44</f>
        <v>2.0458333333333334</v>
      </c>
      <c r="R42" s="35">
        <f>[1]HOMEWORK!K39</f>
        <v>1.7833333333333334</v>
      </c>
      <c r="S42" s="35">
        <f>SUM(Tablo41342[[#This Row],[LAB]:[HOMEWORK]])</f>
        <v>29.501388888888894</v>
      </c>
      <c r="T42" s="35"/>
    </row>
    <row r="43" spans="1:20" ht="15" x14ac:dyDescent="0.3">
      <c r="A43" s="5"/>
      <c r="B43" s="32">
        <v>9</v>
      </c>
      <c r="C43" s="3">
        <v>9</v>
      </c>
      <c r="D43" s="3" t="s">
        <v>17</v>
      </c>
      <c r="E43" s="3" t="s">
        <v>16</v>
      </c>
      <c r="F43" s="3">
        <f>([1]MIDTERM!N13/[1]MIDTERM!$D$37+[1]FINAL!N13/[1]FINAL!$D$37+[1]HOMEWORK!L13/[1]HOMEWORK!$O$38+LAB!U13/LAB!$D$46)/4</f>
        <v>0.3543121693121693</v>
      </c>
      <c r="G43" s="4">
        <f>([1]MIDTERM!O13/[1]MIDTERM!$D$38+[1]FINAL!O13/[1]FINAL!$D$38+[1]HOMEWORK!M13/[1]HOMEWORK!$O$39+LAB!V13/LAB!$D$47)/4</f>
        <v>0.36145833333333333</v>
      </c>
      <c r="H43" s="4">
        <f>([1]MIDTERM!P13/[1]MIDTERM!$D$39+[1]FINAL!P13/[1]FINAL!$D$39+[1]HOMEWORK!N13/[1]HOMEWORK!$O$40+LAB!W13/LAB!$D$48)/4</f>
        <v>0.40427083333333336</v>
      </c>
      <c r="I43" s="3">
        <f>([1]MIDTERM!Q13/[1]MIDTERM!$D$40+[1]FINAL!Q13/[1]FINAL!$D$40+[1]HOMEWORK!O13/[1]HOMEWORK!$O$41+LAB!X13/LAB!$D$49)/4</f>
        <v>0.31534090909090906</v>
      </c>
      <c r="M43" s="37">
        <v>3</v>
      </c>
      <c r="N43" s="35" t="s">
        <v>19</v>
      </c>
      <c r="O43" s="35">
        <f>LAB!S39</f>
        <v>25.933333333333337</v>
      </c>
      <c r="P43" s="36">
        <f>[1]MIDTERM!L45</f>
        <v>2.0222222222222217</v>
      </c>
      <c r="Q43" s="36">
        <f>[1]FINAL!L45</f>
        <v>15.698611111111109</v>
      </c>
      <c r="R43" s="35">
        <f>[1]HOMEWORK!K40</f>
        <v>4.0388888888888888</v>
      </c>
      <c r="S43" s="35">
        <f>SUM(Tablo41342[[#This Row],[LAB]:[HOMEWORK]])</f>
        <v>47.69305555555556</v>
      </c>
      <c r="T43" s="35"/>
    </row>
    <row r="44" spans="1:20" ht="15" x14ac:dyDescent="0.3">
      <c r="A44" s="5"/>
      <c r="B44" s="33">
        <v>10</v>
      </c>
      <c r="C44" s="3">
        <v>10</v>
      </c>
      <c r="D44" s="3" t="s">
        <v>17</v>
      </c>
      <c r="E44" s="3" t="s">
        <v>16</v>
      </c>
      <c r="F44" s="3">
        <f>([1]MIDTERM!N14/[1]MIDTERM!$D$37+[1]FINAL!N14/[1]FINAL!$D$37+[1]HOMEWORK!L14/[1]HOMEWORK!$O$38+LAB!U14/LAB!$D$46)/4</f>
        <v>0.43232804232804234</v>
      </c>
      <c r="G44" s="4">
        <f>([1]MIDTERM!O14/[1]MIDTERM!$D$38+[1]FINAL!O14/[1]FINAL!$D$38+[1]HOMEWORK!M14/[1]HOMEWORK!$O$39+LAB!V14/LAB!$D$47)/4</f>
        <v>0.28020833333333334</v>
      </c>
      <c r="H44" s="4">
        <f>([1]MIDTERM!P14/[1]MIDTERM!$D$39+[1]FINAL!P14/[1]FINAL!$D$39+[1]HOMEWORK!N14/[1]HOMEWORK!$O$40+LAB!W14/LAB!$D$48)/4</f>
        <v>0.43666666666666665</v>
      </c>
      <c r="I44" s="3">
        <f>([1]MIDTERM!Q14/[1]MIDTERM!$D$40+[1]FINAL!Q14/[1]FINAL!$D$40+[1]HOMEWORK!O14/[1]HOMEWORK!$O$41+LAB!X14/LAB!$D$49)/4</f>
        <v>0.52670454545454548</v>
      </c>
      <c r="M44" s="3">
        <v>4</v>
      </c>
      <c r="N44" s="35" t="s">
        <v>18</v>
      </c>
      <c r="O44" s="35">
        <f>LAB!S40</f>
        <v>28.93333333333333</v>
      </c>
      <c r="P44" s="36">
        <f>[1]MIDTERM!L46</f>
        <v>16.522222222222226</v>
      </c>
      <c r="Q44" s="36">
        <f>[1]FINAL!L46</f>
        <v>3.5333333333333332</v>
      </c>
      <c r="R44" s="35">
        <f>[1]HOMEWORK!K41</f>
        <v>1.05</v>
      </c>
      <c r="S44" s="35">
        <f>SUM(Tablo41342[[#This Row],[LAB]:[HOMEWORK]])</f>
        <v>50.038888888888884</v>
      </c>
      <c r="T44" s="35"/>
    </row>
    <row r="45" spans="1:20" ht="15" x14ac:dyDescent="0.3">
      <c r="A45" s="5"/>
      <c r="B45" s="32">
        <v>11</v>
      </c>
      <c r="C45" s="3">
        <v>11</v>
      </c>
      <c r="D45" s="3" t="s">
        <v>17</v>
      </c>
      <c r="E45" s="3" t="s">
        <v>16</v>
      </c>
      <c r="F45" s="3">
        <f>([1]MIDTERM!N15/[1]MIDTERM!$D$37+[1]FINAL!N15/[1]FINAL!$D$37+[1]HOMEWORK!L15/[1]HOMEWORK!$O$38+LAB!U15/LAB!$D$46)/4</f>
        <v>0.42190476190476189</v>
      </c>
      <c r="G45" s="4">
        <f>([1]MIDTERM!O15/[1]MIDTERM!$D$38+[1]FINAL!O15/[1]FINAL!$D$38+[1]HOMEWORK!M15/[1]HOMEWORK!$O$39+LAB!V15/LAB!$D$47)/4</f>
        <v>0.29270833333333335</v>
      </c>
      <c r="H45" s="4">
        <f>([1]MIDTERM!P15/[1]MIDTERM!$D$39+[1]FINAL!P15/[1]FINAL!$D$39+[1]HOMEWORK!N15/[1]HOMEWORK!$O$40+LAB!W15/LAB!$D$48)/4</f>
        <v>0.38635416666666661</v>
      </c>
      <c r="I45" s="3">
        <f>([1]MIDTERM!Q15/[1]MIDTERM!$D$40+[1]FINAL!Q15/[1]FINAL!$D$40+[1]HOMEWORK!O15/[1]HOMEWORK!$O$41+LAB!X15/LAB!$D$49)/4</f>
        <v>0.36174242424242425</v>
      </c>
    </row>
    <row r="46" spans="1:20" ht="15" x14ac:dyDescent="0.3">
      <c r="A46" s="5"/>
      <c r="B46" s="33">
        <v>12</v>
      </c>
      <c r="C46" s="3">
        <v>12</v>
      </c>
      <c r="D46" s="3" t="s">
        <v>17</v>
      </c>
      <c r="E46" s="3" t="s">
        <v>16</v>
      </c>
      <c r="F46" s="3">
        <f>([1]MIDTERM!N16/[1]MIDTERM!$D$37+[1]FINAL!N16/[1]FINAL!$D$37+[1]HOMEWORK!L16/[1]HOMEWORK!$O$38+LAB!U16/LAB!$D$46)/4</f>
        <v>0.42708994708994708</v>
      </c>
      <c r="G46" s="4">
        <f>([1]MIDTERM!O16/[1]MIDTERM!$D$38+[1]FINAL!O16/[1]FINAL!$D$38+[1]HOMEWORK!M16/[1]HOMEWORK!$O$39+LAB!V16/LAB!$D$47)/4</f>
        <v>0.41666666666666663</v>
      </c>
      <c r="H46" s="4">
        <f>([1]MIDTERM!P16/[1]MIDTERM!$D$39+[1]FINAL!P16/[1]FINAL!$D$39+[1]HOMEWORK!N16/[1]HOMEWORK!$O$40+LAB!W16/LAB!$D$48)/4</f>
        <v>0.41062499999999996</v>
      </c>
      <c r="I46" s="3">
        <f>([1]MIDTERM!Q16/[1]MIDTERM!$D$40+[1]FINAL!Q16/[1]FINAL!$D$40+[1]HOMEWORK!O16/[1]HOMEWORK!$O$41+LAB!X16/LAB!$D$49)/4</f>
        <v>0.3130681818181818</v>
      </c>
    </row>
    <row r="47" spans="1:20" ht="15" x14ac:dyDescent="0.3">
      <c r="A47" s="5"/>
      <c r="B47" s="32">
        <v>13</v>
      </c>
      <c r="C47" s="3">
        <v>13</v>
      </c>
      <c r="D47" s="3" t="s">
        <v>17</v>
      </c>
      <c r="E47" s="3" t="s">
        <v>16</v>
      </c>
      <c r="F47" s="3">
        <f>([1]MIDTERM!N17/[1]MIDTERM!$D$37+[1]FINAL!N17/[1]FINAL!$D$37+[1]HOMEWORK!L17/[1]HOMEWORK!$O$38+LAB!U17/LAB!$D$46)/4</f>
        <v>0.40748677248677245</v>
      </c>
      <c r="G47" s="4">
        <f>([1]MIDTERM!O17/[1]MIDTERM!$D$38+[1]FINAL!O17/[1]FINAL!$D$38+[1]HOMEWORK!M17/[1]HOMEWORK!$O$39+LAB!V17/LAB!$D$47)/4</f>
        <v>0.45729166666666665</v>
      </c>
      <c r="H47" s="4">
        <f>([1]MIDTERM!P17/[1]MIDTERM!$D$39+[1]FINAL!P17/[1]FINAL!$D$39+[1]HOMEWORK!N17/[1]HOMEWORK!$O$40+LAB!W17/LAB!$D$48)/4</f>
        <v>0.38083333333333336</v>
      </c>
      <c r="I47" s="3">
        <f>([1]MIDTERM!Q17/[1]MIDTERM!$D$40+[1]FINAL!Q17/[1]FINAL!$D$40+[1]HOMEWORK!O17/[1]HOMEWORK!$O$41+LAB!X17/LAB!$D$49)/4</f>
        <v>0.3040719696969697</v>
      </c>
    </row>
    <row r="48" spans="1:20" ht="15" x14ac:dyDescent="0.3">
      <c r="A48" s="5"/>
      <c r="B48" s="33">
        <v>14</v>
      </c>
      <c r="C48" s="3">
        <v>14</v>
      </c>
      <c r="D48" s="3" t="s">
        <v>17</v>
      </c>
      <c r="E48" s="3" t="s">
        <v>16</v>
      </c>
      <c r="F48" s="3">
        <f>([1]MIDTERM!N18/[1]MIDTERM!$D$37+[1]FINAL!N18/[1]FINAL!$D$37+[1]HOMEWORK!L18/[1]HOMEWORK!$O$38+LAB!U18/LAB!$D$46)/4</f>
        <v>0.47039682539682548</v>
      </c>
      <c r="G48" s="4">
        <f>([1]MIDTERM!O18/[1]MIDTERM!$D$38+[1]FINAL!O18/[1]FINAL!$D$38+[1]HOMEWORK!M18/[1]HOMEWORK!$O$39+LAB!V18/LAB!$D$47)/4</f>
        <v>0.35729166666666667</v>
      </c>
      <c r="H48" s="4">
        <f>([1]MIDTERM!P18/[1]MIDTERM!$D$39+[1]FINAL!P18/[1]FINAL!$D$39+[1]HOMEWORK!N18/[1]HOMEWORK!$O$40+LAB!W18/LAB!$D$48)/4</f>
        <v>0.41114583333333332</v>
      </c>
      <c r="I48" s="3">
        <f>([1]MIDTERM!Q18/[1]MIDTERM!$D$40+[1]FINAL!Q18/[1]FINAL!$D$40+[1]HOMEWORK!O18/[1]HOMEWORK!$O$41+LAB!X18/LAB!$D$49)/4</f>
        <v>0.34678030303030305</v>
      </c>
    </row>
    <row r="49" spans="1:10" ht="15" x14ac:dyDescent="0.3">
      <c r="A49" s="5"/>
      <c r="B49" s="32">
        <v>15</v>
      </c>
      <c r="C49" s="3">
        <v>15</v>
      </c>
      <c r="D49" s="3" t="s">
        <v>17</v>
      </c>
      <c r="E49" s="3" t="s">
        <v>16</v>
      </c>
      <c r="F49" s="3">
        <f>([1]MIDTERM!N19/[1]MIDTERM!$D$37+[1]FINAL!N19/[1]FINAL!$D$37+[1]HOMEWORK!L19/[1]HOMEWORK!$O$38+LAB!U19/LAB!$D$46)/4</f>
        <v>0.37558201058201057</v>
      </c>
      <c r="G49" s="4">
        <f>([1]MIDTERM!O19/[1]MIDTERM!$D$38+[1]FINAL!O19/[1]FINAL!$D$38+[1]HOMEWORK!M19/[1]HOMEWORK!$O$39+LAB!V19/LAB!$D$47)/4</f>
        <v>0.31145833333333334</v>
      </c>
      <c r="H49" s="4">
        <f>([1]MIDTERM!P19/[1]MIDTERM!$D$39+[1]FINAL!P19/[1]FINAL!$D$39+[1]HOMEWORK!N19/[1]HOMEWORK!$O$40+LAB!W19/LAB!$D$48)/4</f>
        <v>0.39427083333333335</v>
      </c>
      <c r="I49" s="3">
        <f>([1]MIDTERM!Q19/[1]MIDTERM!$D$40+[1]FINAL!Q19/[1]FINAL!$D$40+[1]HOMEWORK!O19/[1]HOMEWORK!$O$41+LAB!X19/LAB!$D$49)/4</f>
        <v>0.25672348484848484</v>
      </c>
    </row>
    <row r="50" spans="1:10" ht="15" x14ac:dyDescent="0.3">
      <c r="A50" s="5"/>
      <c r="B50" s="33">
        <v>16</v>
      </c>
      <c r="C50" s="3">
        <v>16</v>
      </c>
      <c r="D50" s="3" t="s">
        <v>17</v>
      </c>
      <c r="E50" s="3" t="s">
        <v>16</v>
      </c>
      <c r="F50" s="3">
        <f>([1]MIDTERM!N20/[1]MIDTERM!$D$37+[1]FINAL!N20/[1]FINAL!$D$37+[1]HOMEWORK!L20/[1]HOMEWORK!$O$38+LAB!U20/LAB!$D$46)/4</f>
        <v>0.38571428571428568</v>
      </c>
      <c r="G50" s="4">
        <f>([1]MIDTERM!O20/[1]MIDTERM!$D$38+[1]FINAL!O20/[1]FINAL!$D$38+[1]HOMEWORK!M20/[1]HOMEWORK!$O$39+LAB!V20/LAB!$D$47)/4</f>
        <v>0.39479166666666665</v>
      </c>
      <c r="H50" s="4">
        <f>([1]MIDTERM!P20/[1]MIDTERM!$D$39+[1]FINAL!P20/[1]FINAL!$D$39+[1]HOMEWORK!N20/[1]HOMEWORK!$O$40+LAB!W20/LAB!$D$48)/4</f>
        <v>0.45291666666666663</v>
      </c>
      <c r="I50" s="3">
        <f>([1]MIDTERM!Q20/[1]MIDTERM!$D$40+[1]FINAL!Q20/[1]FINAL!$D$40+[1]HOMEWORK!O20/[1]HOMEWORK!$O$41+LAB!X20/LAB!$D$49)/4</f>
        <v>0.23484848484848486</v>
      </c>
    </row>
    <row r="51" spans="1:10" ht="15" x14ac:dyDescent="0.3">
      <c r="A51" s="5"/>
      <c r="B51" s="32">
        <v>17</v>
      </c>
      <c r="C51" s="3">
        <v>17</v>
      </c>
      <c r="D51" s="3" t="s">
        <v>17</v>
      </c>
      <c r="E51" s="3" t="s">
        <v>16</v>
      </c>
      <c r="F51" s="3">
        <f>([1]MIDTERM!N21/[1]MIDTERM!$D$37+[1]FINAL!N21/[1]FINAL!$D$37+[1]HOMEWORK!L21/[1]HOMEWORK!$O$38+LAB!U21/LAB!$D$46)/4</f>
        <v>0.41685185185185181</v>
      </c>
      <c r="G51" s="4">
        <f>([1]MIDTERM!O21/[1]MIDTERM!$D$38+[1]FINAL!O21/[1]FINAL!$D$38+[1]HOMEWORK!M21/[1]HOMEWORK!$O$39+LAB!V21/LAB!$D$47)/4</f>
        <v>0.4614583333333333</v>
      </c>
      <c r="H51" s="4">
        <f>([1]MIDTERM!P21/[1]MIDTERM!$D$39+[1]FINAL!P21/[1]FINAL!$D$39+[1]HOMEWORK!N21/[1]HOMEWORK!$O$40+LAB!W21/LAB!$D$48)/4</f>
        <v>0.37927083333333333</v>
      </c>
      <c r="I51" s="3">
        <f>([1]MIDTERM!Q21/[1]MIDTERM!$D$40+[1]FINAL!Q21/[1]FINAL!$D$40+[1]HOMEWORK!O21/[1]HOMEWORK!$O$41+LAB!X21/LAB!$D$49)/4</f>
        <v>0.26960227272727272</v>
      </c>
    </row>
    <row r="52" spans="1:10" ht="15" x14ac:dyDescent="0.3">
      <c r="A52" s="5"/>
      <c r="B52" s="33">
        <v>18</v>
      </c>
      <c r="C52" s="3">
        <v>18</v>
      </c>
      <c r="D52" s="3" t="s">
        <v>17</v>
      </c>
      <c r="E52" s="3" t="s">
        <v>16</v>
      </c>
      <c r="F52" s="3">
        <f>([1]MIDTERM!N22/[1]MIDTERM!$D$37+[1]FINAL!N22/[1]FINAL!$D$37+[1]HOMEWORK!L22/[1]HOMEWORK!$O$38+LAB!U22/LAB!$D$46)/4</f>
        <v>0.31936507936507935</v>
      </c>
      <c r="G52" s="4">
        <f>([1]MIDTERM!O22/[1]MIDTERM!$D$38+[1]FINAL!O22/[1]FINAL!$D$38+[1]HOMEWORK!M22/[1]HOMEWORK!$O$39+LAB!V22/LAB!$D$47)/4</f>
        <v>0.25312499999999999</v>
      </c>
      <c r="H52" s="4">
        <f>([1]MIDTERM!P22/[1]MIDTERM!$D$39+[1]FINAL!P22/[1]FINAL!$D$39+[1]HOMEWORK!N22/[1]HOMEWORK!$O$40+LAB!W22/LAB!$D$48)/4</f>
        <v>0.33989583333333329</v>
      </c>
      <c r="I52" s="3">
        <f>([1]MIDTERM!Q22/[1]MIDTERM!$D$40+[1]FINAL!Q22/[1]FINAL!$D$40+[1]HOMEWORK!O22/[1]HOMEWORK!$O$41+LAB!X22/LAB!$D$49)/4</f>
        <v>0.37831439393939392</v>
      </c>
    </row>
    <row r="53" spans="1:10" ht="15" x14ac:dyDescent="0.3">
      <c r="A53" s="5"/>
      <c r="B53" s="32">
        <v>19</v>
      </c>
      <c r="C53" s="3">
        <v>19</v>
      </c>
      <c r="D53" s="3" t="s">
        <v>17</v>
      </c>
      <c r="E53" s="3" t="s">
        <v>16</v>
      </c>
      <c r="F53" s="3">
        <f>([1]MIDTERM!N23/[1]MIDTERM!$D$37+[1]FINAL!N23/[1]FINAL!$D$37+[1]HOMEWORK!L23/[1]HOMEWORK!$O$38+LAB!U23/LAB!$D$46)/4</f>
        <v>0.33772486772486771</v>
      </c>
      <c r="G53" s="4">
        <f>([1]MIDTERM!O23/[1]MIDTERM!$D$38+[1]FINAL!O23/[1]FINAL!$D$38+[1]HOMEWORK!M23/[1]HOMEWORK!$O$39+LAB!V23/LAB!$D$47)/4</f>
        <v>0.35312499999999997</v>
      </c>
      <c r="H53" s="4">
        <f>([1]MIDTERM!P23/[1]MIDTERM!$D$39+[1]FINAL!P23/[1]FINAL!$D$39+[1]HOMEWORK!N23/[1]HOMEWORK!$O$40+LAB!W23/LAB!$D$48)/4</f>
        <v>0.4129166666666666</v>
      </c>
      <c r="I53" s="3">
        <f>([1]MIDTERM!Q23/[1]MIDTERM!$D$40+[1]FINAL!Q23/[1]FINAL!$D$40+[1]HOMEWORK!O23/[1]HOMEWORK!$O$41+LAB!X23/LAB!$D$49)/4</f>
        <v>0.23910984848484851</v>
      </c>
    </row>
    <row r="54" spans="1:10" ht="15" x14ac:dyDescent="0.3">
      <c r="A54" s="5"/>
      <c r="B54" s="33">
        <v>20</v>
      </c>
      <c r="C54" s="3">
        <v>20</v>
      </c>
      <c r="D54" s="3" t="s">
        <v>17</v>
      </c>
      <c r="E54" s="3" t="s">
        <v>16</v>
      </c>
      <c r="F54" s="3">
        <f>([1]MIDTERM!N24/[1]MIDTERM!$D$37+[1]FINAL!N24/[1]FINAL!$D$37+[1]HOMEWORK!L24/[1]HOMEWORK!$O$38+LAB!U24/LAB!$D$46)/4</f>
        <v>0.37314814814814812</v>
      </c>
      <c r="G54" s="4">
        <f>([1]MIDTERM!O24/[1]MIDTERM!$D$38+[1]FINAL!O24/[1]FINAL!$D$38+[1]HOMEWORK!M24/[1]HOMEWORK!$O$39+LAB!V24/LAB!$D$47)/4</f>
        <v>0.34687499999999999</v>
      </c>
      <c r="H54" s="4">
        <f>([1]MIDTERM!P24/[1]MIDTERM!$D$39+[1]FINAL!P24/[1]FINAL!$D$39+[1]HOMEWORK!N24/[1]HOMEWORK!$O$40+LAB!W24/LAB!$D$48)/4</f>
        <v>0.37177083333333333</v>
      </c>
      <c r="I54" s="3">
        <f>([1]MIDTERM!Q24/[1]MIDTERM!$D$40+[1]FINAL!Q24/[1]FINAL!$D$40+[1]HOMEWORK!O24/[1]HOMEWORK!$O$41+LAB!X24/LAB!$D$49)/4</f>
        <v>0.34071969696969695</v>
      </c>
    </row>
    <row r="55" spans="1:10" ht="15" x14ac:dyDescent="0.3">
      <c r="A55" s="5"/>
      <c r="B55" s="32">
        <v>21</v>
      </c>
      <c r="C55" s="3">
        <v>21</v>
      </c>
      <c r="D55" s="3" t="s">
        <v>17</v>
      </c>
      <c r="E55" s="3" t="s">
        <v>16</v>
      </c>
      <c r="F55" s="3">
        <f>([1]MIDTERM!N25/[1]MIDTERM!$D$37+[1]FINAL!N25/[1]FINAL!$D$37+[1]HOMEWORK!L25/[1]HOMEWORK!$O$38+LAB!U25/LAB!$D$46)/4</f>
        <v>0.42208994708994707</v>
      </c>
      <c r="G55" s="4">
        <f>([1]MIDTERM!O25/[1]MIDTERM!$D$38+[1]FINAL!O25/[1]FINAL!$D$38+[1]HOMEWORK!M25/[1]HOMEWORK!$O$39+LAB!V25/LAB!$D$47)/4</f>
        <v>0.45416666666666672</v>
      </c>
      <c r="H55" s="4">
        <f>([1]MIDTERM!P25/[1]MIDTERM!$D$39+[1]FINAL!P25/[1]FINAL!$D$39+[1]HOMEWORK!N25/[1]HOMEWORK!$O$40+LAB!W25/LAB!$D$48)/4</f>
        <v>0.30458333333333332</v>
      </c>
      <c r="I55" s="3">
        <f>([1]MIDTERM!Q25/[1]MIDTERM!$D$40+[1]FINAL!Q25/[1]FINAL!$D$40+[1]HOMEWORK!O25/[1]HOMEWORK!$O$41+LAB!X25/LAB!$D$49)/4</f>
        <v>0.41893939393939394</v>
      </c>
    </row>
    <row r="56" spans="1:10" ht="15" x14ac:dyDescent="0.3">
      <c r="A56" s="5"/>
      <c r="B56" s="33">
        <v>22</v>
      </c>
      <c r="C56" s="3">
        <v>22</v>
      </c>
      <c r="D56" s="3" t="s">
        <v>17</v>
      </c>
      <c r="E56" s="3" t="s">
        <v>16</v>
      </c>
      <c r="F56" s="3">
        <f>([1]MIDTERM!N26/[1]MIDTERM!$D$37+[1]FINAL!N26/[1]FINAL!$D$37+[1]HOMEWORK!L26/[1]HOMEWORK!$O$38+LAB!U26/LAB!$D$46)/4</f>
        <v>0.42208994708994707</v>
      </c>
      <c r="G56" s="4">
        <f>([1]MIDTERM!O26/[1]MIDTERM!$D$38+[1]FINAL!O26/[1]FINAL!$D$38+[1]HOMEWORK!M26/[1]HOMEWORK!$O$39+LAB!V26/LAB!$D$47)/4</f>
        <v>0.36874999999999997</v>
      </c>
      <c r="H56" s="4">
        <f>([1]MIDTERM!P26/[1]MIDTERM!$D$39+[1]FINAL!P26/[1]FINAL!$D$39+[1]HOMEWORK!N26/[1]HOMEWORK!$O$40+LAB!W26/LAB!$D$48)/4</f>
        <v>0.42656249999999996</v>
      </c>
      <c r="I56" s="3">
        <f>([1]MIDTERM!Q26/[1]MIDTERM!$D$40+[1]FINAL!Q26/[1]FINAL!$D$40+[1]HOMEWORK!O26/[1]HOMEWORK!$O$41+LAB!X26/LAB!$D$49)/4</f>
        <v>0.2183712121212121</v>
      </c>
      <c r="J56" s="34"/>
    </row>
    <row r="57" spans="1:10" ht="15" x14ac:dyDescent="0.3">
      <c r="A57" s="5"/>
      <c r="B57" s="32">
        <v>23</v>
      </c>
      <c r="C57" s="3">
        <v>23</v>
      </c>
      <c r="D57" s="3" t="s">
        <v>17</v>
      </c>
      <c r="E57" s="3" t="s">
        <v>16</v>
      </c>
      <c r="F57" s="3">
        <f>([1]MIDTERM!N27/[1]MIDTERM!$D$37+[1]FINAL!N27/[1]FINAL!$D$37+[1]HOMEWORK!L27/[1]HOMEWORK!$O$38+LAB!U27/LAB!$D$46)/4</f>
        <v>0.41066137566137562</v>
      </c>
      <c r="G57" s="4">
        <f>([1]MIDTERM!O27/[1]MIDTERM!$D$38+[1]FINAL!O27/[1]FINAL!$D$38+[1]HOMEWORK!M27/[1]HOMEWORK!$O$39+LAB!V27/LAB!$D$47)/4</f>
        <v>0.35</v>
      </c>
      <c r="H57" s="4">
        <f>([1]MIDTERM!P27/[1]MIDTERM!$D$39+[1]FINAL!P27/[1]FINAL!$D$39+[1]HOMEWORK!N27/[1]HOMEWORK!$O$40+LAB!W27/LAB!$D$48)/4</f>
        <v>0.35249999999999998</v>
      </c>
      <c r="I57" s="3">
        <f>([1]MIDTERM!Q27/[1]MIDTERM!$D$40+[1]FINAL!Q27/[1]FINAL!$D$40+[1]HOMEWORK!O27/[1]HOMEWORK!$O$41+LAB!X27/LAB!$D$49)/4</f>
        <v>0.25009469696969699</v>
      </c>
    </row>
    <row r="58" spans="1:10" ht="15" x14ac:dyDescent="0.3">
      <c r="A58" s="5"/>
      <c r="B58" s="33">
        <v>24</v>
      </c>
      <c r="C58" s="3">
        <v>24</v>
      </c>
      <c r="D58" s="3" t="s">
        <v>17</v>
      </c>
      <c r="E58" s="3" t="s">
        <v>16</v>
      </c>
      <c r="F58" s="3">
        <f>([1]MIDTERM!N28/[1]MIDTERM!$D$37+[1]FINAL!N28/[1]FINAL!$D$37+[1]HOMEWORK!L28/[1]HOMEWORK!$O$38+LAB!U28/LAB!$D$46)/4</f>
        <v>0.35685185185185186</v>
      </c>
      <c r="G58" s="4">
        <f>([1]MIDTERM!O28/[1]MIDTERM!$D$38+[1]FINAL!O28/[1]FINAL!$D$38+[1]HOMEWORK!M28/[1]HOMEWORK!$O$39+LAB!V28/LAB!$D$47)/4</f>
        <v>0.32604166666666667</v>
      </c>
      <c r="H58" s="4">
        <f>([1]MIDTERM!P28/[1]MIDTERM!$D$39+[1]FINAL!P28/[1]FINAL!$D$39+[1]HOMEWORK!N28/[1]HOMEWORK!$O$40+LAB!W28/LAB!$D$48)/4</f>
        <v>0.31208333333333332</v>
      </c>
      <c r="I58" s="3">
        <f>([1]MIDTERM!Q28/[1]MIDTERM!$D$40+[1]FINAL!Q28/[1]FINAL!$D$40+[1]HOMEWORK!O28/[1]HOMEWORK!$O$41+LAB!X28/LAB!$D$49)/4</f>
        <v>0.26931818181818179</v>
      </c>
    </row>
    <row r="59" spans="1:10" ht="15" x14ac:dyDescent="0.3">
      <c r="A59" s="5"/>
      <c r="B59" s="32">
        <v>25</v>
      </c>
      <c r="C59" s="3">
        <v>25</v>
      </c>
      <c r="D59" s="3" t="s">
        <v>17</v>
      </c>
      <c r="E59" s="3" t="s">
        <v>16</v>
      </c>
      <c r="F59" s="3">
        <f>([1]MIDTERM!N29/[1]MIDTERM!$D$37+[1]FINAL!N29/[1]FINAL!$D$37+[1]HOMEWORK!L29/[1]HOMEWORK!$O$38+LAB!U29/LAB!$D$46)/4</f>
        <v>0.31470899470899472</v>
      </c>
      <c r="G59" s="4">
        <f>([1]MIDTERM!O29/[1]MIDTERM!$D$38+[1]FINAL!O29/[1]FINAL!$D$38+[1]HOMEWORK!M29/[1]HOMEWORK!$O$39+LAB!V29/LAB!$D$47)/4</f>
        <v>0.29062500000000002</v>
      </c>
      <c r="H59" s="4">
        <f>([1]MIDTERM!P29/[1]MIDTERM!$D$39+[1]FINAL!P29/[1]FINAL!$D$39+[1]HOMEWORK!N29/[1]HOMEWORK!$O$40+LAB!W29/LAB!$D$48)/4</f>
        <v>0.39010416666666664</v>
      </c>
      <c r="I59" s="3">
        <f>([1]MIDTERM!Q29/[1]MIDTERM!$D$40+[1]FINAL!Q29/[1]FINAL!$D$40+[1]HOMEWORK!O29/[1]HOMEWORK!$O$41+LAB!X29/LAB!$D$49)/4</f>
        <v>0.28342803030303032</v>
      </c>
    </row>
    <row r="60" spans="1:10" ht="15" x14ac:dyDescent="0.3">
      <c r="A60" s="5"/>
      <c r="B60" s="33">
        <v>26</v>
      </c>
      <c r="C60" s="3">
        <v>26</v>
      </c>
      <c r="D60" s="3" t="s">
        <v>17</v>
      </c>
      <c r="E60" s="3" t="s">
        <v>16</v>
      </c>
      <c r="F60" s="3">
        <f>([1]MIDTERM!N30/[1]MIDTERM!$D$37+[1]FINAL!N30/[1]FINAL!$D$37+[1]HOMEWORK!L30/[1]HOMEWORK!$O$38+LAB!U30/LAB!$D$46)/4</f>
        <v>0.31029100529100528</v>
      </c>
      <c r="G60" s="4">
        <f>([1]MIDTERM!O30/[1]MIDTERM!$D$38+[1]FINAL!O30/[1]FINAL!$D$38+[1]HOMEWORK!M30/[1]HOMEWORK!$O$39+LAB!V30/LAB!$D$47)/4</f>
        <v>0.33229166666666665</v>
      </c>
      <c r="H60" s="4">
        <f>([1]MIDTERM!P30/[1]MIDTERM!$D$39+[1]FINAL!P30/[1]FINAL!$D$39+[1]HOMEWORK!N30/[1]HOMEWORK!$O$40+LAB!W30/LAB!$D$48)/4</f>
        <v>0.3819791666666667</v>
      </c>
      <c r="I60" s="3">
        <f>([1]MIDTERM!Q30/[1]MIDTERM!$D$40+[1]FINAL!Q30/[1]FINAL!$D$40+[1]HOMEWORK!O30/[1]HOMEWORK!$O$41+LAB!X30/LAB!$D$49)/4</f>
        <v>0.24526515151515149</v>
      </c>
    </row>
    <row r="61" spans="1:10" ht="15" x14ac:dyDescent="0.3">
      <c r="A61" s="5"/>
      <c r="B61" s="32">
        <v>27</v>
      </c>
      <c r="C61" s="3">
        <v>27</v>
      </c>
      <c r="D61" s="3" t="s">
        <v>17</v>
      </c>
      <c r="E61" s="3" t="s">
        <v>16</v>
      </c>
      <c r="F61" s="3">
        <f>([1]MIDTERM!N31/[1]MIDTERM!$D$37+[1]FINAL!N31/[1]FINAL!$D$37+[1]HOMEWORK!L31/[1]HOMEWORK!$O$38+LAB!U31/LAB!$D$46)/4</f>
        <v>0.3538095238095238</v>
      </c>
      <c r="G61" s="4">
        <f>([1]MIDTERM!O31/[1]MIDTERM!$D$38+[1]FINAL!O31/[1]FINAL!$D$38+[1]HOMEWORK!M31/[1]HOMEWORK!$O$39+LAB!V31/LAB!$D$47)/4</f>
        <v>0.32708333333333334</v>
      </c>
      <c r="H61" s="4">
        <f>([1]MIDTERM!P31/[1]MIDTERM!$D$39+[1]FINAL!P31/[1]FINAL!$D$39+[1]HOMEWORK!N31/[1]HOMEWORK!$O$40+LAB!W31/LAB!$D$48)/4</f>
        <v>0.29041666666666666</v>
      </c>
      <c r="I61" s="3">
        <f>([1]MIDTERM!Q31/[1]MIDTERM!$D$40+[1]FINAL!Q31/[1]FINAL!$D$40+[1]HOMEWORK!O31/[1]HOMEWORK!$O$41+LAB!X31/LAB!$D$49)/4</f>
        <v>0.27310606060606063</v>
      </c>
    </row>
    <row r="62" spans="1:10" ht="15" x14ac:dyDescent="0.3">
      <c r="A62" s="5"/>
      <c r="B62" s="33">
        <v>28</v>
      </c>
      <c r="C62" s="3">
        <v>28</v>
      </c>
      <c r="D62" s="3" t="s">
        <v>17</v>
      </c>
      <c r="E62" s="3" t="s">
        <v>16</v>
      </c>
      <c r="F62" s="3">
        <f>([1]MIDTERM!N32/[1]MIDTERM!$D$37+[1]FINAL!N32/[1]FINAL!$D$37+[1]HOMEWORK!L32/[1]HOMEWORK!$O$38+LAB!U32/LAB!$D$46)/4</f>
        <v>0.29703703703703704</v>
      </c>
      <c r="G62" s="4">
        <f>([1]MIDTERM!O32/[1]MIDTERM!$D$38+[1]FINAL!O32/[1]FINAL!$D$38+[1]HOMEWORK!M32/[1]HOMEWORK!$O$39+LAB!V32/LAB!$D$47)/4</f>
        <v>0.26875000000000004</v>
      </c>
      <c r="H62" s="4">
        <f>([1]MIDTERM!P32/[1]MIDTERM!$D$39+[1]FINAL!P32/[1]FINAL!$D$39+[1]HOMEWORK!N32/[1]HOMEWORK!$O$40+LAB!W32/LAB!$D$48)/4</f>
        <v>0.21645833333333331</v>
      </c>
      <c r="I62" s="3">
        <f>([1]MIDTERM!Q32/[1]MIDTERM!$D$40+[1]FINAL!Q32/[1]FINAL!$D$40+[1]HOMEWORK!O32/[1]HOMEWORK!$O$41+LAB!X32/LAB!$D$49)/4</f>
        <v>0.18977272727272729</v>
      </c>
    </row>
    <row r="63" spans="1:10" ht="15" x14ac:dyDescent="0.3">
      <c r="A63" s="5"/>
      <c r="B63" s="32">
        <v>29</v>
      </c>
      <c r="C63" s="3">
        <v>29</v>
      </c>
      <c r="D63" s="3" t="s">
        <v>17</v>
      </c>
      <c r="E63" s="3" t="s">
        <v>16</v>
      </c>
      <c r="F63" s="3">
        <f>([1]MIDTERM!N33/[1]MIDTERM!$D$37+[1]FINAL!N33/[1]FINAL!$D$37+[1]HOMEWORK!L33/[1]HOMEWORK!$O$38+LAB!U33/LAB!$D$46)/4</f>
        <v>0.27564814814814814</v>
      </c>
      <c r="G63" s="4">
        <f>([1]MIDTERM!O33/[1]MIDTERM!$D$38+[1]FINAL!O33/[1]FINAL!$D$38+[1]HOMEWORK!M33/[1]HOMEWORK!$O$39+LAB!V33/LAB!$D$47)/4</f>
        <v>0.28125</v>
      </c>
      <c r="H63" s="4">
        <f>([1]MIDTERM!P33/[1]MIDTERM!$D$39+[1]FINAL!P33/[1]FINAL!$D$39+[1]HOMEWORK!N33/[1]HOMEWORK!$O$40+LAB!W33/LAB!$D$48)/4</f>
        <v>0.24020833333333336</v>
      </c>
      <c r="I63" s="3">
        <f>([1]MIDTERM!Q33/[1]MIDTERM!$D$40+[1]FINAL!Q33/[1]FINAL!$D$40+[1]HOMEWORK!O33/[1]HOMEWORK!$O$41+LAB!X33/LAB!$D$49)/4</f>
        <v>0.23409090909090907</v>
      </c>
    </row>
    <row r="64" spans="1:10" ht="15" x14ac:dyDescent="0.3">
      <c r="A64" s="5"/>
      <c r="B64" s="31">
        <v>30</v>
      </c>
      <c r="C64" s="3">
        <v>30</v>
      </c>
      <c r="D64" s="3" t="s">
        <v>17</v>
      </c>
      <c r="E64" s="3" t="s">
        <v>16</v>
      </c>
      <c r="F64" s="3">
        <f>([1]MIDTERM!N34/[1]MIDTERM!$D$37+[1]FINAL!N34/[1]FINAL!$D$37+[1]HOMEWORK!L34/[1]HOMEWORK!$O$38+LAB!U34/LAB!$D$46)/4</f>
        <v>0.29537037037037039</v>
      </c>
      <c r="G64" s="4">
        <f>([1]MIDTERM!O34/[1]MIDTERM!$D$38+[1]FINAL!O34/[1]FINAL!$D$38+[1]HOMEWORK!M34/[1]HOMEWORK!$O$39+LAB!V34/LAB!$D$47)/4</f>
        <v>0.39687499999999998</v>
      </c>
      <c r="H64" s="4">
        <f>([1]MIDTERM!P34/[1]MIDTERM!$D$39+[1]FINAL!P34/[1]FINAL!$D$39+[1]HOMEWORK!N34/[1]HOMEWORK!$O$40+LAB!W34/LAB!$D$48)/4</f>
        <v>0.33083333333333331</v>
      </c>
      <c r="I64" s="3">
        <f>([1]MIDTERM!Q34/[1]MIDTERM!$D$40+[1]FINAL!Q34/[1]FINAL!$D$40+[1]HOMEWORK!O34/[1]HOMEWORK!$O$41+LAB!X34/LAB!$D$49)/4</f>
        <v>0.30681818181818182</v>
      </c>
    </row>
    <row r="65" spans="1:23" ht="15" customHeight="1" x14ac:dyDescent="0.3">
      <c r="A65" s="5"/>
      <c r="B65" s="30" t="s">
        <v>15</v>
      </c>
      <c r="C65" s="29"/>
      <c r="D65" s="29"/>
      <c r="E65" s="29"/>
      <c r="F65" s="29"/>
      <c r="G65" s="29"/>
      <c r="H65" s="29"/>
      <c r="I65" s="29"/>
    </row>
    <row r="66" spans="1:23" ht="15" x14ac:dyDescent="0.3">
      <c r="A66" s="5"/>
      <c r="D66" s="3"/>
      <c r="E66" s="3"/>
      <c r="F66" s="4"/>
      <c r="G66" s="4"/>
    </row>
    <row r="67" spans="1:23" ht="15" x14ac:dyDescent="0.3">
      <c r="A67" s="5"/>
      <c r="D67" s="3"/>
      <c r="E67" s="3"/>
      <c r="F67" s="4"/>
      <c r="G67" s="4"/>
    </row>
    <row r="68" spans="1:23" ht="15" x14ac:dyDescent="0.3">
      <c r="A68" s="24"/>
      <c r="B68" s="19" t="s">
        <v>14</v>
      </c>
      <c r="C68" s="27"/>
      <c r="D68" s="19" t="s">
        <v>13</v>
      </c>
      <c r="E68" s="19"/>
      <c r="F68" s="22" t="s">
        <v>12</v>
      </c>
      <c r="G68" s="22"/>
      <c r="H68" s="19" t="s">
        <v>11</v>
      </c>
      <c r="I68" s="28"/>
      <c r="J68" s="19" t="s">
        <v>10</v>
      </c>
      <c r="K68" s="27"/>
      <c r="L68" s="19" t="s">
        <v>9</v>
      </c>
      <c r="M68" s="27"/>
      <c r="N68" s="19" t="s">
        <v>8</v>
      </c>
      <c r="O68" s="27"/>
      <c r="P68" s="26" t="s">
        <v>7</v>
      </c>
      <c r="Q68" s="27"/>
      <c r="R68" s="26" t="s">
        <v>6</v>
      </c>
      <c r="S68" s="27"/>
      <c r="T68" s="26" t="s">
        <v>5</v>
      </c>
      <c r="U68" s="27"/>
      <c r="V68" s="26" t="s">
        <v>4</v>
      </c>
      <c r="W68" s="25"/>
    </row>
    <row r="69" spans="1:23" ht="15" customHeight="1" x14ac:dyDescent="0.3">
      <c r="A69" s="16" t="s">
        <v>3</v>
      </c>
      <c r="B69" s="9" t="b">
        <v>0</v>
      </c>
      <c r="C69" s="10">
        <f>IF(B69 = TRUE, S41/O35, 0)</f>
        <v>0</v>
      </c>
      <c r="D69" s="12" t="b">
        <v>0</v>
      </c>
      <c r="E69" s="10">
        <f>IF(D69 = TRUE, S41/O35, 0)</f>
        <v>0</v>
      </c>
      <c r="F69" s="14" t="b">
        <v>0</v>
      </c>
      <c r="G69" s="13">
        <f>IF(F69 = TRUE, S41/O35, 0)</f>
        <v>0</v>
      </c>
      <c r="H69" s="12" t="b">
        <v>0</v>
      </c>
      <c r="I69" s="11">
        <f>IF(H69 = TRUE, S41/O35, 0)</f>
        <v>0</v>
      </c>
      <c r="J69" s="9" t="b">
        <v>0</v>
      </c>
      <c r="K69" s="10">
        <f>IF(J69 = TRUE, S41/O35, 0)</f>
        <v>0</v>
      </c>
      <c r="L69" s="9" t="b">
        <v>0</v>
      </c>
      <c r="M69" s="10">
        <f>IF(L69 = TRUE, S41/O35, 0)</f>
        <v>0</v>
      </c>
      <c r="N69" s="9" t="b">
        <v>0</v>
      </c>
      <c r="O69" s="10">
        <f>IF(N69 = TRUE, S41/O35, 0)</f>
        <v>0</v>
      </c>
      <c r="P69" s="9" t="b">
        <v>0</v>
      </c>
      <c r="Q69" s="10">
        <f>IF(P69 = TRUE, S41/O35, 0)</f>
        <v>0</v>
      </c>
      <c r="R69" s="9" t="b">
        <v>0</v>
      </c>
      <c r="S69" s="10">
        <f>IF(R69 = TRUE, S41/O35, 0)</f>
        <v>0</v>
      </c>
      <c r="T69" s="9" t="b">
        <v>0</v>
      </c>
      <c r="U69" s="10">
        <f>IF(T69 = TRUE, S41/O35, 0)</f>
        <v>0</v>
      </c>
      <c r="V69" s="9" t="b">
        <v>0</v>
      </c>
      <c r="W69" s="8">
        <f>IF(V69 = TRUE, S41/O35, 0)</f>
        <v>0</v>
      </c>
    </row>
    <row r="70" spans="1:23" ht="15" customHeight="1" x14ac:dyDescent="0.3">
      <c r="A70" s="24" t="s">
        <v>2</v>
      </c>
      <c r="B70" s="18" t="b">
        <v>0</v>
      </c>
      <c r="C70" s="19">
        <f>IF(B70 = TRUE, S42/O36, 0)</f>
        <v>0</v>
      </c>
      <c r="D70" s="21" t="b">
        <v>0</v>
      </c>
      <c r="E70" s="19">
        <f>IF(D70 = TRUE, S42/O36, 0)</f>
        <v>0</v>
      </c>
      <c r="F70" s="23" t="b">
        <v>0</v>
      </c>
      <c r="G70" s="22">
        <f>IF(F70 = TRUE, S42/O36, 0)</f>
        <v>0</v>
      </c>
      <c r="H70" s="21" t="b">
        <v>0</v>
      </c>
      <c r="I70" s="20">
        <f>IF(H70 = TRUE, S42/O36, 0)</f>
        <v>0</v>
      </c>
      <c r="J70" s="18" t="b">
        <v>0</v>
      </c>
      <c r="K70" s="19">
        <f>IF(J70 = TRUE, S42/O36, 0)</f>
        <v>0</v>
      </c>
      <c r="L70" s="18" t="b">
        <v>0</v>
      </c>
      <c r="M70" s="19">
        <f>IF(L70 = TRUE, S42/O36, 0)</f>
        <v>0</v>
      </c>
      <c r="N70" s="18" t="b">
        <v>0</v>
      </c>
      <c r="O70" s="19">
        <f>IF(N70 = TRUE, S42/O36, 0)</f>
        <v>0</v>
      </c>
      <c r="P70" s="18" t="b">
        <v>0</v>
      </c>
      <c r="Q70" s="19">
        <f>IF(P70 = TRUE, S42/O36, 0)</f>
        <v>0</v>
      </c>
      <c r="R70" s="18" t="b">
        <v>0</v>
      </c>
      <c r="S70" s="19">
        <f>IF(R70 = TRUE, S42/O36, 0)</f>
        <v>0</v>
      </c>
      <c r="T70" s="18" t="b">
        <v>0</v>
      </c>
      <c r="U70" s="19">
        <f>IF(T70 = TRUE, S42/O36, 0)</f>
        <v>0</v>
      </c>
      <c r="V70" s="18" t="b">
        <v>0</v>
      </c>
      <c r="W70" s="17">
        <f>IF(V70 = TRUE, S42/O36, 0)</f>
        <v>0</v>
      </c>
    </row>
    <row r="71" spans="1:23" ht="15" customHeight="1" x14ac:dyDescent="0.3">
      <c r="A71" s="24" t="s">
        <v>1</v>
      </c>
      <c r="B71" s="18" t="b">
        <v>0</v>
      </c>
      <c r="C71" s="19">
        <f>IF(B71 = TRUE, S43/O37, 0)</f>
        <v>0</v>
      </c>
      <c r="D71" s="21" t="b">
        <v>0</v>
      </c>
      <c r="E71" s="19">
        <f>IF(D71 = TRUE, S43/O37, 0)</f>
        <v>0</v>
      </c>
      <c r="F71" s="23" t="b">
        <v>0</v>
      </c>
      <c r="G71" s="22">
        <f>IF(F71 = TRUE, S43/O37, 0)</f>
        <v>0</v>
      </c>
      <c r="H71" s="21" t="b">
        <v>0</v>
      </c>
      <c r="I71" s="20">
        <f>IF(H71 = TRUE, S43/O37, 0)</f>
        <v>0</v>
      </c>
      <c r="J71" s="18" t="b">
        <v>0</v>
      </c>
      <c r="K71" s="19">
        <f>IF(J71 = TRUE, S43/O37, 0)</f>
        <v>0</v>
      </c>
      <c r="L71" s="18" t="b">
        <v>0</v>
      </c>
      <c r="M71" s="19">
        <f>IF(L71 = TRUE, S43/O37, 0)</f>
        <v>0</v>
      </c>
      <c r="N71" s="18" t="b">
        <v>0</v>
      </c>
      <c r="O71" s="19">
        <f>IF(N71 = TRUE, S43/O37, 0)</f>
        <v>0</v>
      </c>
      <c r="P71" s="18" t="b">
        <v>0</v>
      </c>
      <c r="Q71" s="19">
        <f>IF(P71 = TRUE, S43/O37, 0)</f>
        <v>0</v>
      </c>
      <c r="R71" s="18" t="b">
        <v>0</v>
      </c>
      <c r="S71" s="19">
        <f>IF(R71 = TRUE, S43/O37, 0)</f>
        <v>0</v>
      </c>
      <c r="T71" s="18" t="b">
        <v>0</v>
      </c>
      <c r="U71" s="19">
        <f>IF(T71 = TRUE, S43/O37, 0)</f>
        <v>0</v>
      </c>
      <c r="V71" s="18" t="b">
        <v>0</v>
      </c>
      <c r="W71" s="17">
        <f>IF(V71 = TRUE, S43/O37, 0)</f>
        <v>0</v>
      </c>
    </row>
    <row r="72" spans="1:23" ht="15" customHeight="1" x14ac:dyDescent="0.3">
      <c r="A72" s="16" t="s">
        <v>0</v>
      </c>
      <c r="B72" s="9" t="b">
        <v>0</v>
      </c>
      <c r="C72" s="10">
        <f>IF(B72 = TRUE, S44/O38, 0)</f>
        <v>0</v>
      </c>
      <c r="D72" s="12" t="b">
        <v>0</v>
      </c>
      <c r="E72" s="10">
        <f>IF(D72 = TRUE, S44/O38, 0)</f>
        <v>0</v>
      </c>
      <c r="F72" s="14" t="b">
        <v>0</v>
      </c>
      <c r="G72" s="13">
        <f>IF(F72 = TRUE, S44/O38, 0)</f>
        <v>0</v>
      </c>
      <c r="H72" s="12" t="b">
        <v>0</v>
      </c>
      <c r="I72" s="11">
        <f>IF(H72 = TRUE, S44/O38, 0)</f>
        <v>0</v>
      </c>
      <c r="J72" s="9" t="b">
        <v>0</v>
      </c>
      <c r="K72" s="10">
        <f>IF(J72 = TRUE, S44/O38, 0)</f>
        <v>0</v>
      </c>
      <c r="L72" s="9" t="b">
        <v>0</v>
      </c>
      <c r="M72" s="10">
        <f>IF(L72 = TRUE, S44/O38, 0)</f>
        <v>0</v>
      </c>
      <c r="N72" s="9" t="b">
        <v>0</v>
      </c>
      <c r="O72" s="10">
        <f>IF(N72 = TRUE, S44/O38, 0)</f>
        <v>0</v>
      </c>
      <c r="P72" s="9" t="b">
        <v>0</v>
      </c>
      <c r="Q72" s="10">
        <f>IF(P72 = TRUE, S44/O38, 0)</f>
        <v>0</v>
      </c>
      <c r="R72" s="9" t="b">
        <v>0</v>
      </c>
      <c r="S72" s="10">
        <f>IF(R72 = TRUE, S44/O38, 0)</f>
        <v>0</v>
      </c>
      <c r="T72" s="9" t="b">
        <v>0</v>
      </c>
      <c r="U72" s="10">
        <f>IF(T72 = TRUE, S44/O38, 0)</f>
        <v>0</v>
      </c>
      <c r="V72" s="9" t="b">
        <v>0</v>
      </c>
      <c r="W72" s="8">
        <f>IF(V72 = TRUE, S44/O38, 0)</f>
        <v>0</v>
      </c>
    </row>
    <row r="73" spans="1:23" ht="15" x14ac:dyDescent="0.3">
      <c r="A73" s="15"/>
      <c r="B73" s="9"/>
      <c r="C73" s="10" t="e">
        <f>AVERAGEIF(C69:C72, "&lt;&gt;0")</f>
        <v>#DIV/0!</v>
      </c>
      <c r="D73" s="12"/>
      <c r="E73" s="10" t="e">
        <f>AVERAGEIF(E69:E72, "&lt;&gt;0")</f>
        <v>#DIV/0!</v>
      </c>
      <c r="F73" s="14"/>
      <c r="G73" s="13" t="e">
        <f>AVERAGEIF(G69:G72, "&lt;&gt;0")</f>
        <v>#DIV/0!</v>
      </c>
      <c r="H73" s="12"/>
      <c r="I73" s="11" t="e">
        <f>AVERAGEIF(I69:I72, "&lt;&gt;0")</f>
        <v>#DIV/0!</v>
      </c>
      <c r="J73" s="9"/>
      <c r="K73" s="10" t="e">
        <f>AVERAGEIF(K69:K72, "&lt;&gt;0")</f>
        <v>#DIV/0!</v>
      </c>
      <c r="L73" s="9"/>
      <c r="M73" s="10" t="e">
        <f>AVERAGEIF(M69:M72, "&lt;&gt;0")</f>
        <v>#DIV/0!</v>
      </c>
      <c r="N73" s="9"/>
      <c r="O73" s="10" t="e">
        <f>AVERAGEIF(O69:O72, "&lt;&gt;0")</f>
        <v>#DIV/0!</v>
      </c>
      <c r="P73" s="9"/>
      <c r="Q73" s="10" t="e">
        <f>AVERAGEIF(Q69:Q72, "&lt;&gt;0")</f>
        <v>#DIV/0!</v>
      </c>
      <c r="R73" s="9"/>
      <c r="S73" s="10" t="e">
        <f>AVERAGEIF(S69:S72, "&lt;&gt;0")</f>
        <v>#DIV/0!</v>
      </c>
      <c r="T73" s="9"/>
      <c r="U73" s="10" t="e">
        <f>AVERAGEIF(U69:U72, "&lt;&gt;0")</f>
        <v>#DIV/0!</v>
      </c>
      <c r="V73" s="9"/>
      <c r="W73" s="8" t="e">
        <f>AVERAGEIF(W69:W72, "&lt;&gt;0")</f>
        <v>#DIV/0!</v>
      </c>
    </row>
    <row r="74" spans="1:23" ht="15.6" x14ac:dyDescent="0.3">
      <c r="A74" s="5"/>
      <c r="B74" s="7"/>
      <c r="C74" s="6"/>
      <c r="D74" s="3"/>
      <c r="E74" s="3"/>
      <c r="F74" s="4"/>
      <c r="G74" s="4"/>
      <c r="L74" s="7"/>
      <c r="O74" s="3"/>
      <c r="R74" s="7"/>
      <c r="T74" s="7"/>
      <c r="V74" s="7"/>
    </row>
    <row r="75" spans="1:23" ht="15" x14ac:dyDescent="0.3">
      <c r="A75" s="5"/>
      <c r="B75" s="7"/>
      <c r="D75" s="3"/>
      <c r="E75" s="3"/>
      <c r="F75" s="4"/>
      <c r="G75" s="4"/>
      <c r="R75" s="7"/>
      <c r="T75" s="7"/>
    </row>
    <row r="76" spans="1:23" ht="15" x14ac:dyDescent="0.3">
      <c r="A76" s="5"/>
      <c r="D76" s="3"/>
      <c r="E76" s="3"/>
      <c r="F76" s="4"/>
      <c r="G76" s="4"/>
      <c r="T76" s="7"/>
    </row>
    <row r="77" spans="1:23" ht="15" x14ac:dyDescent="0.3">
      <c r="A77" s="5"/>
      <c r="D77" s="3"/>
      <c r="E77" s="3"/>
      <c r="F77" s="4"/>
      <c r="G77" s="4"/>
    </row>
    <row r="78" spans="1:23" ht="15" x14ac:dyDescent="0.3">
      <c r="A78" s="5"/>
      <c r="D78" s="3"/>
      <c r="E78" s="3"/>
      <c r="F78" s="4"/>
      <c r="G78" s="4"/>
    </row>
    <row r="79" spans="1:23" ht="15.6" x14ac:dyDescent="0.3">
      <c r="A79" s="5"/>
      <c r="B79" s="6"/>
      <c r="D79" s="3"/>
      <c r="E79" s="3"/>
      <c r="F79" s="4"/>
      <c r="G79" s="4"/>
    </row>
    <row r="80" spans="1:23" ht="15" x14ac:dyDescent="0.3">
      <c r="A80" s="5"/>
      <c r="D80" s="3"/>
      <c r="E80" s="3"/>
      <c r="F80" s="4"/>
      <c r="G80" s="4"/>
    </row>
    <row r="81" spans="1:7" ht="15" x14ac:dyDescent="0.3">
      <c r="A81" s="5"/>
      <c r="D81" s="3"/>
      <c r="E81" s="3"/>
      <c r="F81" s="4"/>
      <c r="G81" s="4"/>
    </row>
    <row r="82" spans="1:7" ht="15" x14ac:dyDescent="0.3">
      <c r="A82" s="5"/>
      <c r="D82" s="3"/>
      <c r="E82" s="3"/>
      <c r="F82" s="4"/>
      <c r="G82" s="4"/>
    </row>
    <row r="83" spans="1:7" ht="15" x14ac:dyDescent="0.3">
      <c r="A83" s="5"/>
      <c r="D83" s="3"/>
      <c r="E83" s="3"/>
      <c r="F83" s="4"/>
      <c r="G83" s="4"/>
    </row>
    <row r="84" spans="1:7" ht="15" x14ac:dyDescent="0.3">
      <c r="A84" s="5"/>
      <c r="D84" s="3"/>
      <c r="E84" s="3"/>
      <c r="F84" s="4"/>
      <c r="G84" s="4"/>
    </row>
    <row r="85" spans="1:7" ht="15" x14ac:dyDescent="0.3">
      <c r="A85" s="5"/>
      <c r="D85" s="3"/>
      <c r="E85" s="3"/>
      <c r="F85" s="4"/>
      <c r="G85" s="4"/>
    </row>
    <row r="86" spans="1:7" ht="15" x14ac:dyDescent="0.3">
      <c r="A86" s="5"/>
      <c r="D86" s="3"/>
      <c r="E86" s="3"/>
      <c r="F86" s="4"/>
      <c r="G86" s="4"/>
    </row>
    <row r="87" spans="1:7" ht="15" x14ac:dyDescent="0.3">
      <c r="A87" s="5"/>
      <c r="D87" s="3"/>
      <c r="E87" s="3"/>
      <c r="F87" s="4"/>
      <c r="G87" s="4"/>
    </row>
    <row r="88" spans="1:7" ht="15" x14ac:dyDescent="0.3">
      <c r="A88" s="5"/>
      <c r="D88" s="3"/>
      <c r="E88" s="3"/>
      <c r="F88" s="4"/>
      <c r="G88" s="4"/>
    </row>
    <row r="89" spans="1:7" ht="15" x14ac:dyDescent="0.3">
      <c r="A89" s="5"/>
      <c r="D89" s="3"/>
      <c r="E89" s="3"/>
      <c r="F89" s="4"/>
      <c r="G89" s="4"/>
    </row>
    <row r="90" spans="1:7" ht="15" x14ac:dyDescent="0.3">
      <c r="A90" s="5"/>
      <c r="D90" s="3"/>
      <c r="E90" s="3"/>
      <c r="F90" s="4"/>
      <c r="G90" s="4"/>
    </row>
    <row r="91" spans="1:7" ht="15" x14ac:dyDescent="0.3">
      <c r="A91" s="5"/>
      <c r="D91" s="3"/>
      <c r="E91" s="3"/>
      <c r="F91" s="4"/>
      <c r="G91" s="4"/>
    </row>
    <row r="92" spans="1:7" ht="15" x14ac:dyDescent="0.3">
      <c r="A92" s="5"/>
      <c r="D92" s="3"/>
      <c r="E92" s="3"/>
      <c r="F92" s="4"/>
      <c r="G92" s="4"/>
    </row>
    <row r="93" spans="1:7" ht="15" x14ac:dyDescent="0.3">
      <c r="A93" s="5"/>
      <c r="D93" s="3"/>
      <c r="E93" s="3"/>
      <c r="F93" s="4"/>
      <c r="G93" s="4"/>
    </row>
    <row r="94" spans="1:7" ht="15" x14ac:dyDescent="0.3">
      <c r="A94" s="5"/>
      <c r="D94" s="3"/>
      <c r="E94" s="3"/>
      <c r="F94" s="4"/>
      <c r="G94" s="4"/>
    </row>
    <row r="95" spans="1:7" ht="15" x14ac:dyDescent="0.3">
      <c r="A95" s="5"/>
      <c r="D95" s="3"/>
      <c r="E95" s="3"/>
      <c r="F95" s="4"/>
      <c r="G95" s="4"/>
    </row>
    <row r="96" spans="1:7" ht="15" x14ac:dyDescent="0.3">
      <c r="A96" s="5"/>
      <c r="D96" s="3"/>
      <c r="E96" s="3"/>
      <c r="F96" s="4"/>
      <c r="G96" s="4"/>
    </row>
  </sheetData>
  <mergeCells count="5">
    <mergeCell ref="R27:X28"/>
    <mergeCell ref="B1:X1"/>
    <mergeCell ref="N4:P4"/>
    <mergeCell ref="N17:P17"/>
    <mergeCell ref="B65:I65"/>
  </mergeCells>
  <conditionalFormatting sqref="O23">
    <cfRule type="cellIs" dxfId="133" priority="30" operator="equal">
      <formula>100</formula>
    </cfRule>
  </conditionalFormatting>
  <conditionalFormatting sqref="J3:J32">
    <cfRule type="cellIs" dxfId="132" priority="29" operator="greaterThan">
      <formula>100</formula>
    </cfRule>
  </conditionalFormatting>
  <conditionalFormatting sqref="P7:P14">
    <cfRule type="cellIs" dxfId="131" priority="28" operator="greaterThan">
      <formula>$P$6</formula>
    </cfRule>
  </conditionalFormatting>
  <conditionalFormatting sqref="P6">
    <cfRule type="cellIs" dxfId="130" priority="27" operator="greaterThan">
      <formula>100</formula>
    </cfRule>
  </conditionalFormatting>
  <conditionalFormatting sqref="O14">
    <cfRule type="cellIs" dxfId="129" priority="9" operator="greaterThan">
      <formula>$P$14</formula>
    </cfRule>
    <cfRule type="cellIs" dxfId="128" priority="26" operator="lessThan">
      <formula>0</formula>
    </cfRule>
  </conditionalFormatting>
  <conditionalFormatting sqref="P7:P14 O6:O14">
    <cfRule type="cellIs" dxfId="127" priority="25" operator="greaterThan">
      <formula>$P$6</formula>
    </cfRule>
  </conditionalFormatting>
  <conditionalFormatting sqref="O7:P14">
    <cfRule type="cellIs" dxfId="126" priority="24" operator="greaterThan">
      <formula>$O$6</formula>
    </cfRule>
  </conditionalFormatting>
  <conditionalFormatting sqref="O8:P14 O7">
    <cfRule type="cellIs" dxfId="125" priority="23" operator="greaterThan">
      <formula>$P$7</formula>
    </cfRule>
  </conditionalFormatting>
  <conditionalFormatting sqref="O8:P14">
    <cfRule type="cellIs" dxfId="124" priority="22" operator="greaterThan">
      <formula>$O$7</formula>
    </cfRule>
  </conditionalFormatting>
  <conditionalFormatting sqref="O9:P14 O8">
    <cfRule type="cellIs" dxfId="123" priority="21" operator="greaterThan">
      <formula>$P$8</formula>
    </cfRule>
  </conditionalFormatting>
  <conditionalFormatting sqref="O9:P14">
    <cfRule type="cellIs" dxfId="122" priority="20" operator="greaterThan">
      <formula>$O$8</formula>
    </cfRule>
  </conditionalFormatting>
  <conditionalFormatting sqref="O10:P14 O9">
    <cfRule type="cellIs" dxfId="121" priority="19" operator="greaterThan">
      <formula>$P$9</formula>
    </cfRule>
  </conditionalFormatting>
  <conditionalFormatting sqref="O10:P14">
    <cfRule type="cellIs" dxfId="120" priority="18" operator="greaterThan">
      <formula>$O$9</formula>
    </cfRule>
  </conditionalFormatting>
  <conditionalFormatting sqref="O11:P14 O10">
    <cfRule type="cellIs" dxfId="119" priority="17" operator="greaterThan">
      <formula>$P$10</formula>
    </cfRule>
  </conditionalFormatting>
  <conditionalFormatting sqref="O11:P14">
    <cfRule type="cellIs" dxfId="118" priority="16" operator="greaterThan">
      <formula>$O$10</formula>
    </cfRule>
  </conditionalFormatting>
  <conditionalFormatting sqref="O12:P14 O11">
    <cfRule type="cellIs" dxfId="117" priority="15" operator="greaterThan">
      <formula>$P$11</formula>
    </cfRule>
  </conditionalFormatting>
  <conditionalFormatting sqref="O12:P14">
    <cfRule type="cellIs" dxfId="116" priority="14" operator="greaterThan">
      <formula>$O$11</formula>
    </cfRule>
  </conditionalFormatting>
  <conditionalFormatting sqref="O13:P14 O12">
    <cfRule type="cellIs" dxfId="115" priority="13" operator="greaterThan">
      <formula>$P$12</formula>
    </cfRule>
  </conditionalFormatting>
  <conditionalFormatting sqref="O13:P14">
    <cfRule type="cellIs" dxfId="114" priority="12" operator="greaterThan">
      <formula>$O$12</formula>
    </cfRule>
  </conditionalFormatting>
  <conditionalFormatting sqref="O14:P14 O13">
    <cfRule type="cellIs" dxfId="113" priority="11" operator="greaterThan">
      <formula>$P$13</formula>
    </cfRule>
  </conditionalFormatting>
  <conditionalFormatting sqref="O14:P14">
    <cfRule type="cellIs" dxfId="112" priority="10" operator="greaterThan">
      <formula>$O$13</formula>
    </cfRule>
  </conditionalFormatting>
  <conditionalFormatting sqref="S41">
    <cfRule type="cellIs" dxfId="111" priority="4" operator="lessThan">
      <formula>$O$35</formula>
    </cfRule>
    <cfRule type="cellIs" dxfId="110" priority="5" operator="lessThan">
      <formula>$O$35</formula>
    </cfRule>
    <cfRule type="cellIs" dxfId="109" priority="8" operator="greaterThan">
      <formula>$O$35</formula>
    </cfRule>
  </conditionalFormatting>
  <conditionalFormatting sqref="S42">
    <cfRule type="cellIs" dxfId="108" priority="3" operator="lessThan">
      <formula>$O$36</formula>
    </cfRule>
    <cfRule type="cellIs" dxfId="107" priority="7" operator="greaterThan">
      <formula>$O$36</formula>
    </cfRule>
  </conditionalFormatting>
  <conditionalFormatting sqref="S43">
    <cfRule type="cellIs" dxfId="106" priority="2" operator="lessThan">
      <formula>$O$37</formula>
    </cfRule>
    <cfRule type="cellIs" dxfId="105" priority="6" operator="greaterThan">
      <formula>$O$37</formula>
    </cfRule>
  </conditionalFormatting>
  <conditionalFormatting sqref="S44">
    <cfRule type="cellIs" dxfId="104" priority="1" operator="lessThan">
      <formula>$O$38</formula>
    </cfRule>
  </conditionalFormatting>
  <pageMargins left="0.7" right="0.7" top="0.75" bottom="0.75" header="0.511811023622047" footer="0.511811023622047"/>
  <pageSetup paperSize="9"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</xdr:col>
                    <xdr:colOff>7620</xdr:colOff>
                    <xdr:row>68</xdr:row>
                    <xdr:rowOff>7620</xdr:rowOff>
                  </from>
                  <to>
                    <xdr:col>2</xdr:col>
                    <xdr:colOff>0</xdr:colOff>
                    <xdr:row>69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1</xdr:col>
                    <xdr:colOff>7620</xdr:colOff>
                    <xdr:row>69</xdr:row>
                    <xdr:rowOff>7620</xdr:rowOff>
                  </from>
                  <to>
                    <xdr:col>2</xdr:col>
                    <xdr:colOff>0</xdr:colOff>
                    <xdr:row>70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1</xdr:col>
                    <xdr:colOff>7620</xdr:colOff>
                    <xdr:row>70</xdr:row>
                    <xdr:rowOff>7620</xdr:rowOff>
                  </from>
                  <to>
                    <xdr:col>2</xdr:col>
                    <xdr:colOff>0</xdr:colOff>
                    <xdr:row>71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1</xdr:col>
                    <xdr:colOff>7620</xdr:colOff>
                    <xdr:row>71</xdr:row>
                    <xdr:rowOff>7620</xdr:rowOff>
                  </from>
                  <to>
                    <xdr:col>2</xdr:col>
                    <xdr:colOff>0</xdr:colOff>
                    <xdr:row>72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3</xdr:col>
                    <xdr:colOff>7620</xdr:colOff>
                    <xdr:row>68</xdr:row>
                    <xdr:rowOff>7620</xdr:rowOff>
                  </from>
                  <to>
                    <xdr:col>4</xdr:col>
                    <xdr:colOff>0</xdr:colOff>
                    <xdr:row>69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3</xdr:col>
                    <xdr:colOff>7620</xdr:colOff>
                    <xdr:row>69</xdr:row>
                    <xdr:rowOff>7620</xdr:rowOff>
                  </from>
                  <to>
                    <xdr:col>4</xdr:col>
                    <xdr:colOff>0</xdr:colOff>
                    <xdr:row>70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3</xdr:col>
                    <xdr:colOff>7620</xdr:colOff>
                    <xdr:row>70</xdr:row>
                    <xdr:rowOff>7620</xdr:rowOff>
                  </from>
                  <to>
                    <xdr:col>4</xdr:col>
                    <xdr:colOff>0</xdr:colOff>
                    <xdr:row>71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3</xdr:col>
                    <xdr:colOff>7620</xdr:colOff>
                    <xdr:row>71</xdr:row>
                    <xdr:rowOff>7620</xdr:rowOff>
                  </from>
                  <to>
                    <xdr:col>4</xdr:col>
                    <xdr:colOff>0</xdr:colOff>
                    <xdr:row>72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5</xdr:col>
                    <xdr:colOff>7620</xdr:colOff>
                    <xdr:row>68</xdr:row>
                    <xdr:rowOff>7620</xdr:rowOff>
                  </from>
                  <to>
                    <xdr:col>6</xdr:col>
                    <xdr:colOff>15240</xdr:colOff>
                    <xdr:row>69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5</xdr:col>
                    <xdr:colOff>7620</xdr:colOff>
                    <xdr:row>69</xdr:row>
                    <xdr:rowOff>7620</xdr:rowOff>
                  </from>
                  <to>
                    <xdr:col>6</xdr:col>
                    <xdr:colOff>15240</xdr:colOff>
                    <xdr:row>70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5</xdr:col>
                    <xdr:colOff>7620</xdr:colOff>
                    <xdr:row>70</xdr:row>
                    <xdr:rowOff>7620</xdr:rowOff>
                  </from>
                  <to>
                    <xdr:col>6</xdr:col>
                    <xdr:colOff>15240</xdr:colOff>
                    <xdr:row>71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5</xdr:col>
                    <xdr:colOff>7620</xdr:colOff>
                    <xdr:row>71</xdr:row>
                    <xdr:rowOff>7620</xdr:rowOff>
                  </from>
                  <to>
                    <xdr:col>6</xdr:col>
                    <xdr:colOff>15240</xdr:colOff>
                    <xdr:row>72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7</xdr:col>
                    <xdr:colOff>7620</xdr:colOff>
                    <xdr:row>68</xdr:row>
                    <xdr:rowOff>7620</xdr:rowOff>
                  </from>
                  <to>
                    <xdr:col>8</xdr:col>
                    <xdr:colOff>0</xdr:colOff>
                    <xdr:row>69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7</xdr:col>
                    <xdr:colOff>7620</xdr:colOff>
                    <xdr:row>69</xdr:row>
                    <xdr:rowOff>7620</xdr:rowOff>
                  </from>
                  <to>
                    <xdr:col>8</xdr:col>
                    <xdr:colOff>0</xdr:colOff>
                    <xdr:row>70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7</xdr:col>
                    <xdr:colOff>7620</xdr:colOff>
                    <xdr:row>70</xdr:row>
                    <xdr:rowOff>7620</xdr:rowOff>
                  </from>
                  <to>
                    <xdr:col>8</xdr:col>
                    <xdr:colOff>0</xdr:colOff>
                    <xdr:row>71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7</xdr:col>
                    <xdr:colOff>7620</xdr:colOff>
                    <xdr:row>71</xdr:row>
                    <xdr:rowOff>7620</xdr:rowOff>
                  </from>
                  <to>
                    <xdr:col>8</xdr:col>
                    <xdr:colOff>0</xdr:colOff>
                    <xdr:row>72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Check Box 17">
              <controlPr defaultSize="0" autoFill="0" autoLine="0" autoPict="0">
                <anchor moveWithCells="1">
                  <from>
                    <xdr:col>9</xdr:col>
                    <xdr:colOff>7620</xdr:colOff>
                    <xdr:row>68</xdr:row>
                    <xdr:rowOff>7620</xdr:rowOff>
                  </from>
                  <to>
                    <xdr:col>10</xdr:col>
                    <xdr:colOff>7620</xdr:colOff>
                    <xdr:row>69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1" name="Check Box 18">
              <controlPr defaultSize="0" autoFill="0" autoLine="0" autoPict="0">
                <anchor moveWithCells="1">
                  <from>
                    <xdr:col>9</xdr:col>
                    <xdr:colOff>7620</xdr:colOff>
                    <xdr:row>69</xdr:row>
                    <xdr:rowOff>7620</xdr:rowOff>
                  </from>
                  <to>
                    <xdr:col>10</xdr:col>
                    <xdr:colOff>7620</xdr:colOff>
                    <xdr:row>70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2" name="Check Box 19">
              <controlPr defaultSize="0" autoFill="0" autoLine="0" autoPict="0">
                <anchor moveWithCells="1">
                  <from>
                    <xdr:col>9</xdr:col>
                    <xdr:colOff>7620</xdr:colOff>
                    <xdr:row>70</xdr:row>
                    <xdr:rowOff>7620</xdr:rowOff>
                  </from>
                  <to>
                    <xdr:col>10</xdr:col>
                    <xdr:colOff>7620</xdr:colOff>
                    <xdr:row>71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3" name="Check Box 20">
              <controlPr defaultSize="0" autoFill="0" autoLine="0" autoPict="0">
                <anchor moveWithCells="1">
                  <from>
                    <xdr:col>9</xdr:col>
                    <xdr:colOff>7620</xdr:colOff>
                    <xdr:row>71</xdr:row>
                    <xdr:rowOff>7620</xdr:rowOff>
                  </from>
                  <to>
                    <xdr:col>10</xdr:col>
                    <xdr:colOff>7620</xdr:colOff>
                    <xdr:row>72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4" name="Check Box 21">
              <controlPr defaultSize="0" autoFill="0" autoLine="0" autoPict="0">
                <anchor moveWithCells="1">
                  <from>
                    <xdr:col>11</xdr:col>
                    <xdr:colOff>7620</xdr:colOff>
                    <xdr:row>68</xdr:row>
                    <xdr:rowOff>7620</xdr:rowOff>
                  </from>
                  <to>
                    <xdr:col>12</xdr:col>
                    <xdr:colOff>15240</xdr:colOff>
                    <xdr:row>69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5" name="Check Box 22">
              <controlPr defaultSize="0" autoFill="0" autoLine="0" autoPict="0">
                <anchor moveWithCells="1">
                  <from>
                    <xdr:col>11</xdr:col>
                    <xdr:colOff>7620</xdr:colOff>
                    <xdr:row>69</xdr:row>
                    <xdr:rowOff>7620</xdr:rowOff>
                  </from>
                  <to>
                    <xdr:col>12</xdr:col>
                    <xdr:colOff>15240</xdr:colOff>
                    <xdr:row>70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6" name="Check Box 23">
              <controlPr defaultSize="0" autoFill="0" autoLine="0" autoPict="0">
                <anchor moveWithCells="1">
                  <from>
                    <xdr:col>11</xdr:col>
                    <xdr:colOff>7620</xdr:colOff>
                    <xdr:row>70</xdr:row>
                    <xdr:rowOff>7620</xdr:rowOff>
                  </from>
                  <to>
                    <xdr:col>12</xdr:col>
                    <xdr:colOff>15240</xdr:colOff>
                    <xdr:row>71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7" name="Check Box 24">
              <controlPr defaultSize="0" autoFill="0" autoLine="0" autoPict="0">
                <anchor moveWithCells="1">
                  <from>
                    <xdr:col>11</xdr:col>
                    <xdr:colOff>7620</xdr:colOff>
                    <xdr:row>71</xdr:row>
                    <xdr:rowOff>7620</xdr:rowOff>
                  </from>
                  <to>
                    <xdr:col>12</xdr:col>
                    <xdr:colOff>15240</xdr:colOff>
                    <xdr:row>72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8" name="Check Box 25">
              <controlPr defaultSize="0" autoFill="0" autoLine="0" autoPict="0">
                <anchor moveWithCells="1">
                  <from>
                    <xdr:col>13</xdr:col>
                    <xdr:colOff>7620</xdr:colOff>
                    <xdr:row>68</xdr:row>
                    <xdr:rowOff>7620</xdr:rowOff>
                  </from>
                  <to>
                    <xdr:col>14</xdr:col>
                    <xdr:colOff>0</xdr:colOff>
                    <xdr:row>69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9" name="Check Box 26">
              <controlPr defaultSize="0" autoFill="0" autoLine="0" autoPict="0">
                <anchor moveWithCells="1">
                  <from>
                    <xdr:col>13</xdr:col>
                    <xdr:colOff>7620</xdr:colOff>
                    <xdr:row>69</xdr:row>
                    <xdr:rowOff>7620</xdr:rowOff>
                  </from>
                  <to>
                    <xdr:col>14</xdr:col>
                    <xdr:colOff>0</xdr:colOff>
                    <xdr:row>70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30" name="Check Box 27">
              <controlPr defaultSize="0" autoFill="0" autoLine="0" autoPict="0">
                <anchor moveWithCells="1">
                  <from>
                    <xdr:col>13</xdr:col>
                    <xdr:colOff>7620</xdr:colOff>
                    <xdr:row>70</xdr:row>
                    <xdr:rowOff>7620</xdr:rowOff>
                  </from>
                  <to>
                    <xdr:col>14</xdr:col>
                    <xdr:colOff>0</xdr:colOff>
                    <xdr:row>71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1" name="Check Box 28">
              <controlPr defaultSize="0" autoFill="0" autoLine="0" autoPict="0">
                <anchor moveWithCells="1">
                  <from>
                    <xdr:col>13</xdr:col>
                    <xdr:colOff>7620</xdr:colOff>
                    <xdr:row>71</xdr:row>
                    <xdr:rowOff>7620</xdr:rowOff>
                  </from>
                  <to>
                    <xdr:col>14</xdr:col>
                    <xdr:colOff>0</xdr:colOff>
                    <xdr:row>72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2" name="Check Box 29">
              <controlPr defaultSize="0" autoFill="0" autoLine="0" autoPict="0">
                <anchor moveWithCells="1">
                  <from>
                    <xdr:col>15</xdr:col>
                    <xdr:colOff>7620</xdr:colOff>
                    <xdr:row>68</xdr:row>
                    <xdr:rowOff>7620</xdr:rowOff>
                  </from>
                  <to>
                    <xdr:col>16</xdr:col>
                    <xdr:colOff>7620</xdr:colOff>
                    <xdr:row>69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3" name="Check Box 30">
              <controlPr defaultSize="0" autoFill="0" autoLine="0" autoPict="0">
                <anchor moveWithCells="1">
                  <from>
                    <xdr:col>15</xdr:col>
                    <xdr:colOff>7620</xdr:colOff>
                    <xdr:row>69</xdr:row>
                    <xdr:rowOff>7620</xdr:rowOff>
                  </from>
                  <to>
                    <xdr:col>16</xdr:col>
                    <xdr:colOff>7620</xdr:colOff>
                    <xdr:row>70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4" name="Check Box 31">
              <controlPr defaultSize="0" autoFill="0" autoLine="0" autoPict="0">
                <anchor moveWithCells="1">
                  <from>
                    <xdr:col>15</xdr:col>
                    <xdr:colOff>7620</xdr:colOff>
                    <xdr:row>70</xdr:row>
                    <xdr:rowOff>7620</xdr:rowOff>
                  </from>
                  <to>
                    <xdr:col>16</xdr:col>
                    <xdr:colOff>7620</xdr:colOff>
                    <xdr:row>71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5" name="Check Box 32">
              <controlPr defaultSize="0" autoFill="0" autoLine="0" autoPict="0">
                <anchor moveWithCells="1">
                  <from>
                    <xdr:col>15</xdr:col>
                    <xdr:colOff>7620</xdr:colOff>
                    <xdr:row>71</xdr:row>
                    <xdr:rowOff>7620</xdr:rowOff>
                  </from>
                  <to>
                    <xdr:col>16</xdr:col>
                    <xdr:colOff>7620</xdr:colOff>
                    <xdr:row>72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6" name="Check Box 33">
              <controlPr defaultSize="0" autoFill="0" autoLine="0" autoPict="0">
                <anchor moveWithCells="1">
                  <from>
                    <xdr:col>17</xdr:col>
                    <xdr:colOff>7620</xdr:colOff>
                    <xdr:row>68</xdr:row>
                    <xdr:rowOff>7620</xdr:rowOff>
                  </from>
                  <to>
                    <xdr:col>18</xdr:col>
                    <xdr:colOff>0</xdr:colOff>
                    <xdr:row>69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7" name="Check Box 34">
              <controlPr defaultSize="0" autoFill="0" autoLine="0" autoPict="0">
                <anchor moveWithCells="1">
                  <from>
                    <xdr:col>17</xdr:col>
                    <xdr:colOff>7620</xdr:colOff>
                    <xdr:row>69</xdr:row>
                    <xdr:rowOff>7620</xdr:rowOff>
                  </from>
                  <to>
                    <xdr:col>18</xdr:col>
                    <xdr:colOff>0</xdr:colOff>
                    <xdr:row>70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8" name="Check Box 35">
              <controlPr defaultSize="0" autoFill="0" autoLine="0" autoPict="0">
                <anchor moveWithCells="1">
                  <from>
                    <xdr:col>17</xdr:col>
                    <xdr:colOff>7620</xdr:colOff>
                    <xdr:row>70</xdr:row>
                    <xdr:rowOff>7620</xdr:rowOff>
                  </from>
                  <to>
                    <xdr:col>18</xdr:col>
                    <xdr:colOff>0</xdr:colOff>
                    <xdr:row>71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9" name="Check Box 36">
              <controlPr defaultSize="0" autoFill="0" autoLine="0" autoPict="0">
                <anchor moveWithCells="1">
                  <from>
                    <xdr:col>17</xdr:col>
                    <xdr:colOff>7620</xdr:colOff>
                    <xdr:row>71</xdr:row>
                    <xdr:rowOff>7620</xdr:rowOff>
                  </from>
                  <to>
                    <xdr:col>18</xdr:col>
                    <xdr:colOff>0</xdr:colOff>
                    <xdr:row>72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40" name="Check Box 37">
              <controlPr defaultSize="0" autoFill="0" autoLine="0" autoPict="0">
                <anchor moveWithCells="1">
                  <from>
                    <xdr:col>19</xdr:col>
                    <xdr:colOff>7620</xdr:colOff>
                    <xdr:row>68</xdr:row>
                    <xdr:rowOff>7620</xdr:rowOff>
                  </from>
                  <to>
                    <xdr:col>20</xdr:col>
                    <xdr:colOff>15240</xdr:colOff>
                    <xdr:row>69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1" name="Check Box 38">
              <controlPr defaultSize="0" autoFill="0" autoLine="0" autoPict="0">
                <anchor moveWithCells="1">
                  <from>
                    <xdr:col>19</xdr:col>
                    <xdr:colOff>7620</xdr:colOff>
                    <xdr:row>69</xdr:row>
                    <xdr:rowOff>7620</xdr:rowOff>
                  </from>
                  <to>
                    <xdr:col>20</xdr:col>
                    <xdr:colOff>15240</xdr:colOff>
                    <xdr:row>70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2" name="Check Box 39">
              <controlPr defaultSize="0" autoFill="0" autoLine="0" autoPict="0">
                <anchor moveWithCells="1">
                  <from>
                    <xdr:col>19</xdr:col>
                    <xdr:colOff>7620</xdr:colOff>
                    <xdr:row>70</xdr:row>
                    <xdr:rowOff>7620</xdr:rowOff>
                  </from>
                  <to>
                    <xdr:col>20</xdr:col>
                    <xdr:colOff>15240</xdr:colOff>
                    <xdr:row>71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3" name="Check Box 40">
              <controlPr defaultSize="0" autoFill="0" autoLine="0" autoPict="0">
                <anchor moveWithCells="1">
                  <from>
                    <xdr:col>19</xdr:col>
                    <xdr:colOff>7620</xdr:colOff>
                    <xdr:row>71</xdr:row>
                    <xdr:rowOff>7620</xdr:rowOff>
                  </from>
                  <to>
                    <xdr:col>20</xdr:col>
                    <xdr:colOff>15240</xdr:colOff>
                    <xdr:row>72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4" name="Check Box 41">
              <controlPr defaultSize="0" autoFill="0" autoLine="0" autoPict="0">
                <anchor moveWithCells="1">
                  <from>
                    <xdr:col>21</xdr:col>
                    <xdr:colOff>7620</xdr:colOff>
                    <xdr:row>68</xdr:row>
                    <xdr:rowOff>7620</xdr:rowOff>
                  </from>
                  <to>
                    <xdr:col>22</xdr:col>
                    <xdr:colOff>0</xdr:colOff>
                    <xdr:row>69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5" name="Check Box 42">
              <controlPr defaultSize="0" autoFill="0" autoLine="0" autoPict="0">
                <anchor moveWithCells="1">
                  <from>
                    <xdr:col>21</xdr:col>
                    <xdr:colOff>7620</xdr:colOff>
                    <xdr:row>69</xdr:row>
                    <xdr:rowOff>7620</xdr:rowOff>
                  </from>
                  <to>
                    <xdr:col>22</xdr:col>
                    <xdr:colOff>0</xdr:colOff>
                    <xdr:row>70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6" name="Check Box 43">
              <controlPr defaultSize="0" autoFill="0" autoLine="0" autoPict="0">
                <anchor moveWithCells="1">
                  <from>
                    <xdr:col>21</xdr:col>
                    <xdr:colOff>7620</xdr:colOff>
                    <xdr:row>70</xdr:row>
                    <xdr:rowOff>7620</xdr:rowOff>
                  </from>
                  <to>
                    <xdr:col>22</xdr:col>
                    <xdr:colOff>0</xdr:colOff>
                    <xdr:row>71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7" name="Check Box 44">
              <controlPr defaultSize="0" autoFill="0" autoLine="0" autoPict="0">
                <anchor moveWithCells="1">
                  <from>
                    <xdr:col>21</xdr:col>
                    <xdr:colOff>7620</xdr:colOff>
                    <xdr:row>71</xdr:row>
                    <xdr:rowOff>7620</xdr:rowOff>
                  </from>
                  <to>
                    <xdr:col>22</xdr:col>
                    <xdr:colOff>0</xdr:colOff>
                    <xdr:row>72</xdr:row>
                    <xdr:rowOff>30480</xdr:rowOff>
                  </to>
                </anchor>
              </controlPr>
            </control>
          </mc:Choice>
        </mc:AlternateContent>
      </controls>
    </mc:Choice>
  </mc:AlternateContent>
  <tableParts count="8">
    <tablePart r:id="rId48"/>
    <tablePart r:id="rId49"/>
    <tablePart r:id="rId50"/>
    <tablePart r:id="rId51"/>
    <tablePart r:id="rId52"/>
    <tablePart r:id="rId53"/>
    <tablePart r:id="rId54"/>
    <tablePart r:id="rId55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F7D05-EE66-4536-A3F5-085A7D38D3C1}">
  <dimension ref="B1:X96"/>
  <sheetViews>
    <sheetView topLeftCell="A30" zoomScale="55" zoomScaleNormal="55" workbookViewId="0">
      <selection activeCell="K74" sqref="K74"/>
    </sheetView>
  </sheetViews>
  <sheetFormatPr defaultColWidth="8.5546875" defaultRowHeight="14.4" x14ac:dyDescent="0.3"/>
  <cols>
    <col min="1" max="1" width="13.109375" style="1" customWidth="1"/>
    <col min="2" max="2" width="14.109375" style="1" bestFit="1" customWidth="1"/>
    <col min="3" max="3" width="13.44140625" style="1" customWidth="1"/>
    <col min="4" max="4" width="21.6640625" style="1" bestFit="1" customWidth="1"/>
    <col min="5" max="5" width="15.109375" style="3" bestFit="1" customWidth="1"/>
    <col min="6" max="9" width="8.5546875" style="3" bestFit="1" customWidth="1"/>
    <col min="10" max="10" width="8.5546875" style="3" customWidth="1"/>
    <col min="11" max="11" width="15" style="1" customWidth="1"/>
    <col min="12" max="12" width="14.33203125" style="3" bestFit="1" customWidth="1"/>
    <col min="13" max="14" width="10.88671875" style="1" bestFit="1" customWidth="1"/>
    <col min="15" max="15" width="13.33203125" style="1" bestFit="1" customWidth="1"/>
    <col min="16" max="16" width="9.5546875" style="1" bestFit="1" customWidth="1"/>
    <col min="17" max="17" width="9.6640625" style="1" bestFit="1" customWidth="1"/>
    <col min="18" max="18" width="13.33203125" style="1" bestFit="1" customWidth="1"/>
    <col min="19" max="19" width="14.33203125" style="1" bestFit="1" customWidth="1"/>
    <col min="20" max="20" width="8.5546875" style="1" customWidth="1"/>
    <col min="21" max="21" width="11" style="1" customWidth="1"/>
    <col min="22" max="22" width="11.33203125" style="1" customWidth="1"/>
    <col min="23" max="23" width="5.5546875" style="1" bestFit="1" customWidth="1"/>
    <col min="24" max="25" width="4.5546875" style="1" bestFit="1" customWidth="1"/>
    <col min="26" max="26" width="5.5546875" style="1" bestFit="1" customWidth="1"/>
    <col min="27" max="27" width="8.5546875" style="1" customWidth="1"/>
    <col min="28" max="28" width="19.109375" style="1" bestFit="1" customWidth="1"/>
    <col min="29" max="29" width="21" style="1" bestFit="1" customWidth="1"/>
    <col min="30" max="16384" width="8.5546875" style="1"/>
  </cols>
  <sheetData>
    <row r="1" spans="2:24" ht="33.6" x14ac:dyDescent="0.3">
      <c r="B1" s="59" t="s">
        <v>69</v>
      </c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60"/>
      <c r="X1" s="60"/>
    </row>
    <row r="3" spans="2:24" x14ac:dyDescent="0.3">
      <c r="M3" s="35"/>
      <c r="N3" s="35"/>
      <c r="O3" s="35"/>
      <c r="P3" s="35"/>
    </row>
    <row r="4" spans="2:24" ht="15" thickBot="1" x14ac:dyDescent="0.35">
      <c r="B4" s="58" t="s">
        <v>37</v>
      </c>
      <c r="C4" s="57" t="s">
        <v>70</v>
      </c>
      <c r="D4" s="57" t="s">
        <v>17</v>
      </c>
      <c r="E4" s="41" t="s">
        <v>16</v>
      </c>
      <c r="F4" s="61" t="s">
        <v>71</v>
      </c>
      <c r="G4" s="61" t="s">
        <v>72</v>
      </c>
      <c r="H4" s="61" t="s">
        <v>73</v>
      </c>
      <c r="I4" s="61" t="s">
        <v>74</v>
      </c>
      <c r="J4" s="61" t="s">
        <v>75</v>
      </c>
      <c r="K4" s="61" t="s">
        <v>76</v>
      </c>
      <c r="L4" s="61" t="s">
        <v>77</v>
      </c>
      <c r="M4" s="40" t="s">
        <v>78</v>
      </c>
      <c r="N4" s="61" t="s">
        <v>3</v>
      </c>
      <c r="O4" s="61" t="s">
        <v>2</v>
      </c>
      <c r="P4" s="61" t="s">
        <v>1</v>
      </c>
      <c r="Q4" s="61" t="s">
        <v>0</v>
      </c>
      <c r="R4" s="61" t="s">
        <v>79</v>
      </c>
      <c r="S4" s="43" t="s">
        <v>80</v>
      </c>
    </row>
    <row r="5" spans="2:24" ht="15" thickTop="1" x14ac:dyDescent="0.3">
      <c r="B5" s="48">
        <v>1</v>
      </c>
      <c r="C5" s="62">
        <v>4</v>
      </c>
      <c r="D5" s="63" t="s">
        <v>17</v>
      </c>
      <c r="E5" s="63" t="s">
        <v>16</v>
      </c>
      <c r="F5" s="64">
        <v>3</v>
      </c>
      <c r="G5" s="64">
        <v>2</v>
      </c>
      <c r="H5" s="64">
        <v>10</v>
      </c>
      <c r="I5" s="64">
        <v>15</v>
      </c>
      <c r="J5" s="64">
        <v>11</v>
      </c>
      <c r="K5" s="64">
        <v>15</v>
      </c>
      <c r="L5" s="64">
        <v>15</v>
      </c>
      <c r="M5" s="37">
        <f t="shared" ref="M5:M34" si="0">SUM(F5:L5)</f>
        <v>71</v>
      </c>
      <c r="N5" s="65" cm="1">
        <f t="array" ref="N5">Tablo17[[#This Row],[Q1]]/Tablo19[Q1]*$C$43+G5/Tablo19[Q2]*$D$43+H5/Tablo19[Q3]*$E$43+I5/Tablo19[Q4]*$F$43+J5/Tablo19[Q5]*$G$43+K5/Tablo19[Q6]*$H$43+L5/Tablo19[Q7]*$I$43</f>
        <v>13.666666666666666</v>
      </c>
      <c r="O5" s="65" cm="1">
        <f t="array" ref="O5">Tablo17[[#This Row],[Q1]]/Tablo19[Q1]*$C$44+G5/Tablo19[Q2]*$D$44+H5/Tablo19[Q3]*$E$44+I5/Tablo19[Q4]*$F$44+J5/Tablo19[Q5]*$G$44+K5/Tablo19[Q6]*$H$44+L5/Tablo19[Q7]*$I$44</f>
        <v>6.5</v>
      </c>
      <c r="P5" s="65" cm="1">
        <f t="array" ref="P5">Tablo17[[#This Row],[Q1]]/Tablo19[Q1]*$C$45+G5/Tablo19[Q2]*$D$45+H5/Tablo19[Q3]*$E$45+I5/Tablo19[Q4]*$F$45+J5/Tablo19[Q5]*$G$45+K5/Tablo19[Q6]*$H$45+L5/Tablo19[Q7]*$I$45</f>
        <v>3.6666666666666665</v>
      </c>
      <c r="Q5" s="65" cm="1">
        <f t="array" ref="Q5">Tablo17[[#This Row],[Q1]]/Tablo19[Q1]*$C$46+G5/Tablo19[Q2]*$D$46+H5/Tablo19[Q3]*$E$46+I5/Tablo19[Q4]*$F$46+J5/Tablo19[Q5]*$G$46+K5/Tablo19[Q6]*$H$46+L5/Tablo19[Q7]*$I$46</f>
        <v>36.166666666666664</v>
      </c>
      <c r="R5" s="65">
        <f t="shared" ref="R5:R34" si="1">SUM(N5:Q5)</f>
        <v>60</v>
      </c>
      <c r="S5" s="43">
        <f>_xlfn.NORM.DIST(Tablo17[[#This Row],[TOTAL GRADE]],$N$56,$O$56,FALSE)</f>
        <v>4.1940278803414199E-3</v>
      </c>
    </row>
    <row r="6" spans="2:24" x14ac:dyDescent="0.3">
      <c r="B6" s="49">
        <v>2</v>
      </c>
      <c r="C6" s="62">
        <v>5</v>
      </c>
      <c r="D6" s="63" t="s">
        <v>17</v>
      </c>
      <c r="E6" s="63" t="s">
        <v>16</v>
      </c>
      <c r="F6" s="64">
        <v>6</v>
      </c>
      <c r="G6" s="64">
        <v>3.5</v>
      </c>
      <c r="H6" s="64">
        <v>12.5</v>
      </c>
      <c r="I6" s="64">
        <v>10</v>
      </c>
      <c r="J6" s="64">
        <v>6</v>
      </c>
      <c r="K6" s="64">
        <v>15</v>
      </c>
      <c r="L6" s="64">
        <v>14</v>
      </c>
      <c r="M6" s="37">
        <f t="shared" si="0"/>
        <v>67</v>
      </c>
      <c r="N6" s="65" cm="1">
        <f t="array" ref="N6">Tablo17[[#This Row],[Q1]]/Tablo19[Q1]*$C$43+G6/Tablo19[Q2]*$D$43+H6/Tablo19[Q3]*$E$43+I6/Tablo19[Q4]*$F$43+J6/Tablo19[Q5]*$G$43+K6/Tablo19[Q6]*$H$43+L6/Tablo19[Q7]*$I$43</f>
        <v>17.75</v>
      </c>
      <c r="O6" s="65" cm="1">
        <f t="array" ref="O6">Tablo17[[#This Row],[Q1]]/Tablo19[Q1]*$C$44+G6/Tablo19[Q2]*$D$44+H6/Tablo19[Q3]*$E$44+I6/Tablo19[Q4]*$F$44+J6/Tablo19[Q5]*$G$44+K6/Tablo19[Q6]*$H$44+L6/Tablo19[Q7]*$I$44</f>
        <v>8</v>
      </c>
      <c r="P6" s="65" cm="1">
        <f t="array" ref="P6">Tablo17[[#This Row],[Q1]]/Tablo19[Q1]*$C$45+G6/Tablo19[Q2]*$D$45+H6/Tablo19[Q3]*$E$45+I6/Tablo19[Q4]*$F$45+J6/Tablo19[Q5]*$G$45+K6/Tablo19[Q6]*$H$45+L6/Tablo19[Q7]*$I$45</f>
        <v>2</v>
      </c>
      <c r="Q6" s="65" cm="1">
        <f t="array" ref="Q6">Tablo17[[#This Row],[Q1]]/Tablo19[Q1]*$C$46+G6/Tablo19[Q2]*$D$46+H6/Tablo19[Q3]*$E$46+I6/Tablo19[Q4]*$F$46+J6/Tablo19[Q5]*$G$46+K6/Tablo19[Q6]*$H$46+L6/Tablo19[Q7]*$I$46</f>
        <v>30.666666666666668</v>
      </c>
      <c r="R6" s="65">
        <f t="shared" si="1"/>
        <v>58.416666666666671</v>
      </c>
      <c r="S6" s="43">
        <f>_xlfn.NORM.DIST(Tablo17[[#This Row],[TOTAL GRADE]],$N$56,$O$56,FALSE)</f>
        <v>6.1180895764037227E-3</v>
      </c>
    </row>
    <row r="7" spans="2:24" x14ac:dyDescent="0.3">
      <c r="B7" s="48">
        <v>3</v>
      </c>
      <c r="C7" s="62">
        <v>6</v>
      </c>
      <c r="D7" s="63" t="s">
        <v>17</v>
      </c>
      <c r="E7" s="63" t="s">
        <v>16</v>
      </c>
      <c r="F7" s="64">
        <v>2</v>
      </c>
      <c r="G7" s="64">
        <v>2</v>
      </c>
      <c r="H7" s="64">
        <v>14</v>
      </c>
      <c r="I7" s="64">
        <v>15</v>
      </c>
      <c r="J7" s="64">
        <v>11</v>
      </c>
      <c r="K7" s="64">
        <v>4</v>
      </c>
      <c r="L7" s="64">
        <v>14</v>
      </c>
      <c r="M7" s="37">
        <f t="shared" si="0"/>
        <v>62</v>
      </c>
      <c r="N7" s="65" cm="1">
        <f t="array" ref="N7">Tablo17[[#This Row],[Q1]]/Tablo19[Q1]*$C$43+G7/Tablo19[Q2]*$D$43+H7/Tablo19[Q3]*$E$43+I7/Tablo19[Q4]*$F$43+J7/Tablo19[Q5]*$G$43+K7/Tablo19[Q6]*$H$43+L7/Tablo19[Q7]*$I$43</f>
        <v>14.666666666666666</v>
      </c>
      <c r="O7" s="65" cm="1">
        <f t="array" ref="O7">Tablo17[[#This Row],[Q1]]/Tablo19[Q1]*$C$44+G7/Tablo19[Q2]*$D$44+H7/Tablo19[Q3]*$E$44+I7/Tablo19[Q4]*$F$44+J7/Tablo19[Q5]*$G$44+K7/Tablo19[Q6]*$H$44+L7/Tablo19[Q7]*$I$44</f>
        <v>2.333333333333333</v>
      </c>
      <c r="P7" s="65" cm="1">
        <f t="array" ref="P7">Tablo17[[#This Row],[Q1]]/Tablo19[Q1]*$C$45+G7/Tablo19[Q2]*$D$45+H7/Tablo19[Q3]*$E$45+I7/Tablo19[Q4]*$F$45+J7/Tablo19[Q5]*$G$45+K7/Tablo19[Q6]*$H$45+L7/Tablo19[Q7]*$I$45</f>
        <v>3.6666666666666665</v>
      </c>
      <c r="Q7" s="65" cm="1">
        <f t="array" ref="Q7">Tablo17[[#This Row],[Q1]]/Tablo19[Q1]*$C$46+G7/Tablo19[Q2]*$D$46+H7/Tablo19[Q3]*$E$46+I7/Tablo19[Q4]*$F$46+J7/Tablo19[Q5]*$G$46+K7/Tablo19[Q6]*$H$46+L7/Tablo19[Q7]*$I$46</f>
        <v>31.166666666666668</v>
      </c>
      <c r="R7" s="65">
        <f t="shared" si="1"/>
        <v>51.833333333333336</v>
      </c>
      <c r="S7" s="43">
        <f>_xlfn.NORM.DIST(Tablo17[[#This Row],[TOTAL GRADE]],$N$56,$O$56,FALSE)</f>
        <v>9.1588558478442415E-3</v>
      </c>
    </row>
    <row r="8" spans="2:24" x14ac:dyDescent="0.3">
      <c r="B8" s="49">
        <v>4</v>
      </c>
      <c r="C8" s="62">
        <v>7</v>
      </c>
      <c r="D8" s="63" t="s">
        <v>17</v>
      </c>
      <c r="E8" s="63" t="s">
        <v>16</v>
      </c>
      <c r="F8" s="64">
        <v>4</v>
      </c>
      <c r="G8" s="64">
        <v>1</v>
      </c>
      <c r="H8" s="64">
        <v>10</v>
      </c>
      <c r="I8" s="64">
        <v>12</v>
      </c>
      <c r="J8" s="64">
        <v>13</v>
      </c>
      <c r="K8" s="64">
        <v>2</v>
      </c>
      <c r="L8" s="64">
        <v>15</v>
      </c>
      <c r="M8" s="37">
        <f t="shared" si="0"/>
        <v>57</v>
      </c>
      <c r="N8" s="65" cm="1">
        <f t="array" ref="N8">Tablo17[[#This Row],[Q1]]/Tablo19[Q1]*$C$43+G8/Tablo19[Q2]*$D$43+H8/Tablo19[Q3]*$E$43+I8/Tablo19[Q4]*$F$43+J8/Tablo19[Q5]*$G$43+K8/Tablo19[Q6]*$H$43+L8/Tablo19[Q7]*$I$43</f>
        <v>14.333333333333334</v>
      </c>
      <c r="O8" s="65" cm="1">
        <f t="array" ref="O8">Tablo17[[#This Row],[Q1]]/Tablo19[Q1]*$C$44+G8/Tablo19[Q2]*$D$44+H8/Tablo19[Q3]*$E$44+I8/Tablo19[Q4]*$F$44+J8/Tablo19[Q5]*$G$44+K8/Tablo19[Q6]*$H$44+L8/Tablo19[Q7]*$I$44</f>
        <v>2.6666666666666665</v>
      </c>
      <c r="P8" s="65" cm="1">
        <f t="array" ref="P8">Tablo17[[#This Row],[Q1]]/Tablo19[Q1]*$C$45+G8/Tablo19[Q2]*$D$45+H8/Tablo19[Q3]*$E$45+I8/Tablo19[Q4]*$F$45+J8/Tablo19[Q5]*$G$45+K8/Tablo19[Q6]*$H$45+L8/Tablo19[Q7]*$I$45</f>
        <v>4.3333333333333339</v>
      </c>
      <c r="Q8" s="65" cm="1">
        <f t="array" ref="Q8">Tablo17[[#This Row],[Q1]]/Tablo19[Q1]*$C$46+G8/Tablo19[Q2]*$D$46+H8/Tablo19[Q3]*$E$46+I8/Tablo19[Q4]*$F$46+J8/Tablo19[Q5]*$G$46+K8/Tablo19[Q6]*$H$46+L8/Tablo19[Q7]*$I$46</f>
        <v>31</v>
      </c>
      <c r="R8" s="65">
        <f t="shared" si="1"/>
        <v>52.333333333333336</v>
      </c>
      <c r="S8" s="43">
        <f>_xlfn.NORM.DIST(Tablo17[[#This Row],[TOTAL GRADE]],$N$56,$O$56,FALSE)</f>
        <v>1.2705893806020505E-2</v>
      </c>
    </row>
    <row r="9" spans="2:24" x14ac:dyDescent="0.3">
      <c r="B9" s="48">
        <v>5</v>
      </c>
      <c r="C9" s="62">
        <v>8</v>
      </c>
      <c r="D9" s="63" t="s">
        <v>17</v>
      </c>
      <c r="E9" s="63" t="s">
        <v>16</v>
      </c>
      <c r="F9" s="64">
        <v>1</v>
      </c>
      <c r="G9" s="64">
        <v>1</v>
      </c>
      <c r="H9" s="64">
        <v>15</v>
      </c>
      <c r="I9" s="64">
        <v>9</v>
      </c>
      <c r="J9" s="64">
        <v>6</v>
      </c>
      <c r="K9" s="64">
        <v>15</v>
      </c>
      <c r="L9" s="64">
        <v>8</v>
      </c>
      <c r="M9" s="37">
        <f t="shared" si="0"/>
        <v>55</v>
      </c>
      <c r="N9" s="65" cm="1">
        <f t="array" ref="N9">Tablo17[[#This Row],[Q1]]/Tablo19[Q1]*$C$43+G9/Tablo19[Q2]*$D$43+H9/Tablo19[Q3]*$E$43+I9/Tablo19[Q4]*$F$43+J9/Tablo19[Q5]*$G$43+K9/Tablo19[Q6]*$H$43+L9/Tablo19[Q7]*$I$43</f>
        <v>11.5</v>
      </c>
      <c r="O9" s="65" cm="1">
        <f t="array" ref="O9">Tablo17[[#This Row],[Q1]]/Tablo19[Q1]*$C$44+G9/Tablo19[Q2]*$D$44+H9/Tablo19[Q3]*$E$44+I9/Tablo19[Q4]*$F$44+J9/Tablo19[Q5]*$G$44+K9/Tablo19[Q6]*$H$44+L9/Tablo19[Q7]*$I$44</f>
        <v>5.5</v>
      </c>
      <c r="P9" s="65" cm="1">
        <f t="array" ref="P9">Tablo17[[#This Row],[Q1]]/Tablo19[Q1]*$C$45+G9/Tablo19[Q2]*$D$45+H9/Tablo19[Q3]*$E$45+I9/Tablo19[Q4]*$F$45+J9/Tablo19[Q5]*$G$45+K9/Tablo19[Q6]*$H$45+L9/Tablo19[Q7]*$I$45</f>
        <v>2</v>
      </c>
      <c r="Q9" s="65" cm="1">
        <f t="array" ref="Q9">Tablo17[[#This Row],[Q1]]/Tablo19[Q1]*$C$46+G9/Tablo19[Q2]*$D$46+H9/Tablo19[Q3]*$E$46+I9/Tablo19[Q4]*$F$46+J9/Tablo19[Q5]*$G$46+K9/Tablo19[Q6]*$H$46+L9/Tablo19[Q7]*$I$46</f>
        <v>22.166666666666664</v>
      </c>
      <c r="R9" s="65">
        <f t="shared" si="1"/>
        <v>41.166666666666664</v>
      </c>
      <c r="S9" s="43">
        <f>_xlfn.NORM.DIST(Tablo17[[#This Row],[TOTAL GRADE]],$N$56,$O$56,FALSE)</f>
        <v>1.4177956179946404E-2</v>
      </c>
    </row>
    <row r="10" spans="2:24" x14ac:dyDescent="0.3">
      <c r="B10" s="49">
        <v>6</v>
      </c>
      <c r="C10" s="62">
        <v>9</v>
      </c>
      <c r="D10" s="63" t="s">
        <v>17</v>
      </c>
      <c r="E10" s="63" t="s">
        <v>16</v>
      </c>
      <c r="F10" s="64">
        <v>1</v>
      </c>
      <c r="G10" s="64">
        <v>1</v>
      </c>
      <c r="H10" s="64">
        <v>9</v>
      </c>
      <c r="I10" s="64">
        <v>12</v>
      </c>
      <c r="J10" s="64">
        <v>8</v>
      </c>
      <c r="K10" s="64">
        <v>15</v>
      </c>
      <c r="L10" s="64">
        <v>7</v>
      </c>
      <c r="M10" s="37">
        <f t="shared" si="0"/>
        <v>53</v>
      </c>
      <c r="N10" s="65" cm="1">
        <f t="array" ref="N10">Tablo17[[#This Row],[Q1]]/Tablo19[Q1]*$C$43+G10/Tablo19[Q2]*$D$43+H10/Tablo19[Q3]*$E$43+I10/Tablo19[Q4]*$F$43+J10/Tablo19[Q5]*$G$43+K10/Tablo19[Q6]*$H$43+L10/Tablo19[Q7]*$I$43</f>
        <v>9.1666666666666661</v>
      </c>
      <c r="O10" s="65" cm="1">
        <f t="array" ref="O10">Tablo17[[#This Row],[Q1]]/Tablo19[Q1]*$C$44+G10/Tablo19[Q2]*$D$44+H10/Tablo19[Q3]*$E$44+I10/Tablo19[Q4]*$F$44+J10/Tablo19[Q5]*$G$44+K10/Tablo19[Q6]*$H$44+L10/Tablo19[Q7]*$I$44</f>
        <v>5.5</v>
      </c>
      <c r="P10" s="65" cm="1">
        <f t="array" ref="P10">Tablo17[[#This Row],[Q1]]/Tablo19[Q1]*$C$45+G10/Tablo19[Q2]*$D$45+H10/Tablo19[Q3]*$E$45+I10/Tablo19[Q4]*$F$45+J10/Tablo19[Q5]*$G$45+K10/Tablo19[Q6]*$H$45+L10/Tablo19[Q7]*$I$45</f>
        <v>2.6666666666666665</v>
      </c>
      <c r="Q10" s="65" cm="1">
        <f t="array" ref="Q10">Tablo17[[#This Row],[Q1]]/Tablo19[Q1]*$C$46+G10/Tablo19[Q2]*$D$46+H10/Tablo19[Q3]*$E$46+I10/Tablo19[Q4]*$F$46+J10/Tablo19[Q5]*$G$46+K10/Tablo19[Q6]*$H$46+L10/Tablo19[Q7]*$I$46</f>
        <v>23</v>
      </c>
      <c r="R10" s="65">
        <f t="shared" si="1"/>
        <v>40.333333333333329</v>
      </c>
      <c r="S10" s="43">
        <f>_xlfn.NORM.DIST(Tablo17[[#This Row],[TOTAL GRADE]],$N$56,$O$56,FALSE)</f>
        <v>1.5629036846777963E-2</v>
      </c>
    </row>
    <row r="11" spans="2:24" x14ac:dyDescent="0.3">
      <c r="B11" s="48">
        <v>7</v>
      </c>
      <c r="C11" s="62">
        <v>10</v>
      </c>
      <c r="D11" s="63" t="s">
        <v>17</v>
      </c>
      <c r="E11" s="63" t="s">
        <v>16</v>
      </c>
      <c r="F11" s="64">
        <v>0</v>
      </c>
      <c r="G11" s="64">
        <v>2</v>
      </c>
      <c r="H11" s="64">
        <v>17</v>
      </c>
      <c r="I11" s="64">
        <v>15</v>
      </c>
      <c r="J11" s="64">
        <v>10</v>
      </c>
      <c r="K11" s="64">
        <v>6</v>
      </c>
      <c r="L11" s="64">
        <v>0</v>
      </c>
      <c r="M11" s="37">
        <f t="shared" si="0"/>
        <v>50</v>
      </c>
      <c r="N11" s="65" cm="1">
        <f t="array" ref="N11">Tablo17[[#This Row],[Q1]]/Tablo19[Q1]*$C$43+G11/Tablo19[Q2]*$D$43+H11/Tablo19[Q3]*$E$43+I11/Tablo19[Q4]*$F$43+J11/Tablo19[Q5]*$G$43+K11/Tablo19[Q6]*$H$43+L11/Tablo19[Q7]*$I$43</f>
        <v>13.833333333333332</v>
      </c>
      <c r="O11" s="65" cm="1">
        <f t="array" ref="O11">Tablo17[[#This Row],[Q1]]/Tablo19[Q1]*$C$44+G11/Tablo19[Q2]*$D$44+H11/Tablo19[Q3]*$E$44+I11/Tablo19[Q4]*$F$44+J11/Tablo19[Q5]*$G$44+K11/Tablo19[Q6]*$H$44+L11/Tablo19[Q7]*$I$44</f>
        <v>2</v>
      </c>
      <c r="P11" s="65" cm="1">
        <f t="array" ref="P11">Tablo17[[#This Row],[Q1]]/Tablo19[Q1]*$C$45+G11/Tablo19[Q2]*$D$45+H11/Tablo19[Q3]*$E$45+I11/Tablo19[Q4]*$F$45+J11/Tablo19[Q5]*$G$45+K11/Tablo19[Q6]*$H$45+L11/Tablo19[Q7]*$I$45</f>
        <v>3.333333333333333</v>
      </c>
      <c r="Q11" s="65" cm="1">
        <f t="array" ref="Q11">Tablo17[[#This Row],[Q1]]/Tablo19[Q1]*$C$46+G11/Tablo19[Q2]*$D$46+H11/Tablo19[Q3]*$E$46+I11/Tablo19[Q4]*$F$46+J11/Tablo19[Q5]*$G$46+K11/Tablo19[Q6]*$H$46+L11/Tablo19[Q7]*$I$46</f>
        <v>12.833333333333332</v>
      </c>
      <c r="R11" s="65">
        <f t="shared" si="1"/>
        <v>31.999999999999996</v>
      </c>
      <c r="S11" s="43">
        <f>_xlfn.NORM.DIST(Tablo17[[#This Row],[TOTAL GRADE]],$N$56,$O$56,FALSE)</f>
        <v>1.7680383242776862E-2</v>
      </c>
    </row>
    <row r="12" spans="2:24" x14ac:dyDescent="0.3">
      <c r="B12" s="49">
        <v>8</v>
      </c>
      <c r="C12" s="62">
        <v>11</v>
      </c>
      <c r="D12" s="63" t="s">
        <v>17</v>
      </c>
      <c r="E12" s="63" t="s">
        <v>16</v>
      </c>
      <c r="F12" s="64">
        <v>0</v>
      </c>
      <c r="G12" s="64">
        <v>5</v>
      </c>
      <c r="H12" s="64">
        <v>8</v>
      </c>
      <c r="I12" s="64">
        <v>9</v>
      </c>
      <c r="J12" s="64">
        <v>8</v>
      </c>
      <c r="K12" s="64">
        <v>9</v>
      </c>
      <c r="L12" s="64">
        <v>11</v>
      </c>
      <c r="M12" s="37">
        <f t="shared" si="0"/>
        <v>50</v>
      </c>
      <c r="N12" s="65" cm="1">
        <f t="array" ref="N12">Tablo17[[#This Row],[Q1]]/Tablo19[Q1]*$C$43+G12/Tablo19[Q2]*$D$43+H12/Tablo19[Q3]*$E$43+I12/Tablo19[Q4]*$F$43+J12/Tablo19[Q5]*$G$43+K12/Tablo19[Q6]*$H$43+L12/Tablo19[Q7]*$I$43</f>
        <v>11.666666666666666</v>
      </c>
      <c r="O12" s="65" cm="1">
        <f t="array" ref="O12">Tablo17[[#This Row],[Q1]]/Tablo19[Q1]*$C$44+G12/Tablo19[Q2]*$D$44+H12/Tablo19[Q3]*$E$44+I12/Tablo19[Q4]*$F$44+J12/Tablo19[Q5]*$G$44+K12/Tablo19[Q6]*$H$44+L12/Tablo19[Q7]*$I$44</f>
        <v>3</v>
      </c>
      <c r="P12" s="65" cm="1">
        <f t="array" ref="P12">Tablo17[[#This Row],[Q1]]/Tablo19[Q1]*$C$45+G12/Tablo19[Q2]*$D$45+H12/Tablo19[Q3]*$E$45+I12/Tablo19[Q4]*$F$45+J12/Tablo19[Q5]*$G$45+K12/Tablo19[Q6]*$H$45+L12/Tablo19[Q7]*$I$45</f>
        <v>2.6666666666666665</v>
      </c>
      <c r="Q12" s="65" cm="1">
        <f t="array" ref="Q12">Tablo17[[#This Row],[Q1]]/Tablo19[Q1]*$C$46+G12/Tablo19[Q2]*$D$46+H12/Tablo19[Q3]*$E$46+I12/Tablo19[Q4]*$F$46+J12/Tablo19[Q5]*$G$46+K12/Tablo19[Q6]*$H$46+L12/Tablo19[Q7]*$I$46</f>
        <v>24.833333333333332</v>
      </c>
      <c r="R12" s="65">
        <f t="shared" si="1"/>
        <v>42.166666666666664</v>
      </c>
      <c r="S12" s="43">
        <f>_xlfn.NORM.DIST(Tablo17[[#This Row],[TOTAL GRADE]],$N$56,$O$56,FALSE)</f>
        <v>1.7680383242776862E-2</v>
      </c>
    </row>
    <row r="13" spans="2:24" x14ac:dyDescent="0.3">
      <c r="B13" s="48">
        <v>9</v>
      </c>
      <c r="C13" s="62">
        <v>12</v>
      </c>
      <c r="D13" s="63" t="s">
        <v>17</v>
      </c>
      <c r="E13" s="63" t="s">
        <v>16</v>
      </c>
      <c r="F13" s="64">
        <v>1</v>
      </c>
      <c r="G13" s="64">
        <v>1</v>
      </c>
      <c r="H13" s="64">
        <v>9</v>
      </c>
      <c r="I13" s="64">
        <v>10</v>
      </c>
      <c r="J13" s="64">
        <v>6</v>
      </c>
      <c r="K13" s="64">
        <v>10</v>
      </c>
      <c r="L13" s="64">
        <v>11</v>
      </c>
      <c r="M13" s="37">
        <f t="shared" si="0"/>
        <v>48</v>
      </c>
      <c r="N13" s="65" cm="1">
        <f t="array" ref="N13">Tablo17[[#This Row],[Q1]]/Tablo19[Q1]*$C$43+G13/Tablo19[Q2]*$D$43+H13/Tablo19[Q3]*$E$43+I13/Tablo19[Q4]*$F$43+J13/Tablo19[Q5]*$G$43+K13/Tablo19[Q6]*$H$43+L13/Tablo19[Q7]*$I$43</f>
        <v>8.5</v>
      </c>
      <c r="O13" s="65" cm="1">
        <f t="array" ref="O13">Tablo17[[#This Row],[Q1]]/Tablo19[Q1]*$C$44+G13/Tablo19[Q2]*$D$44+H13/Tablo19[Q3]*$E$44+I13/Tablo19[Q4]*$F$44+J13/Tablo19[Q5]*$G$44+K13/Tablo19[Q6]*$H$44+L13/Tablo19[Q7]*$I$44</f>
        <v>3.833333333333333</v>
      </c>
      <c r="P13" s="65" cm="1">
        <f t="array" ref="P13">Tablo17[[#This Row],[Q1]]/Tablo19[Q1]*$C$45+G13/Tablo19[Q2]*$D$45+H13/Tablo19[Q3]*$E$45+I13/Tablo19[Q4]*$F$45+J13/Tablo19[Q5]*$G$45+K13/Tablo19[Q6]*$H$45+L13/Tablo19[Q7]*$I$45</f>
        <v>2</v>
      </c>
      <c r="Q13" s="65" cm="1">
        <f t="array" ref="Q13">Tablo17[[#This Row],[Q1]]/Tablo19[Q1]*$C$46+G13/Tablo19[Q2]*$D$46+H13/Tablo19[Q3]*$E$46+I13/Tablo19[Q4]*$F$46+J13/Tablo19[Q5]*$G$46+K13/Tablo19[Q6]*$H$46+L13/Tablo19[Q7]*$I$46</f>
        <v>25</v>
      </c>
      <c r="R13" s="65">
        <f t="shared" si="1"/>
        <v>39.333333333333329</v>
      </c>
      <c r="S13" s="43">
        <f>_xlfn.NORM.DIST(Tablo17[[#This Row],[TOTAL GRADE]],$N$56,$O$56,FALSE)</f>
        <v>1.8905392662284057E-2</v>
      </c>
    </row>
    <row r="14" spans="2:24" x14ac:dyDescent="0.3">
      <c r="B14" s="49">
        <v>10</v>
      </c>
      <c r="C14" s="62">
        <v>13</v>
      </c>
      <c r="D14" s="63" t="s">
        <v>17</v>
      </c>
      <c r="E14" s="63" t="s">
        <v>16</v>
      </c>
      <c r="F14" s="64">
        <v>6</v>
      </c>
      <c r="G14" s="64">
        <v>2</v>
      </c>
      <c r="H14" s="64">
        <v>0</v>
      </c>
      <c r="I14" s="64">
        <v>16</v>
      </c>
      <c r="J14" s="64">
        <v>11</v>
      </c>
      <c r="K14" s="64">
        <v>4</v>
      </c>
      <c r="L14" s="64">
        <v>9</v>
      </c>
      <c r="M14" s="37">
        <f t="shared" si="0"/>
        <v>48</v>
      </c>
      <c r="N14" s="65" cm="1">
        <f t="array" ref="N14">Tablo17[[#This Row],[Q1]]/Tablo19[Q1]*$C$43+G14/Tablo19[Q2]*$D$43+H14/Tablo19[Q3]*$E$43+I14/Tablo19[Q4]*$F$43+J14/Tablo19[Q5]*$G$43+K14/Tablo19[Q6]*$H$43+L14/Tablo19[Q7]*$I$43</f>
        <v>11.666666666666666</v>
      </c>
      <c r="O14" s="65" cm="1">
        <f t="array" ref="O14">Tablo17[[#This Row],[Q1]]/Tablo19[Q1]*$C$44+G14/Tablo19[Q2]*$D$44+H14/Tablo19[Q3]*$E$44+I14/Tablo19[Q4]*$F$44+J14/Tablo19[Q5]*$G$44+K14/Tablo19[Q6]*$H$44+L14/Tablo19[Q7]*$I$44</f>
        <v>4.333333333333333</v>
      </c>
      <c r="P14" s="65" cm="1">
        <f t="array" ref="P14">Tablo17[[#This Row],[Q1]]/Tablo19[Q1]*$C$45+G14/Tablo19[Q2]*$D$45+H14/Tablo19[Q3]*$E$45+I14/Tablo19[Q4]*$F$45+J14/Tablo19[Q5]*$G$45+K14/Tablo19[Q6]*$H$45+L14/Tablo19[Q7]*$I$45</f>
        <v>3.6666666666666665</v>
      </c>
      <c r="Q14" s="65" cm="1">
        <f t="array" ref="Q14">Tablo17[[#This Row],[Q1]]/Tablo19[Q1]*$C$46+G14/Tablo19[Q2]*$D$46+H14/Tablo19[Q3]*$E$46+I14/Tablo19[Q4]*$F$46+J14/Tablo19[Q5]*$G$46+K14/Tablo19[Q6]*$H$46+L14/Tablo19[Q7]*$I$46</f>
        <v>25</v>
      </c>
      <c r="R14" s="65">
        <f t="shared" si="1"/>
        <v>44.666666666666671</v>
      </c>
      <c r="S14" s="43">
        <f>_xlfn.NORM.DIST(Tablo17[[#This Row],[TOTAL GRADE]],$N$56,$O$56,FALSE)</f>
        <v>1.8905392662284057E-2</v>
      </c>
    </row>
    <row r="15" spans="2:24" x14ac:dyDescent="0.3">
      <c r="B15" s="48">
        <v>11</v>
      </c>
      <c r="C15" s="62">
        <v>14</v>
      </c>
      <c r="D15" s="63" t="s">
        <v>17</v>
      </c>
      <c r="E15" s="63" t="s">
        <v>16</v>
      </c>
      <c r="F15" s="64">
        <v>3</v>
      </c>
      <c r="G15" s="64">
        <v>1</v>
      </c>
      <c r="H15" s="64">
        <v>1</v>
      </c>
      <c r="I15" s="64">
        <v>14</v>
      </c>
      <c r="J15" s="64">
        <v>9</v>
      </c>
      <c r="K15" s="64">
        <v>10</v>
      </c>
      <c r="L15" s="64">
        <v>9</v>
      </c>
      <c r="M15" s="37">
        <f t="shared" si="0"/>
        <v>47</v>
      </c>
      <c r="N15" s="65" cm="1">
        <f t="array" ref="N15">Tablo17[[#This Row],[Q1]]/Tablo19[Q1]*$C$43+G15/Tablo19[Q2]*$D$43+H15/Tablo19[Q3]*$E$43+I15/Tablo19[Q4]*$F$43+J15/Tablo19[Q5]*$G$43+K15/Tablo19[Q6]*$H$43+L15/Tablo19[Q7]*$I$43</f>
        <v>7.5</v>
      </c>
      <c r="O15" s="65" cm="1">
        <f t="array" ref="O15">Tablo17[[#This Row],[Q1]]/Tablo19[Q1]*$C$44+G15/Tablo19[Q2]*$D$44+H15/Tablo19[Q3]*$E$44+I15/Tablo19[Q4]*$F$44+J15/Tablo19[Q5]*$G$44+K15/Tablo19[Q6]*$H$44+L15/Tablo19[Q7]*$I$44</f>
        <v>4.833333333333333</v>
      </c>
      <c r="P15" s="65" cm="1">
        <f t="array" ref="P15">Tablo17[[#This Row],[Q1]]/Tablo19[Q1]*$C$45+G15/Tablo19[Q2]*$D$45+H15/Tablo19[Q3]*$E$45+I15/Tablo19[Q4]*$F$45+J15/Tablo19[Q5]*$G$45+K15/Tablo19[Q6]*$H$45+L15/Tablo19[Q7]*$I$45</f>
        <v>3</v>
      </c>
      <c r="Q15" s="65" cm="1">
        <f t="array" ref="Q15">Tablo17[[#This Row],[Q1]]/Tablo19[Q1]*$C$46+G15/Tablo19[Q2]*$D$46+H15/Tablo19[Q3]*$E$46+I15/Tablo19[Q4]*$F$46+J15/Tablo19[Q5]*$G$46+K15/Tablo19[Q6]*$H$46+L15/Tablo19[Q7]*$I$46</f>
        <v>25.333333333333332</v>
      </c>
      <c r="R15" s="65">
        <f t="shared" si="1"/>
        <v>40.666666666666664</v>
      </c>
      <c r="S15" s="43">
        <f>_xlfn.NORM.DIST(Tablo17[[#This Row],[TOTAL GRADE]],$N$56,$O$56,FALSE)</f>
        <v>1.9460277639275211E-2</v>
      </c>
    </row>
    <row r="16" spans="2:24" x14ac:dyDescent="0.3">
      <c r="B16" s="49">
        <v>12</v>
      </c>
      <c r="C16" s="62">
        <v>15</v>
      </c>
      <c r="D16" s="63" t="s">
        <v>17</v>
      </c>
      <c r="E16" s="63" t="s">
        <v>16</v>
      </c>
      <c r="F16" s="64">
        <v>2</v>
      </c>
      <c r="G16" s="64">
        <v>1</v>
      </c>
      <c r="H16" s="64">
        <v>14</v>
      </c>
      <c r="I16" s="64">
        <v>12</v>
      </c>
      <c r="J16" s="64">
        <v>6</v>
      </c>
      <c r="K16" s="64">
        <v>5</v>
      </c>
      <c r="L16" s="64">
        <v>4</v>
      </c>
      <c r="M16" s="37">
        <f t="shared" si="0"/>
        <v>44</v>
      </c>
      <c r="N16" s="65" cm="1">
        <f t="array" ref="N16">Tablo17[[#This Row],[Q1]]/Tablo19[Q1]*$C$43+G16/Tablo19[Q2]*$D$43+H16/Tablo19[Q3]*$E$43+I16/Tablo19[Q4]*$F$43+J16/Tablo19[Q5]*$G$43+K16/Tablo19[Q6]*$H$43+L16/Tablo19[Q7]*$I$43</f>
        <v>12</v>
      </c>
      <c r="O16" s="65" cm="1">
        <f t="array" ref="O16">Tablo17[[#This Row],[Q1]]/Tablo19[Q1]*$C$44+G16/Tablo19[Q2]*$D$44+H16/Tablo19[Q3]*$E$44+I16/Tablo19[Q4]*$F$44+J16/Tablo19[Q5]*$G$44+K16/Tablo19[Q6]*$H$44+L16/Tablo19[Q7]*$I$44</f>
        <v>2.6666666666666665</v>
      </c>
      <c r="P16" s="65" cm="1">
        <f t="array" ref="P16">Tablo17[[#This Row],[Q1]]/Tablo19[Q1]*$C$45+G16/Tablo19[Q2]*$D$45+H16/Tablo19[Q3]*$E$45+I16/Tablo19[Q4]*$F$45+J16/Tablo19[Q5]*$G$45+K16/Tablo19[Q6]*$H$45+L16/Tablo19[Q7]*$I$45</f>
        <v>2</v>
      </c>
      <c r="Q16" s="65" cm="1">
        <f t="array" ref="Q16">Tablo17[[#This Row],[Q1]]/Tablo19[Q1]*$C$46+G16/Tablo19[Q2]*$D$46+H16/Tablo19[Q3]*$E$46+I16/Tablo19[Q4]*$F$46+J16/Tablo19[Q5]*$G$46+K16/Tablo19[Q6]*$H$46+L16/Tablo19[Q7]*$I$46</f>
        <v>15</v>
      </c>
      <c r="R16" s="65">
        <f t="shared" si="1"/>
        <v>31.666666666666664</v>
      </c>
      <c r="S16" s="43">
        <f>_xlfn.NORM.DIST(Tablo17[[#This Row],[TOTAL GRADE]],$N$56,$O$56,FALSE)</f>
        <v>2.0840315400294896E-2</v>
      </c>
    </row>
    <row r="17" spans="2:19" x14ac:dyDescent="0.3">
      <c r="B17" s="48">
        <v>13</v>
      </c>
      <c r="C17" s="62">
        <v>16</v>
      </c>
      <c r="D17" s="63" t="s">
        <v>17</v>
      </c>
      <c r="E17" s="63" t="s">
        <v>16</v>
      </c>
      <c r="F17" s="64">
        <v>0</v>
      </c>
      <c r="G17" s="64">
        <v>1</v>
      </c>
      <c r="H17" s="64">
        <v>14</v>
      </c>
      <c r="I17" s="64">
        <v>3</v>
      </c>
      <c r="J17" s="64">
        <v>5</v>
      </c>
      <c r="K17" s="64">
        <v>11</v>
      </c>
      <c r="L17" s="64">
        <v>9</v>
      </c>
      <c r="M17" s="37">
        <f t="shared" si="0"/>
        <v>43</v>
      </c>
      <c r="N17" s="65" cm="1">
        <f t="array" ref="N17">Tablo17[[#This Row],[Q1]]/Tablo19[Q1]*$C$43+G17/Tablo19[Q2]*$D$43+H17/Tablo19[Q3]*$E$43+I17/Tablo19[Q4]*$F$43+J17/Tablo19[Q5]*$G$43+K17/Tablo19[Q6]*$H$43+L17/Tablo19[Q7]*$I$43</f>
        <v>9.6666666666666661</v>
      </c>
      <c r="O17" s="65" cm="1">
        <f t="array" ref="O17">Tablo17[[#This Row],[Q1]]/Tablo19[Q1]*$C$44+G17/Tablo19[Q2]*$D$44+H17/Tablo19[Q3]*$E$44+I17/Tablo19[Q4]*$F$44+J17/Tablo19[Q5]*$G$44+K17/Tablo19[Q6]*$H$44+L17/Tablo19[Q7]*$I$44</f>
        <v>3.6666666666666665</v>
      </c>
      <c r="P17" s="65" cm="1">
        <f t="array" ref="P17">Tablo17[[#This Row],[Q1]]/Tablo19[Q1]*$C$45+G17/Tablo19[Q2]*$D$45+H17/Tablo19[Q3]*$E$45+I17/Tablo19[Q4]*$F$45+J17/Tablo19[Q5]*$G$45+K17/Tablo19[Q6]*$H$45+L17/Tablo19[Q7]*$I$45</f>
        <v>1.6666666666666665</v>
      </c>
      <c r="Q17" s="65" cm="1">
        <f t="array" ref="Q17">Tablo17[[#This Row],[Q1]]/Tablo19[Q1]*$C$46+G17/Tablo19[Q2]*$D$46+H17/Tablo19[Q3]*$E$46+I17/Tablo19[Q4]*$F$46+J17/Tablo19[Q5]*$G$46+K17/Tablo19[Q6]*$H$46+L17/Tablo19[Q7]*$I$46</f>
        <v>18.833333333333332</v>
      </c>
      <c r="R17" s="65">
        <f t="shared" si="1"/>
        <v>33.833333333333329</v>
      </c>
      <c r="S17" s="43">
        <f>_xlfn.NORM.DIST(Tablo17[[#This Row],[TOTAL GRADE]],$N$56,$O$56,FALSE)</f>
        <v>2.1192285407833772E-2</v>
      </c>
    </row>
    <row r="18" spans="2:19" x14ac:dyDescent="0.3">
      <c r="B18" s="49">
        <v>14</v>
      </c>
      <c r="C18" s="62">
        <v>17</v>
      </c>
      <c r="D18" s="63" t="s">
        <v>17</v>
      </c>
      <c r="E18" s="63" t="s">
        <v>16</v>
      </c>
      <c r="F18" s="64">
        <v>3</v>
      </c>
      <c r="G18" s="64">
        <v>4</v>
      </c>
      <c r="H18" s="64">
        <v>11</v>
      </c>
      <c r="I18" s="64">
        <v>10</v>
      </c>
      <c r="J18" s="64">
        <v>6</v>
      </c>
      <c r="K18" s="64">
        <v>2</v>
      </c>
      <c r="L18" s="64">
        <v>6</v>
      </c>
      <c r="M18" s="37">
        <f t="shared" si="0"/>
        <v>42</v>
      </c>
      <c r="N18" s="65" cm="1">
        <f t="array" ref="N18">Tablo17[[#This Row],[Q1]]/Tablo19[Q1]*$C$43+G18/Tablo19[Q2]*$D$43+H18/Tablo19[Q3]*$E$43+I18/Tablo19[Q4]*$F$43+J18/Tablo19[Q5]*$G$43+K18/Tablo19[Q6]*$H$43+L18/Tablo19[Q7]*$I$43</f>
        <v>14.5</v>
      </c>
      <c r="O18" s="65" cm="1">
        <f t="array" ref="O18">Tablo17[[#This Row],[Q1]]/Tablo19[Q1]*$C$44+G18/Tablo19[Q2]*$D$44+H18/Tablo19[Q3]*$E$44+I18/Tablo19[Q4]*$F$44+J18/Tablo19[Q5]*$G$44+K18/Tablo19[Q6]*$H$44+L18/Tablo19[Q7]*$I$44</f>
        <v>2.1666666666666665</v>
      </c>
      <c r="P18" s="65" cm="1">
        <f t="array" ref="P18">Tablo17[[#This Row],[Q1]]/Tablo19[Q1]*$C$45+G18/Tablo19[Q2]*$D$45+H18/Tablo19[Q3]*$E$45+I18/Tablo19[Q4]*$F$45+J18/Tablo19[Q5]*$G$45+K18/Tablo19[Q6]*$H$45+L18/Tablo19[Q7]*$I$45</f>
        <v>2</v>
      </c>
      <c r="Q18" s="65" cm="1">
        <f t="array" ref="Q18">Tablo17[[#This Row],[Q1]]/Tablo19[Q1]*$C$46+G18/Tablo19[Q2]*$D$46+H18/Tablo19[Q3]*$E$46+I18/Tablo19[Q4]*$F$46+J18/Tablo19[Q5]*$G$46+K18/Tablo19[Q6]*$H$46+L18/Tablo19[Q7]*$I$46</f>
        <v>15.666666666666668</v>
      </c>
      <c r="R18" s="65">
        <f t="shared" si="1"/>
        <v>34.333333333333336</v>
      </c>
      <c r="S18" s="43">
        <f>_xlfn.NORM.DIST(Tablo17[[#This Row],[TOTAL GRADE]],$N$56,$O$56,FALSE)</f>
        <v>2.1484677809694316E-2</v>
      </c>
    </row>
    <row r="19" spans="2:19" x14ac:dyDescent="0.3">
      <c r="B19" s="48">
        <v>15</v>
      </c>
      <c r="C19" s="62">
        <v>18</v>
      </c>
      <c r="D19" s="63" t="s">
        <v>17</v>
      </c>
      <c r="E19" s="63" t="s">
        <v>16</v>
      </c>
      <c r="F19" s="64">
        <v>0</v>
      </c>
      <c r="G19" s="64">
        <v>0</v>
      </c>
      <c r="H19" s="64">
        <v>7</v>
      </c>
      <c r="I19" s="64">
        <v>15</v>
      </c>
      <c r="J19" s="64">
        <v>6</v>
      </c>
      <c r="K19" s="64">
        <v>10</v>
      </c>
      <c r="L19" s="64">
        <v>4</v>
      </c>
      <c r="M19" s="37">
        <f t="shared" si="0"/>
        <v>42</v>
      </c>
      <c r="N19" s="65" cm="1">
        <f t="array" ref="N19">Tablo17[[#This Row],[Q1]]/Tablo19[Q1]*$C$43+G19/Tablo19[Q2]*$D$43+H19/Tablo19[Q3]*$E$43+I19/Tablo19[Q4]*$F$43+J19/Tablo19[Q5]*$G$43+K19/Tablo19[Q6]*$H$43+L19/Tablo19[Q7]*$I$43</f>
        <v>5.5</v>
      </c>
      <c r="O19" s="65" cm="1">
        <f t="array" ref="O19">Tablo17[[#This Row],[Q1]]/Tablo19[Q1]*$C$44+G19/Tablo19[Q2]*$D$44+H19/Tablo19[Q3]*$E$44+I19/Tablo19[Q4]*$F$44+J19/Tablo19[Q5]*$G$44+K19/Tablo19[Q6]*$H$44+L19/Tablo19[Q7]*$I$44</f>
        <v>3.333333333333333</v>
      </c>
      <c r="P19" s="65" cm="1">
        <f t="array" ref="P19">Tablo17[[#This Row],[Q1]]/Tablo19[Q1]*$C$45+G19/Tablo19[Q2]*$D$45+H19/Tablo19[Q3]*$E$45+I19/Tablo19[Q4]*$F$45+J19/Tablo19[Q5]*$G$45+K19/Tablo19[Q6]*$H$45+L19/Tablo19[Q7]*$I$45</f>
        <v>2</v>
      </c>
      <c r="Q19" s="65" cm="1">
        <f t="array" ref="Q19">Tablo17[[#This Row],[Q1]]/Tablo19[Q1]*$C$46+G19/Tablo19[Q2]*$D$46+H19/Tablo19[Q3]*$E$46+I19/Tablo19[Q4]*$F$46+J19/Tablo19[Q5]*$G$46+K19/Tablo19[Q6]*$H$46+L19/Tablo19[Q7]*$I$46</f>
        <v>18.166666666666664</v>
      </c>
      <c r="R19" s="65">
        <f t="shared" si="1"/>
        <v>28.999999999999996</v>
      </c>
      <c r="S19" s="43">
        <f>_xlfn.NORM.DIST(Tablo17[[#This Row],[TOTAL GRADE]],$N$56,$O$56,FALSE)</f>
        <v>2.1484677809694316E-2</v>
      </c>
    </row>
    <row r="20" spans="2:19" x14ac:dyDescent="0.3">
      <c r="B20" s="49">
        <v>16</v>
      </c>
      <c r="C20" s="62">
        <v>19</v>
      </c>
      <c r="D20" s="63" t="s">
        <v>17</v>
      </c>
      <c r="E20" s="63" t="s">
        <v>16</v>
      </c>
      <c r="F20" s="64">
        <v>1</v>
      </c>
      <c r="G20" s="64">
        <v>3</v>
      </c>
      <c r="H20" s="64">
        <v>12</v>
      </c>
      <c r="I20" s="64">
        <v>10</v>
      </c>
      <c r="J20" s="64">
        <v>8</v>
      </c>
      <c r="K20" s="64">
        <v>5</v>
      </c>
      <c r="L20" s="64">
        <v>1</v>
      </c>
      <c r="M20" s="37">
        <f t="shared" si="0"/>
        <v>40</v>
      </c>
      <c r="N20" s="65" cm="1">
        <f t="array" ref="N20">Tablo17[[#This Row],[Q1]]/Tablo19[Q1]*$C$43+G20/Tablo19[Q2]*$D$43+H20/Tablo19[Q3]*$E$43+I20/Tablo19[Q4]*$F$43+J20/Tablo19[Q5]*$G$43+K20/Tablo19[Q6]*$H$43+L20/Tablo19[Q7]*$I$43</f>
        <v>12.666666666666666</v>
      </c>
      <c r="O20" s="65" cm="1">
        <f t="array" ref="O20">Tablo17[[#This Row],[Q1]]/Tablo19[Q1]*$C$44+G20/Tablo19[Q2]*$D$44+H20/Tablo19[Q3]*$E$44+I20/Tablo19[Q4]*$F$44+J20/Tablo19[Q5]*$G$44+K20/Tablo19[Q6]*$H$44+L20/Tablo19[Q7]*$I$44</f>
        <v>2.1666666666666665</v>
      </c>
      <c r="P20" s="65" cm="1">
        <f t="array" ref="P20">Tablo17[[#This Row],[Q1]]/Tablo19[Q1]*$C$45+G20/Tablo19[Q2]*$D$45+H20/Tablo19[Q3]*$E$45+I20/Tablo19[Q4]*$F$45+J20/Tablo19[Q5]*$G$45+K20/Tablo19[Q6]*$H$45+L20/Tablo19[Q7]*$I$45</f>
        <v>2.6666666666666665</v>
      </c>
      <c r="Q20" s="65" cm="1">
        <f t="array" ref="Q20">Tablo17[[#This Row],[Q1]]/Tablo19[Q1]*$C$46+G20/Tablo19[Q2]*$D$46+H20/Tablo19[Q3]*$E$46+I20/Tablo19[Q4]*$F$46+J20/Tablo19[Q5]*$G$46+K20/Tablo19[Q6]*$H$46+L20/Tablo19[Q7]*$I$46</f>
        <v>10.666666666666666</v>
      </c>
      <c r="R20" s="65">
        <f t="shared" si="1"/>
        <v>28.166666666666664</v>
      </c>
      <c r="S20" s="43">
        <f>_xlfn.NORM.DIST(Tablo17[[#This Row],[TOTAL GRADE]],$N$56,$O$56,FALSE)</f>
        <v>2.1880819321820844E-2</v>
      </c>
    </row>
    <row r="21" spans="2:19" x14ac:dyDescent="0.3">
      <c r="B21" s="48">
        <v>17</v>
      </c>
      <c r="C21" s="62">
        <v>20</v>
      </c>
      <c r="D21" s="63" t="s">
        <v>17</v>
      </c>
      <c r="E21" s="63" t="s">
        <v>16</v>
      </c>
      <c r="F21" s="64">
        <v>1</v>
      </c>
      <c r="G21" s="64">
        <v>1</v>
      </c>
      <c r="H21" s="64">
        <v>11</v>
      </c>
      <c r="I21" s="64">
        <v>9</v>
      </c>
      <c r="J21" s="64">
        <v>3</v>
      </c>
      <c r="K21" s="64">
        <v>10</v>
      </c>
      <c r="L21" s="64">
        <v>5</v>
      </c>
      <c r="M21" s="37">
        <f t="shared" si="0"/>
        <v>40</v>
      </c>
      <c r="N21" s="65" cm="1">
        <f t="array" ref="N21">Tablo17[[#This Row],[Q1]]/Tablo19[Q1]*$C$43+G21/Tablo19[Q2]*$D$43+H21/Tablo19[Q3]*$E$43+I21/Tablo19[Q4]*$F$43+J21/Tablo19[Q5]*$G$43+K21/Tablo19[Q6]*$H$43+L21/Tablo19[Q7]*$I$43</f>
        <v>8.5</v>
      </c>
      <c r="O21" s="65" cm="1">
        <f t="array" ref="O21">Tablo17[[#This Row],[Q1]]/Tablo19[Q1]*$C$44+G21/Tablo19[Q2]*$D$44+H21/Tablo19[Q3]*$E$44+I21/Tablo19[Q4]*$F$44+J21/Tablo19[Q5]*$G$44+K21/Tablo19[Q6]*$H$44+L21/Tablo19[Q7]*$I$44</f>
        <v>3.833333333333333</v>
      </c>
      <c r="P21" s="65" cm="1">
        <f t="array" ref="P21">Tablo17[[#This Row],[Q1]]/Tablo19[Q1]*$C$45+G21/Tablo19[Q2]*$D$45+H21/Tablo19[Q3]*$E$45+I21/Tablo19[Q4]*$F$45+J21/Tablo19[Q5]*$G$45+K21/Tablo19[Q6]*$H$45+L21/Tablo19[Q7]*$I$45</f>
        <v>1</v>
      </c>
      <c r="Q21" s="65" cm="1">
        <f t="array" ref="Q21">Tablo17[[#This Row],[Q1]]/Tablo19[Q1]*$C$46+G21/Tablo19[Q2]*$D$46+H21/Tablo19[Q3]*$E$46+I21/Tablo19[Q4]*$F$46+J21/Tablo19[Q5]*$G$46+K21/Tablo19[Q6]*$H$46+L21/Tablo19[Q7]*$I$46</f>
        <v>15.499999999999998</v>
      </c>
      <c r="R21" s="65">
        <f t="shared" si="1"/>
        <v>28.833333333333329</v>
      </c>
      <c r="S21" s="43">
        <f>_xlfn.NORM.DIST(Tablo17[[#This Row],[TOTAL GRADE]],$N$56,$O$56,FALSE)</f>
        <v>2.1880819321820844E-2</v>
      </c>
    </row>
    <row r="22" spans="2:19" x14ac:dyDescent="0.3">
      <c r="B22" s="49">
        <v>18</v>
      </c>
      <c r="C22" s="62">
        <v>21</v>
      </c>
      <c r="D22" s="63" t="s">
        <v>17</v>
      </c>
      <c r="E22" s="63" t="s">
        <v>16</v>
      </c>
      <c r="F22" s="64">
        <v>3</v>
      </c>
      <c r="G22" s="64">
        <v>1</v>
      </c>
      <c r="H22" s="64">
        <v>7</v>
      </c>
      <c r="I22" s="64">
        <v>9</v>
      </c>
      <c r="J22" s="64">
        <v>5</v>
      </c>
      <c r="K22" s="64">
        <v>0</v>
      </c>
      <c r="L22" s="64">
        <v>12</v>
      </c>
      <c r="M22" s="37">
        <f t="shared" si="0"/>
        <v>37</v>
      </c>
      <c r="N22" s="65" cm="1">
        <f t="array" ref="N22">Tablo17[[#This Row],[Q1]]/Tablo19[Q1]*$C$43+G22/Tablo19[Q2]*$D$43+H22/Tablo19[Q3]*$E$43+I22/Tablo19[Q4]*$F$43+J22/Tablo19[Q5]*$G$43+K22/Tablo19[Q6]*$H$43+L22/Tablo19[Q7]*$I$43</f>
        <v>9.1666666666666661</v>
      </c>
      <c r="O22" s="65" cm="1">
        <f t="array" ref="O22">Tablo17[[#This Row],[Q1]]/Tablo19[Q1]*$C$44+G22/Tablo19[Q2]*$D$44+H22/Tablo19[Q3]*$E$44+I22/Tablo19[Q4]*$F$44+J22/Tablo19[Q5]*$G$44+K22/Tablo19[Q6]*$H$44+L22/Tablo19[Q7]*$I$44</f>
        <v>1.5</v>
      </c>
      <c r="P22" s="65" cm="1">
        <f t="array" ref="P22">Tablo17[[#This Row],[Q1]]/Tablo19[Q1]*$C$45+G22/Tablo19[Q2]*$D$45+H22/Tablo19[Q3]*$E$45+I22/Tablo19[Q4]*$F$45+J22/Tablo19[Q5]*$G$45+K22/Tablo19[Q6]*$H$45+L22/Tablo19[Q7]*$I$45</f>
        <v>1.6666666666666665</v>
      </c>
      <c r="Q22" s="65" cm="1">
        <f t="array" ref="Q22">Tablo17[[#This Row],[Q1]]/Tablo19[Q1]*$C$46+G22/Tablo19[Q2]*$D$46+H22/Tablo19[Q3]*$E$46+I22/Tablo19[Q4]*$F$46+J22/Tablo19[Q5]*$G$46+K22/Tablo19[Q6]*$H$46+L22/Tablo19[Q7]*$I$46</f>
        <v>22.166666666666664</v>
      </c>
      <c r="R22" s="65">
        <f t="shared" si="1"/>
        <v>34.5</v>
      </c>
      <c r="S22" s="43">
        <f>_xlfn.NORM.DIST(Tablo17[[#This Row],[TOTAL GRADE]],$N$56,$O$56,FALSE)</f>
        <v>2.1980990760215053E-2</v>
      </c>
    </row>
    <row r="23" spans="2:19" x14ac:dyDescent="0.3">
      <c r="B23" s="48">
        <v>19</v>
      </c>
      <c r="C23" s="62">
        <v>22</v>
      </c>
      <c r="D23" s="66" t="s">
        <v>17</v>
      </c>
      <c r="E23" s="63" t="s">
        <v>16</v>
      </c>
      <c r="F23" s="64">
        <v>0</v>
      </c>
      <c r="G23" s="64">
        <v>2</v>
      </c>
      <c r="H23" s="64">
        <v>14</v>
      </c>
      <c r="I23" s="64">
        <v>9</v>
      </c>
      <c r="J23" s="64">
        <v>6</v>
      </c>
      <c r="K23" s="64">
        <v>0</v>
      </c>
      <c r="L23" s="64">
        <v>5</v>
      </c>
      <c r="M23" s="37">
        <f t="shared" si="0"/>
        <v>36</v>
      </c>
      <c r="N23" s="65" cm="1">
        <f t="array" ref="N23">Tablo17[[#This Row],[Q1]]/Tablo19[Q1]*$C$43+G23/Tablo19[Q2]*$D$43+H23/Tablo19[Q3]*$E$43+I23/Tablo19[Q4]*$F$43+J23/Tablo19[Q5]*$G$43+K23/Tablo19[Q6]*$H$43+L23/Tablo19[Q7]*$I$43</f>
        <v>11</v>
      </c>
      <c r="O23" s="65" cm="1">
        <f t="array" ref="O23">Tablo17[[#This Row],[Q1]]/Tablo19[Q1]*$C$44+G23/Tablo19[Q2]*$D$44+H23/Tablo19[Q3]*$E$44+I23/Tablo19[Q4]*$F$44+J23/Tablo19[Q5]*$G$44+K23/Tablo19[Q6]*$H$44+L23/Tablo19[Q7]*$I$44</f>
        <v>0</v>
      </c>
      <c r="P23" s="65" cm="1">
        <f t="array" ref="P23">Tablo17[[#This Row],[Q1]]/Tablo19[Q1]*$C$45+G23/Tablo19[Q2]*$D$45+H23/Tablo19[Q3]*$E$45+I23/Tablo19[Q4]*$F$45+J23/Tablo19[Q5]*$G$45+K23/Tablo19[Q6]*$H$45+L23/Tablo19[Q7]*$I$45</f>
        <v>2</v>
      </c>
      <c r="Q23" s="65" cm="1">
        <f t="array" ref="Q23">Tablo17[[#This Row],[Q1]]/Tablo19[Q1]*$C$46+G23/Tablo19[Q2]*$D$46+H23/Tablo19[Q3]*$E$46+I23/Tablo19[Q4]*$F$46+J23/Tablo19[Q5]*$G$46+K23/Tablo19[Q6]*$H$46+L23/Tablo19[Q7]*$I$46</f>
        <v>13.166666666666666</v>
      </c>
      <c r="R23" s="65">
        <f t="shared" si="1"/>
        <v>26.166666666666664</v>
      </c>
      <c r="S23" s="43">
        <f>_xlfn.NORM.DIST(Tablo17[[#This Row],[TOTAL GRADE]],$N$56,$O$56,FALSE)</f>
        <v>2.1880819321820844E-2</v>
      </c>
    </row>
    <row r="24" spans="2:19" x14ac:dyDescent="0.3">
      <c r="B24" s="49">
        <v>20</v>
      </c>
      <c r="C24" s="62">
        <v>23</v>
      </c>
      <c r="D24" s="63" t="s">
        <v>17</v>
      </c>
      <c r="E24" s="63" t="s">
        <v>16</v>
      </c>
      <c r="F24" s="64">
        <v>5</v>
      </c>
      <c r="G24" s="64">
        <v>2</v>
      </c>
      <c r="H24" s="64">
        <v>7</v>
      </c>
      <c r="I24" s="64">
        <v>12</v>
      </c>
      <c r="J24" s="64">
        <v>6</v>
      </c>
      <c r="K24" s="64">
        <v>3</v>
      </c>
      <c r="L24" s="64">
        <v>1</v>
      </c>
      <c r="M24" s="37">
        <f t="shared" si="0"/>
        <v>36</v>
      </c>
      <c r="N24" s="65" cm="1">
        <f t="array" ref="N24">Tablo17[[#This Row],[Q1]]/Tablo19[Q1]*$C$43+G24/Tablo19[Q2]*$D$43+H24/Tablo19[Q3]*$E$43+I24/Tablo19[Q4]*$F$43+J24/Tablo19[Q5]*$G$43+K24/Tablo19[Q6]*$H$43+L24/Tablo19[Q7]*$I$43</f>
        <v>12.5</v>
      </c>
      <c r="O24" s="65" cm="1">
        <f t="array" ref="O24">Tablo17[[#This Row],[Q1]]/Tablo19[Q1]*$C$44+G24/Tablo19[Q2]*$D$44+H24/Tablo19[Q3]*$E$44+I24/Tablo19[Q4]*$F$44+J24/Tablo19[Q5]*$G$44+K24/Tablo19[Q6]*$H$44+L24/Tablo19[Q7]*$I$44</f>
        <v>3.5</v>
      </c>
      <c r="P24" s="65" cm="1">
        <f t="array" ref="P24">Tablo17[[#This Row],[Q1]]/Tablo19[Q1]*$C$45+G24/Tablo19[Q2]*$D$45+H24/Tablo19[Q3]*$E$45+I24/Tablo19[Q4]*$F$45+J24/Tablo19[Q5]*$G$45+K24/Tablo19[Q6]*$H$45+L24/Tablo19[Q7]*$I$45</f>
        <v>2</v>
      </c>
      <c r="Q24" s="65" cm="1">
        <f t="array" ref="Q24">Tablo17[[#This Row],[Q1]]/Tablo19[Q1]*$C$46+G24/Tablo19[Q2]*$D$46+H24/Tablo19[Q3]*$E$46+I24/Tablo19[Q4]*$F$46+J24/Tablo19[Q5]*$G$46+K24/Tablo19[Q6]*$H$46+L24/Tablo19[Q7]*$I$46</f>
        <v>10.333333333333334</v>
      </c>
      <c r="R24" s="65">
        <f t="shared" si="1"/>
        <v>28.333333333333336</v>
      </c>
      <c r="S24" s="43">
        <f>_xlfn.NORM.DIST(Tablo17[[#This Row],[TOTAL GRADE]],$N$56,$O$56,FALSE)</f>
        <v>2.1880819321820844E-2</v>
      </c>
    </row>
    <row r="25" spans="2:19" x14ac:dyDescent="0.3">
      <c r="B25" s="48">
        <v>21</v>
      </c>
      <c r="C25" s="62">
        <v>24</v>
      </c>
      <c r="D25" s="63" t="s">
        <v>17</v>
      </c>
      <c r="E25" s="63" t="s">
        <v>16</v>
      </c>
      <c r="F25" s="64">
        <v>8</v>
      </c>
      <c r="G25" s="64">
        <v>1</v>
      </c>
      <c r="H25" s="64">
        <v>10</v>
      </c>
      <c r="I25" s="64">
        <v>2</v>
      </c>
      <c r="J25" s="64">
        <v>2</v>
      </c>
      <c r="K25" s="64">
        <v>5</v>
      </c>
      <c r="L25" s="64">
        <v>7</v>
      </c>
      <c r="M25" s="37">
        <f t="shared" si="0"/>
        <v>35</v>
      </c>
      <c r="N25" s="65" cm="1">
        <f t="array" ref="N25">Tablo17[[#This Row],[Q1]]/Tablo19[Q1]*$C$43+G25/Tablo19[Q2]*$D$43+H25/Tablo19[Q3]*$E$43+I25/Tablo19[Q4]*$F$43+J25/Tablo19[Q5]*$G$43+K25/Tablo19[Q6]*$H$43+L25/Tablo19[Q7]*$I$43</f>
        <v>14.666666666666666</v>
      </c>
      <c r="O25" s="65" cm="1">
        <f t="array" ref="O25">Tablo17[[#This Row],[Q1]]/Tablo19[Q1]*$C$44+G25/Tablo19[Q2]*$D$44+H25/Tablo19[Q3]*$E$44+I25/Tablo19[Q4]*$F$44+J25/Tablo19[Q5]*$G$44+K25/Tablo19[Q6]*$H$44+L25/Tablo19[Q7]*$I$44</f>
        <v>5.6666666666666661</v>
      </c>
      <c r="P25" s="65" cm="1">
        <f t="array" ref="P25">Tablo17[[#This Row],[Q1]]/Tablo19[Q1]*$C$45+G25/Tablo19[Q2]*$D$45+H25/Tablo19[Q3]*$E$45+I25/Tablo19[Q4]*$F$45+J25/Tablo19[Q5]*$G$45+K25/Tablo19[Q6]*$H$45+L25/Tablo19[Q7]*$I$45</f>
        <v>0.66666666666666663</v>
      </c>
      <c r="Q25" s="65" cm="1">
        <f t="array" ref="Q25">Tablo17[[#This Row],[Q1]]/Tablo19[Q1]*$C$46+G25/Tablo19[Q2]*$D$46+H25/Tablo19[Q3]*$E$46+I25/Tablo19[Q4]*$F$46+J25/Tablo19[Q5]*$G$46+K25/Tablo19[Q6]*$H$46+L25/Tablo19[Q7]*$I$46</f>
        <v>12.666666666666668</v>
      </c>
      <c r="R25" s="65">
        <f t="shared" si="1"/>
        <v>33.666666666666671</v>
      </c>
      <c r="S25" s="43">
        <f>_xlfn.NORM.DIST(Tablo17[[#This Row],[TOTAL GRADE]],$N$56,$O$56,FALSE)</f>
        <v>2.1714880340688841E-2</v>
      </c>
    </row>
    <row r="26" spans="2:19" x14ac:dyDescent="0.3">
      <c r="B26" s="49">
        <v>22</v>
      </c>
      <c r="C26" s="62">
        <v>25</v>
      </c>
      <c r="D26" s="63" t="s">
        <v>17</v>
      </c>
      <c r="E26" s="63" t="s">
        <v>16</v>
      </c>
      <c r="F26" s="64">
        <v>0</v>
      </c>
      <c r="G26" s="64">
        <v>2</v>
      </c>
      <c r="H26" s="64">
        <v>7</v>
      </c>
      <c r="I26" s="64">
        <v>8</v>
      </c>
      <c r="J26" s="64">
        <v>8</v>
      </c>
      <c r="K26" s="64">
        <v>3</v>
      </c>
      <c r="L26" s="64">
        <v>0</v>
      </c>
      <c r="M26" s="37">
        <f t="shared" si="0"/>
        <v>28</v>
      </c>
      <c r="N26" s="65" cm="1">
        <f t="array" ref="N26">Tablo17[[#This Row],[Q1]]/Tablo19[Q1]*$C$43+G26/Tablo19[Q2]*$D$43+H26/Tablo19[Q3]*$E$43+I26/Tablo19[Q4]*$F$43+J26/Tablo19[Q5]*$G$43+K26/Tablo19[Q6]*$H$43+L26/Tablo19[Q7]*$I$43</f>
        <v>8.1666666666666661</v>
      </c>
      <c r="O26" s="65" cm="1">
        <f t="array" ref="O26">Tablo17[[#This Row],[Q1]]/Tablo19[Q1]*$C$44+G26/Tablo19[Q2]*$D$44+H26/Tablo19[Q3]*$E$44+I26/Tablo19[Q4]*$F$44+J26/Tablo19[Q5]*$G$44+K26/Tablo19[Q6]*$H$44+L26/Tablo19[Q7]*$I$44</f>
        <v>1</v>
      </c>
      <c r="P26" s="65" cm="1">
        <f t="array" ref="P26">Tablo17[[#This Row],[Q1]]/Tablo19[Q1]*$C$45+G26/Tablo19[Q2]*$D$45+H26/Tablo19[Q3]*$E$45+I26/Tablo19[Q4]*$F$45+J26/Tablo19[Q5]*$G$45+K26/Tablo19[Q6]*$H$45+L26/Tablo19[Q7]*$I$45</f>
        <v>2.6666666666666665</v>
      </c>
      <c r="Q26" s="65" cm="1">
        <f t="array" ref="Q26">Tablo17[[#This Row],[Q1]]/Tablo19[Q1]*$C$46+G26/Tablo19[Q2]*$D$46+H26/Tablo19[Q3]*$E$46+I26/Tablo19[Q4]*$F$46+J26/Tablo19[Q5]*$G$46+K26/Tablo19[Q6]*$H$46+L26/Tablo19[Q7]*$I$46</f>
        <v>7.6666666666666661</v>
      </c>
      <c r="R26" s="65">
        <f t="shared" si="1"/>
        <v>19.5</v>
      </c>
      <c r="S26" s="43">
        <f>_xlfn.NORM.DIST(Tablo17[[#This Row],[TOTAL GRADE]],$N$56,$O$56,FALSE)</f>
        <v>1.8905392662284057E-2</v>
      </c>
    </row>
    <row r="27" spans="2:19" x14ac:dyDescent="0.3">
      <c r="B27" s="48">
        <v>23</v>
      </c>
      <c r="C27" s="62">
        <v>26</v>
      </c>
      <c r="D27" s="66" t="s">
        <v>17</v>
      </c>
      <c r="E27" s="63" t="s">
        <v>16</v>
      </c>
      <c r="F27" s="64">
        <v>0</v>
      </c>
      <c r="G27" s="64">
        <v>2</v>
      </c>
      <c r="H27" s="64">
        <v>8</v>
      </c>
      <c r="I27" s="64">
        <v>5</v>
      </c>
      <c r="J27" s="64">
        <v>5</v>
      </c>
      <c r="K27" s="64">
        <v>3</v>
      </c>
      <c r="L27" s="64">
        <v>2</v>
      </c>
      <c r="M27" s="37">
        <f t="shared" si="0"/>
        <v>25</v>
      </c>
      <c r="N27" s="65" cm="1">
        <f t="array" ref="N27">Tablo17[[#This Row],[Q1]]/Tablo19[Q1]*$C$43+G27/Tablo19[Q2]*$D$43+H27/Tablo19[Q3]*$E$43+I27/Tablo19[Q4]*$F$43+J27/Tablo19[Q5]*$G$43+K27/Tablo19[Q6]*$H$43+L27/Tablo19[Q7]*$I$43</f>
        <v>7.6666666666666661</v>
      </c>
      <c r="O27" s="65" cm="1">
        <f t="array" ref="O27">Tablo17[[#This Row],[Q1]]/Tablo19[Q1]*$C$44+G27/Tablo19[Q2]*$D$44+H27/Tablo19[Q3]*$E$44+I27/Tablo19[Q4]*$F$44+J27/Tablo19[Q5]*$G$44+K27/Tablo19[Q6]*$H$44+L27/Tablo19[Q7]*$I$44</f>
        <v>1</v>
      </c>
      <c r="P27" s="65" cm="1">
        <f t="array" ref="P27">Tablo17[[#This Row],[Q1]]/Tablo19[Q1]*$C$45+G27/Tablo19[Q2]*$D$45+H27/Tablo19[Q3]*$E$45+I27/Tablo19[Q4]*$F$45+J27/Tablo19[Q5]*$G$45+K27/Tablo19[Q6]*$H$45+L27/Tablo19[Q7]*$I$45</f>
        <v>1.6666666666666665</v>
      </c>
      <c r="Q27" s="65" cm="1">
        <f t="array" ref="Q27">Tablo17[[#This Row],[Q1]]/Tablo19[Q1]*$C$46+G27/Tablo19[Q2]*$D$46+H27/Tablo19[Q3]*$E$46+I27/Tablo19[Q4]*$F$46+J27/Tablo19[Q5]*$G$46+K27/Tablo19[Q6]*$H$46+L27/Tablo19[Q7]*$I$46</f>
        <v>7.8333333333333321</v>
      </c>
      <c r="R27" s="65">
        <f t="shared" si="1"/>
        <v>18.166666666666664</v>
      </c>
      <c r="S27" s="43">
        <f>_xlfn.NORM.DIST(Tablo17[[#This Row],[TOTAL GRADE]],$N$56,$O$56,FALSE)</f>
        <v>1.7020055707633003E-2</v>
      </c>
    </row>
    <row r="28" spans="2:19" x14ac:dyDescent="0.3">
      <c r="B28" s="49">
        <v>24</v>
      </c>
      <c r="C28" s="62">
        <v>27</v>
      </c>
      <c r="D28" s="63" t="s">
        <v>17</v>
      </c>
      <c r="E28" s="63" t="s">
        <v>16</v>
      </c>
      <c r="F28" s="64">
        <v>0</v>
      </c>
      <c r="G28" s="64">
        <v>0</v>
      </c>
      <c r="H28" s="64">
        <v>6</v>
      </c>
      <c r="I28" s="64">
        <v>6</v>
      </c>
      <c r="J28" s="64">
        <v>2</v>
      </c>
      <c r="K28" s="64">
        <v>5</v>
      </c>
      <c r="L28" s="64">
        <v>5</v>
      </c>
      <c r="M28" s="37">
        <f t="shared" si="0"/>
        <v>24</v>
      </c>
      <c r="N28" s="65" cm="1">
        <f t="array" ref="N28">Tablo17[[#This Row],[Q1]]/Tablo19[Q1]*$C$43+G28/Tablo19[Q2]*$D$43+H28/Tablo19[Q3]*$E$43+I28/Tablo19[Q4]*$F$43+J28/Tablo19[Q5]*$G$43+K28/Tablo19[Q6]*$H$43+L28/Tablo19[Q7]*$I$43</f>
        <v>3.6666666666666665</v>
      </c>
      <c r="O28" s="65" cm="1">
        <f t="array" ref="O28">Tablo17[[#This Row],[Q1]]/Tablo19[Q1]*$C$44+G28/Tablo19[Q2]*$D$44+H28/Tablo19[Q3]*$E$44+I28/Tablo19[Q4]*$F$44+J28/Tablo19[Q5]*$G$44+K28/Tablo19[Q6]*$H$44+L28/Tablo19[Q7]*$I$44</f>
        <v>1.6666666666666665</v>
      </c>
      <c r="P28" s="65" cm="1">
        <f t="array" ref="P28">Tablo17[[#This Row],[Q1]]/Tablo19[Q1]*$C$45+G28/Tablo19[Q2]*$D$45+H28/Tablo19[Q3]*$E$45+I28/Tablo19[Q4]*$F$45+J28/Tablo19[Q5]*$G$45+K28/Tablo19[Q6]*$H$45+L28/Tablo19[Q7]*$I$45</f>
        <v>0.66666666666666663</v>
      </c>
      <c r="Q28" s="65" cm="1">
        <f t="array" ref="Q28">Tablo17[[#This Row],[Q1]]/Tablo19[Q1]*$C$46+G28/Tablo19[Q2]*$D$46+H28/Tablo19[Q3]*$E$46+I28/Tablo19[Q4]*$F$46+J28/Tablo19[Q5]*$G$46+K28/Tablo19[Q6]*$H$46+L28/Tablo19[Q7]*$I$46</f>
        <v>12</v>
      </c>
      <c r="R28" s="65">
        <f t="shared" si="1"/>
        <v>18</v>
      </c>
      <c r="S28" s="43">
        <f>_xlfn.NORM.DIST(Tablo17[[#This Row],[TOTAL GRADE]],$N$56,$O$56,FALSE)</f>
        <v>1.6334574426045821E-2</v>
      </c>
    </row>
    <row r="29" spans="2:19" x14ac:dyDescent="0.3">
      <c r="B29" s="48">
        <v>25</v>
      </c>
      <c r="C29" s="62">
        <v>28</v>
      </c>
      <c r="D29" s="63" t="s">
        <v>17</v>
      </c>
      <c r="E29" s="63" t="s">
        <v>16</v>
      </c>
      <c r="F29" s="64">
        <v>1</v>
      </c>
      <c r="G29" s="64">
        <v>1</v>
      </c>
      <c r="H29" s="64">
        <v>7</v>
      </c>
      <c r="I29" s="64">
        <v>5</v>
      </c>
      <c r="J29" s="64">
        <v>6</v>
      </c>
      <c r="K29" s="64">
        <v>0</v>
      </c>
      <c r="L29" s="64">
        <v>2</v>
      </c>
      <c r="M29" s="37">
        <f t="shared" si="0"/>
        <v>22</v>
      </c>
      <c r="N29" s="65" cm="1">
        <f t="array" ref="N29">Tablo17[[#This Row],[Q1]]/Tablo19[Q1]*$C$43+G29/Tablo19[Q2]*$D$43+H29/Tablo19[Q3]*$E$43+I29/Tablo19[Q4]*$F$43+J29/Tablo19[Q5]*$G$43+K29/Tablo19[Q6]*$H$43+L29/Tablo19[Q7]*$I$43</f>
        <v>7.5</v>
      </c>
      <c r="O29" s="65" cm="1">
        <f t="array" ref="O29">Tablo17[[#This Row],[Q1]]/Tablo19[Q1]*$C$44+G29/Tablo19[Q2]*$D$44+H29/Tablo19[Q3]*$E$44+I29/Tablo19[Q4]*$F$44+J29/Tablo19[Q5]*$G$44+K29/Tablo19[Q6]*$H$44+L29/Tablo19[Q7]*$I$44</f>
        <v>0.5</v>
      </c>
      <c r="P29" s="65" cm="1">
        <f t="array" ref="P29">Tablo17[[#This Row],[Q1]]/Tablo19[Q1]*$C$45+G29/Tablo19[Q2]*$D$45+H29/Tablo19[Q3]*$E$45+I29/Tablo19[Q4]*$F$45+J29/Tablo19[Q5]*$G$45+K29/Tablo19[Q6]*$H$45+L29/Tablo19[Q7]*$I$45</f>
        <v>2</v>
      </c>
      <c r="Q29" s="65" cm="1">
        <f t="array" ref="Q29">Tablo17[[#This Row],[Q1]]/Tablo19[Q1]*$C$46+G29/Tablo19[Q2]*$D$46+H29/Tablo19[Q3]*$E$46+I29/Tablo19[Q4]*$F$46+J29/Tablo19[Q5]*$G$46+K29/Tablo19[Q6]*$H$46+L29/Tablo19[Q7]*$I$46</f>
        <v>7.1666666666666661</v>
      </c>
      <c r="R29" s="65">
        <f t="shared" si="1"/>
        <v>17.166666666666664</v>
      </c>
      <c r="S29" s="43">
        <f>_xlfn.NORM.DIST(Tablo17[[#This Row],[TOTAL GRADE]],$N$56,$O$56,FALSE)</f>
        <v>1.4908506887514609E-2</v>
      </c>
    </row>
    <row r="30" spans="2:19" x14ac:dyDescent="0.3">
      <c r="B30" s="49">
        <v>26</v>
      </c>
      <c r="C30" s="62">
        <v>29</v>
      </c>
      <c r="D30" s="63" t="s">
        <v>17</v>
      </c>
      <c r="E30" s="63" t="s">
        <v>16</v>
      </c>
      <c r="F30" s="64">
        <v>0</v>
      </c>
      <c r="G30" s="64">
        <v>0</v>
      </c>
      <c r="H30" s="64">
        <v>5</v>
      </c>
      <c r="I30" s="64">
        <v>0</v>
      </c>
      <c r="J30" s="64">
        <v>6</v>
      </c>
      <c r="K30" s="64">
        <v>5</v>
      </c>
      <c r="L30" s="64">
        <v>5</v>
      </c>
      <c r="M30" s="37">
        <f t="shared" si="0"/>
        <v>21</v>
      </c>
      <c r="N30" s="65" cm="1">
        <f t="array" ref="N30">Tablo17[[#This Row],[Q1]]/Tablo19[Q1]*$C$43+G30/Tablo19[Q2]*$D$43+H30/Tablo19[Q3]*$E$43+I30/Tablo19[Q4]*$F$43+J30/Tablo19[Q5]*$G$43+K30/Tablo19[Q6]*$H$43+L30/Tablo19[Q7]*$I$43</f>
        <v>4.5</v>
      </c>
      <c r="O30" s="65" cm="1">
        <f t="array" ref="O30">Tablo17[[#This Row],[Q1]]/Tablo19[Q1]*$C$44+G30/Tablo19[Q2]*$D$44+H30/Tablo19[Q3]*$E$44+I30/Tablo19[Q4]*$F$44+J30/Tablo19[Q5]*$G$44+K30/Tablo19[Q6]*$H$44+L30/Tablo19[Q7]*$I$44</f>
        <v>1.6666666666666665</v>
      </c>
      <c r="P30" s="65" cm="1">
        <f t="array" ref="P30">Tablo17[[#This Row],[Q1]]/Tablo19[Q1]*$C$45+G30/Tablo19[Q2]*$D$45+H30/Tablo19[Q3]*$E$45+I30/Tablo19[Q4]*$F$45+J30/Tablo19[Q5]*$G$45+K30/Tablo19[Q6]*$H$45+L30/Tablo19[Q7]*$I$45</f>
        <v>2</v>
      </c>
      <c r="Q30" s="65" cm="1">
        <f t="array" ref="Q30">Tablo17[[#This Row],[Q1]]/Tablo19[Q1]*$C$46+G30/Tablo19[Q2]*$D$46+H30/Tablo19[Q3]*$E$46+I30/Tablo19[Q4]*$F$46+J30/Tablo19[Q5]*$G$46+K30/Tablo19[Q6]*$H$46+L30/Tablo19[Q7]*$I$46</f>
        <v>10.333333333333332</v>
      </c>
      <c r="R30" s="65">
        <f t="shared" si="1"/>
        <v>18.5</v>
      </c>
      <c r="S30" s="43">
        <f>_xlfn.NORM.DIST(Tablo17[[#This Row],[TOTAL GRADE]],$N$56,$O$56,FALSE)</f>
        <v>1.4177956179946404E-2</v>
      </c>
    </row>
    <row r="31" spans="2:19" x14ac:dyDescent="0.3">
      <c r="B31" s="48">
        <v>27</v>
      </c>
      <c r="C31" s="62">
        <v>30</v>
      </c>
      <c r="D31" s="63" t="s">
        <v>17</v>
      </c>
      <c r="E31" s="63" t="s">
        <v>16</v>
      </c>
      <c r="F31" s="64">
        <v>2</v>
      </c>
      <c r="G31" s="64">
        <v>1</v>
      </c>
      <c r="H31" s="64">
        <v>0</v>
      </c>
      <c r="I31" s="64">
        <v>4</v>
      </c>
      <c r="J31" s="64">
        <v>3</v>
      </c>
      <c r="K31" s="64">
        <v>1</v>
      </c>
      <c r="L31" s="64">
        <v>6</v>
      </c>
      <c r="M31" s="37">
        <f t="shared" si="0"/>
        <v>17</v>
      </c>
      <c r="N31" s="65" cm="1">
        <f t="array" ref="N31">Tablo17[[#This Row],[Q1]]/Tablo19[Q1]*$C$43+G31/Tablo19[Q2]*$D$43+H31/Tablo19[Q3]*$E$43+I31/Tablo19[Q4]*$F$43+J31/Tablo19[Q5]*$G$43+K31/Tablo19[Q6]*$H$43+L31/Tablo19[Q7]*$I$43</f>
        <v>4</v>
      </c>
      <c r="O31" s="65" cm="1">
        <f t="array" ref="O31">Tablo17[[#This Row],[Q1]]/Tablo19[Q1]*$C$44+G31/Tablo19[Q2]*$D$44+H31/Tablo19[Q3]*$E$44+I31/Tablo19[Q4]*$F$44+J31/Tablo19[Q5]*$G$44+K31/Tablo19[Q6]*$H$44+L31/Tablo19[Q7]*$I$44</f>
        <v>1.3333333333333333</v>
      </c>
      <c r="P31" s="65" cm="1">
        <f t="array" ref="P31">Tablo17[[#This Row],[Q1]]/Tablo19[Q1]*$C$45+G31/Tablo19[Q2]*$D$45+H31/Tablo19[Q3]*$E$45+I31/Tablo19[Q4]*$F$45+J31/Tablo19[Q5]*$G$45+K31/Tablo19[Q6]*$H$45+L31/Tablo19[Q7]*$I$45</f>
        <v>1</v>
      </c>
      <c r="Q31" s="65" cm="1">
        <f t="array" ref="Q31">Tablo17[[#This Row],[Q1]]/Tablo19[Q1]*$C$46+G31/Tablo19[Q2]*$D$46+H31/Tablo19[Q3]*$E$46+I31/Tablo19[Q4]*$F$46+J31/Tablo19[Q5]*$G$46+K31/Tablo19[Q6]*$H$46+L31/Tablo19[Q7]*$I$46</f>
        <v>11.333333333333334</v>
      </c>
      <c r="R31" s="65">
        <f t="shared" si="1"/>
        <v>17.666666666666668</v>
      </c>
      <c r="S31" s="43">
        <f>_xlfn.NORM.DIST(Tablo17[[#This Row],[TOTAL GRADE]],$N$56,$O$56,FALSE)</f>
        <v>1.1248820574905113E-2</v>
      </c>
    </row>
    <row r="32" spans="2:19" x14ac:dyDescent="0.3">
      <c r="B32" s="49">
        <v>28</v>
      </c>
      <c r="C32" s="62">
        <v>1</v>
      </c>
      <c r="D32" s="63" t="s">
        <v>17</v>
      </c>
      <c r="E32" s="63" t="s">
        <v>16</v>
      </c>
      <c r="F32" s="64">
        <v>0</v>
      </c>
      <c r="G32" s="64">
        <v>0</v>
      </c>
      <c r="H32" s="64">
        <v>0</v>
      </c>
      <c r="I32" s="64">
        <v>0</v>
      </c>
      <c r="J32" s="64">
        <v>0</v>
      </c>
      <c r="K32" s="64">
        <v>0</v>
      </c>
      <c r="L32" s="64">
        <v>0</v>
      </c>
      <c r="M32" s="37">
        <f t="shared" si="0"/>
        <v>0</v>
      </c>
      <c r="N32" s="65" cm="1">
        <f t="array" ref="N32">Tablo17[[#This Row],[Q1]]/Tablo19[Q1]*$C$43+G32/Tablo19[Q2]*$D$43+H32/Tablo19[Q3]*$E$43+I32/Tablo19[Q4]*$F$43+J32/Tablo19[Q5]*$G$43+K32/Tablo19[Q6]*$H$43+L32/Tablo19[Q7]*$I$43</f>
        <v>0</v>
      </c>
      <c r="O32" s="65" cm="1">
        <f t="array" ref="O32">Tablo17[[#This Row],[Q1]]/Tablo19[Q1]*$C$44+G32/Tablo19[Q2]*$D$44+H32/Tablo19[Q3]*$E$44+I32/Tablo19[Q4]*$F$44+J32/Tablo19[Q5]*$G$44+K32/Tablo19[Q6]*$H$44+L32/Tablo19[Q7]*$I$44</f>
        <v>0</v>
      </c>
      <c r="P32" s="65" cm="1">
        <f t="array" ref="P32">Tablo17[[#This Row],[Q1]]/Tablo19[Q1]*$C$45+G32/Tablo19[Q2]*$D$45+H32/Tablo19[Q3]*$E$45+I32/Tablo19[Q4]*$F$45+J32/Tablo19[Q5]*$G$45+K32/Tablo19[Q6]*$H$45+L32/Tablo19[Q7]*$I$45</f>
        <v>0</v>
      </c>
      <c r="Q32" s="65" cm="1">
        <f t="array" ref="Q32">Tablo17[[#This Row],[Q1]]/Tablo19[Q1]*$C$46+G32/Tablo19[Q2]*$D$46+H32/Tablo19[Q3]*$E$46+I32/Tablo19[Q4]*$F$46+J32/Tablo19[Q5]*$G$46+K32/Tablo19[Q6]*$H$46+L32/Tablo19[Q7]*$I$46</f>
        <v>0</v>
      </c>
      <c r="R32" s="65">
        <f t="shared" si="1"/>
        <v>0</v>
      </c>
      <c r="S32" s="43">
        <f>_xlfn.NORM.DIST(Tablo17[[#This Row],[TOTAL GRADE]],$N$56,$O$56,FALSE)</f>
        <v>2.4428421796479677E-3</v>
      </c>
    </row>
    <row r="33" spans="2:19" x14ac:dyDescent="0.3">
      <c r="B33" s="48">
        <v>29</v>
      </c>
      <c r="C33" s="62">
        <v>2</v>
      </c>
      <c r="D33" s="63" t="s">
        <v>17</v>
      </c>
      <c r="E33" s="63" t="s">
        <v>16</v>
      </c>
      <c r="F33" s="64">
        <v>0</v>
      </c>
      <c r="G33" s="64">
        <v>0</v>
      </c>
      <c r="H33" s="64">
        <v>0</v>
      </c>
      <c r="I33" s="64">
        <v>0</v>
      </c>
      <c r="J33" s="64">
        <v>0</v>
      </c>
      <c r="K33" s="64">
        <v>0</v>
      </c>
      <c r="L33" s="64">
        <v>0</v>
      </c>
      <c r="M33" s="37">
        <f t="shared" si="0"/>
        <v>0</v>
      </c>
      <c r="N33" s="65" cm="1">
        <f t="array" ref="N33">Tablo17[[#This Row],[Q1]]/Tablo19[Q1]*$C$43+G33/Tablo19[Q2]*$D$43+H33/Tablo19[Q3]*$E$43+I33/Tablo19[Q4]*$F$43+J33/Tablo19[Q5]*$G$43+K33/Tablo19[Q6]*$H$43+L33/Tablo19[Q7]*$I$43</f>
        <v>0</v>
      </c>
      <c r="O33" s="65" cm="1">
        <f t="array" ref="O33">Tablo17[[#This Row],[Q1]]/Tablo19[Q1]*$C$44+G33/Tablo19[Q2]*$D$44+H33/Tablo19[Q3]*$E$44+I33/Tablo19[Q4]*$F$44+J33/Tablo19[Q5]*$G$44+K33/Tablo19[Q6]*$H$44+L33/Tablo19[Q7]*$I$44</f>
        <v>0</v>
      </c>
      <c r="P33" s="65" cm="1">
        <f t="array" ref="P33">Tablo17[[#This Row],[Q1]]/Tablo19[Q1]*$C$45+G33/Tablo19[Q2]*$D$45+H33/Tablo19[Q3]*$E$45+I33/Tablo19[Q4]*$F$45+J33/Tablo19[Q5]*$G$45+K33/Tablo19[Q6]*$H$45+L33/Tablo19[Q7]*$I$45</f>
        <v>0</v>
      </c>
      <c r="Q33" s="65" cm="1">
        <f t="array" ref="Q33">Tablo17[[#This Row],[Q1]]/Tablo19[Q1]*$C$46+G33/Tablo19[Q2]*$D$46+H33/Tablo19[Q3]*$E$46+I33/Tablo19[Q4]*$F$46+J33/Tablo19[Q5]*$G$46+K33/Tablo19[Q6]*$H$46+L33/Tablo19[Q7]*$I$46</f>
        <v>0</v>
      </c>
      <c r="R33" s="65">
        <f t="shared" si="1"/>
        <v>0</v>
      </c>
      <c r="S33" s="43">
        <f>_xlfn.NORM.DIST(Tablo17[[#This Row],[TOTAL GRADE]],$N$56,$O$56,FALSE)</f>
        <v>2.4428421796479677E-3</v>
      </c>
    </row>
    <row r="34" spans="2:19" x14ac:dyDescent="0.3">
      <c r="B34" s="47">
        <v>30</v>
      </c>
      <c r="C34" s="62">
        <v>3</v>
      </c>
      <c r="D34" s="63" t="s">
        <v>17</v>
      </c>
      <c r="E34" s="63" t="s">
        <v>16</v>
      </c>
      <c r="F34" s="64">
        <v>0</v>
      </c>
      <c r="G34" s="64">
        <v>0</v>
      </c>
      <c r="H34" s="64">
        <v>0</v>
      </c>
      <c r="I34" s="64">
        <v>0</v>
      </c>
      <c r="J34" s="64">
        <v>0</v>
      </c>
      <c r="K34" s="64">
        <v>0</v>
      </c>
      <c r="L34" s="64">
        <v>0</v>
      </c>
      <c r="M34" s="37">
        <f t="shared" si="0"/>
        <v>0</v>
      </c>
      <c r="N34" s="65" cm="1">
        <f t="array" ref="N34">Tablo17[[#This Row],[Q1]]/Tablo19[Q1]*$C$43+G34/Tablo19[Q2]*$D$43+H34/Tablo19[Q3]*$E$43+I34/Tablo19[Q4]*$F$43+J34/Tablo19[Q5]*$G$43+K34/Tablo19[Q6]*$H$43+L34/Tablo19[Q7]*$I$43</f>
        <v>0</v>
      </c>
      <c r="O34" s="65" cm="1">
        <f t="array" ref="O34">Tablo17[[#This Row],[Q1]]/Tablo19[Q1]*$C$44+G34/Tablo19[Q2]*$D$44+H34/Tablo19[Q3]*$E$44+I34/Tablo19[Q4]*$F$44+J34/Tablo19[Q5]*$G$44+K34/Tablo19[Q6]*$H$44+L34/Tablo19[Q7]*$I$44</f>
        <v>0</v>
      </c>
      <c r="P34" s="65" cm="1">
        <f t="array" ref="P34">Tablo17[[#This Row],[Q1]]/Tablo19[Q1]*$C$45+G34/Tablo19[Q2]*$D$45+H34/Tablo19[Q3]*$E$45+I34/Tablo19[Q4]*$F$45+J34/Tablo19[Q5]*$G$45+K34/Tablo19[Q6]*$H$45+L34/Tablo19[Q7]*$I$45</f>
        <v>0</v>
      </c>
      <c r="Q34" s="65" cm="1">
        <f t="array" ref="Q34">Tablo17[[#This Row],[Q1]]/Tablo19[Q1]*$C$46+G34/Tablo19[Q2]*$D$46+H34/Tablo19[Q3]*$E$46+I34/Tablo19[Q4]*$F$46+J34/Tablo19[Q5]*$G$46+K34/Tablo19[Q6]*$H$46+L34/Tablo19[Q7]*$I$46</f>
        <v>0</v>
      </c>
      <c r="R34" s="65">
        <f t="shared" si="1"/>
        <v>0</v>
      </c>
      <c r="S34" s="43">
        <f>_xlfn.NORM.DIST(Tablo17[[#This Row],[TOTAL GRADE]],$N$56,$O$56,FALSE)</f>
        <v>2.4428421796479677E-3</v>
      </c>
    </row>
    <row r="35" spans="2:19" x14ac:dyDescent="0.3">
      <c r="E35" s="1"/>
      <c r="F35" s="1"/>
      <c r="G35" s="1"/>
      <c r="H35" s="1"/>
      <c r="I35" s="1"/>
      <c r="J35" s="1"/>
      <c r="L35" s="1"/>
      <c r="M35" s="35"/>
      <c r="N35" s="35"/>
      <c r="O35" s="35"/>
      <c r="P35" s="35"/>
    </row>
    <row r="36" spans="2:19" x14ac:dyDescent="0.3">
      <c r="B36" s="67" t="s">
        <v>28</v>
      </c>
      <c r="C36" s="67" t="s">
        <v>27</v>
      </c>
      <c r="D36" s="43" t="s">
        <v>81</v>
      </c>
      <c r="E36" s="43" t="s">
        <v>82</v>
      </c>
      <c r="F36" s="1"/>
      <c r="G36" s="1" t="s">
        <v>83</v>
      </c>
      <c r="H36" s="61" t="s">
        <v>71</v>
      </c>
      <c r="I36" s="61" t="s">
        <v>72</v>
      </c>
      <c r="J36" s="61" t="s">
        <v>73</v>
      </c>
      <c r="K36" s="61" t="s">
        <v>74</v>
      </c>
      <c r="L36" s="61" t="s">
        <v>75</v>
      </c>
      <c r="M36" s="61" t="s">
        <v>76</v>
      </c>
      <c r="N36" s="61" t="s">
        <v>77</v>
      </c>
      <c r="O36" s="40" t="s">
        <v>84</v>
      </c>
      <c r="P36" s="35"/>
    </row>
    <row r="37" spans="2:19" x14ac:dyDescent="0.3">
      <c r="B37" s="37">
        <v>1</v>
      </c>
      <c r="C37" s="1" t="s">
        <v>21</v>
      </c>
      <c r="D37" s="1">
        <f>MAIN!P35</f>
        <v>30</v>
      </c>
      <c r="E37" s="2">
        <f>Tablo4[[#This Row],[DERS ÇIKTISI KATSAYISI]]-J43</f>
        <v>0</v>
      </c>
      <c r="F37" s="1"/>
      <c r="G37" s="43" t="s">
        <v>85</v>
      </c>
      <c r="H37" s="3">
        <v>10</v>
      </c>
      <c r="I37" s="3">
        <v>5</v>
      </c>
      <c r="J37" s="3">
        <v>20</v>
      </c>
      <c r="K37" s="3">
        <v>20</v>
      </c>
      <c r="L37" s="3">
        <v>15</v>
      </c>
      <c r="M37" s="3">
        <v>15</v>
      </c>
      <c r="N37" s="3">
        <v>15</v>
      </c>
      <c r="O37" s="3">
        <f>SUM(H37:N37)</f>
        <v>100</v>
      </c>
      <c r="P37" s="35"/>
    </row>
    <row r="38" spans="2:19" x14ac:dyDescent="0.3">
      <c r="B38" s="37">
        <v>2</v>
      </c>
      <c r="C38" s="1" t="s">
        <v>20</v>
      </c>
      <c r="D38" s="1">
        <f>MAIN!P36</f>
        <v>10</v>
      </c>
      <c r="E38" s="2">
        <f>Tablo4[[#This Row],[DERS ÇIKTISI KATSAYISI]]-J44</f>
        <v>0</v>
      </c>
      <c r="F38" s="1"/>
      <c r="G38" s="1"/>
      <c r="H38" s="1"/>
      <c r="I38" s="1"/>
      <c r="J38" s="1"/>
      <c r="L38" s="1"/>
      <c r="M38" s="35"/>
      <c r="N38" s="35"/>
      <c r="O38" s="35"/>
      <c r="P38" s="35"/>
    </row>
    <row r="39" spans="2:19" x14ac:dyDescent="0.3">
      <c r="B39" s="37">
        <v>3</v>
      </c>
      <c r="C39" s="1" t="s">
        <v>19</v>
      </c>
      <c r="D39" s="1">
        <v>5</v>
      </c>
      <c r="E39" s="2">
        <f>Tablo4[[#This Row],[DERS ÇIKTISI KATSAYISI]]-J45</f>
        <v>0</v>
      </c>
      <c r="F39" s="1"/>
      <c r="G39" s="1"/>
      <c r="H39" s="1"/>
      <c r="I39" s="1"/>
      <c r="J39" s="1"/>
      <c r="L39" s="1"/>
      <c r="M39" s="35"/>
      <c r="N39" s="35"/>
      <c r="O39" s="35"/>
      <c r="P39" s="35"/>
    </row>
    <row r="40" spans="2:19" x14ac:dyDescent="0.3">
      <c r="B40" s="3">
        <v>4</v>
      </c>
      <c r="C40" s="1" t="s">
        <v>18</v>
      </c>
      <c r="D40" s="1">
        <f>MAIN!P38</f>
        <v>40</v>
      </c>
      <c r="E40" s="2">
        <f>Tablo4[[#This Row],[DERS ÇIKTISI KATSAYISI]]-J46</f>
        <v>0</v>
      </c>
      <c r="F40" s="1"/>
      <c r="G40" s="1"/>
      <c r="H40" s="1"/>
      <c r="I40" s="1"/>
      <c r="J40" s="1"/>
      <c r="L40" s="1"/>
      <c r="M40" s="35"/>
      <c r="N40" s="35"/>
      <c r="O40" s="35"/>
      <c r="P40" s="35"/>
    </row>
    <row r="41" spans="2:19" x14ac:dyDescent="0.3">
      <c r="E41" s="1"/>
      <c r="F41" s="1"/>
      <c r="G41" s="1"/>
      <c r="H41" s="1"/>
      <c r="I41" s="1"/>
      <c r="J41" s="1"/>
      <c r="L41" s="1"/>
      <c r="M41" s="35"/>
      <c r="N41" s="35"/>
      <c r="O41" s="35"/>
      <c r="P41" s="35"/>
    </row>
    <row r="42" spans="2:19" x14ac:dyDescent="0.3">
      <c r="B42" s="43" t="s">
        <v>86</v>
      </c>
      <c r="C42" s="61" t="s">
        <v>71</v>
      </c>
      <c r="D42" s="61" t="s">
        <v>72</v>
      </c>
      <c r="E42" s="61" t="s">
        <v>73</v>
      </c>
      <c r="F42" s="61" t="s">
        <v>74</v>
      </c>
      <c r="G42" s="61" t="s">
        <v>75</v>
      </c>
      <c r="H42" s="61" t="s">
        <v>76</v>
      </c>
      <c r="I42" s="61" t="s">
        <v>77</v>
      </c>
      <c r="J42" s="57" t="s">
        <v>87</v>
      </c>
      <c r="K42" s="40" t="s">
        <v>88</v>
      </c>
      <c r="L42" s="43" t="s">
        <v>89</v>
      </c>
      <c r="M42" s="35"/>
      <c r="N42" s="35"/>
      <c r="O42" s="35"/>
      <c r="P42" s="35"/>
    </row>
    <row r="43" spans="2:19" x14ac:dyDescent="0.3">
      <c r="B43" s="41">
        <v>1</v>
      </c>
      <c r="C43" s="65">
        <v>10</v>
      </c>
      <c r="D43" s="65">
        <v>5</v>
      </c>
      <c r="E43" s="65">
        <v>10</v>
      </c>
      <c r="F43" s="65">
        <v>0</v>
      </c>
      <c r="G43" s="65">
        <v>5</v>
      </c>
      <c r="H43" s="65">
        <v>0</v>
      </c>
      <c r="I43" s="65">
        <v>0</v>
      </c>
      <c r="J43" s="36">
        <f>SUM(Tablo16[[#This Row],[Q1]:[Q7]])</f>
        <v>30</v>
      </c>
      <c r="K43" s="68">
        <f>IF($J43=0,"0",SUM(Tablo17[DÇ1])/(30*D37))</f>
        <v>0.31101851851851847</v>
      </c>
      <c r="L43" s="69">
        <f>$K43*$D37</f>
        <v>9.3305555555555539</v>
      </c>
      <c r="M43" s="35"/>
      <c r="N43" s="35"/>
      <c r="O43" s="35"/>
      <c r="P43" s="35"/>
    </row>
    <row r="44" spans="2:19" x14ac:dyDescent="0.3">
      <c r="B44" s="35">
        <v>2</v>
      </c>
      <c r="C44" s="36">
        <v>5</v>
      </c>
      <c r="D44" s="36">
        <v>0</v>
      </c>
      <c r="E44" s="36">
        <v>0</v>
      </c>
      <c r="F44" s="36">
        <v>0</v>
      </c>
      <c r="G44" s="36">
        <v>0</v>
      </c>
      <c r="H44" s="36">
        <v>5</v>
      </c>
      <c r="I44" s="36">
        <v>0</v>
      </c>
      <c r="J44" s="36">
        <f>SUM(Tablo16[[#This Row],[Q1]:[Q7]])</f>
        <v>10</v>
      </c>
      <c r="K44" s="68">
        <f>IF($J44=0,"0",SUM(Tablo17[DÇ2])/(30*D38))</f>
        <v>0.28055555555555556</v>
      </c>
      <c r="L44" s="36">
        <f>$K44*$D38</f>
        <v>2.8055555555555554</v>
      </c>
      <c r="M44" s="35"/>
      <c r="N44" s="35"/>
      <c r="O44" s="35"/>
      <c r="P44" s="35"/>
    </row>
    <row r="45" spans="2:19" x14ac:dyDescent="0.3">
      <c r="B45" s="35">
        <v>3</v>
      </c>
      <c r="C45" s="36">
        <v>0</v>
      </c>
      <c r="D45" s="36">
        <v>0</v>
      </c>
      <c r="E45" s="36">
        <v>0</v>
      </c>
      <c r="F45" s="36">
        <v>0</v>
      </c>
      <c r="G45" s="36">
        <v>5</v>
      </c>
      <c r="H45" s="36">
        <v>0</v>
      </c>
      <c r="I45" s="36">
        <v>0</v>
      </c>
      <c r="J45" s="36">
        <f>SUM(Tablo16[[#This Row],[Q1]:[Q7]])</f>
        <v>5</v>
      </c>
      <c r="K45" s="68">
        <f>IF($J45=0,"0",SUM(Tablo17[DÇ3])/(30*D39))</f>
        <v>0.40444444444444433</v>
      </c>
      <c r="L45" s="36">
        <f>$K45*$D39</f>
        <v>2.0222222222222217</v>
      </c>
      <c r="M45" s="35"/>
      <c r="N45" s="35"/>
      <c r="O45" s="35"/>
      <c r="P45" s="35"/>
    </row>
    <row r="46" spans="2:19" x14ac:dyDescent="0.3">
      <c r="B46" s="35">
        <v>4</v>
      </c>
      <c r="C46" s="36">
        <v>0</v>
      </c>
      <c r="D46" s="36">
        <v>0</v>
      </c>
      <c r="E46" s="36">
        <v>0</v>
      </c>
      <c r="F46" s="36">
        <v>10</v>
      </c>
      <c r="G46" s="36">
        <v>5</v>
      </c>
      <c r="H46" s="36">
        <v>5</v>
      </c>
      <c r="I46" s="36">
        <v>20</v>
      </c>
      <c r="J46" s="36">
        <f>SUM(Tablo16[[#This Row],[Q1]:[Q7]])</f>
        <v>40</v>
      </c>
      <c r="K46" s="68">
        <f>IF($J46=0,"0",SUM(Tablo17[DÇ4])/(30*D40))</f>
        <v>0.41305555555555562</v>
      </c>
      <c r="L46" s="36">
        <f>$K46*$D40</f>
        <v>16.522222222222226</v>
      </c>
      <c r="M46" s="35"/>
      <c r="N46" s="35"/>
      <c r="O46" s="35"/>
      <c r="P46" s="35"/>
    </row>
    <row r="47" spans="2:19" x14ac:dyDescent="0.3">
      <c r="B47" s="70" t="s">
        <v>90</v>
      </c>
      <c r="C47" s="70"/>
      <c r="D47" s="70"/>
      <c r="E47" s="70"/>
      <c r="F47" s="70"/>
      <c r="G47" s="70"/>
      <c r="H47" s="70"/>
      <c r="I47" s="70"/>
      <c r="J47" s="70"/>
      <c r="K47" s="70"/>
      <c r="L47" s="1"/>
      <c r="M47" s="35"/>
      <c r="N47" s="35"/>
      <c r="O47" s="35"/>
      <c r="P47" s="35"/>
    </row>
    <row r="48" spans="2:19" x14ac:dyDescent="0.3">
      <c r="M48" s="35"/>
      <c r="N48" s="35"/>
      <c r="O48" s="35"/>
      <c r="P48" s="35"/>
    </row>
    <row r="49" spans="2:16" x14ac:dyDescent="0.3">
      <c r="M49" s="35"/>
      <c r="N49" s="35"/>
      <c r="O49" s="35"/>
      <c r="P49" s="35"/>
    </row>
    <row r="50" spans="2:16" x14ac:dyDescent="0.3">
      <c r="M50" s="35"/>
      <c r="N50" s="35"/>
      <c r="O50" s="35"/>
      <c r="P50" s="35"/>
    </row>
    <row r="51" spans="2:16" x14ac:dyDescent="0.3">
      <c r="B51" s="37"/>
      <c r="C51" s="37"/>
      <c r="K51" s="3"/>
      <c r="M51" s="35"/>
      <c r="N51" s="35"/>
      <c r="O51" s="35"/>
      <c r="P51" s="35"/>
    </row>
    <row r="52" spans="2:16" x14ac:dyDescent="0.3">
      <c r="B52" s="37"/>
      <c r="C52" s="37"/>
      <c r="K52" s="3"/>
      <c r="M52" s="35"/>
      <c r="N52" s="35"/>
      <c r="O52" s="35"/>
      <c r="P52" s="35"/>
    </row>
    <row r="53" spans="2:16" x14ac:dyDescent="0.3">
      <c r="B53" s="37"/>
      <c r="C53" s="37"/>
      <c r="K53" s="3"/>
      <c r="M53" s="35"/>
      <c r="N53" s="35"/>
      <c r="O53" s="35"/>
      <c r="P53" s="35"/>
    </row>
    <row r="54" spans="2:16" x14ac:dyDescent="0.3">
      <c r="B54" s="37"/>
      <c r="C54" s="37"/>
      <c r="K54" s="3"/>
      <c r="M54" s="35"/>
      <c r="N54" s="35"/>
      <c r="O54" s="35"/>
      <c r="P54" s="35"/>
    </row>
    <row r="55" spans="2:16" x14ac:dyDescent="0.3">
      <c r="B55" s="37"/>
      <c r="C55" s="37"/>
      <c r="K55" s="3"/>
      <c r="M55" s="35"/>
      <c r="N55" s="41" t="s">
        <v>39</v>
      </c>
      <c r="O55" s="41" t="s">
        <v>38</v>
      </c>
      <c r="P55" s="35"/>
    </row>
    <row r="56" spans="2:16" x14ac:dyDescent="0.3">
      <c r="B56" s="37"/>
      <c r="C56" s="37"/>
      <c r="K56" s="3"/>
      <c r="M56" s="35"/>
      <c r="N56" s="35">
        <f>AVERAGE(Tablo17[TOTAL GRADE])</f>
        <v>38</v>
      </c>
      <c r="O56" s="35">
        <f>_xlfn.STDEV.P(Tablo17[TOTAL GRADE])</f>
        <v>18.121810064118872</v>
      </c>
      <c r="P56" s="35"/>
    </row>
    <row r="57" spans="2:16" x14ac:dyDescent="0.3">
      <c r="B57" s="37"/>
      <c r="C57" s="37"/>
      <c r="K57" s="3"/>
      <c r="M57" s="35"/>
      <c r="N57" s="35"/>
      <c r="O57" s="35"/>
      <c r="P57" s="35"/>
    </row>
    <row r="58" spans="2:16" x14ac:dyDescent="0.3">
      <c r="B58" s="37"/>
      <c r="C58" s="37"/>
      <c r="K58" s="3"/>
      <c r="M58" s="35"/>
      <c r="N58" s="35"/>
      <c r="O58" s="35"/>
      <c r="P58" s="35"/>
    </row>
    <row r="59" spans="2:16" x14ac:dyDescent="0.3">
      <c r="B59" s="37"/>
      <c r="C59" s="37"/>
      <c r="K59" s="3"/>
      <c r="M59" s="35"/>
      <c r="N59" s="35"/>
      <c r="O59" s="35"/>
      <c r="P59" s="35"/>
    </row>
    <row r="60" spans="2:16" x14ac:dyDescent="0.3">
      <c r="B60" s="37"/>
      <c r="C60" s="37"/>
      <c r="K60" s="3"/>
      <c r="M60" s="35"/>
      <c r="N60" s="35"/>
      <c r="O60" s="35"/>
      <c r="P60" s="35"/>
    </row>
    <row r="61" spans="2:16" x14ac:dyDescent="0.3">
      <c r="B61" s="37"/>
      <c r="C61" s="37"/>
      <c r="K61" s="3"/>
      <c r="M61" s="35"/>
      <c r="N61" s="35"/>
      <c r="O61" s="35"/>
      <c r="P61" s="35"/>
    </row>
    <row r="62" spans="2:16" x14ac:dyDescent="0.3">
      <c r="B62" s="37"/>
      <c r="C62" s="37"/>
      <c r="K62" s="3"/>
      <c r="M62" s="35"/>
      <c r="N62" s="35"/>
      <c r="O62" s="35"/>
      <c r="P62" s="35"/>
    </row>
    <row r="63" spans="2:16" x14ac:dyDescent="0.3">
      <c r="B63" s="37"/>
      <c r="C63" s="37"/>
      <c r="K63" s="3"/>
      <c r="M63" s="35"/>
      <c r="N63" s="35"/>
      <c r="O63" s="35"/>
      <c r="P63" s="35"/>
    </row>
    <row r="64" spans="2:16" x14ac:dyDescent="0.3">
      <c r="B64" s="37"/>
      <c r="C64" s="37"/>
      <c r="K64" s="3"/>
      <c r="M64" s="35"/>
      <c r="N64" s="35"/>
      <c r="O64" s="35"/>
      <c r="P64" s="35"/>
    </row>
    <row r="65" spans="2:16" x14ac:dyDescent="0.3">
      <c r="B65" s="37"/>
      <c r="C65" s="37"/>
      <c r="K65" s="3"/>
      <c r="M65" s="35"/>
      <c r="N65" s="35"/>
      <c r="O65" s="35"/>
      <c r="P65" s="35"/>
    </row>
    <row r="66" spans="2:16" x14ac:dyDescent="0.3">
      <c r="B66" s="37"/>
      <c r="C66" s="37"/>
      <c r="K66" s="3"/>
      <c r="M66" s="35"/>
      <c r="N66" s="35"/>
      <c r="O66" s="35"/>
      <c r="P66" s="35"/>
    </row>
    <row r="67" spans="2:16" x14ac:dyDescent="0.3">
      <c r="B67" s="37"/>
      <c r="C67" s="37"/>
      <c r="K67" s="3"/>
      <c r="M67" s="35"/>
      <c r="N67" s="35"/>
      <c r="O67" s="35"/>
      <c r="P67" s="35"/>
    </row>
    <row r="68" spans="2:16" x14ac:dyDescent="0.3">
      <c r="B68" s="37"/>
      <c r="C68" s="37"/>
      <c r="K68" s="3"/>
      <c r="M68" s="35"/>
      <c r="N68" s="35"/>
      <c r="O68" s="35"/>
      <c r="P68" s="35"/>
    </row>
    <row r="69" spans="2:16" x14ac:dyDescent="0.3">
      <c r="B69" s="37"/>
      <c r="C69" s="37"/>
      <c r="K69" s="3"/>
      <c r="M69" s="35"/>
      <c r="N69" s="35"/>
      <c r="O69" s="35"/>
      <c r="P69" s="35"/>
    </row>
    <row r="70" spans="2:16" x14ac:dyDescent="0.3">
      <c r="B70" s="37"/>
      <c r="C70" s="37"/>
      <c r="K70" s="3"/>
      <c r="M70" s="35"/>
      <c r="N70" s="35"/>
      <c r="O70" s="35"/>
      <c r="P70" s="35"/>
    </row>
    <row r="71" spans="2:16" x14ac:dyDescent="0.3">
      <c r="B71" s="37"/>
      <c r="C71" s="37"/>
      <c r="K71" s="3"/>
      <c r="M71" s="35"/>
      <c r="N71" s="35"/>
      <c r="O71" s="35"/>
      <c r="P71" s="35"/>
    </row>
    <row r="72" spans="2:16" x14ac:dyDescent="0.3">
      <c r="B72" s="37"/>
      <c r="C72" s="37"/>
      <c r="K72" s="3"/>
      <c r="M72" s="35"/>
      <c r="N72" s="35"/>
      <c r="O72" s="35"/>
      <c r="P72" s="35"/>
    </row>
    <row r="73" spans="2:16" x14ac:dyDescent="0.3">
      <c r="B73" s="37"/>
      <c r="C73" s="37"/>
      <c r="K73" s="3"/>
      <c r="M73" s="35"/>
      <c r="N73" s="35"/>
      <c r="O73" s="35"/>
      <c r="P73" s="35"/>
    </row>
    <row r="74" spans="2:16" x14ac:dyDescent="0.3">
      <c r="B74" s="37"/>
      <c r="C74" s="37"/>
      <c r="K74" s="3"/>
      <c r="M74" s="35"/>
      <c r="N74" s="35"/>
      <c r="O74" s="35"/>
      <c r="P74" s="35"/>
    </row>
    <row r="75" spans="2:16" x14ac:dyDescent="0.3">
      <c r="B75" s="37"/>
      <c r="C75" s="37"/>
      <c r="K75" s="3"/>
      <c r="M75" s="35"/>
      <c r="N75" s="35"/>
      <c r="O75" s="35"/>
      <c r="P75" s="35"/>
    </row>
    <row r="76" spans="2:16" x14ac:dyDescent="0.3">
      <c r="B76" s="37"/>
      <c r="C76" s="37"/>
      <c r="K76" s="3"/>
      <c r="M76" s="35"/>
      <c r="N76" s="35"/>
      <c r="O76" s="35"/>
      <c r="P76" s="35"/>
    </row>
    <row r="77" spans="2:16" x14ac:dyDescent="0.3">
      <c r="B77" s="37"/>
      <c r="C77" s="37"/>
      <c r="K77" s="3"/>
      <c r="M77" s="35"/>
      <c r="N77" s="35"/>
      <c r="O77" s="35"/>
      <c r="P77" s="35"/>
    </row>
    <row r="78" spans="2:16" x14ac:dyDescent="0.3">
      <c r="B78" s="37"/>
      <c r="C78" s="37"/>
      <c r="K78" s="3"/>
      <c r="M78" s="35"/>
      <c r="N78" s="35"/>
      <c r="O78" s="35"/>
      <c r="P78" s="35"/>
    </row>
    <row r="79" spans="2:16" x14ac:dyDescent="0.3">
      <c r="B79" s="37"/>
      <c r="C79" s="37"/>
      <c r="K79" s="3"/>
      <c r="M79" s="35"/>
      <c r="N79" s="35"/>
      <c r="O79" s="35"/>
      <c r="P79" s="35"/>
    </row>
    <row r="80" spans="2:16" x14ac:dyDescent="0.3">
      <c r="B80" s="37"/>
      <c r="C80" s="37"/>
      <c r="K80" s="3"/>
      <c r="M80" s="35"/>
      <c r="N80" s="35"/>
      <c r="O80" s="35"/>
      <c r="P80" s="35"/>
    </row>
    <row r="81" spans="2:16" x14ac:dyDescent="0.3">
      <c r="B81" s="37"/>
      <c r="C81" s="37"/>
      <c r="K81" s="3"/>
      <c r="M81" s="35"/>
      <c r="N81" s="35"/>
      <c r="O81" s="35"/>
      <c r="P81" s="35"/>
    </row>
    <row r="82" spans="2:16" x14ac:dyDescent="0.3">
      <c r="B82" s="37"/>
      <c r="C82" s="37"/>
      <c r="K82" s="3"/>
      <c r="M82" s="35"/>
      <c r="N82" s="35"/>
      <c r="O82" s="35"/>
      <c r="P82" s="35"/>
    </row>
    <row r="83" spans="2:16" x14ac:dyDescent="0.3">
      <c r="B83" s="37"/>
      <c r="C83" s="37"/>
      <c r="K83" s="3"/>
      <c r="M83" s="35"/>
      <c r="N83" s="35"/>
      <c r="O83" s="35"/>
      <c r="P83" s="35"/>
    </row>
    <row r="84" spans="2:16" x14ac:dyDescent="0.3">
      <c r="B84" s="37"/>
      <c r="C84" s="37"/>
      <c r="K84" s="3"/>
      <c r="M84" s="35"/>
      <c r="N84" s="35"/>
      <c r="O84" s="35"/>
      <c r="P84" s="35"/>
    </row>
    <row r="85" spans="2:16" x14ac:dyDescent="0.3">
      <c r="B85" s="37"/>
      <c r="C85" s="37"/>
      <c r="K85" s="3"/>
      <c r="M85" s="35"/>
      <c r="N85" s="35"/>
      <c r="O85" s="35"/>
      <c r="P85" s="35"/>
    </row>
    <row r="86" spans="2:16" x14ac:dyDescent="0.3">
      <c r="B86" s="37"/>
      <c r="C86" s="37"/>
      <c r="K86" s="3"/>
      <c r="M86" s="35"/>
      <c r="N86" s="35"/>
      <c r="O86" s="35"/>
      <c r="P86" s="35"/>
    </row>
    <row r="87" spans="2:16" x14ac:dyDescent="0.3">
      <c r="B87" s="37"/>
      <c r="C87" s="37"/>
      <c r="K87" s="3"/>
      <c r="M87" s="35"/>
      <c r="N87" s="35"/>
      <c r="O87" s="35"/>
      <c r="P87" s="35"/>
    </row>
    <row r="88" spans="2:16" x14ac:dyDescent="0.3">
      <c r="B88" s="37"/>
      <c r="C88" s="37"/>
      <c r="K88" s="3"/>
      <c r="M88" s="35"/>
      <c r="N88" s="35"/>
      <c r="O88" s="35"/>
      <c r="P88" s="35"/>
    </row>
    <row r="89" spans="2:16" x14ac:dyDescent="0.3">
      <c r="B89" s="37"/>
      <c r="C89" s="37"/>
      <c r="K89" s="3"/>
      <c r="M89" s="35"/>
      <c r="N89" s="35"/>
      <c r="O89" s="35"/>
      <c r="P89" s="35"/>
    </row>
    <row r="90" spans="2:16" x14ac:dyDescent="0.3">
      <c r="B90" s="37"/>
      <c r="C90" s="37"/>
      <c r="K90" s="3"/>
      <c r="M90" s="35"/>
      <c r="N90" s="35"/>
      <c r="O90" s="35"/>
      <c r="P90" s="35"/>
    </row>
    <row r="91" spans="2:16" x14ac:dyDescent="0.3">
      <c r="B91" s="37"/>
      <c r="C91" s="37"/>
      <c r="K91" s="3"/>
      <c r="M91" s="35"/>
      <c r="N91" s="35"/>
      <c r="O91" s="35"/>
      <c r="P91" s="35"/>
    </row>
    <row r="92" spans="2:16" x14ac:dyDescent="0.3">
      <c r="B92" s="37"/>
      <c r="C92" s="37"/>
      <c r="K92" s="3"/>
      <c r="M92" s="35"/>
      <c r="N92" s="35"/>
      <c r="O92" s="35"/>
      <c r="P92" s="35"/>
    </row>
    <row r="93" spans="2:16" x14ac:dyDescent="0.3">
      <c r="B93" s="37"/>
      <c r="C93" s="37"/>
      <c r="K93" s="3"/>
      <c r="M93" s="35"/>
      <c r="N93" s="35"/>
      <c r="O93" s="35"/>
      <c r="P93" s="35"/>
    </row>
    <row r="94" spans="2:16" x14ac:dyDescent="0.3">
      <c r="B94" s="37"/>
      <c r="C94" s="37"/>
      <c r="K94" s="3"/>
      <c r="M94" s="35"/>
      <c r="N94" s="35"/>
      <c r="O94" s="35"/>
      <c r="P94" s="35"/>
    </row>
    <row r="95" spans="2:16" x14ac:dyDescent="0.3">
      <c r="B95" s="37"/>
      <c r="C95" s="37"/>
      <c r="K95" s="3"/>
      <c r="M95" s="35"/>
      <c r="N95" s="35"/>
      <c r="O95" s="35"/>
      <c r="P95" s="35"/>
    </row>
    <row r="96" spans="2:16" x14ac:dyDescent="0.3">
      <c r="B96" s="37"/>
      <c r="C96" s="37"/>
      <c r="K96" s="3"/>
      <c r="M96" s="35"/>
      <c r="N96" s="35"/>
      <c r="O96" s="35"/>
      <c r="P96" s="35"/>
    </row>
  </sheetData>
  <mergeCells count="2">
    <mergeCell ref="B1:V1"/>
    <mergeCell ref="B47:K47"/>
  </mergeCells>
  <conditionalFormatting sqref="E37:E40">
    <cfRule type="cellIs" dxfId="103" priority="21" operator="equal">
      <formula>0</formula>
    </cfRule>
    <cfRule type="cellIs" dxfId="102" priority="22" operator="lessThan">
      <formula>0</formula>
    </cfRule>
  </conditionalFormatting>
  <conditionalFormatting sqref="F5:L34">
    <cfRule type="cellIs" dxfId="101" priority="20" operator="lessThan">
      <formula>0</formula>
    </cfRule>
  </conditionalFormatting>
  <conditionalFormatting sqref="F5:F34">
    <cfRule type="cellIs" dxfId="100" priority="19" operator="greaterThan">
      <formula>"0$T$10"</formula>
    </cfRule>
  </conditionalFormatting>
  <conditionalFormatting sqref="M5:M34">
    <cfRule type="cellIs" dxfId="99" priority="17" operator="greaterThan">
      <formula>100</formula>
    </cfRule>
    <cfRule type="cellIs" dxfId="98" priority="18" operator="lessThan">
      <formula>0</formula>
    </cfRule>
  </conditionalFormatting>
  <conditionalFormatting sqref="J43">
    <cfRule type="cellIs" dxfId="97" priority="8" operator="greaterThan">
      <formula>$D$37</formula>
    </cfRule>
    <cfRule type="cellIs" dxfId="96" priority="12" operator="lessThan">
      <formula>$D$37</formula>
    </cfRule>
    <cfRule type="cellIs" dxfId="95" priority="16" operator="equal">
      <formula>$D$37</formula>
    </cfRule>
  </conditionalFormatting>
  <conditionalFormatting sqref="J44">
    <cfRule type="cellIs" dxfId="94" priority="7" operator="greaterThan">
      <formula>$D$38</formula>
    </cfRule>
    <cfRule type="cellIs" dxfId="93" priority="11" operator="lessThan">
      <formula>$D$38</formula>
    </cfRule>
    <cfRule type="cellIs" dxfId="92" priority="15" operator="equal">
      <formula>$D$38</formula>
    </cfRule>
  </conditionalFormatting>
  <conditionalFormatting sqref="J45">
    <cfRule type="cellIs" dxfId="91" priority="6" operator="greaterThan">
      <formula>$D$39</formula>
    </cfRule>
    <cfRule type="cellIs" dxfId="90" priority="10" operator="lessThan">
      <formula>$D$39</formula>
    </cfRule>
    <cfRule type="cellIs" dxfId="89" priority="14" operator="equal">
      <formula>$D$39</formula>
    </cfRule>
  </conditionalFormatting>
  <conditionalFormatting sqref="J46">
    <cfRule type="cellIs" dxfId="88" priority="5" operator="greaterThan">
      <formula>$D$40</formula>
    </cfRule>
    <cfRule type="cellIs" dxfId="87" priority="9" operator="lessThan">
      <formula>$D$40</formula>
    </cfRule>
    <cfRule type="cellIs" dxfId="86" priority="13" operator="equal">
      <formula>$D$40</formula>
    </cfRule>
  </conditionalFormatting>
  <conditionalFormatting sqref="Q5:Q34">
    <cfRule type="cellIs" dxfId="85" priority="23" operator="greaterThan">
      <formula>$J$46</formula>
    </cfRule>
  </conditionalFormatting>
  <conditionalFormatting sqref="G5:G34">
    <cfRule type="cellIs" dxfId="84" priority="24" operator="greaterThan">
      <formula>$I$37</formula>
    </cfRule>
  </conditionalFormatting>
  <conditionalFormatting sqref="H5:H34">
    <cfRule type="cellIs" dxfId="83" priority="25" operator="greaterThan">
      <formula>$J$37</formula>
    </cfRule>
  </conditionalFormatting>
  <conditionalFormatting sqref="I5:I34">
    <cfRule type="cellIs" dxfId="82" priority="26" operator="greaterThan">
      <formula>$K$37</formula>
    </cfRule>
  </conditionalFormatting>
  <conditionalFormatting sqref="J5:J34">
    <cfRule type="cellIs" dxfId="81" priority="27" operator="greaterThan">
      <formula>$L$37</formula>
    </cfRule>
  </conditionalFormatting>
  <conditionalFormatting sqref="K5:K34">
    <cfRule type="cellIs" dxfId="80" priority="28" operator="greaterThan">
      <formula>$M$37</formula>
    </cfRule>
  </conditionalFormatting>
  <conditionalFormatting sqref="L5:L34">
    <cfRule type="cellIs" dxfId="79" priority="29" operator="greaterThan">
      <formula>$N$37</formula>
    </cfRule>
  </conditionalFormatting>
  <conditionalFormatting sqref="N5:N34">
    <cfRule type="cellIs" dxfId="78" priority="30" operator="greaterThan">
      <formula>$J$43</formula>
    </cfRule>
  </conditionalFormatting>
  <conditionalFormatting sqref="O5:O34">
    <cfRule type="cellIs" dxfId="77" priority="31" operator="greaterThan">
      <formula>$J$44</formula>
    </cfRule>
  </conditionalFormatting>
  <conditionalFormatting sqref="P5:P34">
    <cfRule type="cellIs" dxfId="76" priority="32" operator="greaterThan">
      <formula>$J$45</formula>
    </cfRule>
  </conditionalFormatting>
  <conditionalFormatting sqref="E37">
    <cfRule type="cellIs" dxfId="75" priority="4" operator="greaterThan">
      <formula>$D$37</formula>
    </cfRule>
  </conditionalFormatting>
  <conditionalFormatting sqref="E38">
    <cfRule type="cellIs" dxfId="74" priority="3" operator="greaterThan">
      <formula>$D$38</formula>
    </cfRule>
  </conditionalFormatting>
  <conditionalFormatting sqref="E39">
    <cfRule type="cellIs" dxfId="73" priority="2" operator="greaterThan">
      <formula>$D$39</formula>
    </cfRule>
  </conditionalFormatting>
  <conditionalFormatting sqref="E40">
    <cfRule type="cellIs" dxfId="72" priority="1" operator="greaterThan">
      <formula>$D$40</formula>
    </cfRule>
  </conditionalFormatting>
  <pageMargins left="0.7" right="0.7" top="0.75" bottom="0.75" header="0.511811023622047" footer="0.511811023622047"/>
  <pageSetup paperSize="9" orientation="portrait" horizontalDpi="300" verticalDpi="300" r:id="rId1"/>
  <drawing r:id="rId2"/>
  <legacyDrawing r:id="rId3"/>
  <tableParts count="6">
    <tablePart r:id="rId4"/>
    <tablePart r:id="rId5"/>
    <tablePart r:id="rId6"/>
    <tablePart r:id="rId7"/>
    <tablePart r:id="rId8"/>
    <tablePart r:id="rId9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B472B-5DC9-46E7-939B-F3E1B8F4BD3F}">
  <dimension ref="B1:AG97"/>
  <sheetViews>
    <sheetView topLeftCell="A30" zoomScale="55" zoomScaleNormal="55" workbookViewId="0">
      <selection activeCell="AE34" sqref="AE34"/>
    </sheetView>
  </sheetViews>
  <sheetFormatPr defaultColWidth="8.5546875" defaultRowHeight="14.4" x14ac:dyDescent="0.3"/>
  <cols>
    <col min="1" max="1" width="15.109375" style="1" customWidth="1"/>
    <col min="2" max="2" width="16.88671875" style="1" bestFit="1" customWidth="1"/>
    <col min="3" max="3" width="18.33203125" style="3" bestFit="1" customWidth="1"/>
    <col min="4" max="4" width="23.88671875" style="3" bestFit="1" customWidth="1"/>
    <col min="5" max="5" width="18" style="3" bestFit="1" customWidth="1"/>
    <col min="6" max="6" width="10" style="3" bestFit="1" customWidth="1"/>
    <col min="7" max="7" width="10.44140625" style="75" bestFit="1" customWidth="1"/>
    <col min="8" max="9" width="10" style="3" bestFit="1" customWidth="1"/>
    <col min="10" max="10" width="14.88671875" style="3" bestFit="1" customWidth="1"/>
    <col min="11" max="11" width="15.6640625" style="3" bestFit="1" customWidth="1"/>
    <col min="12" max="12" width="17.44140625" style="75" bestFit="1" customWidth="1"/>
    <col min="13" max="13" width="19.33203125" style="75" bestFit="1" customWidth="1"/>
    <col min="14" max="14" width="12.33203125" style="75" bestFit="1" customWidth="1"/>
    <col min="15" max="15" width="14.88671875" style="75" bestFit="1" customWidth="1"/>
    <col min="16" max="17" width="10.88671875" style="75" bestFit="1" customWidth="1"/>
    <col min="18" max="18" width="10.6640625" style="75" bestFit="1" customWidth="1"/>
    <col min="19" max="19" width="14.5546875" style="75" bestFit="1" customWidth="1"/>
    <col min="20" max="20" width="2.88671875" style="1" customWidth="1"/>
    <col min="21" max="23" width="5.88671875" style="1" customWidth="1"/>
    <col min="24" max="29" width="4.44140625" style="1" bestFit="1" customWidth="1"/>
    <col min="30" max="30" width="5.33203125" style="1" bestFit="1" customWidth="1"/>
    <col min="31" max="31" width="6.109375" style="1" customWidth="1"/>
    <col min="32" max="32" width="2.6640625" style="1" customWidth="1"/>
    <col min="33" max="33" width="5.33203125" style="1" customWidth="1"/>
    <col min="34" max="16384" width="8.5546875" style="1"/>
  </cols>
  <sheetData>
    <row r="1" spans="2:33" ht="33.6" x14ac:dyDescent="0.3">
      <c r="B1" s="59" t="s">
        <v>91</v>
      </c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60"/>
      <c r="X1" s="60"/>
    </row>
    <row r="2" spans="2:33" x14ac:dyDescent="0.3">
      <c r="C2" s="1"/>
      <c r="D2" s="1"/>
      <c r="G2" s="3"/>
      <c r="K2" s="1"/>
      <c r="L2" s="3"/>
      <c r="M2" s="1"/>
      <c r="N2" s="1"/>
      <c r="O2" s="1"/>
      <c r="P2" s="1"/>
      <c r="Q2" s="1"/>
      <c r="R2" s="1"/>
      <c r="S2" s="1"/>
      <c r="AA2" s="3"/>
      <c r="AB2" s="3"/>
      <c r="AC2" s="3"/>
      <c r="AD2" s="3"/>
    </row>
    <row r="3" spans="2:33" x14ac:dyDescent="0.3">
      <c r="C3" s="1"/>
      <c r="D3" s="1"/>
      <c r="G3" s="3"/>
      <c r="K3" s="1"/>
      <c r="L3" s="3"/>
      <c r="M3" s="35"/>
      <c r="N3" s="35"/>
      <c r="O3" s="35"/>
      <c r="P3" s="35"/>
      <c r="Q3" s="1"/>
      <c r="R3" s="1"/>
      <c r="S3" s="1"/>
      <c r="AA3" s="71"/>
      <c r="AB3" s="71"/>
      <c r="AC3" s="71"/>
      <c r="AD3" s="71"/>
      <c r="AE3" s="72"/>
    </row>
    <row r="4" spans="2:33" ht="15" thickBot="1" x14ac:dyDescent="0.35">
      <c r="B4" s="58" t="s">
        <v>37</v>
      </c>
      <c r="C4" s="57" t="s">
        <v>70</v>
      </c>
      <c r="D4" s="57" t="s">
        <v>17</v>
      </c>
      <c r="E4" s="41" t="s">
        <v>16</v>
      </c>
      <c r="F4" s="61" t="s">
        <v>71</v>
      </c>
      <c r="G4" s="61" t="s">
        <v>72</v>
      </c>
      <c r="H4" s="61" t="s">
        <v>73</v>
      </c>
      <c r="I4" s="61" t="s">
        <v>74</v>
      </c>
      <c r="J4" s="61" t="s">
        <v>75</v>
      </c>
      <c r="K4" s="61" t="s">
        <v>76</v>
      </c>
      <c r="L4" s="61" t="s">
        <v>77</v>
      </c>
      <c r="M4" s="40" t="s">
        <v>78</v>
      </c>
      <c r="N4" s="61" t="s">
        <v>3</v>
      </c>
      <c r="O4" s="61" t="s">
        <v>2</v>
      </c>
      <c r="P4" s="61" t="s">
        <v>1</v>
      </c>
      <c r="Q4" s="61" t="s">
        <v>0</v>
      </c>
      <c r="R4" s="61" t="s">
        <v>79</v>
      </c>
      <c r="S4" s="43" t="s">
        <v>80</v>
      </c>
      <c r="AA4" s="36"/>
      <c r="AB4" s="36"/>
      <c r="AC4" s="36"/>
      <c r="AD4" s="36"/>
      <c r="AE4" s="73"/>
      <c r="AG4" s="67"/>
    </row>
    <row r="5" spans="2:33" ht="15" thickTop="1" x14ac:dyDescent="0.3">
      <c r="B5" s="48">
        <v>1</v>
      </c>
      <c r="C5" s="35">
        <v>4</v>
      </c>
      <c r="D5" s="46" t="s">
        <v>17</v>
      </c>
      <c r="E5" s="46" t="s">
        <v>16</v>
      </c>
      <c r="F5" s="3">
        <v>3</v>
      </c>
      <c r="G5" s="3">
        <v>2</v>
      </c>
      <c r="H5" s="3">
        <v>10</v>
      </c>
      <c r="I5" s="3">
        <v>15</v>
      </c>
      <c r="J5" s="3">
        <v>11</v>
      </c>
      <c r="K5" s="3">
        <v>15</v>
      </c>
      <c r="L5" s="3">
        <v>15</v>
      </c>
      <c r="M5" s="37">
        <f t="shared" ref="M5:M34" si="0">SUM(F5:L5)</f>
        <v>71</v>
      </c>
      <c r="N5" s="65" cm="1">
        <f t="array" ref="N5">Tablo1738[[#This Row],[Q1]]/Tablo1939[Q1]*$C$43+G5/Tablo1939[Q2]*$D$43+H5/Tablo1939[Q3]*$E$43+I5/Tablo1939[Q4]*$F$43+J5/Tablo1939[Q5]*$G$43+K5/Tablo1939[Q6]*$H$43+L5/Tablo1939[Q7]*$I$43</f>
        <v>54.333333333333329</v>
      </c>
      <c r="O5" s="65" cm="1">
        <f t="array" ref="O5">Tablo1738[[#This Row],[Q1]]/Tablo1939[Q1]*$C$44+G5/Tablo1939[Q2]*$D$44+H5/Tablo1939[Q3]*$E$44+I5/Tablo1939[Q4]*$F$44+J5/Tablo1939[Q5]*$G$44+K5/Tablo1939[Q6]*$H$44+L5/Tablo1939[Q7]*$I$44</f>
        <v>2.5</v>
      </c>
      <c r="P5" s="65" cm="1">
        <f t="array" ref="P5">Tablo1738[[#This Row],[Q1]]/Tablo1939[Q1]*$C$45+G5/Tablo1939[Q2]*$D$45+H5/Tablo1939[Q3]*$E$45+I5/Tablo1939[Q4]*$F$45+J5/Tablo1939[Q5]*$G$45+K5/Tablo1939[Q6]*$H$45+L5/Tablo1939[Q7]*$I$45</f>
        <v>27</v>
      </c>
      <c r="Q5" s="65" cm="1">
        <f t="array" ref="Q5">Tablo1738[[#This Row],[Q1]]/Tablo1939[Q1]*$C$46+G5/Tablo1939[Q2]*$D$46+H5/Tablo1939[Q3]*$E$46+I5/Tablo1939[Q4]*$F$46+J5/Tablo1939[Q5]*$G$46+K5/Tablo1939[Q6]*$H$46+L5/Tablo1939[Q7]*$I$46</f>
        <v>6</v>
      </c>
      <c r="R5" s="65">
        <f t="shared" ref="R5:R34" si="1">SUM(N5:Q5)</f>
        <v>89.833333333333329</v>
      </c>
      <c r="S5" s="43">
        <f>_xlfn.NORM.DIST(Tablo1738[[#This Row],[TOTAL GRADE]],$N$56,$O$56,FALSE)</f>
        <v>4.1940278803414199E-3</v>
      </c>
      <c r="AA5" s="36"/>
      <c r="AB5" s="36"/>
      <c r="AC5" s="36"/>
      <c r="AD5" s="36"/>
      <c r="AE5" s="73"/>
      <c r="AG5" s="37"/>
    </row>
    <row r="6" spans="2:33" x14ac:dyDescent="0.3">
      <c r="B6" s="49">
        <v>2</v>
      </c>
      <c r="C6" s="35">
        <v>5</v>
      </c>
      <c r="D6" s="46" t="s">
        <v>17</v>
      </c>
      <c r="E6" s="46" t="s">
        <v>16</v>
      </c>
      <c r="F6" s="3">
        <v>6</v>
      </c>
      <c r="G6" s="3">
        <v>3.5</v>
      </c>
      <c r="H6" s="3">
        <v>12.5</v>
      </c>
      <c r="I6" s="3">
        <v>10</v>
      </c>
      <c r="J6" s="3">
        <v>6</v>
      </c>
      <c r="K6" s="3">
        <v>15</v>
      </c>
      <c r="L6" s="3">
        <v>14</v>
      </c>
      <c r="M6" s="37">
        <f t="shared" si="0"/>
        <v>67</v>
      </c>
      <c r="N6" s="65" cm="1">
        <f t="array" ref="N6">Tablo1738[[#This Row],[Q1]]/Tablo1939[Q1]*$C$43+G6/Tablo1939[Q2]*$D$43+H6/Tablo1939[Q3]*$E$43+I6/Tablo1939[Q4]*$F$43+J6/Tablo1939[Q5]*$G$43+K6/Tablo1939[Q6]*$H$43+L6/Tablo1939[Q7]*$I$43</f>
        <v>47.75</v>
      </c>
      <c r="O6" s="65" cm="1">
        <f t="array" ref="O6">Tablo1738[[#This Row],[Q1]]/Tablo1939[Q1]*$C$44+G6/Tablo1939[Q2]*$D$44+H6/Tablo1939[Q3]*$E$44+I6/Tablo1939[Q4]*$F$44+J6/Tablo1939[Q5]*$G$44+K6/Tablo1939[Q6]*$H$44+L6/Tablo1939[Q7]*$I$44</f>
        <v>3.125</v>
      </c>
      <c r="P6" s="65" cm="1">
        <f t="array" ref="P6">Tablo1738[[#This Row],[Q1]]/Tablo1939[Q1]*$C$45+G6/Tablo1939[Q2]*$D$45+H6/Tablo1939[Q3]*$E$45+I6/Tablo1939[Q4]*$F$45+J6/Tablo1939[Q5]*$G$45+K6/Tablo1939[Q6]*$H$45+L6/Tablo1939[Q7]*$I$45</f>
        <v>27.875</v>
      </c>
      <c r="Q6" s="65" cm="1">
        <f t="array" ref="Q6">Tablo1738[[#This Row],[Q1]]/Tablo1939[Q1]*$C$46+G6/Tablo1939[Q2]*$D$46+H6/Tablo1939[Q3]*$E$46+I6/Tablo1939[Q4]*$F$46+J6/Tablo1939[Q5]*$G$46+K6/Tablo1939[Q6]*$H$46+L6/Tablo1939[Q7]*$I$46</f>
        <v>12</v>
      </c>
      <c r="R6" s="65">
        <f t="shared" si="1"/>
        <v>90.75</v>
      </c>
      <c r="S6" s="43">
        <f>_xlfn.NORM.DIST(Tablo1738[[#This Row],[TOTAL GRADE]],$N$56,$O$56,FALSE)</f>
        <v>6.1180895764037227E-3</v>
      </c>
      <c r="AA6" s="36"/>
      <c r="AB6" s="36"/>
      <c r="AC6" s="36"/>
      <c r="AD6" s="36"/>
      <c r="AE6" s="73"/>
      <c r="AG6" s="37"/>
    </row>
    <row r="7" spans="2:33" x14ac:dyDescent="0.3">
      <c r="B7" s="48">
        <v>3</v>
      </c>
      <c r="C7" s="35">
        <v>6</v>
      </c>
      <c r="D7" s="46" t="s">
        <v>17</v>
      </c>
      <c r="E7" s="46" t="s">
        <v>16</v>
      </c>
      <c r="F7" s="3">
        <v>2</v>
      </c>
      <c r="G7" s="3">
        <v>2</v>
      </c>
      <c r="H7" s="3">
        <v>14</v>
      </c>
      <c r="I7" s="3">
        <v>15</v>
      </c>
      <c r="J7" s="3">
        <v>11</v>
      </c>
      <c r="K7" s="3">
        <v>4</v>
      </c>
      <c r="L7" s="3">
        <v>14</v>
      </c>
      <c r="M7" s="37">
        <f t="shared" si="0"/>
        <v>62</v>
      </c>
      <c r="N7" s="65" cm="1">
        <f t="array" ref="N7">Tablo1738[[#This Row],[Q1]]/Tablo1939[Q1]*$C$43+G7/Tablo1939[Q2]*$D$43+H7/Tablo1939[Q3]*$E$43+I7/Tablo1939[Q4]*$F$43+J7/Tablo1939[Q5]*$G$43+K7/Tablo1939[Q6]*$H$43+L7/Tablo1939[Q7]*$I$43</f>
        <v>48</v>
      </c>
      <c r="O7" s="65" cm="1">
        <f t="array" ref="O7">Tablo1738[[#This Row],[Q1]]/Tablo1939[Q1]*$C$44+G7/Tablo1939[Q2]*$D$44+H7/Tablo1939[Q3]*$E$44+I7/Tablo1939[Q4]*$F$44+J7/Tablo1939[Q5]*$G$44+K7/Tablo1939[Q6]*$H$44+L7/Tablo1939[Q7]*$I$44</f>
        <v>3.5</v>
      </c>
      <c r="P7" s="65" cm="1">
        <f t="array" ref="P7">Tablo1738[[#This Row],[Q1]]/Tablo1939[Q1]*$C$45+G7/Tablo1939[Q2]*$D$45+H7/Tablo1939[Q3]*$E$45+I7/Tablo1939[Q4]*$F$45+J7/Tablo1939[Q5]*$G$45+K7/Tablo1939[Q6]*$H$45+L7/Tablo1939[Q7]*$I$45</f>
        <v>22.666666666666668</v>
      </c>
      <c r="Q7" s="65" cm="1">
        <f t="array" ref="Q7">Tablo1738[[#This Row],[Q1]]/Tablo1939[Q1]*$C$46+G7/Tablo1939[Q2]*$D$46+H7/Tablo1939[Q3]*$E$46+I7/Tablo1939[Q4]*$F$46+J7/Tablo1939[Q5]*$G$46+K7/Tablo1939[Q6]*$H$46+L7/Tablo1939[Q7]*$I$46</f>
        <v>4</v>
      </c>
      <c r="R7" s="65">
        <f t="shared" si="1"/>
        <v>78.166666666666671</v>
      </c>
      <c r="S7" s="43">
        <f>_xlfn.NORM.DIST(Tablo1738[[#This Row],[TOTAL GRADE]],$N$56,$O$56,FALSE)</f>
        <v>9.1588558478442415E-3</v>
      </c>
      <c r="AA7" s="36"/>
      <c r="AB7" s="36"/>
      <c r="AC7" s="36"/>
      <c r="AD7" s="36"/>
      <c r="AE7" s="73"/>
      <c r="AG7" s="37"/>
    </row>
    <row r="8" spans="2:33" x14ac:dyDescent="0.3">
      <c r="B8" s="49">
        <v>4</v>
      </c>
      <c r="C8" s="35">
        <v>7</v>
      </c>
      <c r="D8" s="46" t="s">
        <v>17</v>
      </c>
      <c r="E8" s="46" t="s">
        <v>16</v>
      </c>
      <c r="F8" s="3">
        <v>4</v>
      </c>
      <c r="G8" s="3">
        <v>1</v>
      </c>
      <c r="H8" s="3">
        <v>10</v>
      </c>
      <c r="I8" s="3">
        <v>12</v>
      </c>
      <c r="J8" s="3">
        <v>13</v>
      </c>
      <c r="K8" s="3">
        <v>2</v>
      </c>
      <c r="L8" s="3">
        <v>15</v>
      </c>
      <c r="M8" s="37">
        <f t="shared" si="0"/>
        <v>57</v>
      </c>
      <c r="N8" s="65" cm="1">
        <f t="array" ref="N8">Tablo1738[[#This Row],[Q1]]/Tablo1939[Q1]*$C$43+G8/Tablo1939[Q2]*$D$43+H8/Tablo1939[Q3]*$E$43+I8/Tablo1939[Q4]*$F$43+J8/Tablo1939[Q5]*$G$43+K8/Tablo1939[Q6]*$H$43+L8/Tablo1939[Q7]*$I$43</f>
        <v>43</v>
      </c>
      <c r="O8" s="65" cm="1">
        <f t="array" ref="O8">Tablo1738[[#This Row],[Q1]]/Tablo1939[Q1]*$C$44+G8/Tablo1939[Q2]*$D$44+H8/Tablo1939[Q3]*$E$44+I8/Tablo1939[Q4]*$F$44+J8/Tablo1939[Q5]*$G$44+K8/Tablo1939[Q6]*$H$44+L8/Tablo1939[Q7]*$I$44</f>
        <v>2.5</v>
      </c>
      <c r="P8" s="65" cm="1">
        <f t="array" ref="P8">Tablo1738[[#This Row],[Q1]]/Tablo1939[Q1]*$C$45+G8/Tablo1939[Q2]*$D$45+H8/Tablo1939[Q3]*$E$45+I8/Tablo1939[Q4]*$F$45+J8/Tablo1939[Q5]*$G$45+K8/Tablo1939[Q6]*$H$45+L8/Tablo1939[Q7]*$I$45</f>
        <v>15.833333333333334</v>
      </c>
      <c r="Q8" s="65" cm="1">
        <f t="array" ref="Q8">Tablo1738[[#This Row],[Q1]]/Tablo1939[Q1]*$C$46+G8/Tablo1939[Q2]*$D$46+H8/Tablo1939[Q3]*$E$46+I8/Tablo1939[Q4]*$F$46+J8/Tablo1939[Q5]*$G$46+K8/Tablo1939[Q6]*$H$46+L8/Tablo1939[Q7]*$I$46</f>
        <v>8</v>
      </c>
      <c r="R8" s="65">
        <f t="shared" si="1"/>
        <v>69.333333333333343</v>
      </c>
      <c r="S8" s="43">
        <f>_xlfn.NORM.DIST(Tablo1738[[#This Row],[TOTAL GRADE]],$N$56,$O$56,FALSE)</f>
        <v>1.2705893806020505E-2</v>
      </c>
      <c r="AA8" s="36"/>
      <c r="AB8" s="36"/>
      <c r="AC8" s="36"/>
      <c r="AD8" s="36"/>
      <c r="AE8" s="73"/>
      <c r="AG8" s="3"/>
    </row>
    <row r="9" spans="2:33" x14ac:dyDescent="0.3">
      <c r="B9" s="48">
        <v>5</v>
      </c>
      <c r="C9" s="35">
        <v>8</v>
      </c>
      <c r="D9" s="46" t="s">
        <v>17</v>
      </c>
      <c r="E9" s="46" t="s">
        <v>16</v>
      </c>
      <c r="F9" s="3">
        <v>1</v>
      </c>
      <c r="G9" s="3">
        <v>1</v>
      </c>
      <c r="H9" s="3">
        <v>15</v>
      </c>
      <c r="I9" s="3">
        <v>9</v>
      </c>
      <c r="J9" s="3">
        <v>6</v>
      </c>
      <c r="K9" s="3">
        <v>15</v>
      </c>
      <c r="L9" s="3">
        <v>8</v>
      </c>
      <c r="M9" s="37">
        <f t="shared" si="0"/>
        <v>55</v>
      </c>
      <c r="N9" s="65" cm="1">
        <f t="array" ref="N9">Tablo1738[[#This Row],[Q1]]/Tablo1939[Q1]*$C$43+G9/Tablo1939[Q2]*$D$43+H9/Tablo1939[Q3]*$E$43+I9/Tablo1939[Q4]*$F$43+J9/Tablo1939[Q5]*$G$43+K9/Tablo1939[Q6]*$H$43+L9/Tablo1939[Q7]*$I$43</f>
        <v>39.5</v>
      </c>
      <c r="O9" s="65" cm="1">
        <f t="array" ref="O9">Tablo1738[[#This Row],[Q1]]/Tablo1939[Q1]*$C$44+G9/Tablo1939[Q2]*$D$44+H9/Tablo1939[Q3]*$E$44+I9/Tablo1939[Q4]*$F$44+J9/Tablo1939[Q5]*$G$44+K9/Tablo1939[Q6]*$H$44+L9/Tablo1939[Q7]*$I$44</f>
        <v>3.75</v>
      </c>
      <c r="P9" s="65" cm="1">
        <f t="array" ref="P9">Tablo1738[[#This Row],[Q1]]/Tablo1939[Q1]*$C$45+G9/Tablo1939[Q2]*$D$45+H9/Tablo1939[Q3]*$E$45+I9/Tablo1939[Q4]*$F$45+J9/Tablo1939[Q5]*$G$45+K9/Tablo1939[Q6]*$H$45+L9/Tablo1939[Q7]*$I$45</f>
        <v>26.75</v>
      </c>
      <c r="Q9" s="65" cm="1">
        <f t="array" ref="Q9">Tablo1738[[#This Row],[Q1]]/Tablo1939[Q1]*$C$46+G9/Tablo1939[Q2]*$D$46+H9/Tablo1939[Q3]*$E$46+I9/Tablo1939[Q4]*$F$46+J9/Tablo1939[Q5]*$G$46+K9/Tablo1939[Q6]*$H$46+L9/Tablo1939[Q7]*$I$46</f>
        <v>2</v>
      </c>
      <c r="R9" s="65">
        <f t="shared" si="1"/>
        <v>72</v>
      </c>
      <c r="S9" s="43">
        <f>_xlfn.NORM.DIST(Tablo1738[[#This Row],[TOTAL GRADE]],$N$56,$O$56,FALSE)</f>
        <v>1.4177956179946404E-2</v>
      </c>
      <c r="AA9" s="36"/>
      <c r="AB9" s="36"/>
      <c r="AC9" s="36"/>
      <c r="AD9" s="36"/>
      <c r="AE9" s="73"/>
      <c r="AG9" s="34"/>
    </row>
    <row r="10" spans="2:33" x14ac:dyDescent="0.3">
      <c r="B10" s="49">
        <v>6</v>
      </c>
      <c r="C10" s="35">
        <v>9</v>
      </c>
      <c r="D10" s="46" t="s">
        <v>17</v>
      </c>
      <c r="E10" s="46" t="s">
        <v>16</v>
      </c>
      <c r="F10" s="3">
        <v>1</v>
      </c>
      <c r="G10" s="3">
        <v>1</v>
      </c>
      <c r="H10" s="3">
        <v>9</v>
      </c>
      <c r="I10" s="3">
        <v>12</v>
      </c>
      <c r="J10" s="3">
        <v>8</v>
      </c>
      <c r="K10" s="3">
        <v>15</v>
      </c>
      <c r="L10" s="3">
        <v>7</v>
      </c>
      <c r="M10" s="37">
        <f t="shared" si="0"/>
        <v>53</v>
      </c>
      <c r="N10" s="65" cm="1">
        <f t="array" ref="N10">Tablo1738[[#This Row],[Q1]]/Tablo1939[Q1]*$C$43+G10/Tablo1939[Q2]*$D$43+H10/Tablo1939[Q3]*$E$43+I10/Tablo1939[Q4]*$F$43+J10/Tablo1939[Q5]*$G$43+K10/Tablo1939[Q6]*$H$43+L10/Tablo1939[Q7]*$I$43</f>
        <v>39.833333333333329</v>
      </c>
      <c r="O10" s="65" cm="1">
        <f t="array" ref="O10">Tablo1738[[#This Row],[Q1]]/Tablo1939[Q1]*$C$44+G10/Tablo1939[Q2]*$D$44+H10/Tablo1939[Q3]*$E$44+I10/Tablo1939[Q4]*$F$44+J10/Tablo1939[Q5]*$G$44+K10/Tablo1939[Q6]*$H$44+L10/Tablo1939[Q7]*$I$44</f>
        <v>2.25</v>
      </c>
      <c r="P10" s="65" cm="1">
        <f t="array" ref="P10">Tablo1738[[#This Row],[Q1]]/Tablo1939[Q1]*$C$45+G10/Tablo1939[Q2]*$D$45+H10/Tablo1939[Q3]*$E$45+I10/Tablo1939[Q4]*$F$45+J10/Tablo1939[Q5]*$G$45+K10/Tablo1939[Q6]*$H$45+L10/Tablo1939[Q7]*$I$45</f>
        <v>23.75</v>
      </c>
      <c r="Q10" s="65" cm="1">
        <f t="array" ref="Q10">Tablo1738[[#This Row],[Q1]]/Tablo1939[Q1]*$C$46+G10/Tablo1939[Q2]*$D$46+H10/Tablo1939[Q3]*$E$46+I10/Tablo1939[Q4]*$F$46+J10/Tablo1939[Q5]*$G$46+K10/Tablo1939[Q6]*$H$46+L10/Tablo1939[Q7]*$I$46</f>
        <v>2</v>
      </c>
      <c r="R10" s="65">
        <f t="shared" si="1"/>
        <v>67.833333333333329</v>
      </c>
      <c r="S10" s="43">
        <f>_xlfn.NORM.DIST(Tablo1738[[#This Row],[TOTAL GRADE]],$N$56,$O$56,FALSE)</f>
        <v>1.5629036846777963E-2</v>
      </c>
      <c r="AA10" s="36"/>
      <c r="AB10" s="36"/>
      <c r="AC10" s="36"/>
      <c r="AD10" s="36"/>
      <c r="AE10" s="73"/>
      <c r="AG10" s="34"/>
    </row>
    <row r="11" spans="2:33" x14ac:dyDescent="0.3">
      <c r="B11" s="48">
        <v>7</v>
      </c>
      <c r="C11" s="35">
        <v>10</v>
      </c>
      <c r="D11" s="46" t="s">
        <v>17</v>
      </c>
      <c r="E11" s="46" t="s">
        <v>16</v>
      </c>
      <c r="F11" s="3">
        <v>0</v>
      </c>
      <c r="G11" s="3">
        <v>2</v>
      </c>
      <c r="H11" s="3">
        <v>17</v>
      </c>
      <c r="I11" s="3">
        <v>15</v>
      </c>
      <c r="J11" s="3">
        <v>10</v>
      </c>
      <c r="K11" s="3">
        <v>6</v>
      </c>
      <c r="L11" s="3">
        <v>0</v>
      </c>
      <c r="M11" s="37">
        <f t="shared" si="0"/>
        <v>50</v>
      </c>
      <c r="N11" s="65" cm="1">
        <f t="array" ref="N11">Tablo1738[[#This Row],[Q1]]/Tablo1939[Q1]*$C$43+G11/Tablo1939[Q2]*$D$43+H11/Tablo1939[Q3]*$E$43+I11/Tablo1939[Q4]*$F$43+J11/Tablo1939[Q5]*$G$43+K11/Tablo1939[Q6]*$H$43+L11/Tablo1939[Q7]*$I$43</f>
        <v>36.166666666666664</v>
      </c>
      <c r="O11" s="65" cm="1">
        <f t="array" ref="O11">Tablo1738[[#This Row],[Q1]]/Tablo1939[Q1]*$C$44+G11/Tablo1939[Q2]*$D$44+H11/Tablo1939[Q3]*$E$44+I11/Tablo1939[Q4]*$F$44+J11/Tablo1939[Q5]*$G$44+K11/Tablo1939[Q6]*$H$44+L11/Tablo1939[Q7]*$I$44</f>
        <v>4.25</v>
      </c>
      <c r="P11" s="65" cm="1">
        <f t="array" ref="P11">Tablo1738[[#This Row],[Q1]]/Tablo1939[Q1]*$C$45+G11/Tablo1939[Q2]*$D$45+H11/Tablo1939[Q3]*$E$45+I11/Tablo1939[Q4]*$F$45+J11/Tablo1939[Q5]*$G$45+K11/Tablo1939[Q6]*$H$45+L11/Tablo1939[Q7]*$I$45</f>
        <v>26.25</v>
      </c>
      <c r="Q11" s="65" cm="1">
        <f t="array" ref="Q11">Tablo1738[[#This Row],[Q1]]/Tablo1939[Q1]*$C$46+G11/Tablo1939[Q2]*$D$46+H11/Tablo1939[Q3]*$E$46+I11/Tablo1939[Q4]*$F$46+J11/Tablo1939[Q5]*$G$46+K11/Tablo1939[Q6]*$H$46+L11/Tablo1939[Q7]*$I$46</f>
        <v>0</v>
      </c>
      <c r="R11" s="65">
        <f t="shared" si="1"/>
        <v>66.666666666666657</v>
      </c>
      <c r="S11" s="43">
        <f>_xlfn.NORM.DIST(Tablo1738[[#This Row],[TOTAL GRADE]],$N$56,$O$56,FALSE)</f>
        <v>1.7680383242776862E-2</v>
      </c>
      <c r="AA11" s="36"/>
      <c r="AB11" s="36"/>
      <c r="AC11" s="36"/>
      <c r="AD11" s="36"/>
      <c r="AE11" s="73"/>
    </row>
    <row r="12" spans="2:33" x14ac:dyDescent="0.3">
      <c r="B12" s="49">
        <v>8</v>
      </c>
      <c r="C12" s="35">
        <v>11</v>
      </c>
      <c r="D12" s="46" t="s">
        <v>17</v>
      </c>
      <c r="E12" s="46" t="s">
        <v>16</v>
      </c>
      <c r="F12" s="3">
        <v>0</v>
      </c>
      <c r="G12" s="3">
        <v>5</v>
      </c>
      <c r="H12" s="3">
        <v>8</v>
      </c>
      <c r="I12" s="3">
        <v>9</v>
      </c>
      <c r="J12" s="3">
        <v>8</v>
      </c>
      <c r="K12" s="3">
        <v>9</v>
      </c>
      <c r="L12" s="3">
        <v>11</v>
      </c>
      <c r="M12" s="37">
        <f t="shared" si="0"/>
        <v>50</v>
      </c>
      <c r="N12" s="65" cm="1">
        <f t="array" ref="N12">Tablo1738[[#This Row],[Q1]]/Tablo1939[Q1]*$C$43+G12/Tablo1939[Q2]*$D$43+H12/Tablo1939[Q3]*$E$43+I12/Tablo1939[Q4]*$F$43+J12/Tablo1939[Q5]*$G$43+K12/Tablo1939[Q6]*$H$43+L12/Tablo1939[Q7]*$I$43</f>
        <v>40.333333333333329</v>
      </c>
      <c r="O12" s="65" cm="1">
        <f t="array" ref="O12">Tablo1738[[#This Row],[Q1]]/Tablo1939[Q1]*$C$44+G12/Tablo1939[Q2]*$D$44+H12/Tablo1939[Q3]*$E$44+I12/Tablo1939[Q4]*$F$44+J12/Tablo1939[Q5]*$G$44+K12/Tablo1939[Q6]*$H$44+L12/Tablo1939[Q7]*$I$44</f>
        <v>2</v>
      </c>
      <c r="P12" s="65" cm="1">
        <f t="array" ref="P12">Tablo1738[[#This Row],[Q1]]/Tablo1939[Q1]*$C$45+G12/Tablo1939[Q2]*$D$45+H12/Tablo1939[Q3]*$E$45+I12/Tablo1939[Q4]*$F$45+J12/Tablo1939[Q5]*$G$45+K12/Tablo1939[Q6]*$H$45+L12/Tablo1939[Q7]*$I$45</f>
        <v>21.5</v>
      </c>
      <c r="Q12" s="65" cm="1">
        <f t="array" ref="Q12">Tablo1738[[#This Row],[Q1]]/Tablo1939[Q1]*$C$46+G12/Tablo1939[Q2]*$D$46+H12/Tablo1939[Q3]*$E$46+I12/Tablo1939[Q4]*$F$46+J12/Tablo1939[Q5]*$G$46+K12/Tablo1939[Q6]*$H$46+L12/Tablo1939[Q7]*$I$46</f>
        <v>0</v>
      </c>
      <c r="R12" s="65">
        <f t="shared" si="1"/>
        <v>63.833333333333329</v>
      </c>
      <c r="S12" s="43">
        <f>_xlfn.NORM.DIST(Tablo1738[[#This Row],[TOTAL GRADE]],$N$56,$O$56,FALSE)</f>
        <v>1.7680383242776862E-2</v>
      </c>
      <c r="AA12" s="36"/>
      <c r="AB12" s="36"/>
      <c r="AC12" s="36"/>
      <c r="AD12" s="36"/>
      <c r="AE12" s="73"/>
    </row>
    <row r="13" spans="2:33" x14ac:dyDescent="0.3">
      <c r="B13" s="48">
        <v>9</v>
      </c>
      <c r="C13" s="35">
        <v>12</v>
      </c>
      <c r="D13" s="46" t="s">
        <v>17</v>
      </c>
      <c r="E13" s="46" t="s">
        <v>16</v>
      </c>
      <c r="F13" s="3">
        <v>1</v>
      </c>
      <c r="G13" s="3">
        <v>1</v>
      </c>
      <c r="H13" s="3">
        <v>9</v>
      </c>
      <c r="I13" s="3">
        <v>10</v>
      </c>
      <c r="J13" s="3">
        <v>6</v>
      </c>
      <c r="K13" s="3">
        <v>10</v>
      </c>
      <c r="L13" s="3">
        <v>11</v>
      </c>
      <c r="M13" s="37">
        <f t="shared" si="0"/>
        <v>48</v>
      </c>
      <c r="N13" s="65" cm="1">
        <f t="array" ref="N13">Tablo1738[[#This Row],[Q1]]/Tablo1939[Q1]*$C$43+G13/Tablo1939[Q2]*$D$43+H13/Tablo1939[Q3]*$E$43+I13/Tablo1939[Q4]*$F$43+J13/Tablo1939[Q5]*$G$43+K13/Tablo1939[Q6]*$H$43+L13/Tablo1939[Q7]*$I$43</f>
        <v>37.166666666666664</v>
      </c>
      <c r="O13" s="65" cm="1">
        <f t="array" ref="O13">Tablo1738[[#This Row],[Q1]]/Tablo1939[Q1]*$C$44+G13/Tablo1939[Q2]*$D$44+H13/Tablo1939[Q3]*$E$44+I13/Tablo1939[Q4]*$F$44+J13/Tablo1939[Q5]*$G$44+K13/Tablo1939[Q6]*$H$44+L13/Tablo1939[Q7]*$I$44</f>
        <v>2.25</v>
      </c>
      <c r="P13" s="65" cm="1">
        <f t="array" ref="P13">Tablo1738[[#This Row],[Q1]]/Tablo1939[Q1]*$C$45+G13/Tablo1939[Q2]*$D$45+H13/Tablo1939[Q3]*$E$45+I13/Tablo1939[Q4]*$F$45+J13/Tablo1939[Q5]*$G$45+K13/Tablo1939[Q6]*$H$45+L13/Tablo1939[Q7]*$I$45</f>
        <v>19.416666666666664</v>
      </c>
      <c r="Q13" s="65" cm="1">
        <f t="array" ref="Q13">Tablo1738[[#This Row],[Q1]]/Tablo1939[Q1]*$C$46+G13/Tablo1939[Q2]*$D$46+H13/Tablo1939[Q3]*$E$46+I13/Tablo1939[Q4]*$F$46+J13/Tablo1939[Q5]*$G$46+K13/Tablo1939[Q6]*$H$46+L13/Tablo1939[Q7]*$I$46</f>
        <v>2</v>
      </c>
      <c r="R13" s="65">
        <f t="shared" si="1"/>
        <v>60.833333333333329</v>
      </c>
      <c r="S13" s="43">
        <f>_xlfn.NORM.DIST(Tablo1738[[#This Row],[TOTAL GRADE]],$N$56,$O$56,FALSE)</f>
        <v>1.8905392662284057E-2</v>
      </c>
      <c r="AA13" s="36"/>
      <c r="AB13" s="36"/>
      <c r="AC13" s="36"/>
      <c r="AD13" s="36"/>
      <c r="AE13" s="73"/>
    </row>
    <row r="14" spans="2:33" x14ac:dyDescent="0.3">
      <c r="B14" s="49">
        <v>10</v>
      </c>
      <c r="C14" s="35">
        <v>13</v>
      </c>
      <c r="D14" s="46" t="s">
        <v>17</v>
      </c>
      <c r="E14" s="46" t="s">
        <v>16</v>
      </c>
      <c r="F14" s="3">
        <v>6</v>
      </c>
      <c r="G14" s="3">
        <v>2</v>
      </c>
      <c r="H14" s="3">
        <v>0</v>
      </c>
      <c r="I14" s="3">
        <v>16</v>
      </c>
      <c r="J14" s="3">
        <v>11</v>
      </c>
      <c r="K14" s="3">
        <v>4</v>
      </c>
      <c r="L14" s="3">
        <v>9</v>
      </c>
      <c r="M14" s="37">
        <f t="shared" si="0"/>
        <v>48</v>
      </c>
      <c r="N14" s="65" cm="1">
        <f t="array" ref="N14">Tablo1738[[#This Row],[Q1]]/Tablo1939[Q1]*$C$43+G14/Tablo1939[Q2]*$D$43+H14/Tablo1939[Q3]*$E$43+I14/Tablo1939[Q4]*$F$43+J14/Tablo1939[Q5]*$G$43+K14/Tablo1939[Q6]*$H$43+L14/Tablo1939[Q7]*$I$43</f>
        <v>37</v>
      </c>
      <c r="O14" s="65" cm="1">
        <f t="array" ref="O14">Tablo1738[[#This Row],[Q1]]/Tablo1939[Q1]*$C$44+G14/Tablo1939[Q2]*$D$44+H14/Tablo1939[Q3]*$E$44+I14/Tablo1939[Q4]*$F$44+J14/Tablo1939[Q5]*$G$44+K14/Tablo1939[Q6]*$H$44+L14/Tablo1939[Q7]*$I$44</f>
        <v>0</v>
      </c>
      <c r="P14" s="65" cm="1">
        <f t="array" ref="P14">Tablo1738[[#This Row],[Q1]]/Tablo1939[Q1]*$C$45+G14/Tablo1939[Q2]*$D$45+H14/Tablo1939[Q3]*$E$45+I14/Tablo1939[Q4]*$F$45+J14/Tablo1939[Q5]*$G$45+K14/Tablo1939[Q6]*$H$45+L14/Tablo1939[Q7]*$I$45</f>
        <v>12.666666666666666</v>
      </c>
      <c r="Q14" s="65" cm="1">
        <f t="array" ref="Q14">Tablo1738[[#This Row],[Q1]]/Tablo1939[Q1]*$C$46+G14/Tablo1939[Q2]*$D$46+H14/Tablo1939[Q3]*$E$46+I14/Tablo1939[Q4]*$F$46+J14/Tablo1939[Q5]*$G$46+K14/Tablo1939[Q6]*$H$46+L14/Tablo1939[Q7]*$I$46</f>
        <v>12</v>
      </c>
      <c r="R14" s="65">
        <f t="shared" si="1"/>
        <v>61.666666666666664</v>
      </c>
      <c r="S14" s="43">
        <f>_xlfn.NORM.DIST(Tablo1738[[#This Row],[TOTAL GRADE]],$N$56,$O$56,FALSE)</f>
        <v>1.8905392662284057E-2</v>
      </c>
      <c r="AA14" s="36"/>
      <c r="AB14" s="36"/>
      <c r="AC14" s="36"/>
      <c r="AD14" s="36"/>
      <c r="AE14" s="73"/>
    </row>
    <row r="15" spans="2:33" x14ac:dyDescent="0.3">
      <c r="B15" s="48">
        <v>11</v>
      </c>
      <c r="C15" s="35">
        <v>14</v>
      </c>
      <c r="D15" s="46" t="s">
        <v>17</v>
      </c>
      <c r="E15" s="46" t="s">
        <v>16</v>
      </c>
      <c r="F15" s="3">
        <v>3</v>
      </c>
      <c r="G15" s="3">
        <v>1</v>
      </c>
      <c r="H15" s="3">
        <v>1</v>
      </c>
      <c r="I15" s="3">
        <v>14</v>
      </c>
      <c r="J15" s="3">
        <v>9</v>
      </c>
      <c r="K15" s="3">
        <v>10</v>
      </c>
      <c r="L15" s="3">
        <v>9</v>
      </c>
      <c r="M15" s="37">
        <f t="shared" si="0"/>
        <v>47</v>
      </c>
      <c r="N15" s="65" cm="1">
        <f t="array" ref="N15">Tablo1738[[#This Row],[Q1]]/Tablo1939[Q1]*$C$43+G15/Tablo1939[Q2]*$D$43+H15/Tablo1939[Q3]*$E$43+I15/Tablo1939[Q4]*$F$43+J15/Tablo1939[Q5]*$G$43+K15/Tablo1939[Q6]*$H$43+L15/Tablo1939[Q7]*$I$43</f>
        <v>37.166666666666664</v>
      </c>
      <c r="O15" s="65" cm="1">
        <f t="array" ref="O15">Tablo1738[[#This Row],[Q1]]/Tablo1939[Q1]*$C$44+G15/Tablo1939[Q2]*$D$44+H15/Tablo1939[Q3]*$E$44+I15/Tablo1939[Q4]*$F$44+J15/Tablo1939[Q5]*$G$44+K15/Tablo1939[Q6]*$H$44+L15/Tablo1939[Q7]*$I$44</f>
        <v>0.25</v>
      </c>
      <c r="P15" s="65" cm="1">
        <f t="array" ref="P15">Tablo1738[[#This Row],[Q1]]/Tablo1939[Q1]*$C$45+G15/Tablo1939[Q2]*$D$45+H15/Tablo1939[Q3]*$E$45+I15/Tablo1939[Q4]*$F$45+J15/Tablo1939[Q5]*$G$45+K15/Tablo1939[Q6]*$H$45+L15/Tablo1939[Q7]*$I$45</f>
        <v>15.416666666666666</v>
      </c>
      <c r="Q15" s="65" cm="1">
        <f t="array" ref="Q15">Tablo1738[[#This Row],[Q1]]/Tablo1939[Q1]*$C$46+G15/Tablo1939[Q2]*$D$46+H15/Tablo1939[Q3]*$E$46+I15/Tablo1939[Q4]*$F$46+J15/Tablo1939[Q5]*$G$46+K15/Tablo1939[Q6]*$H$46+L15/Tablo1939[Q7]*$I$46</f>
        <v>6</v>
      </c>
      <c r="R15" s="65">
        <f t="shared" si="1"/>
        <v>58.833333333333329</v>
      </c>
      <c r="S15" s="43">
        <f>_xlfn.NORM.DIST(Tablo1738[[#This Row],[TOTAL GRADE]],$N$56,$O$56,FALSE)</f>
        <v>1.9460277639275211E-2</v>
      </c>
      <c r="AA15" s="36"/>
      <c r="AB15" s="36"/>
      <c r="AC15" s="36"/>
      <c r="AD15" s="36"/>
      <c r="AE15" s="73"/>
    </row>
    <row r="16" spans="2:33" x14ac:dyDescent="0.3">
      <c r="B16" s="49">
        <v>12</v>
      </c>
      <c r="C16" s="35">
        <v>15</v>
      </c>
      <c r="D16" s="46" t="s">
        <v>17</v>
      </c>
      <c r="E16" s="46" t="s">
        <v>16</v>
      </c>
      <c r="F16" s="3">
        <v>2</v>
      </c>
      <c r="G16" s="3">
        <v>1</v>
      </c>
      <c r="H16" s="3">
        <v>14</v>
      </c>
      <c r="I16" s="3">
        <v>12</v>
      </c>
      <c r="J16" s="3">
        <v>6</v>
      </c>
      <c r="K16" s="3">
        <v>5</v>
      </c>
      <c r="L16" s="3">
        <v>4</v>
      </c>
      <c r="M16" s="37">
        <f t="shared" si="0"/>
        <v>44</v>
      </c>
      <c r="N16" s="65" cm="1">
        <f t="array" ref="N16">Tablo1738[[#This Row],[Q1]]/Tablo1939[Q1]*$C$43+G16/Tablo1939[Q2]*$D$43+H16/Tablo1939[Q3]*$E$43+I16/Tablo1939[Q4]*$F$43+J16/Tablo1939[Q5]*$G$43+K16/Tablo1939[Q6]*$H$43+L16/Tablo1939[Q7]*$I$43</f>
        <v>31.333333333333332</v>
      </c>
      <c r="O16" s="65" cm="1">
        <f t="array" ref="O16">Tablo1738[[#This Row],[Q1]]/Tablo1939[Q1]*$C$44+G16/Tablo1939[Q2]*$D$44+H16/Tablo1939[Q3]*$E$44+I16/Tablo1939[Q4]*$F$44+J16/Tablo1939[Q5]*$G$44+K16/Tablo1939[Q6]*$H$44+L16/Tablo1939[Q7]*$I$44</f>
        <v>3.5</v>
      </c>
      <c r="P16" s="65" cm="1">
        <f t="array" ref="P16">Tablo1738[[#This Row],[Q1]]/Tablo1939[Q1]*$C$45+G16/Tablo1939[Q2]*$D$45+H16/Tablo1939[Q3]*$E$45+I16/Tablo1939[Q4]*$F$45+J16/Tablo1939[Q5]*$G$45+K16/Tablo1939[Q6]*$H$45+L16/Tablo1939[Q7]*$I$45</f>
        <v>20.833333333333332</v>
      </c>
      <c r="Q16" s="65" cm="1">
        <f t="array" ref="Q16">Tablo1738[[#This Row],[Q1]]/Tablo1939[Q1]*$C$46+G16/Tablo1939[Q2]*$D$46+H16/Tablo1939[Q3]*$E$46+I16/Tablo1939[Q4]*$F$46+J16/Tablo1939[Q5]*$G$46+K16/Tablo1939[Q6]*$H$46+L16/Tablo1939[Q7]*$I$46</f>
        <v>4</v>
      </c>
      <c r="R16" s="65">
        <f t="shared" si="1"/>
        <v>59.666666666666657</v>
      </c>
      <c r="S16" s="43">
        <f>_xlfn.NORM.DIST(Tablo1738[[#This Row],[TOTAL GRADE]],$N$56,$O$56,FALSE)</f>
        <v>2.0840315400294896E-2</v>
      </c>
      <c r="AA16" s="36"/>
      <c r="AB16" s="36"/>
      <c r="AC16" s="36"/>
      <c r="AD16" s="36"/>
      <c r="AE16" s="73"/>
    </row>
    <row r="17" spans="2:31" x14ac:dyDescent="0.3">
      <c r="B17" s="48">
        <v>13</v>
      </c>
      <c r="C17" s="35">
        <v>16</v>
      </c>
      <c r="D17" s="46" t="s">
        <v>17</v>
      </c>
      <c r="E17" s="46" t="s">
        <v>16</v>
      </c>
      <c r="F17" s="3">
        <v>0</v>
      </c>
      <c r="G17" s="3">
        <v>1</v>
      </c>
      <c r="H17" s="3">
        <v>14</v>
      </c>
      <c r="I17" s="3">
        <v>3</v>
      </c>
      <c r="J17" s="3">
        <v>5</v>
      </c>
      <c r="K17" s="3">
        <v>11</v>
      </c>
      <c r="L17" s="3">
        <v>9</v>
      </c>
      <c r="M17" s="37">
        <f t="shared" si="0"/>
        <v>43</v>
      </c>
      <c r="N17" s="65" cm="1">
        <f t="array" ref="N17">Tablo1738[[#This Row],[Q1]]/Tablo1939[Q1]*$C$43+G17/Tablo1939[Q2]*$D$43+H17/Tablo1939[Q3]*$E$43+I17/Tablo1939[Q4]*$F$43+J17/Tablo1939[Q5]*$G$43+K17/Tablo1939[Q6]*$H$43+L17/Tablo1939[Q7]*$I$43</f>
        <v>30.666666666666664</v>
      </c>
      <c r="O17" s="65" cm="1">
        <f t="array" ref="O17">Tablo1738[[#This Row],[Q1]]/Tablo1939[Q1]*$C$44+G17/Tablo1939[Q2]*$D$44+H17/Tablo1939[Q3]*$E$44+I17/Tablo1939[Q4]*$F$44+J17/Tablo1939[Q5]*$G$44+K17/Tablo1939[Q6]*$H$44+L17/Tablo1939[Q7]*$I$44</f>
        <v>3.5</v>
      </c>
      <c r="P17" s="65" cm="1">
        <f t="array" ref="P17">Tablo1738[[#This Row],[Q1]]/Tablo1939[Q1]*$C$45+G17/Tablo1939[Q2]*$D$45+H17/Tablo1939[Q3]*$E$45+I17/Tablo1939[Q4]*$F$45+J17/Tablo1939[Q5]*$G$45+K17/Tablo1939[Q6]*$H$45+L17/Tablo1939[Q7]*$I$45</f>
        <v>20.333333333333332</v>
      </c>
      <c r="Q17" s="65" cm="1">
        <f t="array" ref="Q17">Tablo1738[[#This Row],[Q1]]/Tablo1939[Q1]*$C$46+G17/Tablo1939[Q2]*$D$46+H17/Tablo1939[Q3]*$E$46+I17/Tablo1939[Q4]*$F$46+J17/Tablo1939[Q5]*$G$46+K17/Tablo1939[Q6]*$H$46+L17/Tablo1939[Q7]*$I$46</f>
        <v>0</v>
      </c>
      <c r="R17" s="65">
        <f t="shared" si="1"/>
        <v>54.5</v>
      </c>
      <c r="S17" s="43">
        <f>_xlfn.NORM.DIST(Tablo1738[[#This Row],[TOTAL GRADE]],$N$56,$O$56,FALSE)</f>
        <v>2.1192285407833772E-2</v>
      </c>
      <c r="AA17" s="36"/>
      <c r="AB17" s="36"/>
      <c r="AC17" s="36"/>
      <c r="AD17" s="36"/>
      <c r="AE17" s="73"/>
    </row>
    <row r="18" spans="2:31" x14ac:dyDescent="0.3">
      <c r="B18" s="49">
        <v>14</v>
      </c>
      <c r="C18" s="35">
        <v>17</v>
      </c>
      <c r="D18" s="46" t="s">
        <v>17</v>
      </c>
      <c r="E18" s="46" t="s">
        <v>16</v>
      </c>
      <c r="F18" s="3">
        <v>3</v>
      </c>
      <c r="G18" s="3">
        <v>4</v>
      </c>
      <c r="H18" s="3">
        <v>11</v>
      </c>
      <c r="I18" s="3">
        <v>10</v>
      </c>
      <c r="J18" s="3">
        <v>6</v>
      </c>
      <c r="K18" s="3">
        <v>2</v>
      </c>
      <c r="L18" s="3">
        <v>6</v>
      </c>
      <c r="M18" s="37">
        <f t="shared" si="0"/>
        <v>42</v>
      </c>
      <c r="N18" s="65" cm="1">
        <f t="array" ref="N18">Tablo1738[[#This Row],[Q1]]/Tablo1939[Q1]*$C$43+G18/Tablo1939[Q2]*$D$43+H18/Tablo1939[Q3]*$E$43+I18/Tablo1939[Q4]*$F$43+J18/Tablo1939[Q5]*$G$43+K18/Tablo1939[Q6]*$H$43+L18/Tablo1939[Q7]*$I$43</f>
        <v>30.833333333333332</v>
      </c>
      <c r="O18" s="65" cm="1">
        <f t="array" ref="O18">Tablo1738[[#This Row],[Q1]]/Tablo1939[Q1]*$C$44+G18/Tablo1939[Q2]*$D$44+H18/Tablo1939[Q3]*$E$44+I18/Tablo1939[Q4]*$F$44+J18/Tablo1939[Q5]*$G$44+K18/Tablo1939[Q6]*$H$44+L18/Tablo1939[Q7]*$I$44</f>
        <v>2.75</v>
      </c>
      <c r="P18" s="65" cm="1">
        <f t="array" ref="P18">Tablo1738[[#This Row],[Q1]]/Tablo1939[Q1]*$C$45+G18/Tablo1939[Q2]*$D$45+H18/Tablo1939[Q3]*$E$45+I18/Tablo1939[Q4]*$F$45+J18/Tablo1939[Q5]*$G$45+K18/Tablo1939[Q6]*$H$45+L18/Tablo1939[Q7]*$I$45</f>
        <v>18.583333333333332</v>
      </c>
      <c r="Q18" s="65" cm="1">
        <f t="array" ref="Q18">Tablo1738[[#This Row],[Q1]]/Tablo1939[Q1]*$C$46+G18/Tablo1939[Q2]*$D$46+H18/Tablo1939[Q3]*$E$46+I18/Tablo1939[Q4]*$F$46+J18/Tablo1939[Q5]*$G$46+K18/Tablo1939[Q6]*$H$46+L18/Tablo1939[Q7]*$I$46</f>
        <v>6</v>
      </c>
      <c r="R18" s="65">
        <f t="shared" si="1"/>
        <v>58.166666666666657</v>
      </c>
      <c r="S18" s="43">
        <f>_xlfn.NORM.DIST(Tablo1738[[#This Row],[TOTAL GRADE]],$N$56,$O$56,FALSE)</f>
        <v>2.1484677809694316E-2</v>
      </c>
      <c r="AA18" s="36"/>
      <c r="AB18" s="36"/>
      <c r="AC18" s="36"/>
      <c r="AD18" s="36"/>
      <c r="AE18" s="73"/>
    </row>
    <row r="19" spans="2:31" x14ac:dyDescent="0.3">
      <c r="B19" s="48">
        <v>15</v>
      </c>
      <c r="C19" s="35">
        <v>18</v>
      </c>
      <c r="D19" s="46" t="s">
        <v>17</v>
      </c>
      <c r="E19" s="46" t="s">
        <v>16</v>
      </c>
      <c r="F19" s="3">
        <v>0</v>
      </c>
      <c r="G19" s="3">
        <v>0</v>
      </c>
      <c r="H19" s="3">
        <v>7</v>
      </c>
      <c r="I19" s="3">
        <v>15</v>
      </c>
      <c r="J19" s="3">
        <v>6</v>
      </c>
      <c r="K19" s="3">
        <v>10</v>
      </c>
      <c r="L19" s="3">
        <v>4</v>
      </c>
      <c r="M19" s="37">
        <f t="shared" si="0"/>
        <v>42</v>
      </c>
      <c r="N19" s="65" cm="1">
        <f t="array" ref="N19">Tablo1738[[#This Row],[Q1]]/Tablo1939[Q1]*$C$43+G19/Tablo1939[Q2]*$D$43+H19/Tablo1939[Q3]*$E$43+I19/Tablo1939[Q4]*$F$43+J19/Tablo1939[Q5]*$G$43+K19/Tablo1939[Q6]*$H$43+L19/Tablo1939[Q7]*$I$43</f>
        <v>33.166666666666664</v>
      </c>
      <c r="O19" s="65" cm="1">
        <f t="array" ref="O19">Tablo1738[[#This Row],[Q1]]/Tablo1939[Q1]*$C$44+G19/Tablo1939[Q2]*$D$44+H19/Tablo1939[Q3]*$E$44+I19/Tablo1939[Q4]*$F$44+J19/Tablo1939[Q5]*$G$44+K19/Tablo1939[Q6]*$H$44+L19/Tablo1939[Q7]*$I$44</f>
        <v>1.75</v>
      </c>
      <c r="P19" s="65" cm="1">
        <f t="array" ref="P19">Tablo1738[[#This Row],[Q1]]/Tablo1939[Q1]*$C$45+G19/Tablo1939[Q2]*$D$45+H19/Tablo1939[Q3]*$E$45+I19/Tablo1939[Q4]*$F$45+J19/Tablo1939[Q5]*$G$45+K19/Tablo1939[Q6]*$H$45+L19/Tablo1939[Q7]*$I$45</f>
        <v>19.416666666666664</v>
      </c>
      <c r="Q19" s="65" cm="1">
        <f t="array" ref="Q19">Tablo1738[[#This Row],[Q1]]/Tablo1939[Q1]*$C$46+G19/Tablo1939[Q2]*$D$46+H19/Tablo1939[Q3]*$E$46+I19/Tablo1939[Q4]*$F$46+J19/Tablo1939[Q5]*$G$46+K19/Tablo1939[Q6]*$H$46+L19/Tablo1939[Q7]*$I$46</f>
        <v>0</v>
      </c>
      <c r="R19" s="65">
        <f t="shared" si="1"/>
        <v>54.333333333333329</v>
      </c>
      <c r="S19" s="43">
        <f>_xlfn.NORM.DIST(Tablo1738[[#This Row],[TOTAL GRADE]],$N$56,$O$56,FALSE)</f>
        <v>2.1484677809694316E-2</v>
      </c>
      <c r="AA19" s="36"/>
      <c r="AB19" s="36"/>
      <c r="AC19" s="36"/>
      <c r="AD19" s="36"/>
      <c r="AE19" s="73"/>
    </row>
    <row r="20" spans="2:31" x14ac:dyDescent="0.3">
      <c r="B20" s="49">
        <v>16</v>
      </c>
      <c r="C20" s="35">
        <v>19</v>
      </c>
      <c r="D20" s="46" t="s">
        <v>17</v>
      </c>
      <c r="E20" s="46" t="s">
        <v>16</v>
      </c>
      <c r="F20" s="3">
        <v>1</v>
      </c>
      <c r="G20" s="3">
        <v>3</v>
      </c>
      <c r="H20" s="3">
        <v>12</v>
      </c>
      <c r="I20" s="3">
        <v>10</v>
      </c>
      <c r="J20" s="3">
        <v>8</v>
      </c>
      <c r="K20" s="3">
        <v>5</v>
      </c>
      <c r="L20" s="3">
        <v>1</v>
      </c>
      <c r="M20" s="37">
        <f t="shared" si="0"/>
        <v>40</v>
      </c>
      <c r="N20" s="65" cm="1">
        <f t="array" ref="N20">Tablo1738[[#This Row],[Q1]]/Tablo1939[Q1]*$C$43+G20/Tablo1939[Q2]*$D$43+H20/Tablo1939[Q3]*$E$43+I20/Tablo1939[Q4]*$F$43+J20/Tablo1939[Q5]*$G$43+K20/Tablo1939[Q6]*$H$43+L20/Tablo1939[Q7]*$I$43</f>
        <v>28.666666666666664</v>
      </c>
      <c r="O20" s="65" cm="1">
        <f t="array" ref="O20">Tablo1738[[#This Row],[Q1]]/Tablo1939[Q1]*$C$44+G20/Tablo1939[Q2]*$D$44+H20/Tablo1939[Q3]*$E$44+I20/Tablo1939[Q4]*$F$44+J20/Tablo1939[Q5]*$G$44+K20/Tablo1939[Q6]*$H$44+L20/Tablo1939[Q7]*$I$44</f>
        <v>3</v>
      </c>
      <c r="P20" s="65" cm="1">
        <f t="array" ref="P20">Tablo1738[[#This Row],[Q1]]/Tablo1939[Q1]*$C$45+G20/Tablo1939[Q2]*$D$45+H20/Tablo1939[Q3]*$E$45+I20/Tablo1939[Q4]*$F$45+J20/Tablo1939[Q5]*$G$45+K20/Tablo1939[Q6]*$H$45+L20/Tablo1939[Q7]*$I$45</f>
        <v>20.333333333333332</v>
      </c>
      <c r="Q20" s="65" cm="1">
        <f t="array" ref="Q20">Tablo1738[[#This Row],[Q1]]/Tablo1939[Q1]*$C$46+G20/Tablo1939[Q2]*$D$46+H20/Tablo1939[Q3]*$E$46+I20/Tablo1939[Q4]*$F$46+J20/Tablo1939[Q5]*$G$46+K20/Tablo1939[Q6]*$H$46+L20/Tablo1939[Q7]*$I$46</f>
        <v>2</v>
      </c>
      <c r="R20" s="65">
        <f t="shared" si="1"/>
        <v>54</v>
      </c>
      <c r="S20" s="43">
        <f>_xlfn.NORM.DIST(Tablo1738[[#This Row],[TOTAL GRADE]],$N$56,$O$56,FALSE)</f>
        <v>2.1880819321820844E-2</v>
      </c>
      <c r="AA20" s="36"/>
      <c r="AB20" s="36"/>
      <c r="AC20" s="36"/>
      <c r="AD20" s="36"/>
      <c r="AE20" s="73"/>
    </row>
    <row r="21" spans="2:31" x14ac:dyDescent="0.3">
      <c r="B21" s="48">
        <v>17</v>
      </c>
      <c r="C21" s="35">
        <v>20</v>
      </c>
      <c r="D21" s="46" t="s">
        <v>17</v>
      </c>
      <c r="E21" s="46" t="s">
        <v>16</v>
      </c>
      <c r="F21" s="3">
        <v>1</v>
      </c>
      <c r="G21" s="3">
        <v>1</v>
      </c>
      <c r="H21" s="3">
        <v>11</v>
      </c>
      <c r="I21" s="3">
        <v>9</v>
      </c>
      <c r="J21" s="3">
        <v>3</v>
      </c>
      <c r="K21" s="3">
        <v>10</v>
      </c>
      <c r="L21" s="3">
        <v>5</v>
      </c>
      <c r="M21" s="37">
        <f t="shared" si="0"/>
        <v>40</v>
      </c>
      <c r="N21" s="65" cm="1">
        <f t="array" ref="N21">Tablo1738[[#This Row],[Q1]]/Tablo1939[Q1]*$C$43+G21/Tablo1939[Q2]*$D$43+H21/Tablo1939[Q3]*$E$43+I21/Tablo1939[Q4]*$F$43+J21/Tablo1939[Q5]*$G$43+K21/Tablo1939[Q6]*$H$43+L21/Tablo1939[Q7]*$I$43</f>
        <v>29.166666666666664</v>
      </c>
      <c r="O21" s="65" cm="1">
        <f t="array" ref="O21">Tablo1738[[#This Row],[Q1]]/Tablo1939[Q1]*$C$44+G21/Tablo1939[Q2]*$D$44+H21/Tablo1939[Q3]*$E$44+I21/Tablo1939[Q4]*$F$44+J21/Tablo1939[Q5]*$G$44+K21/Tablo1939[Q6]*$H$44+L21/Tablo1939[Q7]*$I$44</f>
        <v>2.75</v>
      </c>
      <c r="P21" s="65" cm="1">
        <f t="array" ref="P21">Tablo1738[[#This Row],[Q1]]/Tablo1939[Q1]*$C$45+G21/Tablo1939[Q2]*$D$45+H21/Tablo1939[Q3]*$E$45+I21/Tablo1939[Q4]*$F$45+J21/Tablo1939[Q5]*$G$45+K21/Tablo1939[Q6]*$H$45+L21/Tablo1939[Q7]*$I$45</f>
        <v>20.416666666666664</v>
      </c>
      <c r="Q21" s="65" cm="1">
        <f t="array" ref="Q21">Tablo1738[[#This Row],[Q1]]/Tablo1939[Q1]*$C$46+G21/Tablo1939[Q2]*$D$46+H21/Tablo1939[Q3]*$E$46+I21/Tablo1939[Q4]*$F$46+J21/Tablo1939[Q5]*$G$46+K21/Tablo1939[Q6]*$H$46+L21/Tablo1939[Q7]*$I$46</f>
        <v>2</v>
      </c>
      <c r="R21" s="65">
        <f t="shared" si="1"/>
        <v>54.333333333333329</v>
      </c>
      <c r="S21" s="43">
        <f>_xlfn.NORM.DIST(Tablo1738[[#This Row],[TOTAL GRADE]],$N$56,$O$56,FALSE)</f>
        <v>2.1880819321820844E-2</v>
      </c>
      <c r="AA21" s="36"/>
      <c r="AB21" s="36"/>
      <c r="AC21" s="36"/>
      <c r="AD21" s="36"/>
      <c r="AE21" s="73"/>
    </row>
    <row r="22" spans="2:31" x14ac:dyDescent="0.3">
      <c r="B22" s="49">
        <v>18</v>
      </c>
      <c r="C22" s="35">
        <v>21</v>
      </c>
      <c r="D22" s="46" t="s">
        <v>17</v>
      </c>
      <c r="E22" s="46" t="s">
        <v>16</v>
      </c>
      <c r="F22" s="3">
        <v>3</v>
      </c>
      <c r="G22" s="3">
        <v>1</v>
      </c>
      <c r="H22" s="3">
        <v>7</v>
      </c>
      <c r="I22" s="3">
        <v>9</v>
      </c>
      <c r="J22" s="3">
        <v>5</v>
      </c>
      <c r="K22" s="3">
        <v>0</v>
      </c>
      <c r="L22" s="3">
        <v>12</v>
      </c>
      <c r="M22" s="37">
        <f t="shared" si="0"/>
        <v>37</v>
      </c>
      <c r="N22" s="65" cm="1">
        <f t="array" ref="N22">Tablo1738[[#This Row],[Q1]]/Tablo1939[Q1]*$C$43+G22/Tablo1939[Q2]*$D$43+H22/Tablo1939[Q3]*$E$43+I22/Tablo1939[Q4]*$F$43+J22/Tablo1939[Q5]*$G$43+K22/Tablo1939[Q6]*$H$43+L22/Tablo1939[Q7]*$I$43</f>
        <v>28.833333333333332</v>
      </c>
      <c r="O22" s="65" cm="1">
        <f t="array" ref="O22">Tablo1738[[#This Row],[Q1]]/Tablo1939[Q1]*$C$44+G22/Tablo1939[Q2]*$D$44+H22/Tablo1939[Q3]*$E$44+I22/Tablo1939[Q4]*$F$44+J22/Tablo1939[Q5]*$G$44+K22/Tablo1939[Q6]*$H$44+L22/Tablo1939[Q7]*$I$44</f>
        <v>1.75</v>
      </c>
      <c r="P22" s="65" cm="1">
        <f t="array" ref="P22">Tablo1738[[#This Row],[Q1]]/Tablo1939[Q1]*$C$45+G22/Tablo1939[Q2]*$D$45+H22/Tablo1939[Q3]*$E$45+I22/Tablo1939[Q4]*$F$45+J22/Tablo1939[Q5]*$G$45+K22/Tablo1939[Q6]*$H$45+L22/Tablo1939[Q7]*$I$45</f>
        <v>10.75</v>
      </c>
      <c r="Q22" s="65" cm="1">
        <f t="array" ref="Q22">Tablo1738[[#This Row],[Q1]]/Tablo1939[Q1]*$C$46+G22/Tablo1939[Q2]*$D$46+H22/Tablo1939[Q3]*$E$46+I22/Tablo1939[Q4]*$F$46+J22/Tablo1939[Q5]*$G$46+K22/Tablo1939[Q6]*$H$46+L22/Tablo1939[Q7]*$I$46</f>
        <v>6</v>
      </c>
      <c r="R22" s="65">
        <f t="shared" si="1"/>
        <v>47.333333333333329</v>
      </c>
      <c r="S22" s="43">
        <f>_xlfn.NORM.DIST(Tablo1738[[#This Row],[TOTAL GRADE]],$N$56,$O$56,FALSE)</f>
        <v>2.1980990760215053E-2</v>
      </c>
      <c r="AA22" s="36"/>
      <c r="AB22" s="36"/>
      <c r="AC22" s="36"/>
      <c r="AD22" s="36"/>
      <c r="AE22" s="73"/>
    </row>
    <row r="23" spans="2:31" x14ac:dyDescent="0.3">
      <c r="B23" s="48">
        <v>19</v>
      </c>
      <c r="C23" s="35">
        <v>22</v>
      </c>
      <c r="D23" s="5" t="s">
        <v>17</v>
      </c>
      <c r="E23" s="46" t="s">
        <v>16</v>
      </c>
      <c r="F23" s="3">
        <v>0</v>
      </c>
      <c r="G23" s="3">
        <v>2</v>
      </c>
      <c r="H23" s="3">
        <v>14</v>
      </c>
      <c r="I23" s="3">
        <v>9</v>
      </c>
      <c r="J23" s="3">
        <v>6</v>
      </c>
      <c r="K23" s="3">
        <v>0</v>
      </c>
      <c r="L23" s="3">
        <v>5</v>
      </c>
      <c r="M23" s="37">
        <f t="shared" si="0"/>
        <v>36</v>
      </c>
      <c r="N23" s="65" cm="1">
        <f t="array" ref="N23">Tablo1738[[#This Row],[Q1]]/Tablo1939[Q1]*$C$43+G23/Tablo1939[Q2]*$D$43+H23/Tablo1939[Q3]*$E$43+I23/Tablo1939[Q4]*$F$43+J23/Tablo1939[Q5]*$G$43+K23/Tablo1939[Q6]*$H$43+L23/Tablo1939[Q7]*$I$43</f>
        <v>27</v>
      </c>
      <c r="O23" s="65" cm="1">
        <f t="array" ref="O23">Tablo1738[[#This Row],[Q1]]/Tablo1939[Q1]*$C$44+G23/Tablo1939[Q2]*$D$44+H23/Tablo1939[Q3]*$E$44+I23/Tablo1939[Q4]*$F$44+J23/Tablo1939[Q5]*$G$44+K23/Tablo1939[Q6]*$H$44+L23/Tablo1939[Q7]*$I$44</f>
        <v>3.5</v>
      </c>
      <c r="P23" s="65" cm="1">
        <f t="array" ref="P23">Tablo1738[[#This Row],[Q1]]/Tablo1939[Q1]*$C$45+G23/Tablo1939[Q2]*$D$45+H23/Tablo1939[Q3]*$E$45+I23/Tablo1939[Q4]*$F$45+J23/Tablo1939[Q5]*$G$45+K23/Tablo1939[Q6]*$H$45+L23/Tablo1939[Q7]*$I$45</f>
        <v>17</v>
      </c>
      <c r="Q23" s="65" cm="1">
        <f t="array" ref="Q23">Tablo1738[[#This Row],[Q1]]/Tablo1939[Q1]*$C$46+G23/Tablo1939[Q2]*$D$46+H23/Tablo1939[Q3]*$E$46+I23/Tablo1939[Q4]*$F$46+J23/Tablo1939[Q5]*$G$46+K23/Tablo1939[Q6]*$H$46+L23/Tablo1939[Q7]*$I$46</f>
        <v>0</v>
      </c>
      <c r="R23" s="65">
        <f t="shared" si="1"/>
        <v>47.5</v>
      </c>
      <c r="S23" s="43">
        <f>_xlfn.NORM.DIST(Tablo1738[[#This Row],[TOTAL GRADE]],$N$56,$O$56,FALSE)</f>
        <v>2.1880819321820844E-2</v>
      </c>
      <c r="AA23" s="36"/>
      <c r="AB23" s="36"/>
      <c r="AC23" s="36"/>
      <c r="AD23" s="36"/>
      <c r="AE23" s="73"/>
    </row>
    <row r="24" spans="2:31" x14ac:dyDescent="0.3">
      <c r="B24" s="49">
        <v>20</v>
      </c>
      <c r="C24" s="35">
        <v>23</v>
      </c>
      <c r="D24" s="46" t="s">
        <v>17</v>
      </c>
      <c r="E24" s="46" t="s">
        <v>16</v>
      </c>
      <c r="F24" s="3">
        <v>5</v>
      </c>
      <c r="G24" s="3">
        <v>2</v>
      </c>
      <c r="H24" s="3">
        <v>7</v>
      </c>
      <c r="I24" s="3">
        <v>12</v>
      </c>
      <c r="J24" s="3">
        <v>6</v>
      </c>
      <c r="K24" s="3">
        <v>3</v>
      </c>
      <c r="L24" s="3">
        <v>1</v>
      </c>
      <c r="M24" s="37">
        <f t="shared" si="0"/>
        <v>36</v>
      </c>
      <c r="N24" s="65" cm="1">
        <f t="array" ref="N24">Tablo1738[[#This Row],[Q1]]/Tablo1939[Q1]*$C$43+G24/Tablo1939[Q2]*$D$43+H24/Tablo1939[Q3]*$E$43+I24/Tablo1939[Q4]*$F$43+J24/Tablo1939[Q5]*$G$43+K24/Tablo1939[Q6]*$H$43+L24/Tablo1939[Q7]*$I$43</f>
        <v>24.5</v>
      </c>
      <c r="O24" s="65" cm="1">
        <f t="array" ref="O24">Tablo1738[[#This Row],[Q1]]/Tablo1939[Q1]*$C$44+G24/Tablo1939[Q2]*$D$44+H24/Tablo1939[Q3]*$E$44+I24/Tablo1939[Q4]*$F$44+J24/Tablo1939[Q5]*$G$44+K24/Tablo1939[Q6]*$H$44+L24/Tablo1939[Q7]*$I$44</f>
        <v>1.75</v>
      </c>
      <c r="P24" s="65" cm="1">
        <f t="array" ref="P24">Tablo1738[[#This Row],[Q1]]/Tablo1939[Q1]*$C$45+G24/Tablo1939[Q2]*$D$45+H24/Tablo1939[Q3]*$E$45+I24/Tablo1939[Q4]*$F$45+J24/Tablo1939[Q5]*$G$45+K24/Tablo1939[Q6]*$H$45+L24/Tablo1939[Q7]*$I$45</f>
        <v>15.25</v>
      </c>
      <c r="Q24" s="65" cm="1">
        <f t="array" ref="Q24">Tablo1738[[#This Row],[Q1]]/Tablo1939[Q1]*$C$46+G24/Tablo1939[Q2]*$D$46+H24/Tablo1939[Q3]*$E$46+I24/Tablo1939[Q4]*$F$46+J24/Tablo1939[Q5]*$G$46+K24/Tablo1939[Q6]*$H$46+L24/Tablo1939[Q7]*$I$46</f>
        <v>10</v>
      </c>
      <c r="R24" s="65">
        <f t="shared" si="1"/>
        <v>51.5</v>
      </c>
      <c r="S24" s="43">
        <f>_xlfn.NORM.DIST(Tablo1738[[#This Row],[TOTAL GRADE]],$N$56,$O$56,FALSE)</f>
        <v>2.1880819321820844E-2</v>
      </c>
      <c r="AA24" s="36"/>
      <c r="AB24" s="36"/>
      <c r="AC24" s="36"/>
      <c r="AD24" s="36"/>
      <c r="AE24" s="73"/>
    </row>
    <row r="25" spans="2:31" x14ac:dyDescent="0.3">
      <c r="B25" s="48">
        <v>21</v>
      </c>
      <c r="C25" s="35">
        <v>24</v>
      </c>
      <c r="D25" s="46" t="s">
        <v>17</v>
      </c>
      <c r="E25" s="46" t="s">
        <v>16</v>
      </c>
      <c r="F25" s="3">
        <v>8</v>
      </c>
      <c r="G25" s="3">
        <v>1</v>
      </c>
      <c r="H25" s="3">
        <v>10</v>
      </c>
      <c r="I25" s="3">
        <v>2</v>
      </c>
      <c r="J25" s="3">
        <v>2</v>
      </c>
      <c r="K25" s="3">
        <v>5</v>
      </c>
      <c r="L25" s="3">
        <v>7</v>
      </c>
      <c r="M25" s="37">
        <f t="shared" si="0"/>
        <v>35</v>
      </c>
      <c r="N25" s="65" cm="1">
        <f t="array" ref="N25">Tablo1738[[#This Row],[Q1]]/Tablo1939[Q1]*$C$43+G25/Tablo1939[Q2]*$D$43+H25/Tablo1939[Q3]*$E$43+I25/Tablo1939[Q4]*$F$43+J25/Tablo1939[Q5]*$G$43+K25/Tablo1939[Q6]*$H$43+L25/Tablo1939[Q7]*$I$43</f>
        <v>19.666666666666668</v>
      </c>
      <c r="O25" s="65" cm="1">
        <f t="array" ref="O25">Tablo1738[[#This Row],[Q1]]/Tablo1939[Q1]*$C$44+G25/Tablo1939[Q2]*$D$44+H25/Tablo1939[Q3]*$E$44+I25/Tablo1939[Q4]*$F$44+J25/Tablo1939[Q5]*$G$44+K25/Tablo1939[Q6]*$H$44+L25/Tablo1939[Q7]*$I$44</f>
        <v>2.5</v>
      </c>
      <c r="P25" s="65" cm="1">
        <f t="array" ref="P25">Tablo1738[[#This Row],[Q1]]/Tablo1939[Q1]*$C$45+G25/Tablo1939[Q2]*$D$45+H25/Tablo1939[Q3]*$E$45+I25/Tablo1939[Q4]*$F$45+J25/Tablo1939[Q5]*$G$45+K25/Tablo1939[Q6]*$H$45+L25/Tablo1939[Q7]*$I$45</f>
        <v>12.833333333333332</v>
      </c>
      <c r="Q25" s="65" cm="1">
        <f t="array" ref="Q25">Tablo1738[[#This Row],[Q1]]/Tablo1939[Q1]*$C$46+G25/Tablo1939[Q2]*$D$46+H25/Tablo1939[Q3]*$E$46+I25/Tablo1939[Q4]*$F$46+J25/Tablo1939[Q5]*$G$46+K25/Tablo1939[Q6]*$H$46+L25/Tablo1939[Q7]*$I$46</f>
        <v>16</v>
      </c>
      <c r="R25" s="65">
        <f t="shared" si="1"/>
        <v>51</v>
      </c>
      <c r="S25" s="43">
        <f>_xlfn.NORM.DIST(Tablo1738[[#This Row],[TOTAL GRADE]],$N$56,$O$56,FALSE)</f>
        <v>2.1714880340688841E-2</v>
      </c>
      <c r="AA25" s="36"/>
      <c r="AB25" s="36"/>
      <c r="AC25" s="36"/>
      <c r="AD25" s="36"/>
      <c r="AE25" s="73"/>
    </row>
    <row r="26" spans="2:31" x14ac:dyDescent="0.3">
      <c r="B26" s="49">
        <v>22</v>
      </c>
      <c r="C26" s="35">
        <v>25</v>
      </c>
      <c r="D26" s="46" t="s">
        <v>17</v>
      </c>
      <c r="E26" s="46" t="s">
        <v>16</v>
      </c>
      <c r="F26" s="3">
        <v>0</v>
      </c>
      <c r="G26" s="3">
        <v>2</v>
      </c>
      <c r="H26" s="3">
        <v>7</v>
      </c>
      <c r="I26" s="3">
        <v>8</v>
      </c>
      <c r="J26" s="3">
        <v>8</v>
      </c>
      <c r="K26" s="3">
        <v>3</v>
      </c>
      <c r="L26" s="3">
        <v>0</v>
      </c>
      <c r="M26" s="37">
        <f t="shared" si="0"/>
        <v>28</v>
      </c>
      <c r="N26" s="65" cm="1">
        <f t="array" ref="N26">Tablo1738[[#This Row],[Q1]]/Tablo1939[Q1]*$C$43+G26/Tablo1939[Q2]*$D$43+H26/Tablo1939[Q3]*$E$43+I26/Tablo1939[Q4]*$F$43+J26/Tablo1939[Q5]*$G$43+K26/Tablo1939[Q6]*$H$43+L26/Tablo1939[Q7]*$I$43</f>
        <v>20.833333333333332</v>
      </c>
      <c r="O26" s="65" cm="1">
        <f t="array" ref="O26">Tablo1738[[#This Row],[Q1]]/Tablo1939[Q1]*$C$44+G26/Tablo1939[Q2]*$D$44+H26/Tablo1939[Q3]*$E$44+I26/Tablo1939[Q4]*$F$44+J26/Tablo1939[Q5]*$G$44+K26/Tablo1939[Q6]*$H$44+L26/Tablo1939[Q7]*$I$44</f>
        <v>1.75</v>
      </c>
      <c r="P26" s="65" cm="1">
        <f t="array" ref="P26">Tablo1738[[#This Row],[Q1]]/Tablo1939[Q1]*$C$45+G26/Tablo1939[Q2]*$D$45+H26/Tablo1939[Q3]*$E$45+I26/Tablo1939[Q4]*$F$45+J26/Tablo1939[Q5]*$G$45+K26/Tablo1939[Q6]*$H$45+L26/Tablo1939[Q7]*$I$45</f>
        <v>13.25</v>
      </c>
      <c r="Q26" s="65" cm="1">
        <f t="array" ref="Q26">Tablo1738[[#This Row],[Q1]]/Tablo1939[Q1]*$C$46+G26/Tablo1939[Q2]*$D$46+H26/Tablo1939[Q3]*$E$46+I26/Tablo1939[Q4]*$F$46+J26/Tablo1939[Q5]*$G$46+K26/Tablo1939[Q6]*$H$46+L26/Tablo1939[Q7]*$I$46</f>
        <v>0</v>
      </c>
      <c r="R26" s="65">
        <f t="shared" si="1"/>
        <v>35.833333333333329</v>
      </c>
      <c r="S26" s="43">
        <f>_xlfn.NORM.DIST(Tablo1738[[#This Row],[TOTAL GRADE]],$N$56,$O$56,FALSE)</f>
        <v>1.8905392662284057E-2</v>
      </c>
      <c r="AA26" s="36"/>
      <c r="AB26" s="36"/>
      <c r="AC26" s="36"/>
      <c r="AD26" s="36"/>
      <c r="AE26" s="73"/>
    </row>
    <row r="27" spans="2:31" x14ac:dyDescent="0.3">
      <c r="B27" s="48">
        <v>23</v>
      </c>
      <c r="C27" s="35">
        <v>26</v>
      </c>
      <c r="D27" s="5" t="s">
        <v>17</v>
      </c>
      <c r="E27" s="46" t="s">
        <v>16</v>
      </c>
      <c r="F27" s="3">
        <v>0</v>
      </c>
      <c r="G27" s="3">
        <v>2</v>
      </c>
      <c r="H27" s="3">
        <v>8</v>
      </c>
      <c r="I27" s="3">
        <v>5</v>
      </c>
      <c r="J27" s="3">
        <v>5</v>
      </c>
      <c r="K27" s="3">
        <v>3</v>
      </c>
      <c r="L27" s="3">
        <v>2</v>
      </c>
      <c r="M27" s="37">
        <f t="shared" si="0"/>
        <v>25</v>
      </c>
      <c r="N27" s="65" cm="1">
        <f t="array" ref="N27">Tablo1738[[#This Row],[Q1]]/Tablo1939[Q1]*$C$43+G27/Tablo1939[Q2]*$D$43+H27/Tablo1939[Q3]*$E$43+I27/Tablo1939[Q4]*$F$43+J27/Tablo1939[Q5]*$G$43+K27/Tablo1939[Q6]*$H$43+L27/Tablo1939[Q7]*$I$43</f>
        <v>18.333333333333332</v>
      </c>
      <c r="O27" s="65" cm="1">
        <f t="array" ref="O27">Tablo1738[[#This Row],[Q1]]/Tablo1939[Q1]*$C$44+G27/Tablo1939[Q2]*$D$44+H27/Tablo1939[Q3]*$E$44+I27/Tablo1939[Q4]*$F$44+J27/Tablo1939[Q5]*$G$44+K27/Tablo1939[Q6]*$H$44+L27/Tablo1939[Q7]*$I$44</f>
        <v>2</v>
      </c>
      <c r="P27" s="65" cm="1">
        <f t="array" ref="P27">Tablo1738[[#This Row],[Q1]]/Tablo1939[Q1]*$C$45+G27/Tablo1939[Q2]*$D$45+H27/Tablo1939[Q3]*$E$45+I27/Tablo1939[Q4]*$F$45+J27/Tablo1939[Q5]*$G$45+K27/Tablo1939[Q6]*$H$45+L27/Tablo1939[Q7]*$I$45</f>
        <v>12.5</v>
      </c>
      <c r="Q27" s="65" cm="1">
        <f t="array" ref="Q27">Tablo1738[[#This Row],[Q1]]/Tablo1939[Q1]*$C$46+G27/Tablo1939[Q2]*$D$46+H27/Tablo1939[Q3]*$E$46+I27/Tablo1939[Q4]*$F$46+J27/Tablo1939[Q5]*$G$46+K27/Tablo1939[Q6]*$H$46+L27/Tablo1939[Q7]*$I$46</f>
        <v>0</v>
      </c>
      <c r="R27" s="65">
        <f t="shared" si="1"/>
        <v>32.833333333333329</v>
      </c>
      <c r="S27" s="43">
        <f>_xlfn.NORM.DIST(Tablo1738[[#This Row],[TOTAL GRADE]],$N$56,$O$56,FALSE)</f>
        <v>1.7020055707633003E-2</v>
      </c>
      <c r="AA27" s="36"/>
      <c r="AB27" s="36"/>
      <c r="AC27" s="36"/>
      <c r="AD27" s="36"/>
      <c r="AE27" s="73"/>
    </row>
    <row r="28" spans="2:31" x14ac:dyDescent="0.3">
      <c r="B28" s="49">
        <v>24</v>
      </c>
      <c r="C28" s="35">
        <v>27</v>
      </c>
      <c r="D28" s="46" t="s">
        <v>17</v>
      </c>
      <c r="E28" s="46" t="s">
        <v>16</v>
      </c>
      <c r="F28" s="3">
        <v>0</v>
      </c>
      <c r="G28" s="3">
        <v>0</v>
      </c>
      <c r="H28" s="3">
        <v>6</v>
      </c>
      <c r="I28" s="3">
        <v>6</v>
      </c>
      <c r="J28" s="3">
        <v>2</v>
      </c>
      <c r="K28" s="3">
        <v>5</v>
      </c>
      <c r="L28" s="3">
        <v>5</v>
      </c>
      <c r="M28" s="37">
        <f t="shared" si="0"/>
        <v>24</v>
      </c>
      <c r="N28" s="65" cm="1">
        <f t="array" ref="N28">Tablo1738[[#This Row],[Q1]]/Tablo1939[Q1]*$C$43+G28/Tablo1939[Q2]*$D$43+H28/Tablo1939[Q3]*$E$43+I28/Tablo1939[Q4]*$F$43+J28/Tablo1939[Q5]*$G$43+K28/Tablo1939[Q6]*$H$43+L28/Tablo1939[Q7]*$I$43</f>
        <v>18.666666666666668</v>
      </c>
      <c r="O28" s="65" cm="1">
        <f t="array" ref="O28">Tablo1738[[#This Row],[Q1]]/Tablo1939[Q1]*$C$44+G28/Tablo1939[Q2]*$D$44+H28/Tablo1939[Q3]*$E$44+I28/Tablo1939[Q4]*$F$44+J28/Tablo1939[Q5]*$G$44+K28/Tablo1939[Q6]*$H$44+L28/Tablo1939[Q7]*$I$44</f>
        <v>1.5</v>
      </c>
      <c r="P28" s="65" cm="1">
        <f t="array" ref="P28">Tablo1738[[#This Row],[Q1]]/Tablo1939[Q1]*$C$45+G28/Tablo1939[Q2]*$D$45+H28/Tablo1939[Q3]*$E$45+I28/Tablo1939[Q4]*$F$45+J28/Tablo1939[Q5]*$G$45+K28/Tablo1939[Q6]*$H$45+L28/Tablo1939[Q7]*$I$45</f>
        <v>10.833333333333332</v>
      </c>
      <c r="Q28" s="65" cm="1">
        <f t="array" ref="Q28">Tablo1738[[#This Row],[Q1]]/Tablo1939[Q1]*$C$46+G28/Tablo1939[Q2]*$D$46+H28/Tablo1939[Q3]*$E$46+I28/Tablo1939[Q4]*$F$46+J28/Tablo1939[Q5]*$G$46+K28/Tablo1939[Q6]*$H$46+L28/Tablo1939[Q7]*$I$46</f>
        <v>0</v>
      </c>
      <c r="R28" s="65">
        <f t="shared" si="1"/>
        <v>31</v>
      </c>
      <c r="S28" s="43">
        <f>_xlfn.NORM.DIST(Tablo1738[[#This Row],[TOTAL GRADE]],$N$56,$O$56,FALSE)</f>
        <v>1.6334574426045821E-2</v>
      </c>
      <c r="AA28" s="36"/>
      <c r="AB28" s="36"/>
      <c r="AC28" s="36"/>
      <c r="AD28" s="36"/>
      <c r="AE28" s="73"/>
    </row>
    <row r="29" spans="2:31" x14ac:dyDescent="0.3">
      <c r="B29" s="48">
        <v>25</v>
      </c>
      <c r="C29" s="35">
        <v>28</v>
      </c>
      <c r="D29" s="46" t="s">
        <v>17</v>
      </c>
      <c r="E29" s="46" t="s">
        <v>16</v>
      </c>
      <c r="F29" s="3">
        <v>1</v>
      </c>
      <c r="G29" s="3">
        <v>1</v>
      </c>
      <c r="H29" s="3">
        <v>7</v>
      </c>
      <c r="I29" s="3">
        <v>5</v>
      </c>
      <c r="J29" s="3">
        <v>6</v>
      </c>
      <c r="K29" s="3">
        <v>0</v>
      </c>
      <c r="L29" s="3">
        <v>2</v>
      </c>
      <c r="M29" s="37">
        <f t="shared" si="0"/>
        <v>22</v>
      </c>
      <c r="N29" s="65" cm="1">
        <f t="array" ref="N29">Tablo1738[[#This Row],[Q1]]/Tablo1939[Q1]*$C$43+G29/Tablo1939[Q2]*$D$43+H29/Tablo1939[Q3]*$E$43+I29/Tablo1939[Q4]*$F$43+J29/Tablo1939[Q5]*$G$43+K29/Tablo1939[Q6]*$H$43+L29/Tablo1939[Q7]*$I$43</f>
        <v>15.5</v>
      </c>
      <c r="O29" s="65" cm="1">
        <f t="array" ref="O29">Tablo1738[[#This Row],[Q1]]/Tablo1939[Q1]*$C$44+G29/Tablo1939[Q2]*$D$44+H29/Tablo1939[Q3]*$E$44+I29/Tablo1939[Q4]*$F$44+J29/Tablo1939[Q5]*$G$44+K29/Tablo1939[Q6]*$H$44+L29/Tablo1939[Q7]*$I$44</f>
        <v>1.75</v>
      </c>
      <c r="P29" s="65" cm="1">
        <f t="array" ref="P29">Tablo1738[[#This Row],[Q1]]/Tablo1939[Q1]*$C$45+G29/Tablo1939[Q2]*$D$45+H29/Tablo1939[Q3]*$E$45+I29/Tablo1939[Q4]*$F$45+J29/Tablo1939[Q5]*$G$45+K29/Tablo1939[Q6]*$H$45+L29/Tablo1939[Q7]*$I$45</f>
        <v>8.75</v>
      </c>
      <c r="Q29" s="65" cm="1">
        <f t="array" ref="Q29">Tablo1738[[#This Row],[Q1]]/Tablo1939[Q1]*$C$46+G29/Tablo1939[Q2]*$D$46+H29/Tablo1939[Q3]*$E$46+I29/Tablo1939[Q4]*$F$46+J29/Tablo1939[Q5]*$G$46+K29/Tablo1939[Q6]*$H$46+L29/Tablo1939[Q7]*$I$46</f>
        <v>2</v>
      </c>
      <c r="R29" s="65">
        <f t="shared" si="1"/>
        <v>28</v>
      </c>
      <c r="S29" s="43">
        <f>_xlfn.NORM.DIST(Tablo1738[[#This Row],[TOTAL GRADE]],$N$56,$O$56,FALSE)</f>
        <v>1.4908506887514609E-2</v>
      </c>
      <c r="AA29" s="36"/>
      <c r="AB29" s="36"/>
      <c r="AC29" s="36"/>
      <c r="AD29" s="36"/>
      <c r="AE29" s="73"/>
    </row>
    <row r="30" spans="2:31" x14ac:dyDescent="0.3">
      <c r="B30" s="49">
        <v>26</v>
      </c>
      <c r="C30" s="35">
        <v>29</v>
      </c>
      <c r="D30" s="46" t="s">
        <v>17</v>
      </c>
      <c r="E30" s="46" t="s">
        <v>16</v>
      </c>
      <c r="F30" s="3">
        <v>0</v>
      </c>
      <c r="G30" s="3">
        <v>0</v>
      </c>
      <c r="H30" s="3">
        <v>5</v>
      </c>
      <c r="I30" s="3">
        <v>0</v>
      </c>
      <c r="J30" s="3">
        <v>6</v>
      </c>
      <c r="K30" s="3">
        <v>5</v>
      </c>
      <c r="L30" s="3">
        <v>5</v>
      </c>
      <c r="M30" s="37">
        <f t="shared" si="0"/>
        <v>21</v>
      </c>
      <c r="N30" s="65" cm="1">
        <f t="array" ref="N30">Tablo1738[[#This Row],[Q1]]/Tablo1939[Q1]*$C$43+G30/Tablo1939[Q2]*$D$43+H30/Tablo1939[Q3]*$E$43+I30/Tablo1939[Q4]*$F$43+J30/Tablo1939[Q5]*$G$43+K30/Tablo1939[Q6]*$H$43+L30/Tablo1939[Q7]*$I$43</f>
        <v>14.833333333333332</v>
      </c>
      <c r="O30" s="65" cm="1">
        <f t="array" ref="O30">Tablo1738[[#This Row],[Q1]]/Tablo1939[Q1]*$C$44+G30/Tablo1939[Q2]*$D$44+H30/Tablo1939[Q3]*$E$44+I30/Tablo1939[Q4]*$F$44+J30/Tablo1939[Q5]*$G$44+K30/Tablo1939[Q6]*$H$44+L30/Tablo1939[Q7]*$I$44</f>
        <v>1.25</v>
      </c>
      <c r="P30" s="65" cm="1">
        <f t="array" ref="P30">Tablo1738[[#This Row],[Q1]]/Tablo1939[Q1]*$C$45+G30/Tablo1939[Q2]*$D$45+H30/Tablo1939[Q3]*$E$45+I30/Tablo1939[Q4]*$F$45+J30/Tablo1939[Q5]*$G$45+K30/Tablo1939[Q6]*$H$45+L30/Tablo1939[Q7]*$I$45</f>
        <v>7.083333333333333</v>
      </c>
      <c r="Q30" s="65" cm="1">
        <f t="array" ref="Q30">Tablo1738[[#This Row],[Q1]]/Tablo1939[Q1]*$C$46+G30/Tablo1939[Q2]*$D$46+H30/Tablo1939[Q3]*$E$46+I30/Tablo1939[Q4]*$F$46+J30/Tablo1939[Q5]*$G$46+K30/Tablo1939[Q6]*$H$46+L30/Tablo1939[Q7]*$I$46</f>
        <v>0</v>
      </c>
      <c r="R30" s="65">
        <f t="shared" si="1"/>
        <v>23.166666666666664</v>
      </c>
      <c r="S30" s="43">
        <f>_xlfn.NORM.DIST(Tablo1738[[#This Row],[TOTAL GRADE]],$N$56,$O$56,FALSE)</f>
        <v>1.4177956179946404E-2</v>
      </c>
      <c r="AA30" s="36"/>
      <c r="AB30" s="36"/>
      <c r="AC30" s="36"/>
      <c r="AD30" s="36"/>
      <c r="AE30" s="73"/>
    </row>
    <row r="31" spans="2:31" x14ac:dyDescent="0.3">
      <c r="B31" s="48">
        <v>27</v>
      </c>
      <c r="C31" s="35">
        <v>30</v>
      </c>
      <c r="D31" s="46" t="s">
        <v>17</v>
      </c>
      <c r="E31" s="46" t="s">
        <v>16</v>
      </c>
      <c r="F31" s="3">
        <v>2</v>
      </c>
      <c r="G31" s="3">
        <v>1</v>
      </c>
      <c r="H31" s="3">
        <v>0</v>
      </c>
      <c r="I31" s="3">
        <v>4</v>
      </c>
      <c r="J31" s="3">
        <v>3</v>
      </c>
      <c r="K31" s="3">
        <v>1</v>
      </c>
      <c r="L31" s="3">
        <v>6</v>
      </c>
      <c r="M31" s="37">
        <f t="shared" si="0"/>
        <v>17</v>
      </c>
      <c r="N31" s="65" cm="1">
        <f t="array" ref="N31">Tablo1738[[#This Row],[Q1]]/Tablo1939[Q1]*$C$43+G31/Tablo1939[Q2]*$D$43+H31/Tablo1939[Q3]*$E$43+I31/Tablo1939[Q4]*$F$43+J31/Tablo1939[Q5]*$G$43+K31/Tablo1939[Q6]*$H$43+L31/Tablo1939[Q7]*$I$43</f>
        <v>13.666666666666668</v>
      </c>
      <c r="O31" s="65" cm="1">
        <f t="array" ref="O31">Tablo1738[[#This Row],[Q1]]/Tablo1939[Q1]*$C$44+G31/Tablo1939[Q2]*$D$44+H31/Tablo1939[Q3]*$E$44+I31/Tablo1939[Q4]*$F$44+J31/Tablo1939[Q5]*$G$44+K31/Tablo1939[Q6]*$H$44+L31/Tablo1939[Q7]*$I$44</f>
        <v>0</v>
      </c>
      <c r="P31" s="65" cm="1">
        <f t="array" ref="P31">Tablo1738[[#This Row],[Q1]]/Tablo1939[Q1]*$C$45+G31/Tablo1939[Q2]*$D$45+H31/Tablo1939[Q3]*$E$45+I31/Tablo1939[Q4]*$F$45+J31/Tablo1939[Q5]*$G$45+K31/Tablo1939[Q6]*$H$45+L31/Tablo1939[Q7]*$I$45</f>
        <v>3.6666666666666665</v>
      </c>
      <c r="Q31" s="65" cm="1">
        <f t="array" ref="Q31">Tablo1738[[#This Row],[Q1]]/Tablo1939[Q1]*$C$46+G31/Tablo1939[Q2]*$D$46+H31/Tablo1939[Q3]*$E$46+I31/Tablo1939[Q4]*$F$46+J31/Tablo1939[Q5]*$G$46+K31/Tablo1939[Q6]*$H$46+L31/Tablo1939[Q7]*$I$46</f>
        <v>4</v>
      </c>
      <c r="R31" s="65">
        <f t="shared" si="1"/>
        <v>21.333333333333336</v>
      </c>
      <c r="S31" s="43">
        <f>_xlfn.NORM.DIST(Tablo1738[[#This Row],[TOTAL GRADE]],$N$56,$O$56,FALSE)</f>
        <v>1.1248820574905113E-2</v>
      </c>
      <c r="AA31" s="36"/>
      <c r="AB31" s="36"/>
      <c r="AC31" s="36"/>
      <c r="AD31" s="36"/>
      <c r="AE31" s="73"/>
    </row>
    <row r="32" spans="2:31" x14ac:dyDescent="0.3">
      <c r="B32" s="49">
        <v>28</v>
      </c>
      <c r="C32" s="35">
        <v>1</v>
      </c>
      <c r="D32" s="46" t="s">
        <v>17</v>
      </c>
      <c r="E32" s="46" t="s">
        <v>16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7">
        <f t="shared" si="0"/>
        <v>0</v>
      </c>
      <c r="N32" s="65" cm="1">
        <f t="array" ref="N32">Tablo1738[[#This Row],[Q1]]/Tablo1939[Q1]*$C$43+G32/Tablo1939[Q2]*$D$43+H32/Tablo1939[Q3]*$E$43+I32/Tablo1939[Q4]*$F$43+J32/Tablo1939[Q5]*$G$43+K32/Tablo1939[Q6]*$H$43+L32/Tablo1939[Q7]*$I$43</f>
        <v>0</v>
      </c>
      <c r="O32" s="65" cm="1">
        <f t="array" ref="O32">Tablo1738[[#This Row],[Q1]]/Tablo1939[Q1]*$C$44+G32/Tablo1939[Q2]*$D$44+H32/Tablo1939[Q3]*$E$44+I32/Tablo1939[Q4]*$F$44+J32/Tablo1939[Q5]*$G$44+K32/Tablo1939[Q6]*$H$44+L32/Tablo1939[Q7]*$I$44</f>
        <v>0</v>
      </c>
      <c r="P32" s="65" cm="1">
        <f t="array" ref="P32">Tablo1738[[#This Row],[Q1]]/Tablo1939[Q1]*$C$45+G32/Tablo1939[Q2]*$D$45+H32/Tablo1939[Q3]*$E$45+I32/Tablo1939[Q4]*$F$45+J32/Tablo1939[Q5]*$G$45+K32/Tablo1939[Q6]*$H$45+L32/Tablo1939[Q7]*$I$45</f>
        <v>0</v>
      </c>
      <c r="Q32" s="65" cm="1">
        <f t="array" ref="Q32">Tablo1738[[#This Row],[Q1]]/Tablo1939[Q1]*$C$46+G32/Tablo1939[Q2]*$D$46+H32/Tablo1939[Q3]*$E$46+I32/Tablo1939[Q4]*$F$46+J32/Tablo1939[Q5]*$G$46+K32/Tablo1939[Q6]*$H$46+L32/Tablo1939[Q7]*$I$46</f>
        <v>0</v>
      </c>
      <c r="R32" s="65">
        <f t="shared" si="1"/>
        <v>0</v>
      </c>
      <c r="S32" s="43">
        <f>_xlfn.NORM.DIST(Tablo1738[[#This Row],[TOTAL GRADE]],$N$56,$O$56,FALSE)</f>
        <v>2.4428421796479677E-3</v>
      </c>
      <c r="AA32" s="35"/>
      <c r="AB32" s="35"/>
      <c r="AC32" s="35"/>
      <c r="AD32" s="35"/>
      <c r="AE32" s="74"/>
    </row>
    <row r="33" spans="2:31" x14ac:dyDescent="0.3">
      <c r="B33" s="48">
        <v>29</v>
      </c>
      <c r="C33" s="35">
        <v>2</v>
      </c>
      <c r="D33" s="46" t="s">
        <v>17</v>
      </c>
      <c r="E33" s="46" t="s">
        <v>16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7">
        <f t="shared" si="0"/>
        <v>0</v>
      </c>
      <c r="N33" s="65" cm="1">
        <f t="array" ref="N33">Tablo1738[[#This Row],[Q1]]/Tablo1939[Q1]*$C$43+G33/Tablo1939[Q2]*$D$43+H33/Tablo1939[Q3]*$E$43+I33/Tablo1939[Q4]*$F$43+J33/Tablo1939[Q5]*$G$43+K33/Tablo1939[Q6]*$H$43+L33/Tablo1939[Q7]*$I$43</f>
        <v>0</v>
      </c>
      <c r="O33" s="65" cm="1">
        <f t="array" ref="O33">Tablo1738[[#This Row],[Q1]]/Tablo1939[Q1]*$C$44+G33/Tablo1939[Q2]*$D$44+H33/Tablo1939[Q3]*$E$44+I33/Tablo1939[Q4]*$F$44+J33/Tablo1939[Q5]*$G$44+K33/Tablo1939[Q6]*$H$44+L33/Tablo1939[Q7]*$I$44</f>
        <v>0</v>
      </c>
      <c r="P33" s="65" cm="1">
        <f t="array" ref="P33">Tablo1738[[#This Row],[Q1]]/Tablo1939[Q1]*$C$45+G33/Tablo1939[Q2]*$D$45+H33/Tablo1939[Q3]*$E$45+I33/Tablo1939[Q4]*$F$45+J33/Tablo1939[Q5]*$G$45+K33/Tablo1939[Q6]*$H$45+L33/Tablo1939[Q7]*$I$45</f>
        <v>0</v>
      </c>
      <c r="Q33" s="65" cm="1">
        <f t="array" ref="Q33">Tablo1738[[#This Row],[Q1]]/Tablo1939[Q1]*$C$46+G33/Tablo1939[Q2]*$D$46+H33/Tablo1939[Q3]*$E$46+I33/Tablo1939[Q4]*$F$46+J33/Tablo1939[Q5]*$G$46+K33/Tablo1939[Q6]*$H$46+L33/Tablo1939[Q7]*$I$46</f>
        <v>0</v>
      </c>
      <c r="R33" s="65">
        <f t="shared" si="1"/>
        <v>0</v>
      </c>
      <c r="S33" s="43">
        <f>_xlfn.NORM.DIST(Tablo1738[[#This Row],[TOTAL GRADE]],$N$56,$O$56,FALSE)</f>
        <v>2.4428421796479677E-3</v>
      </c>
      <c r="AA33" s="35"/>
      <c r="AB33" s="35"/>
      <c r="AC33" s="35"/>
      <c r="AD33" s="35"/>
      <c r="AE33" s="74"/>
    </row>
    <row r="34" spans="2:31" x14ac:dyDescent="0.3">
      <c r="B34" s="47">
        <v>30</v>
      </c>
      <c r="C34" s="35">
        <v>3</v>
      </c>
      <c r="D34" s="46" t="s">
        <v>17</v>
      </c>
      <c r="E34" s="46" t="s">
        <v>16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7">
        <f t="shared" si="0"/>
        <v>0</v>
      </c>
      <c r="N34" s="65" cm="1">
        <f t="array" ref="N34">Tablo1738[[#This Row],[Q1]]/Tablo1939[Q1]*$C$43+G34/Tablo1939[Q2]*$D$43+H34/Tablo1939[Q3]*$E$43+I34/Tablo1939[Q4]*$F$43+J34/Tablo1939[Q5]*$G$43+K34/Tablo1939[Q6]*$H$43+L34/Tablo1939[Q7]*$I$43</f>
        <v>0</v>
      </c>
      <c r="O34" s="65" cm="1">
        <f t="array" ref="O34">Tablo1738[[#This Row],[Q1]]/Tablo1939[Q1]*$C$44+G34/Tablo1939[Q2]*$D$44+H34/Tablo1939[Q3]*$E$44+I34/Tablo1939[Q4]*$F$44+J34/Tablo1939[Q5]*$G$44+K34/Tablo1939[Q6]*$H$44+L34/Tablo1939[Q7]*$I$44</f>
        <v>0</v>
      </c>
      <c r="P34" s="65" cm="1">
        <f t="array" ref="P34">Tablo1738[[#This Row],[Q1]]/Tablo1939[Q1]*$C$45+G34/Tablo1939[Q2]*$D$45+H34/Tablo1939[Q3]*$E$45+I34/Tablo1939[Q4]*$F$45+J34/Tablo1939[Q5]*$G$45+K34/Tablo1939[Q6]*$H$45+L34/Tablo1939[Q7]*$I$45</f>
        <v>0</v>
      </c>
      <c r="Q34" s="65" cm="1">
        <f t="array" ref="Q34">Tablo1738[[#This Row],[Q1]]/Tablo1939[Q1]*$C$46+G34/Tablo1939[Q2]*$D$46+H34/Tablo1939[Q3]*$E$46+I34/Tablo1939[Q4]*$F$46+J34/Tablo1939[Q5]*$G$46+K34/Tablo1939[Q6]*$H$46+L34/Tablo1939[Q7]*$I$46</f>
        <v>0</v>
      </c>
      <c r="R34" s="65">
        <f t="shared" si="1"/>
        <v>0</v>
      </c>
      <c r="S34" s="43">
        <f>_xlfn.NORM.DIST(Tablo1738[[#This Row],[TOTAL GRADE]],$N$56,$O$56,FALSE)</f>
        <v>2.4428421796479677E-3</v>
      </c>
      <c r="AA34" s="35"/>
      <c r="AB34" s="35"/>
      <c r="AC34" s="35"/>
      <c r="AD34" s="35"/>
      <c r="AE34" s="74"/>
    </row>
    <row r="35" spans="2:31" x14ac:dyDescent="0.3">
      <c r="C35" s="1"/>
      <c r="D35" s="1"/>
      <c r="E35" s="1"/>
      <c r="F35" s="1"/>
      <c r="G35" s="1"/>
      <c r="H35" s="1"/>
      <c r="I35" s="1"/>
      <c r="J35" s="1"/>
      <c r="K35" s="1"/>
      <c r="L35" s="1"/>
      <c r="M35" s="35"/>
      <c r="N35" s="35"/>
      <c r="O35" s="35"/>
      <c r="P35" s="35"/>
      <c r="Q35" s="1"/>
      <c r="R35" s="1"/>
      <c r="S35" s="1"/>
      <c r="AA35" s="35"/>
      <c r="AB35" s="35"/>
      <c r="AC35" s="35"/>
      <c r="AD35" s="35"/>
      <c r="AE35" s="74"/>
    </row>
    <row r="36" spans="2:31" x14ac:dyDescent="0.3">
      <c r="B36" s="67" t="s">
        <v>28</v>
      </c>
      <c r="C36" s="67" t="s">
        <v>27</v>
      </c>
      <c r="D36" s="43" t="s">
        <v>81</v>
      </c>
      <c r="E36" s="43" t="s">
        <v>82</v>
      </c>
      <c r="F36" s="1"/>
      <c r="G36" s="1" t="s">
        <v>83</v>
      </c>
      <c r="H36" s="61" t="s">
        <v>71</v>
      </c>
      <c r="I36" s="61" t="s">
        <v>72</v>
      </c>
      <c r="J36" s="61" t="s">
        <v>73</v>
      </c>
      <c r="K36" s="61" t="s">
        <v>74</v>
      </c>
      <c r="L36" s="61" t="s">
        <v>75</v>
      </c>
      <c r="M36" s="61" t="s">
        <v>76</v>
      </c>
      <c r="N36" s="61" t="s">
        <v>77</v>
      </c>
      <c r="O36" s="40" t="s">
        <v>84</v>
      </c>
      <c r="P36" s="35"/>
      <c r="Q36" s="1"/>
      <c r="R36" s="1"/>
      <c r="S36" s="1"/>
      <c r="AA36" s="35"/>
      <c r="AB36" s="35"/>
      <c r="AC36" s="35"/>
      <c r="AD36" s="35"/>
      <c r="AE36" s="74"/>
    </row>
    <row r="37" spans="2:31" x14ac:dyDescent="0.3">
      <c r="B37" s="37">
        <v>1</v>
      </c>
      <c r="C37" s="3" t="s">
        <v>21</v>
      </c>
      <c r="D37" s="1">
        <f>MAIN!Q35</f>
        <v>70</v>
      </c>
      <c r="E37" s="2">
        <f>Tablo436[[#This Row],[DERS ÇIKTISI KATSAYISI]]-J43</f>
        <v>0</v>
      </c>
      <c r="F37" s="1"/>
      <c r="G37" s="43" t="s">
        <v>85</v>
      </c>
      <c r="H37" s="3">
        <v>10</v>
      </c>
      <c r="I37" s="3">
        <v>5</v>
      </c>
      <c r="J37" s="3">
        <v>20</v>
      </c>
      <c r="K37" s="3">
        <v>20</v>
      </c>
      <c r="L37" s="3">
        <v>15</v>
      </c>
      <c r="M37" s="3">
        <v>15</v>
      </c>
      <c r="N37" s="3">
        <v>15</v>
      </c>
      <c r="O37" s="3">
        <f>SUM(H37:N37)</f>
        <v>100</v>
      </c>
      <c r="P37" s="35"/>
      <c r="Q37" s="1"/>
      <c r="R37" s="1"/>
      <c r="S37" s="1"/>
      <c r="AA37" s="35"/>
      <c r="AB37" s="35"/>
      <c r="AC37" s="35"/>
      <c r="AD37" s="35"/>
      <c r="AE37" s="74"/>
    </row>
    <row r="38" spans="2:31" x14ac:dyDescent="0.3">
      <c r="B38" s="37">
        <v>2</v>
      </c>
      <c r="C38" s="3" t="s">
        <v>20</v>
      </c>
      <c r="D38" s="1">
        <v>5</v>
      </c>
      <c r="E38" s="2">
        <f>Tablo436[[#This Row],[DERS ÇIKTISI KATSAYISI]]-J44</f>
        <v>0</v>
      </c>
      <c r="F38" s="1"/>
      <c r="G38" s="1"/>
      <c r="H38" s="1"/>
      <c r="I38" s="1"/>
      <c r="J38" s="1"/>
      <c r="K38" s="1"/>
      <c r="L38" s="1"/>
      <c r="M38" s="35"/>
      <c r="N38" s="35"/>
      <c r="O38" s="35"/>
      <c r="P38" s="35"/>
      <c r="Q38" s="1"/>
      <c r="R38" s="1"/>
      <c r="S38" s="1"/>
      <c r="AA38" s="35"/>
      <c r="AB38" s="35"/>
      <c r="AC38" s="35"/>
      <c r="AD38" s="35"/>
      <c r="AE38" s="74"/>
    </row>
    <row r="39" spans="2:31" x14ac:dyDescent="0.3">
      <c r="B39" s="37">
        <v>3</v>
      </c>
      <c r="C39" s="3" t="s">
        <v>19</v>
      </c>
      <c r="D39" s="1">
        <f>MAIN!Q37</f>
        <v>40</v>
      </c>
      <c r="E39" s="2">
        <f>Tablo436[[#This Row],[DERS ÇIKTISI KATSAYISI]]-J45</f>
        <v>0</v>
      </c>
      <c r="F39" s="1"/>
      <c r="G39" s="1"/>
      <c r="H39" s="1"/>
      <c r="I39" s="1"/>
      <c r="J39" s="1"/>
      <c r="K39" s="1"/>
      <c r="L39" s="1"/>
      <c r="M39" s="35"/>
      <c r="N39" s="35"/>
      <c r="O39" s="35"/>
      <c r="P39" s="35"/>
      <c r="Q39" s="1"/>
      <c r="R39" s="1"/>
      <c r="S39" s="1"/>
      <c r="AA39" s="35"/>
      <c r="AB39" s="35"/>
      <c r="AC39" s="35"/>
      <c r="AD39" s="35"/>
      <c r="AE39" s="74"/>
    </row>
    <row r="40" spans="2:31" x14ac:dyDescent="0.3">
      <c r="B40" s="3">
        <v>4</v>
      </c>
      <c r="C40" s="3" t="s">
        <v>18</v>
      </c>
      <c r="D40" s="1">
        <f>MAIN!Q38</f>
        <v>20</v>
      </c>
      <c r="E40" s="2">
        <f>Tablo436[[#This Row],[DERS ÇIKTISI KATSAYISI]]-J46</f>
        <v>0</v>
      </c>
      <c r="F40" s="1"/>
      <c r="G40" s="1"/>
      <c r="H40" s="1"/>
      <c r="I40" s="1"/>
      <c r="J40" s="1"/>
      <c r="K40" s="1"/>
      <c r="L40" s="1"/>
      <c r="M40" s="35"/>
      <c r="N40" s="35"/>
      <c r="O40" s="35"/>
      <c r="P40" s="35"/>
      <c r="Q40" s="1"/>
      <c r="R40" s="1"/>
      <c r="S40" s="1"/>
      <c r="AA40" s="35"/>
      <c r="AB40" s="35"/>
      <c r="AC40" s="35"/>
      <c r="AD40" s="35"/>
      <c r="AE40" s="74"/>
    </row>
    <row r="41" spans="2:31" x14ac:dyDescent="0.3">
      <c r="C41" s="1"/>
      <c r="D41" s="1"/>
      <c r="E41" s="1"/>
      <c r="F41" s="1"/>
      <c r="G41" s="1"/>
      <c r="H41" s="1"/>
      <c r="I41" s="1"/>
      <c r="J41" s="1"/>
      <c r="K41" s="1"/>
      <c r="L41" s="1"/>
      <c r="M41" s="35"/>
      <c r="N41" s="35"/>
      <c r="O41" s="35"/>
      <c r="P41" s="35"/>
      <c r="Q41" s="1"/>
      <c r="R41" s="1"/>
      <c r="S41" s="1"/>
      <c r="AA41" s="35"/>
      <c r="AB41" s="35"/>
      <c r="AC41" s="35"/>
      <c r="AD41" s="35"/>
      <c r="AE41" s="74"/>
    </row>
    <row r="42" spans="2:31" x14ac:dyDescent="0.3">
      <c r="B42" s="43" t="s">
        <v>86</v>
      </c>
      <c r="C42" s="61" t="s">
        <v>71</v>
      </c>
      <c r="D42" s="61" t="s">
        <v>72</v>
      </c>
      <c r="E42" s="61" t="s">
        <v>73</v>
      </c>
      <c r="F42" s="61" t="s">
        <v>74</v>
      </c>
      <c r="G42" s="61" t="s">
        <v>75</v>
      </c>
      <c r="H42" s="61" t="s">
        <v>76</v>
      </c>
      <c r="I42" s="61" t="s">
        <v>77</v>
      </c>
      <c r="J42" s="57" t="s">
        <v>87</v>
      </c>
      <c r="K42" s="40" t="s">
        <v>88</v>
      </c>
      <c r="L42" s="43" t="s">
        <v>89</v>
      </c>
      <c r="M42" s="35"/>
      <c r="N42" s="35"/>
      <c r="O42" s="35"/>
      <c r="P42" s="35"/>
      <c r="Q42" s="1"/>
      <c r="R42" s="1"/>
      <c r="S42" s="1"/>
      <c r="AA42" s="35"/>
      <c r="AB42" s="35"/>
      <c r="AC42" s="35"/>
      <c r="AD42" s="35"/>
      <c r="AE42" s="74"/>
    </row>
    <row r="43" spans="2:31" x14ac:dyDescent="0.3">
      <c r="B43" s="41">
        <v>1</v>
      </c>
      <c r="C43" s="65">
        <v>0</v>
      </c>
      <c r="D43" s="65">
        <v>5</v>
      </c>
      <c r="E43" s="65">
        <v>10</v>
      </c>
      <c r="F43" s="65">
        <v>20</v>
      </c>
      <c r="G43" s="65">
        <v>10</v>
      </c>
      <c r="H43" s="65">
        <v>10</v>
      </c>
      <c r="I43" s="65">
        <v>15</v>
      </c>
      <c r="J43" s="36">
        <f>SUM(Tablo1637[[#This Row],[Q1]:[Q7]])</f>
        <v>70</v>
      </c>
      <c r="K43" s="68">
        <f>IF($J43=0,"0",SUM(Tablo1738[DÇ1])/(30*D37))</f>
        <v>0.4028174603174603</v>
      </c>
      <c r="L43" s="69">
        <f>$K43*$D37</f>
        <v>28.197222222222219</v>
      </c>
      <c r="M43" s="35"/>
      <c r="N43" s="35"/>
      <c r="O43" s="35"/>
      <c r="P43" s="35"/>
      <c r="Q43" s="1"/>
      <c r="R43" s="1"/>
      <c r="S43" s="1"/>
      <c r="AA43" s="35"/>
      <c r="AB43" s="35"/>
      <c r="AC43" s="35"/>
      <c r="AD43" s="35"/>
      <c r="AE43" s="74"/>
    </row>
    <row r="44" spans="2:31" x14ac:dyDescent="0.3">
      <c r="B44" s="35">
        <v>2</v>
      </c>
      <c r="C44" s="36">
        <v>0</v>
      </c>
      <c r="D44" s="36">
        <v>0</v>
      </c>
      <c r="E44" s="36">
        <v>5</v>
      </c>
      <c r="F44" s="36">
        <v>0</v>
      </c>
      <c r="G44" s="36">
        <v>0</v>
      </c>
      <c r="H44" s="36">
        <v>0</v>
      </c>
      <c r="I44" s="36">
        <v>0</v>
      </c>
      <c r="J44" s="36">
        <f>SUM(Tablo1637[[#This Row],[Q1]:[Q7]])</f>
        <v>5</v>
      </c>
      <c r="K44" s="68">
        <f>IF($J44=0,"0",SUM(Tablo1738[DÇ2])/(30*D38))</f>
        <v>0.40916666666666668</v>
      </c>
      <c r="L44" s="36">
        <f>$K44*$D38</f>
        <v>2.0458333333333334</v>
      </c>
      <c r="M44" s="35"/>
      <c r="N44" s="35"/>
      <c r="O44" s="35"/>
      <c r="P44" s="35"/>
      <c r="Q44" s="1"/>
      <c r="R44" s="1"/>
      <c r="S44" s="1"/>
      <c r="AA44" s="35"/>
      <c r="AB44" s="35"/>
      <c r="AC44" s="35"/>
      <c r="AD44" s="35"/>
      <c r="AE44" s="74"/>
    </row>
    <row r="45" spans="2:31" x14ac:dyDescent="0.3">
      <c r="B45" s="35">
        <v>3</v>
      </c>
      <c r="C45" s="36">
        <v>0</v>
      </c>
      <c r="D45" s="36">
        <v>5</v>
      </c>
      <c r="E45" s="36">
        <v>15</v>
      </c>
      <c r="F45" s="36">
        <v>10</v>
      </c>
      <c r="G45" s="36">
        <v>0</v>
      </c>
      <c r="H45" s="36">
        <v>10</v>
      </c>
      <c r="I45" s="36">
        <v>0</v>
      </c>
      <c r="J45" s="36">
        <f>SUM(Tablo1637[[#This Row],[Q1]:[Q7]])</f>
        <v>40</v>
      </c>
      <c r="K45" s="68">
        <f>IF($J45=0,"0",SUM(Tablo1738[DÇ3])/(30*D39))</f>
        <v>0.39246527777777773</v>
      </c>
      <c r="L45" s="36">
        <f>$K45*$D39</f>
        <v>15.698611111111109</v>
      </c>
      <c r="M45" s="35"/>
      <c r="N45" s="35"/>
      <c r="O45" s="35"/>
      <c r="P45" s="35"/>
      <c r="Q45" s="1"/>
      <c r="R45" s="1"/>
      <c r="S45" s="1"/>
      <c r="AA45" s="35"/>
      <c r="AB45" s="35"/>
      <c r="AC45" s="35"/>
      <c r="AD45" s="35"/>
      <c r="AE45" s="74"/>
    </row>
    <row r="46" spans="2:31" x14ac:dyDescent="0.3">
      <c r="B46" s="35">
        <v>4</v>
      </c>
      <c r="C46" s="36">
        <v>20</v>
      </c>
      <c r="D46" s="36">
        <v>0</v>
      </c>
      <c r="E46" s="36">
        <v>0</v>
      </c>
      <c r="F46" s="36">
        <v>0</v>
      </c>
      <c r="G46" s="36">
        <v>0</v>
      </c>
      <c r="H46" s="36">
        <v>0</v>
      </c>
      <c r="I46" s="36">
        <v>0</v>
      </c>
      <c r="J46" s="36">
        <f>SUM(Tablo1637[[#This Row],[Q1]:[Q7]])</f>
        <v>20</v>
      </c>
      <c r="K46" s="68">
        <f>IF($J46=0,"0",SUM(Tablo1738[DÇ4])/(30*D40))</f>
        <v>0.17666666666666667</v>
      </c>
      <c r="L46" s="36">
        <f>$K46*$D40</f>
        <v>3.5333333333333332</v>
      </c>
      <c r="M46" s="35"/>
      <c r="N46" s="35"/>
      <c r="O46" s="35"/>
      <c r="P46" s="35"/>
      <c r="Q46" s="1"/>
      <c r="R46" s="1"/>
      <c r="S46" s="1"/>
      <c r="AA46" s="35"/>
      <c r="AB46" s="35"/>
      <c r="AC46" s="35"/>
      <c r="AD46" s="35"/>
      <c r="AE46" s="74"/>
    </row>
    <row r="47" spans="2:31" x14ac:dyDescent="0.3">
      <c r="B47" s="70" t="s">
        <v>90</v>
      </c>
      <c r="C47" s="70"/>
      <c r="D47" s="70"/>
      <c r="E47" s="70"/>
      <c r="F47" s="70"/>
      <c r="G47" s="70"/>
      <c r="H47" s="70"/>
      <c r="I47" s="70"/>
      <c r="J47" s="70"/>
      <c r="K47" s="70"/>
      <c r="L47" s="1"/>
      <c r="M47" s="35"/>
      <c r="N47" s="35"/>
      <c r="O47" s="35"/>
      <c r="P47" s="35"/>
      <c r="Q47" s="1"/>
      <c r="R47" s="1"/>
      <c r="S47" s="1"/>
      <c r="AA47" s="35"/>
      <c r="AB47" s="35"/>
      <c r="AC47" s="35"/>
      <c r="AD47" s="35"/>
      <c r="AE47" s="74"/>
    </row>
    <row r="48" spans="2:31" x14ac:dyDescent="0.3">
      <c r="C48" s="1"/>
      <c r="D48" s="1"/>
      <c r="G48" s="3"/>
      <c r="K48" s="1"/>
      <c r="L48" s="3"/>
      <c r="M48" s="35"/>
      <c r="N48" s="35"/>
      <c r="O48" s="35"/>
      <c r="P48" s="35"/>
      <c r="Q48" s="1"/>
      <c r="R48" s="1"/>
      <c r="S48" s="1"/>
      <c r="AA48" s="35"/>
      <c r="AB48" s="35"/>
      <c r="AC48" s="35"/>
      <c r="AD48" s="35"/>
      <c r="AE48" s="74"/>
    </row>
    <row r="49" spans="2:31" x14ac:dyDescent="0.3">
      <c r="C49" s="1"/>
      <c r="D49" s="1"/>
      <c r="G49" s="3"/>
      <c r="K49" s="1"/>
      <c r="L49" s="3"/>
      <c r="M49" s="35"/>
      <c r="N49" s="35"/>
      <c r="O49" s="35"/>
      <c r="P49" s="35"/>
      <c r="Q49" s="1"/>
      <c r="R49" s="1"/>
      <c r="S49" s="1"/>
      <c r="AA49" s="35"/>
      <c r="AB49" s="35"/>
      <c r="AC49" s="35"/>
      <c r="AD49" s="35"/>
      <c r="AE49" s="74"/>
    </row>
    <row r="50" spans="2:31" x14ac:dyDescent="0.3">
      <c r="C50" s="1"/>
      <c r="D50" s="1"/>
      <c r="G50" s="3"/>
      <c r="K50" s="1"/>
      <c r="L50" s="3"/>
      <c r="M50" s="35"/>
      <c r="N50" s="35"/>
      <c r="O50" s="35"/>
      <c r="P50" s="35"/>
      <c r="Q50" s="1"/>
      <c r="R50" s="1"/>
      <c r="S50" s="1"/>
      <c r="AA50" s="35"/>
      <c r="AB50" s="35"/>
      <c r="AC50" s="35"/>
      <c r="AD50" s="35"/>
      <c r="AE50" s="74"/>
    </row>
    <row r="51" spans="2:31" x14ac:dyDescent="0.3">
      <c r="B51" s="37"/>
      <c r="C51" s="37"/>
      <c r="D51" s="1"/>
      <c r="G51" s="3"/>
      <c r="L51" s="3"/>
      <c r="M51" s="35"/>
      <c r="N51" s="35"/>
      <c r="O51" s="35"/>
      <c r="P51" s="35"/>
      <c r="Q51" s="1"/>
      <c r="R51" s="1"/>
      <c r="S51" s="1"/>
      <c r="AA51" s="35"/>
      <c r="AB51" s="35"/>
      <c r="AC51" s="35"/>
      <c r="AD51" s="35"/>
      <c r="AE51" s="74"/>
    </row>
    <row r="52" spans="2:31" x14ac:dyDescent="0.3">
      <c r="B52" s="37"/>
      <c r="C52" s="37"/>
      <c r="D52" s="1"/>
      <c r="G52" s="3"/>
      <c r="L52" s="3"/>
      <c r="M52" s="35"/>
      <c r="N52" s="35"/>
      <c r="O52" s="35"/>
      <c r="P52" s="35"/>
      <c r="Q52" s="1"/>
      <c r="R52" s="1"/>
      <c r="S52" s="1"/>
      <c r="AA52" s="35"/>
      <c r="AB52" s="35"/>
      <c r="AC52" s="35"/>
      <c r="AD52" s="35"/>
      <c r="AE52" s="74"/>
    </row>
    <row r="53" spans="2:31" x14ac:dyDescent="0.3">
      <c r="B53" s="37"/>
      <c r="C53" s="37"/>
      <c r="D53" s="1"/>
      <c r="G53" s="3"/>
      <c r="L53" s="3"/>
      <c r="M53" s="35"/>
      <c r="N53" s="35"/>
      <c r="O53" s="35"/>
      <c r="P53" s="35"/>
      <c r="Q53" s="1"/>
      <c r="R53" s="1"/>
      <c r="S53" s="1"/>
      <c r="AA53" s="35"/>
      <c r="AB53" s="35"/>
      <c r="AC53" s="35"/>
      <c r="AD53" s="35"/>
      <c r="AE53" s="74"/>
    </row>
    <row r="54" spans="2:31" x14ac:dyDescent="0.3">
      <c r="B54" s="37"/>
      <c r="C54" s="37"/>
      <c r="D54" s="1"/>
      <c r="G54" s="3"/>
      <c r="L54" s="3"/>
      <c r="M54" s="35"/>
      <c r="N54" s="35"/>
      <c r="O54" s="35"/>
      <c r="P54" s="35"/>
      <c r="Q54" s="1"/>
      <c r="R54" s="1"/>
      <c r="S54" s="1"/>
      <c r="AA54" s="35"/>
      <c r="AB54" s="35"/>
      <c r="AC54" s="35"/>
      <c r="AD54" s="35"/>
      <c r="AE54" s="74"/>
    </row>
    <row r="55" spans="2:31" x14ac:dyDescent="0.3">
      <c r="B55" s="37"/>
      <c r="C55" s="37"/>
      <c r="D55" s="1"/>
      <c r="G55" s="3"/>
      <c r="L55" s="3"/>
      <c r="M55" s="35"/>
      <c r="N55" s="41" t="s">
        <v>39</v>
      </c>
      <c r="O55" s="41" t="s">
        <v>38</v>
      </c>
      <c r="P55" s="35"/>
      <c r="Q55" s="1"/>
      <c r="R55" s="1"/>
      <c r="S55" s="1"/>
      <c r="AA55" s="35"/>
      <c r="AB55" s="35"/>
      <c r="AC55" s="35"/>
      <c r="AD55" s="35"/>
      <c r="AE55" s="74"/>
    </row>
    <row r="56" spans="2:31" x14ac:dyDescent="0.3">
      <c r="B56" s="37"/>
      <c r="C56" s="37"/>
      <c r="D56" s="1"/>
      <c r="G56" s="3"/>
      <c r="L56" s="3"/>
      <c r="M56" s="35"/>
      <c r="N56" s="35">
        <f>AVERAGE(Tablo1738[TOTAL GRADE])</f>
        <v>38</v>
      </c>
      <c r="O56" s="35">
        <f>_xlfn.STDEV.P(Tablo1738[TOTAL GRADE])</f>
        <v>18.121810064118872</v>
      </c>
      <c r="P56" s="35"/>
      <c r="Q56" s="1"/>
      <c r="R56" s="1"/>
      <c r="S56" s="1"/>
      <c r="AA56" s="35"/>
      <c r="AB56" s="35"/>
      <c r="AC56" s="35"/>
      <c r="AD56" s="35"/>
      <c r="AE56" s="74"/>
    </row>
    <row r="57" spans="2:31" x14ac:dyDescent="0.3">
      <c r="B57" s="37"/>
      <c r="C57" s="37"/>
      <c r="D57" s="1"/>
      <c r="G57" s="3"/>
      <c r="L57" s="3"/>
      <c r="M57" s="35"/>
      <c r="N57" s="35"/>
      <c r="O57" s="35"/>
      <c r="P57" s="35"/>
      <c r="Q57" s="1"/>
      <c r="R57" s="1"/>
      <c r="S57" s="1"/>
      <c r="AA57" s="35"/>
      <c r="AB57" s="35"/>
      <c r="AC57" s="35"/>
      <c r="AD57" s="35"/>
      <c r="AE57" s="74"/>
    </row>
    <row r="58" spans="2:31" x14ac:dyDescent="0.3">
      <c r="B58" s="37"/>
      <c r="C58" s="37"/>
      <c r="D58" s="1"/>
      <c r="G58" s="3"/>
      <c r="L58" s="3"/>
      <c r="M58" s="35"/>
      <c r="N58" s="35"/>
      <c r="O58" s="35"/>
      <c r="P58" s="35"/>
      <c r="Q58" s="1"/>
      <c r="R58" s="1"/>
      <c r="S58" s="1"/>
      <c r="AA58" s="35"/>
      <c r="AB58" s="35"/>
      <c r="AC58" s="35"/>
      <c r="AD58" s="35"/>
      <c r="AE58" s="74"/>
    </row>
    <row r="59" spans="2:31" x14ac:dyDescent="0.3">
      <c r="B59" s="37"/>
      <c r="C59" s="37"/>
      <c r="D59" s="1"/>
      <c r="G59" s="3"/>
      <c r="L59" s="3"/>
      <c r="M59" s="35"/>
      <c r="N59" s="35"/>
      <c r="O59" s="35"/>
      <c r="P59" s="35"/>
      <c r="Q59" s="1"/>
      <c r="R59" s="1"/>
      <c r="S59" s="1"/>
      <c r="AA59" s="35"/>
      <c r="AB59" s="35"/>
      <c r="AC59" s="35"/>
      <c r="AD59" s="35"/>
      <c r="AE59" s="74"/>
    </row>
    <row r="60" spans="2:31" x14ac:dyDescent="0.3">
      <c r="B60" s="37"/>
      <c r="C60" s="37"/>
      <c r="D60" s="1"/>
      <c r="G60" s="3"/>
      <c r="L60" s="3"/>
      <c r="M60" s="35"/>
      <c r="N60" s="35"/>
      <c r="O60" s="35"/>
      <c r="P60" s="35"/>
      <c r="Q60" s="1"/>
      <c r="R60" s="1"/>
      <c r="S60" s="1"/>
      <c r="AA60" s="35"/>
      <c r="AB60" s="35"/>
      <c r="AC60" s="35"/>
      <c r="AD60" s="35"/>
      <c r="AE60" s="74"/>
    </row>
    <row r="61" spans="2:31" x14ac:dyDescent="0.3">
      <c r="B61" s="37"/>
      <c r="C61" s="37"/>
      <c r="D61" s="1"/>
      <c r="G61" s="3"/>
      <c r="L61" s="3"/>
      <c r="M61" s="35"/>
      <c r="N61" s="35"/>
      <c r="O61" s="35"/>
      <c r="P61" s="35"/>
      <c r="Q61" s="1"/>
      <c r="R61" s="1"/>
      <c r="S61" s="1"/>
      <c r="AA61" s="35"/>
      <c r="AB61" s="35"/>
      <c r="AC61" s="35"/>
      <c r="AD61" s="35"/>
      <c r="AE61" s="74"/>
    </row>
    <row r="62" spans="2:31" x14ac:dyDescent="0.3">
      <c r="B62" s="37"/>
      <c r="C62" s="37"/>
      <c r="D62" s="1"/>
      <c r="G62" s="3"/>
      <c r="L62" s="3"/>
      <c r="M62" s="35"/>
      <c r="N62" s="35"/>
      <c r="O62" s="35"/>
      <c r="P62" s="35"/>
      <c r="Q62" s="1"/>
      <c r="R62" s="1"/>
      <c r="S62" s="1"/>
      <c r="AA62" s="35"/>
      <c r="AB62" s="35"/>
      <c r="AC62" s="35"/>
      <c r="AD62" s="35"/>
      <c r="AE62" s="74"/>
    </row>
    <row r="63" spans="2:31" x14ac:dyDescent="0.3">
      <c r="B63" s="37"/>
      <c r="C63" s="37"/>
      <c r="D63" s="1"/>
      <c r="G63" s="3"/>
      <c r="L63" s="3"/>
      <c r="M63" s="35"/>
      <c r="N63" s="35"/>
      <c r="O63" s="35"/>
      <c r="P63" s="35"/>
      <c r="Q63" s="1"/>
      <c r="R63" s="1"/>
      <c r="S63" s="1"/>
      <c r="AA63" s="35"/>
      <c r="AB63" s="35"/>
      <c r="AC63" s="35"/>
      <c r="AD63" s="35"/>
      <c r="AE63" s="74"/>
    </row>
    <row r="64" spans="2:31" x14ac:dyDescent="0.3">
      <c r="B64" s="37"/>
      <c r="C64" s="37"/>
      <c r="D64" s="1"/>
      <c r="G64" s="3"/>
      <c r="L64" s="3"/>
      <c r="M64" s="35"/>
      <c r="N64" s="35"/>
      <c r="O64" s="35"/>
      <c r="P64" s="35"/>
      <c r="Q64" s="1"/>
      <c r="R64" s="1"/>
      <c r="S64" s="1"/>
      <c r="AA64" s="35"/>
      <c r="AB64" s="35"/>
      <c r="AC64" s="35"/>
      <c r="AD64" s="35"/>
      <c r="AE64" s="74"/>
    </row>
    <row r="65" spans="2:31" x14ac:dyDescent="0.3">
      <c r="B65" s="37"/>
      <c r="C65" s="37"/>
      <c r="D65" s="1"/>
      <c r="G65" s="3"/>
      <c r="L65" s="3"/>
      <c r="M65" s="35"/>
      <c r="N65" s="35"/>
      <c r="O65" s="35"/>
      <c r="P65" s="35"/>
      <c r="Q65" s="1"/>
      <c r="R65" s="1"/>
      <c r="S65" s="1"/>
      <c r="AA65" s="35"/>
      <c r="AB65" s="35"/>
      <c r="AC65" s="35"/>
      <c r="AD65" s="35"/>
      <c r="AE65" s="74"/>
    </row>
    <row r="66" spans="2:31" x14ac:dyDescent="0.3">
      <c r="B66" s="37"/>
      <c r="C66" s="37"/>
      <c r="D66" s="1"/>
      <c r="G66" s="3"/>
      <c r="L66" s="3"/>
      <c r="M66" s="35"/>
      <c r="N66" s="35"/>
      <c r="O66" s="35"/>
      <c r="P66" s="35"/>
      <c r="Q66" s="1"/>
      <c r="R66" s="1"/>
      <c r="S66" s="1"/>
      <c r="AA66" s="35"/>
      <c r="AB66" s="35"/>
      <c r="AC66" s="35"/>
      <c r="AD66" s="35"/>
      <c r="AE66" s="74"/>
    </row>
    <row r="67" spans="2:31" x14ac:dyDescent="0.3">
      <c r="B67" s="37"/>
      <c r="C67" s="37"/>
      <c r="D67" s="1"/>
      <c r="G67" s="3"/>
      <c r="L67" s="3"/>
      <c r="M67" s="35"/>
      <c r="N67" s="35"/>
      <c r="O67" s="35"/>
      <c r="P67" s="35"/>
      <c r="Q67" s="1"/>
      <c r="R67" s="1"/>
      <c r="S67" s="1"/>
      <c r="AA67" s="35"/>
      <c r="AB67" s="35"/>
      <c r="AC67" s="35"/>
      <c r="AD67" s="35"/>
      <c r="AE67" s="74"/>
    </row>
    <row r="68" spans="2:31" x14ac:dyDescent="0.3">
      <c r="B68" s="37"/>
      <c r="C68" s="37"/>
      <c r="D68" s="1"/>
      <c r="G68" s="3"/>
      <c r="L68" s="3"/>
      <c r="M68" s="35"/>
      <c r="N68" s="35"/>
      <c r="O68" s="35"/>
      <c r="P68" s="35"/>
      <c r="Q68" s="1"/>
      <c r="R68" s="1"/>
      <c r="S68" s="1"/>
      <c r="AA68" s="35"/>
      <c r="AB68" s="35"/>
      <c r="AC68" s="35"/>
      <c r="AD68" s="35"/>
      <c r="AE68" s="74"/>
    </row>
    <row r="69" spans="2:31" x14ac:dyDescent="0.3">
      <c r="B69" s="37"/>
      <c r="G69" s="3"/>
      <c r="L69" s="3"/>
      <c r="M69" s="3"/>
      <c r="N69" s="3"/>
      <c r="O69" s="3"/>
      <c r="P69" s="3"/>
      <c r="Q69" s="3"/>
      <c r="R69" s="3"/>
      <c r="S69" s="3"/>
      <c r="T69" s="3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74"/>
    </row>
    <row r="70" spans="2:31" x14ac:dyDescent="0.3">
      <c r="B70" s="37"/>
      <c r="G70" s="3"/>
      <c r="L70" s="3"/>
      <c r="M70" s="3"/>
      <c r="N70" s="3"/>
      <c r="O70" s="3"/>
      <c r="P70" s="3"/>
      <c r="Q70" s="3"/>
      <c r="R70" s="3"/>
      <c r="S70" s="3"/>
      <c r="T70" s="3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74"/>
    </row>
    <row r="71" spans="2:31" x14ac:dyDescent="0.3">
      <c r="B71" s="37"/>
      <c r="G71" s="3"/>
      <c r="L71" s="3"/>
      <c r="M71" s="3"/>
      <c r="N71" s="3"/>
      <c r="O71" s="3"/>
      <c r="P71" s="3"/>
      <c r="Q71" s="3"/>
      <c r="R71" s="3"/>
      <c r="S71" s="3"/>
      <c r="T71" s="3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74"/>
    </row>
    <row r="72" spans="2:31" x14ac:dyDescent="0.3">
      <c r="B72" s="37"/>
      <c r="G72" s="3"/>
      <c r="L72" s="3"/>
      <c r="M72" s="3"/>
      <c r="N72" s="3"/>
      <c r="O72" s="3"/>
      <c r="P72" s="3"/>
      <c r="Q72" s="3"/>
      <c r="R72" s="3"/>
      <c r="S72" s="3"/>
      <c r="T72" s="3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74"/>
    </row>
    <row r="73" spans="2:31" x14ac:dyDescent="0.3">
      <c r="B73" s="37"/>
      <c r="G73" s="3"/>
      <c r="L73" s="3"/>
      <c r="M73" s="3"/>
      <c r="N73" s="3"/>
      <c r="O73" s="3"/>
      <c r="P73" s="3"/>
      <c r="Q73" s="3"/>
      <c r="R73" s="3"/>
      <c r="S73" s="3"/>
      <c r="T73" s="3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74"/>
    </row>
    <row r="74" spans="2:31" x14ac:dyDescent="0.3">
      <c r="B74" s="37"/>
      <c r="G74" s="3"/>
      <c r="L74" s="3"/>
      <c r="M74" s="3"/>
      <c r="N74" s="3"/>
      <c r="O74" s="3"/>
      <c r="P74" s="3"/>
      <c r="Q74" s="3"/>
      <c r="R74" s="3"/>
      <c r="S74" s="3"/>
      <c r="T74" s="3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74"/>
    </row>
    <row r="75" spans="2:31" x14ac:dyDescent="0.3">
      <c r="B75" s="37"/>
      <c r="G75" s="3"/>
      <c r="L75" s="3"/>
      <c r="M75" s="3"/>
      <c r="N75" s="3"/>
      <c r="O75" s="3"/>
      <c r="P75" s="3"/>
      <c r="Q75" s="3"/>
      <c r="R75" s="3"/>
      <c r="S75" s="3"/>
      <c r="T75" s="3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74"/>
    </row>
    <row r="76" spans="2:31" x14ac:dyDescent="0.3">
      <c r="B76" s="37"/>
      <c r="G76" s="3"/>
      <c r="L76" s="3"/>
      <c r="M76" s="3"/>
      <c r="N76" s="3"/>
      <c r="O76" s="3"/>
      <c r="P76" s="3"/>
      <c r="Q76" s="3"/>
      <c r="R76" s="3"/>
      <c r="S76" s="3"/>
      <c r="T76" s="3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74"/>
    </row>
    <row r="77" spans="2:31" x14ac:dyDescent="0.3">
      <c r="B77" s="37"/>
      <c r="G77" s="3"/>
      <c r="L77" s="3"/>
      <c r="M77" s="3"/>
      <c r="N77" s="3"/>
      <c r="O77" s="3"/>
      <c r="P77" s="3"/>
      <c r="Q77" s="3"/>
      <c r="R77" s="3"/>
      <c r="S77" s="3"/>
      <c r="T77" s="3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74"/>
    </row>
    <row r="78" spans="2:31" x14ac:dyDescent="0.3">
      <c r="B78" s="37"/>
      <c r="G78" s="3"/>
      <c r="L78" s="3"/>
      <c r="M78" s="3"/>
      <c r="N78" s="3"/>
      <c r="O78" s="3"/>
      <c r="P78" s="3"/>
      <c r="Q78" s="3"/>
      <c r="R78" s="3"/>
      <c r="S78" s="3"/>
      <c r="T78" s="3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74"/>
    </row>
    <row r="79" spans="2:31" x14ac:dyDescent="0.3">
      <c r="B79" s="37"/>
      <c r="G79" s="3"/>
      <c r="L79" s="3"/>
      <c r="M79" s="3"/>
      <c r="N79" s="3"/>
      <c r="O79" s="3"/>
      <c r="P79" s="3"/>
      <c r="Q79" s="3"/>
      <c r="R79" s="3"/>
      <c r="S79" s="3"/>
      <c r="T79" s="3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74"/>
    </row>
    <row r="80" spans="2:31" x14ac:dyDescent="0.3">
      <c r="B80" s="37"/>
      <c r="G80" s="3"/>
      <c r="L80" s="3"/>
      <c r="M80" s="3"/>
      <c r="N80" s="3"/>
      <c r="O80" s="3"/>
      <c r="P80" s="3"/>
      <c r="Q80" s="3"/>
      <c r="R80" s="3"/>
      <c r="S80" s="3"/>
      <c r="T80" s="3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74"/>
    </row>
    <row r="81" spans="2:20" x14ac:dyDescent="0.3">
      <c r="B81" s="37"/>
      <c r="T81" s="3"/>
    </row>
    <row r="82" spans="2:20" x14ac:dyDescent="0.3">
      <c r="B82" s="37"/>
      <c r="T82" s="3"/>
    </row>
    <row r="83" spans="2:20" x14ac:dyDescent="0.3">
      <c r="B83" s="37"/>
      <c r="T83" s="3"/>
    </row>
    <row r="84" spans="2:20" x14ac:dyDescent="0.3">
      <c r="B84" s="37"/>
      <c r="T84" s="3"/>
    </row>
    <row r="85" spans="2:20" x14ac:dyDescent="0.3">
      <c r="B85" s="37"/>
      <c r="T85" s="3"/>
    </row>
    <row r="86" spans="2:20" x14ac:dyDescent="0.3">
      <c r="B86" s="37"/>
      <c r="T86" s="3"/>
    </row>
    <row r="87" spans="2:20" x14ac:dyDescent="0.3">
      <c r="B87" s="37"/>
      <c r="T87" s="3"/>
    </row>
    <row r="88" spans="2:20" x14ac:dyDescent="0.3">
      <c r="B88" s="37"/>
      <c r="T88" s="3"/>
    </row>
    <row r="89" spans="2:20" x14ac:dyDescent="0.3">
      <c r="B89" s="37"/>
      <c r="T89" s="3"/>
    </row>
    <row r="90" spans="2:20" x14ac:dyDescent="0.3">
      <c r="B90" s="37"/>
      <c r="T90" s="3"/>
    </row>
    <row r="91" spans="2:20" x14ac:dyDescent="0.3">
      <c r="B91" s="37"/>
      <c r="T91" s="3"/>
    </row>
    <row r="92" spans="2:20" x14ac:dyDescent="0.3">
      <c r="B92" s="37"/>
      <c r="T92" s="3"/>
    </row>
    <row r="93" spans="2:20" x14ac:dyDescent="0.3">
      <c r="B93" s="37"/>
      <c r="T93" s="3"/>
    </row>
    <row r="94" spans="2:20" x14ac:dyDescent="0.3">
      <c r="B94" s="37"/>
      <c r="T94" s="3"/>
    </row>
    <row r="95" spans="2:20" x14ac:dyDescent="0.3">
      <c r="B95" s="37"/>
      <c r="T95" s="3"/>
    </row>
    <row r="96" spans="2:20" x14ac:dyDescent="0.3">
      <c r="B96" s="37"/>
      <c r="T96" s="3"/>
    </row>
    <row r="97" spans="2:20" x14ac:dyDescent="0.3">
      <c r="B97" s="37"/>
      <c r="T97" s="3"/>
    </row>
  </sheetData>
  <mergeCells count="2">
    <mergeCell ref="B1:V1"/>
    <mergeCell ref="B47:K47"/>
  </mergeCells>
  <conditionalFormatting sqref="E40">
    <cfRule type="cellIs" dxfId="71" priority="1" operator="greaterThan">
      <formula>$D$40</formula>
    </cfRule>
  </conditionalFormatting>
  <conditionalFormatting sqref="E37:E40">
    <cfRule type="cellIs" dxfId="70" priority="21" operator="equal">
      <formula>0</formula>
    </cfRule>
    <cfRule type="cellIs" dxfId="69" priority="22" operator="lessThan">
      <formula>0</formula>
    </cfRule>
  </conditionalFormatting>
  <conditionalFormatting sqref="F5:L34">
    <cfRule type="cellIs" dxfId="68" priority="20" operator="lessThan">
      <formula>0</formula>
    </cfRule>
  </conditionalFormatting>
  <conditionalFormatting sqref="F5:F34">
    <cfRule type="cellIs" dxfId="67" priority="19" operator="greaterThan">
      <formula>"0$T$10"</formula>
    </cfRule>
  </conditionalFormatting>
  <conditionalFormatting sqref="M5:M34">
    <cfRule type="cellIs" dxfId="66" priority="17" operator="greaterThan">
      <formula>100</formula>
    </cfRule>
    <cfRule type="cellIs" dxfId="65" priority="18" operator="lessThan">
      <formula>0</formula>
    </cfRule>
  </conditionalFormatting>
  <conditionalFormatting sqref="J43">
    <cfRule type="cellIs" dxfId="64" priority="8" operator="greaterThan">
      <formula>$D$37</formula>
    </cfRule>
    <cfRule type="cellIs" dxfId="63" priority="12" operator="lessThan">
      <formula>$D$37</formula>
    </cfRule>
    <cfRule type="cellIs" dxfId="62" priority="16" operator="equal">
      <formula>$D$37</formula>
    </cfRule>
  </conditionalFormatting>
  <conditionalFormatting sqref="J44">
    <cfRule type="cellIs" dxfId="61" priority="7" operator="greaterThan">
      <formula>$D$38</formula>
    </cfRule>
    <cfRule type="cellIs" dxfId="60" priority="11" operator="lessThan">
      <formula>$D$38</formula>
    </cfRule>
    <cfRule type="cellIs" dxfId="59" priority="15" operator="equal">
      <formula>$D$38</formula>
    </cfRule>
  </conditionalFormatting>
  <conditionalFormatting sqref="J45">
    <cfRule type="cellIs" dxfId="58" priority="6" operator="greaterThan">
      <formula>$D$39</formula>
    </cfRule>
    <cfRule type="cellIs" dxfId="57" priority="10" operator="lessThan">
      <formula>$D$39</formula>
    </cfRule>
    <cfRule type="cellIs" dxfId="56" priority="14" operator="equal">
      <formula>$D$39</formula>
    </cfRule>
  </conditionalFormatting>
  <conditionalFormatting sqref="J46">
    <cfRule type="cellIs" dxfId="55" priority="5" operator="greaterThan">
      <formula>$D$40</formula>
    </cfRule>
    <cfRule type="cellIs" dxfId="54" priority="9" operator="lessThan">
      <formula>$D$40</formula>
    </cfRule>
    <cfRule type="cellIs" dxfId="53" priority="13" operator="equal">
      <formula>$D$40</formula>
    </cfRule>
  </conditionalFormatting>
  <conditionalFormatting sqref="Q5:Q34">
    <cfRule type="cellIs" dxfId="52" priority="23" operator="greaterThan">
      <formula>$J$46</formula>
    </cfRule>
  </conditionalFormatting>
  <conditionalFormatting sqref="G5:G34">
    <cfRule type="cellIs" dxfId="51" priority="24" operator="greaterThan">
      <formula>$I$37</formula>
    </cfRule>
  </conditionalFormatting>
  <conditionalFormatting sqref="H5:H34">
    <cfRule type="cellIs" dxfId="50" priority="25" operator="greaterThan">
      <formula>$J$37</formula>
    </cfRule>
  </conditionalFormatting>
  <conditionalFormatting sqref="I5:I34">
    <cfRule type="cellIs" dxfId="49" priority="26" operator="greaterThan">
      <formula>$K$37</formula>
    </cfRule>
  </conditionalFormatting>
  <conditionalFormatting sqref="J5:J34">
    <cfRule type="cellIs" dxfId="48" priority="27" operator="greaterThan">
      <formula>$L$37</formula>
    </cfRule>
  </conditionalFormatting>
  <conditionalFormatting sqref="K5:K34">
    <cfRule type="cellIs" dxfId="47" priority="28" operator="greaterThan">
      <formula>$M$37</formula>
    </cfRule>
  </conditionalFormatting>
  <conditionalFormatting sqref="L5:L34">
    <cfRule type="cellIs" dxfId="46" priority="29" operator="greaterThan">
      <formula>$N$37</formula>
    </cfRule>
  </conditionalFormatting>
  <conditionalFormatting sqref="N5:N34">
    <cfRule type="cellIs" dxfId="45" priority="30" operator="greaterThan">
      <formula>$J$43</formula>
    </cfRule>
  </conditionalFormatting>
  <conditionalFormatting sqref="O5:O34">
    <cfRule type="cellIs" dxfId="44" priority="31" operator="greaterThan">
      <formula>$J$44</formula>
    </cfRule>
  </conditionalFormatting>
  <conditionalFormatting sqref="P5:P34">
    <cfRule type="cellIs" dxfId="43" priority="32" operator="greaterThan">
      <formula>$J$45</formula>
    </cfRule>
  </conditionalFormatting>
  <conditionalFormatting sqref="E37">
    <cfRule type="cellIs" dxfId="42" priority="4" operator="greaterThan">
      <formula>$D$37</formula>
    </cfRule>
  </conditionalFormatting>
  <conditionalFormatting sqref="E38">
    <cfRule type="cellIs" dxfId="41" priority="3" operator="greaterThan">
      <formula>$D$38</formula>
    </cfRule>
  </conditionalFormatting>
  <conditionalFormatting sqref="E39">
    <cfRule type="cellIs" dxfId="40" priority="2" operator="greaterThan">
      <formula>$D$39</formula>
    </cfRule>
  </conditionalFormatting>
  <pageMargins left="0.7" right="0.7" top="0.75" bottom="0.75" header="0.511811023622047" footer="0.511811023622047"/>
  <pageSetup paperSize="9" orientation="portrait" horizontalDpi="300" verticalDpi="300" r:id="rId1"/>
  <drawing r:id="rId2"/>
  <legacyDrawing r:id="rId3"/>
  <tableParts count="6">
    <tablePart r:id="rId4"/>
    <tablePart r:id="rId5"/>
    <tablePart r:id="rId6"/>
    <tablePart r:id="rId7"/>
    <tablePart r:id="rId8"/>
    <tablePart r:id="rId9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C48B5-1842-4765-918E-A618FE7D8BA7}">
  <dimension ref="B1:V45"/>
  <sheetViews>
    <sheetView zoomScale="55" zoomScaleNormal="55" workbookViewId="0">
      <selection activeCell="AE34" sqref="AE34"/>
    </sheetView>
  </sheetViews>
  <sheetFormatPr defaultRowHeight="14.4" x14ac:dyDescent="0.3"/>
  <cols>
    <col min="1" max="1" width="8.88671875" style="1"/>
    <col min="2" max="2" width="8.33203125" style="1" customWidth="1"/>
    <col min="3" max="3" width="17.44140625" style="1" bestFit="1" customWidth="1"/>
    <col min="4" max="4" width="11.6640625" style="1" bestFit="1" customWidth="1"/>
    <col min="5" max="5" width="12" style="1" customWidth="1"/>
    <col min="6" max="6" width="10" style="1" bestFit="1" customWidth="1"/>
    <col min="7" max="8" width="11.6640625" style="1" bestFit="1" customWidth="1"/>
    <col min="9" max="9" width="14.88671875" style="1" bestFit="1" customWidth="1"/>
    <col min="10" max="10" width="15.6640625" style="1" customWidth="1"/>
    <col min="11" max="11" width="17.44140625" style="1" bestFit="1" customWidth="1"/>
    <col min="12" max="12" width="15.6640625" style="1" bestFit="1" customWidth="1"/>
    <col min="13" max="13" width="16.88671875" style="1" customWidth="1"/>
    <col min="14" max="14" width="18.33203125" style="1" bestFit="1" customWidth="1"/>
    <col min="15" max="15" width="23.88671875" style="1" bestFit="1" customWidth="1"/>
    <col min="16" max="16" width="18" style="1" bestFit="1" customWidth="1"/>
    <col min="17" max="17" width="13.33203125" style="1" bestFit="1" customWidth="1"/>
    <col min="18" max="19" width="9.33203125" style="1" bestFit="1" customWidth="1"/>
    <col min="20" max="21" width="13.33203125" style="1" bestFit="1" customWidth="1"/>
    <col min="22" max="22" width="16.88671875" style="1" bestFit="1" customWidth="1"/>
    <col min="23" max="23" width="18.33203125" style="1" bestFit="1" customWidth="1"/>
    <col min="24" max="24" width="23.88671875" style="1" bestFit="1" customWidth="1"/>
    <col min="25" max="25" width="18" style="1" bestFit="1" customWidth="1"/>
    <col min="26" max="16384" width="8.88671875" style="1"/>
  </cols>
  <sheetData>
    <row r="1" spans="2:22" ht="33.6" x14ac:dyDescent="0.3">
      <c r="B1" s="59" t="s">
        <v>92</v>
      </c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</row>
    <row r="3" spans="2:22" x14ac:dyDescent="0.3">
      <c r="T3" s="43" t="s">
        <v>93</v>
      </c>
      <c r="U3" s="43" t="s">
        <v>94</v>
      </c>
    </row>
    <row r="4" spans="2:22" ht="15" thickBot="1" x14ac:dyDescent="0.35">
      <c r="B4" s="76" t="s">
        <v>37</v>
      </c>
      <c r="C4" s="39" t="s">
        <v>36</v>
      </c>
      <c r="D4" s="77" t="s">
        <v>17</v>
      </c>
      <c r="E4" s="77" t="s">
        <v>16</v>
      </c>
      <c r="F4" s="43" t="s">
        <v>95</v>
      </c>
      <c r="G4" s="43" t="s">
        <v>96</v>
      </c>
      <c r="H4" s="43" t="s">
        <v>97</v>
      </c>
      <c r="I4" s="43" t="s">
        <v>98</v>
      </c>
      <c r="J4" s="43" t="s">
        <v>99</v>
      </c>
      <c r="K4" s="43" t="s">
        <v>84</v>
      </c>
      <c r="L4" s="43" t="s">
        <v>3</v>
      </c>
      <c r="M4" s="43" t="s">
        <v>2</v>
      </c>
      <c r="N4" s="43" t="s">
        <v>1</v>
      </c>
      <c r="O4" s="43" t="s">
        <v>0</v>
      </c>
      <c r="P4" s="43" t="s">
        <v>79</v>
      </c>
      <c r="Q4" s="43" t="s">
        <v>65</v>
      </c>
      <c r="R4" s="43"/>
      <c r="S4" s="43"/>
      <c r="T4" s="1">
        <f>AVERAGE(Tablo3[TOTAL])</f>
        <v>4.6366666666666667</v>
      </c>
      <c r="U4" s="1">
        <f>_xlfn.STDEV.P(Tablo3[TOTAL])</f>
        <v>1.8974515072123006</v>
      </c>
    </row>
    <row r="5" spans="2:22" ht="15" thickTop="1" x14ac:dyDescent="0.3">
      <c r="B5" s="78">
        <v>1</v>
      </c>
      <c r="C5" s="35">
        <v>6</v>
      </c>
      <c r="D5" s="46" t="s">
        <v>17</v>
      </c>
      <c r="E5" s="46" t="s">
        <v>16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f>(Tablo3[[#This Row],[HW1]]+Tablo3[[#This Row],[HW2]]+Tablo3[[#This Row],[HW3]]+Tablo3[[#This Row],[HW4]]+Tablo3[[#This Row],[HW5]])/5</f>
        <v>0</v>
      </c>
      <c r="L5" s="1" cm="1">
        <f t="array" ref="L5">Tablo3[[#This Row],[HW1]]*$D$38/Tablo11[HW1]+Tablo3[[#This Row],[HW2]]*$E$38/Tablo11[HW2]+Tablo3[[#This Row],[HW3]]*$F$38/Tablo11[HW3]+Tablo3[[#This Row],[HW4]]*$G$38/Tablo11[HW4]+Tablo3[[#This Row],[HW5]]*$H$38/Tablo11[HW5]</f>
        <v>0</v>
      </c>
      <c r="M5" s="1" cm="1">
        <f t="array" ref="M5">Tablo3[[#This Row],[HW1]]*$D$39/Tablo11[HW1]+Tablo3[[#This Row],[HW2]]*$E$39/Tablo11[HW2]+Tablo3[[#This Row],[HW3]]*$F$39/Tablo11[HW3]+Tablo3[[#This Row],[HW4]]*$G$39/Tablo11[HW4]+Tablo3[[#This Row],[HW5]]*$H$39/Tablo11[HW5]</f>
        <v>0</v>
      </c>
      <c r="N5" s="1" cm="1">
        <f t="array" ref="N5">Tablo3[[#This Row],[HW1]]*$D$40/Tablo11[HW1]+Tablo3[[#This Row],[HW2]]*$E$40/Tablo11[HW2]+Tablo3[[#This Row],[HW3]]*$F$40/Tablo11[HW3]+Tablo3[[#This Row],[HW4]]*$G$40/Tablo11[HW4]+Tablo3[[#This Row],[HW5]]*$H$40/Tablo11[HW5]</f>
        <v>0</v>
      </c>
      <c r="O5" s="1" cm="1">
        <f t="array" ref="O5">Tablo3[[#This Row],[HW1]]*$D$41/Tablo11[HW1]+Tablo3[[#This Row],[HW2]]*$E$41/Tablo11[HW2]+Tablo3[[#This Row],[HW3]]*$F$41/Tablo11[HW3]+Tablo3[[#This Row],[HW4]]*$G$41/Tablo11[HW4]+Tablo3[[#This Row],[HW5]]*$H$41/Tablo11[HW5]</f>
        <v>0</v>
      </c>
      <c r="P5" s="1">
        <f t="shared" ref="P5:P34" si="0">SUM(L5,M5,N5,O5)</f>
        <v>0</v>
      </c>
      <c r="Q5" s="1">
        <f>_xlfn.NORM.DIST(Tablo3[[#This Row],[TOTAL]],$T$4,$U$4,FALSE)</f>
        <v>1.0618999877097624E-2</v>
      </c>
    </row>
    <row r="6" spans="2:22" x14ac:dyDescent="0.3">
      <c r="B6" s="79">
        <v>2</v>
      </c>
      <c r="C6" s="35">
        <v>5</v>
      </c>
      <c r="D6" s="46" t="s">
        <v>17</v>
      </c>
      <c r="E6" s="46" t="s">
        <v>16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f>(Tablo3[[#This Row],[HW1]]+Tablo3[[#This Row],[HW2]]+Tablo3[[#This Row],[HW3]]+Tablo3[[#This Row],[HW4]]+Tablo3[[#This Row],[HW5]])/5</f>
        <v>0</v>
      </c>
      <c r="L6" s="1" cm="1">
        <f t="array" ref="L6">Tablo3[[#This Row],[HW1]]*$D$38/Tablo11[HW1]+Tablo3[[#This Row],[HW2]]*$E$38/Tablo11[HW2]+Tablo3[[#This Row],[HW3]]*$F$38/Tablo11[HW3]+Tablo3[[#This Row],[HW4]]*$G$38/Tablo11[HW4]+Tablo3[[#This Row],[HW5]]*$H$38/Tablo11[HW5]</f>
        <v>0</v>
      </c>
      <c r="M6" s="1" cm="1">
        <f t="array" ref="M6">Tablo3[[#This Row],[HW1]]*$D$39/Tablo11[HW1]+Tablo3[[#This Row],[HW2]]*$E$39/Tablo11[HW2]+Tablo3[[#This Row],[HW3]]*$F$39/Tablo11[HW3]+Tablo3[[#This Row],[HW4]]*$G$39/Tablo11[HW4]+Tablo3[[#This Row],[HW5]]*$H$39/Tablo11[HW5]</f>
        <v>0</v>
      </c>
      <c r="N6" s="1" cm="1">
        <f t="array" ref="N6">Tablo3[[#This Row],[HW1]]*$D$40/Tablo11[HW1]+Tablo3[[#This Row],[HW2]]*$E$40/Tablo11[HW2]+Tablo3[[#This Row],[HW3]]*$F$40/Tablo11[HW3]+Tablo3[[#This Row],[HW4]]*$G$40/Tablo11[HW4]+Tablo3[[#This Row],[HW5]]*$H$40/Tablo11[HW5]</f>
        <v>0</v>
      </c>
      <c r="O6" s="1" cm="1">
        <f t="array" ref="O6">Tablo3[[#This Row],[HW1]]*$D$41/Tablo11[HW1]+Tablo3[[#This Row],[HW2]]*$E$41/Tablo11[HW2]+Tablo3[[#This Row],[HW3]]*$F$41/Tablo11[HW3]+Tablo3[[#This Row],[HW4]]*$G$41/Tablo11[HW4]+Tablo3[[#This Row],[HW5]]*$H$41/Tablo11[HW5]</f>
        <v>0</v>
      </c>
      <c r="P6" s="1">
        <f t="shared" si="0"/>
        <v>0</v>
      </c>
      <c r="Q6" s="1">
        <f>_xlfn.NORM.DIST(Tablo3[[#This Row],[TOTAL]],$T$4,$U$4,FALSE)</f>
        <v>1.0618999877097624E-2</v>
      </c>
    </row>
    <row r="7" spans="2:22" x14ac:dyDescent="0.3">
      <c r="B7" s="78">
        <v>3</v>
      </c>
      <c r="C7" s="35">
        <v>20</v>
      </c>
      <c r="D7" s="46" t="s">
        <v>17</v>
      </c>
      <c r="E7" s="46" t="s">
        <v>16</v>
      </c>
      <c r="F7" s="1">
        <v>2</v>
      </c>
      <c r="G7" s="1">
        <v>1</v>
      </c>
      <c r="H7" s="1">
        <v>0</v>
      </c>
      <c r="I7" s="1">
        <v>4</v>
      </c>
      <c r="J7" s="1">
        <v>3</v>
      </c>
      <c r="K7" s="1">
        <f>(Tablo3[[#This Row],[HW1]]+Tablo3[[#This Row],[HW2]]+Tablo3[[#This Row],[HW3]]+Tablo3[[#This Row],[HW4]]+Tablo3[[#This Row],[HW5]])/5</f>
        <v>2</v>
      </c>
      <c r="L7" s="1" cm="1">
        <f t="array" ref="L7">Tablo3[[#This Row],[HW1]]*$D$38/Tablo11[HW1]+Tablo3[[#This Row],[HW2]]*$E$38/Tablo11[HW2]+Tablo3[[#This Row],[HW3]]*$F$38/Tablo11[HW3]+Tablo3[[#This Row],[HW4]]*$G$38/Tablo11[HW4]+Tablo3[[#This Row],[HW5]]*$H$38/Tablo11[HW5]</f>
        <v>4.6666666666666661</v>
      </c>
      <c r="M7" s="1" cm="1">
        <f t="array" ref="M7">Tablo3[[#This Row],[HW1]]*$D$39/Tablo11[HW1]+Tablo3[[#This Row],[HW2]]*$E$39/Tablo11[HW2]+Tablo3[[#This Row],[HW3]]*$F$39/Tablo11[HW3]+Tablo3[[#This Row],[HW4]]*$G$39/Tablo11[HW4]+Tablo3[[#This Row],[HW5]]*$H$39/Tablo11[HW5]</f>
        <v>1</v>
      </c>
      <c r="N7" s="1" cm="1">
        <f t="array" ref="N7">Tablo3[[#This Row],[HW1]]*$D$40/Tablo11[HW1]+Tablo3[[#This Row],[HW2]]*$E$40/Tablo11[HW2]+Tablo3[[#This Row],[HW3]]*$F$40/Tablo11[HW3]+Tablo3[[#This Row],[HW4]]*$G$40/Tablo11[HW4]+Tablo3[[#This Row],[HW5]]*$H$40/Tablo11[HW5]</f>
        <v>2.4166666666666665</v>
      </c>
      <c r="O7" s="1" cm="1">
        <f t="array" ref="O7">Tablo3[[#This Row],[HW1]]*$D$41/Tablo11[HW1]+Tablo3[[#This Row],[HW2]]*$E$41/Tablo11[HW2]+Tablo3[[#This Row],[HW3]]*$F$41/Tablo11[HW3]+Tablo3[[#This Row],[HW4]]*$G$41/Tablo11[HW4]+Tablo3[[#This Row],[HW5]]*$H$41/Tablo11[HW5]</f>
        <v>1</v>
      </c>
      <c r="P7" s="1">
        <f t="shared" si="0"/>
        <v>9.0833333333333321</v>
      </c>
      <c r="Q7" s="1">
        <f>_xlfn.NORM.DIST(Tablo3[[#This Row],[TOTAL]],$T$4,$U$4,FALSE)</f>
        <v>8.0064646434437295E-2</v>
      </c>
    </row>
    <row r="8" spans="2:22" x14ac:dyDescent="0.3">
      <c r="B8" s="79">
        <v>4</v>
      </c>
      <c r="C8" s="35">
        <v>25</v>
      </c>
      <c r="D8" s="46" t="s">
        <v>17</v>
      </c>
      <c r="E8" s="46" t="s">
        <v>16</v>
      </c>
      <c r="F8" s="1">
        <v>0</v>
      </c>
      <c r="G8" s="1">
        <v>0</v>
      </c>
      <c r="H8" s="1">
        <v>5</v>
      </c>
      <c r="I8" s="1">
        <v>0</v>
      </c>
      <c r="J8" s="1">
        <v>6</v>
      </c>
      <c r="K8" s="1">
        <f>(Tablo3[[#This Row],[HW1]]+Tablo3[[#This Row],[HW2]]+Tablo3[[#This Row],[HW3]]+Tablo3[[#This Row],[HW4]]+Tablo3[[#This Row],[HW5]])/5</f>
        <v>2.2000000000000002</v>
      </c>
      <c r="L8" s="1" cm="1">
        <f t="array" ref="L8">Tablo3[[#This Row],[HW1]]*$D$38/Tablo11[HW1]+Tablo3[[#This Row],[HW2]]*$E$38/Tablo11[HW2]+Tablo3[[#This Row],[HW3]]*$F$38/Tablo11[HW3]+Tablo3[[#This Row],[HW4]]*$G$38/Tablo11[HW4]+Tablo3[[#This Row],[HW5]]*$H$38/Tablo11[HW5]</f>
        <v>5.5</v>
      </c>
      <c r="M8" s="1" cm="1">
        <f t="array" ref="M8">Tablo3[[#This Row],[HW1]]*$D$39/Tablo11[HW1]+Tablo3[[#This Row],[HW2]]*$E$39/Tablo11[HW2]+Tablo3[[#This Row],[HW3]]*$F$39/Tablo11[HW3]+Tablo3[[#This Row],[HW4]]*$G$39/Tablo11[HW4]+Tablo3[[#This Row],[HW5]]*$H$39/Tablo11[HW5]</f>
        <v>0</v>
      </c>
      <c r="N8" s="1" cm="1">
        <f t="array" ref="N8">Tablo3[[#This Row],[HW1]]*$D$40/Tablo11[HW1]+Tablo3[[#This Row],[HW2]]*$E$40/Tablo11[HW2]+Tablo3[[#This Row],[HW3]]*$F$40/Tablo11[HW3]+Tablo3[[#This Row],[HW4]]*$G$40/Tablo11[HW4]+Tablo3[[#This Row],[HW5]]*$H$40/Tablo11[HW5]</f>
        <v>1.5</v>
      </c>
      <c r="O8" s="1" cm="1">
        <f t="array" ref="O8">Tablo3[[#This Row],[HW1]]*$D$41/Tablo11[HW1]+Tablo3[[#This Row],[HW2]]*$E$41/Tablo11[HW2]+Tablo3[[#This Row],[HW3]]*$F$41/Tablo11[HW3]+Tablo3[[#This Row],[HW4]]*$G$41/Tablo11[HW4]+Tablo3[[#This Row],[HW5]]*$H$41/Tablo11[HW5]</f>
        <v>0</v>
      </c>
      <c r="P8" s="1">
        <f t="shared" si="0"/>
        <v>7</v>
      </c>
      <c r="Q8" s="1">
        <f>_xlfn.NORM.DIST(Tablo3[[#This Row],[TOTAL]],$T$4,$U$4,FALSE)</f>
        <v>9.2180416175694557E-2</v>
      </c>
    </row>
    <row r="9" spans="2:22" x14ac:dyDescent="0.3">
      <c r="B9" s="78">
        <v>5</v>
      </c>
      <c r="C9" s="35">
        <v>18</v>
      </c>
      <c r="D9" s="46" t="s">
        <v>17</v>
      </c>
      <c r="E9" s="46" t="s">
        <v>16</v>
      </c>
      <c r="F9" s="1">
        <v>0</v>
      </c>
      <c r="G9" s="1">
        <v>0</v>
      </c>
      <c r="H9" s="1">
        <v>6</v>
      </c>
      <c r="I9" s="1">
        <v>6</v>
      </c>
      <c r="J9" s="1">
        <v>2</v>
      </c>
      <c r="K9" s="1">
        <f>(Tablo3[[#This Row],[HW1]]+Tablo3[[#This Row],[HW2]]+Tablo3[[#This Row],[HW3]]+Tablo3[[#This Row],[HW4]]+Tablo3[[#This Row],[HW5]])/5</f>
        <v>2.8</v>
      </c>
      <c r="L9" s="1" cm="1">
        <f t="array" ref="L9">Tablo3[[#This Row],[HW1]]*$D$38/Tablo11[HW1]+Tablo3[[#This Row],[HW2]]*$E$38/Tablo11[HW2]+Tablo3[[#This Row],[HW3]]*$F$38/Tablo11[HW3]+Tablo3[[#This Row],[HW4]]*$G$38/Tablo11[HW4]+Tablo3[[#This Row],[HW5]]*$H$38/Tablo11[HW5]</f>
        <v>8</v>
      </c>
      <c r="M9" s="1" cm="1">
        <f t="array" ref="M9">Tablo3[[#This Row],[HW1]]*$D$39/Tablo11[HW1]+Tablo3[[#This Row],[HW2]]*$E$39/Tablo11[HW2]+Tablo3[[#This Row],[HW3]]*$F$39/Tablo11[HW3]+Tablo3[[#This Row],[HW4]]*$G$39/Tablo11[HW4]+Tablo3[[#This Row],[HW5]]*$H$39/Tablo11[HW5]</f>
        <v>0</v>
      </c>
      <c r="N9" s="1" cm="1">
        <f t="array" ref="N9">Tablo3[[#This Row],[HW1]]*$D$40/Tablo11[HW1]+Tablo3[[#This Row],[HW2]]*$E$40/Tablo11[HW2]+Tablo3[[#This Row],[HW3]]*$F$40/Tablo11[HW3]+Tablo3[[#This Row],[HW4]]*$G$40/Tablo11[HW4]+Tablo3[[#This Row],[HW5]]*$H$40/Tablo11[HW5]</f>
        <v>1.5</v>
      </c>
      <c r="O9" s="1" cm="1">
        <f t="array" ref="O9">Tablo3[[#This Row],[HW1]]*$D$41/Tablo11[HW1]+Tablo3[[#This Row],[HW2]]*$E$41/Tablo11[HW2]+Tablo3[[#This Row],[HW3]]*$F$41/Tablo11[HW3]+Tablo3[[#This Row],[HW4]]*$G$41/Tablo11[HW4]+Tablo3[[#This Row],[HW5]]*$H$41/Tablo11[HW5]</f>
        <v>0</v>
      </c>
      <c r="P9" s="1">
        <f t="shared" si="0"/>
        <v>9.5</v>
      </c>
      <c r="Q9" s="1">
        <f>_xlfn.NORM.DIST(Tablo3[[#This Row],[TOTAL]],$T$4,$U$4,FALSE)</f>
        <v>0.13160788610670937</v>
      </c>
    </row>
    <row r="10" spans="2:22" x14ac:dyDescent="0.3">
      <c r="B10" s="79">
        <v>6</v>
      </c>
      <c r="C10" s="35">
        <v>14</v>
      </c>
      <c r="D10" s="46" t="s">
        <v>17</v>
      </c>
      <c r="E10" s="46" t="s">
        <v>16</v>
      </c>
      <c r="F10" s="1">
        <v>0</v>
      </c>
      <c r="G10" s="1">
        <v>1</v>
      </c>
      <c r="H10" s="1">
        <v>8</v>
      </c>
      <c r="I10" s="1">
        <v>3</v>
      </c>
      <c r="J10" s="1">
        <v>5</v>
      </c>
      <c r="K10" s="1">
        <f>(Tablo3[[#This Row],[HW1]]+Tablo3[[#This Row],[HW2]]+Tablo3[[#This Row],[HW3]]+Tablo3[[#This Row],[HW4]]+Tablo3[[#This Row],[HW5]])/5</f>
        <v>3.4</v>
      </c>
      <c r="L10" s="1" cm="1">
        <f t="array" ref="L10">Tablo3[[#This Row],[HW1]]*$D$38/Tablo11[HW1]+Tablo3[[#This Row],[HW2]]*$E$38/Tablo11[HW2]+Tablo3[[#This Row],[HW3]]*$F$38/Tablo11[HW3]+Tablo3[[#This Row],[HW4]]*$G$38/Tablo11[HW4]+Tablo3[[#This Row],[HW5]]*$H$38/Tablo11[HW5]</f>
        <v>9</v>
      </c>
      <c r="M10" s="1" cm="1">
        <f t="array" ref="M10">Tablo3[[#This Row],[HW1]]*$D$39/Tablo11[HW1]+Tablo3[[#This Row],[HW2]]*$E$39/Tablo11[HW2]+Tablo3[[#This Row],[HW3]]*$F$39/Tablo11[HW3]+Tablo3[[#This Row],[HW4]]*$G$39/Tablo11[HW4]+Tablo3[[#This Row],[HW5]]*$H$39/Tablo11[HW5]</f>
        <v>1</v>
      </c>
      <c r="N10" s="1" cm="1">
        <f t="array" ref="N10">Tablo3[[#This Row],[HW1]]*$D$40/Tablo11[HW1]+Tablo3[[#This Row],[HW2]]*$E$40/Tablo11[HW2]+Tablo3[[#This Row],[HW3]]*$F$40/Tablo11[HW3]+Tablo3[[#This Row],[HW4]]*$G$40/Tablo11[HW4]+Tablo3[[#This Row],[HW5]]*$H$40/Tablo11[HW5]</f>
        <v>2.25</v>
      </c>
      <c r="O10" s="1" cm="1">
        <f t="array" ref="O10">Tablo3[[#This Row],[HW1]]*$D$41/Tablo11[HW1]+Tablo3[[#This Row],[HW2]]*$E$41/Tablo11[HW2]+Tablo3[[#This Row],[HW3]]*$F$41/Tablo11[HW3]+Tablo3[[#This Row],[HW4]]*$G$41/Tablo11[HW4]+Tablo3[[#This Row],[HW5]]*$H$41/Tablo11[HW5]</f>
        <v>0</v>
      </c>
      <c r="P10" s="1">
        <f t="shared" si="0"/>
        <v>12.25</v>
      </c>
      <c r="Q10" s="1">
        <f>_xlfn.NORM.DIST(Tablo3[[#This Row],[TOTAL]],$T$4,$U$4,FALSE)</f>
        <v>0.17001983922354477</v>
      </c>
    </row>
    <row r="11" spans="2:22" x14ac:dyDescent="0.3">
      <c r="B11" s="78">
        <v>7</v>
      </c>
      <c r="C11" s="35">
        <v>27</v>
      </c>
      <c r="D11" s="46" t="s">
        <v>17</v>
      </c>
      <c r="E11" s="46" t="s">
        <v>16</v>
      </c>
      <c r="F11" s="1">
        <v>1</v>
      </c>
      <c r="G11" s="1">
        <v>1</v>
      </c>
      <c r="H11" s="1">
        <v>7</v>
      </c>
      <c r="I11" s="1">
        <v>5</v>
      </c>
      <c r="J11" s="1">
        <v>6</v>
      </c>
      <c r="K11" s="1">
        <f>(Tablo3[[#This Row],[HW1]]+Tablo3[[#This Row],[HW2]]+Tablo3[[#This Row],[HW3]]+Tablo3[[#This Row],[HW4]]+Tablo3[[#This Row],[HW5]])/5</f>
        <v>4</v>
      </c>
      <c r="L11" s="1" cm="1">
        <f t="array" ref="L11">Tablo3[[#This Row],[HW1]]*$D$38/Tablo11[HW1]+Tablo3[[#This Row],[HW2]]*$E$38/Tablo11[HW2]+Tablo3[[#This Row],[HW3]]*$F$38/Tablo11[HW3]+Tablo3[[#This Row],[HW4]]*$G$38/Tablo11[HW4]+Tablo3[[#This Row],[HW5]]*$H$38/Tablo11[HW5]</f>
        <v>10.333333333333334</v>
      </c>
      <c r="M11" s="1" cm="1">
        <f t="array" ref="M11">Tablo3[[#This Row],[HW1]]*$D$39/Tablo11[HW1]+Tablo3[[#This Row],[HW2]]*$E$39/Tablo11[HW2]+Tablo3[[#This Row],[HW3]]*$F$39/Tablo11[HW3]+Tablo3[[#This Row],[HW4]]*$G$39/Tablo11[HW4]+Tablo3[[#This Row],[HW5]]*$H$39/Tablo11[HW5]</f>
        <v>1</v>
      </c>
      <c r="N11" s="1" cm="1">
        <f t="array" ref="N11">Tablo3[[#This Row],[HW1]]*$D$40/Tablo11[HW1]+Tablo3[[#This Row],[HW2]]*$E$40/Tablo11[HW2]+Tablo3[[#This Row],[HW3]]*$F$40/Tablo11[HW3]+Tablo3[[#This Row],[HW4]]*$G$40/Tablo11[HW4]+Tablo3[[#This Row],[HW5]]*$H$40/Tablo11[HW5]</f>
        <v>3.0833333333333335</v>
      </c>
      <c r="O11" s="1" cm="1">
        <f t="array" ref="O11">Tablo3[[#This Row],[HW1]]*$D$41/Tablo11[HW1]+Tablo3[[#This Row],[HW2]]*$E$41/Tablo11[HW2]+Tablo3[[#This Row],[HW3]]*$F$41/Tablo11[HW3]+Tablo3[[#This Row],[HW4]]*$G$41/Tablo11[HW4]+Tablo3[[#This Row],[HW5]]*$H$41/Tablo11[HW5]</f>
        <v>0.5</v>
      </c>
      <c r="P11" s="1">
        <f t="shared" si="0"/>
        <v>14.916666666666668</v>
      </c>
      <c r="Q11" s="1">
        <f>_xlfn.NORM.DIST(Tablo3[[#This Row],[TOTAL]],$T$4,$U$4,FALSE)</f>
        <v>0.19874294797332615</v>
      </c>
    </row>
    <row r="12" spans="2:22" x14ac:dyDescent="0.3">
      <c r="B12" s="79">
        <v>8</v>
      </c>
      <c r="C12" s="35">
        <v>9</v>
      </c>
      <c r="D12" s="46" t="s">
        <v>17</v>
      </c>
      <c r="E12" s="46" t="s">
        <v>16</v>
      </c>
      <c r="F12" s="1">
        <v>0</v>
      </c>
      <c r="G12" s="1">
        <v>2</v>
      </c>
      <c r="H12" s="1">
        <v>8</v>
      </c>
      <c r="I12" s="1">
        <v>5</v>
      </c>
      <c r="J12" s="1">
        <v>5</v>
      </c>
      <c r="K12" s="1">
        <f>(Tablo3[[#This Row],[HW1]]+Tablo3[[#This Row],[HW2]]+Tablo3[[#This Row],[HW3]]+Tablo3[[#This Row],[HW4]]+Tablo3[[#This Row],[HW5]])/5</f>
        <v>4</v>
      </c>
      <c r="L12" s="1" cm="1">
        <f t="array" ref="L12">Tablo3[[#This Row],[HW1]]*$D$38/Tablo11[HW1]+Tablo3[[#This Row],[HW2]]*$E$38/Tablo11[HW2]+Tablo3[[#This Row],[HW3]]*$F$38/Tablo11[HW3]+Tablo3[[#This Row],[HW4]]*$G$38/Tablo11[HW4]+Tablo3[[#This Row],[HW5]]*$H$38/Tablo11[HW5]</f>
        <v>10.833333333333334</v>
      </c>
      <c r="M12" s="1" cm="1">
        <f t="array" ref="M12">Tablo3[[#This Row],[HW1]]*$D$39/Tablo11[HW1]+Tablo3[[#This Row],[HW2]]*$E$39/Tablo11[HW2]+Tablo3[[#This Row],[HW3]]*$F$39/Tablo11[HW3]+Tablo3[[#This Row],[HW4]]*$G$39/Tablo11[HW4]+Tablo3[[#This Row],[HW5]]*$H$39/Tablo11[HW5]</f>
        <v>2</v>
      </c>
      <c r="N12" s="1" cm="1">
        <f t="array" ref="N12">Tablo3[[#This Row],[HW1]]*$D$40/Tablo11[HW1]+Tablo3[[#This Row],[HW2]]*$E$40/Tablo11[HW2]+Tablo3[[#This Row],[HW3]]*$F$40/Tablo11[HW3]+Tablo3[[#This Row],[HW4]]*$G$40/Tablo11[HW4]+Tablo3[[#This Row],[HW5]]*$H$40/Tablo11[HW5]</f>
        <v>3.0833333333333335</v>
      </c>
      <c r="O12" s="1" cm="1">
        <f t="array" ref="O12">Tablo3[[#This Row],[HW1]]*$D$41/Tablo11[HW1]+Tablo3[[#This Row],[HW2]]*$E$41/Tablo11[HW2]+Tablo3[[#This Row],[HW3]]*$F$41/Tablo11[HW3]+Tablo3[[#This Row],[HW4]]*$G$41/Tablo11[HW4]+Tablo3[[#This Row],[HW5]]*$H$41/Tablo11[HW5]</f>
        <v>0</v>
      </c>
      <c r="P12" s="1">
        <f t="shared" si="0"/>
        <v>15.916666666666668</v>
      </c>
      <c r="Q12" s="1">
        <f>_xlfn.NORM.DIST(Tablo3[[#This Row],[TOTAL]],$T$4,$U$4,FALSE)</f>
        <v>0.19874294797332615</v>
      </c>
    </row>
    <row r="13" spans="2:22" x14ac:dyDescent="0.3">
      <c r="B13" s="78">
        <v>9</v>
      </c>
      <c r="C13" s="35">
        <v>29</v>
      </c>
      <c r="D13" s="46" t="s">
        <v>17</v>
      </c>
      <c r="E13" s="46" t="s">
        <v>16</v>
      </c>
      <c r="F13" s="1">
        <v>0</v>
      </c>
      <c r="G13" s="1">
        <v>0</v>
      </c>
      <c r="H13" s="1">
        <v>7</v>
      </c>
      <c r="I13" s="1">
        <v>8</v>
      </c>
      <c r="J13" s="1">
        <v>6</v>
      </c>
      <c r="K13" s="1">
        <f>(Tablo3[[#This Row],[HW1]]+Tablo3[[#This Row],[HW2]]+Tablo3[[#This Row],[HW3]]+Tablo3[[#This Row],[HW4]]+Tablo3[[#This Row],[HW5]])/5</f>
        <v>4.2</v>
      </c>
      <c r="L13" s="1" cm="1">
        <f t="array" ref="L13">Tablo3[[#This Row],[HW1]]*$D$38/Tablo11[HW1]+Tablo3[[#This Row],[HW2]]*$E$38/Tablo11[HW2]+Tablo3[[#This Row],[HW3]]*$F$38/Tablo11[HW3]+Tablo3[[#This Row],[HW4]]*$G$38/Tablo11[HW4]+Tablo3[[#This Row],[HW5]]*$H$38/Tablo11[HW5]</f>
        <v>11.833333333333332</v>
      </c>
      <c r="M13" s="1" cm="1">
        <f t="array" ref="M13">Tablo3[[#This Row],[HW1]]*$D$39/Tablo11[HW1]+Tablo3[[#This Row],[HW2]]*$E$39/Tablo11[HW2]+Tablo3[[#This Row],[HW3]]*$F$39/Tablo11[HW3]+Tablo3[[#This Row],[HW4]]*$G$39/Tablo11[HW4]+Tablo3[[#This Row],[HW5]]*$H$39/Tablo11[HW5]</f>
        <v>0</v>
      </c>
      <c r="N13" s="1" cm="1">
        <f t="array" ref="N13">Tablo3[[#This Row],[HW1]]*$D$40/Tablo11[HW1]+Tablo3[[#This Row],[HW2]]*$E$40/Tablo11[HW2]+Tablo3[[#This Row],[HW3]]*$F$40/Tablo11[HW3]+Tablo3[[#This Row],[HW4]]*$G$40/Tablo11[HW4]+Tablo3[[#This Row],[HW5]]*$H$40/Tablo11[HW5]</f>
        <v>2.833333333333333</v>
      </c>
      <c r="O13" s="1" cm="1">
        <f t="array" ref="O13">Tablo3[[#This Row],[HW1]]*$D$41/Tablo11[HW1]+Tablo3[[#This Row],[HW2]]*$E$41/Tablo11[HW2]+Tablo3[[#This Row],[HW3]]*$F$41/Tablo11[HW3]+Tablo3[[#This Row],[HW4]]*$G$41/Tablo11[HW4]+Tablo3[[#This Row],[HW5]]*$H$41/Tablo11[HW5]</f>
        <v>0</v>
      </c>
      <c r="P13" s="1">
        <f t="shared" si="0"/>
        <v>14.666666666666664</v>
      </c>
      <c r="Q13" s="1">
        <f>_xlfn.NORM.DIST(Tablo3[[#This Row],[TOTAL]],$T$4,$U$4,FALSE)</f>
        <v>0.20475710386720036</v>
      </c>
    </row>
    <row r="14" spans="2:22" x14ac:dyDescent="0.3">
      <c r="B14" s="79">
        <v>10</v>
      </c>
      <c r="C14" s="35">
        <v>3</v>
      </c>
      <c r="D14" s="5" t="s">
        <v>17</v>
      </c>
      <c r="E14" s="46" t="s">
        <v>16</v>
      </c>
      <c r="F14" s="1">
        <v>8</v>
      </c>
      <c r="G14" s="1">
        <v>1</v>
      </c>
      <c r="H14" s="1">
        <v>8</v>
      </c>
      <c r="I14" s="1">
        <v>2</v>
      </c>
      <c r="J14" s="1">
        <v>2</v>
      </c>
      <c r="K14" s="1">
        <f>(Tablo3[[#This Row],[HW1]]+Tablo3[[#This Row],[HW2]]+Tablo3[[#This Row],[HW3]]+Tablo3[[#This Row],[HW4]]+Tablo3[[#This Row],[HW5]])/5</f>
        <v>4.2</v>
      </c>
      <c r="L14" s="1" cm="1">
        <f t="array" ref="L14">Tablo3[[#This Row],[HW1]]*$D$38/Tablo11[HW1]+Tablo3[[#This Row],[HW2]]*$E$38/Tablo11[HW2]+Tablo3[[#This Row],[HW3]]*$F$38/Tablo11[HW3]+Tablo3[[#This Row],[HW4]]*$G$38/Tablo11[HW4]+Tablo3[[#This Row],[HW5]]*$H$38/Tablo11[HW5]</f>
        <v>6.833333333333333</v>
      </c>
      <c r="M14" s="1" cm="1">
        <f t="array" ref="M14">Tablo3[[#This Row],[HW1]]*$D$39/Tablo11[HW1]+Tablo3[[#This Row],[HW2]]*$E$39/Tablo11[HW2]+Tablo3[[#This Row],[HW3]]*$F$39/Tablo11[HW3]+Tablo3[[#This Row],[HW4]]*$G$39/Tablo11[HW4]+Tablo3[[#This Row],[HW5]]*$H$39/Tablo11[HW5]</f>
        <v>1</v>
      </c>
      <c r="N14" s="1" cm="1">
        <f t="array" ref="N14">Tablo3[[#This Row],[HW1]]*$D$40/Tablo11[HW1]+Tablo3[[#This Row],[HW2]]*$E$40/Tablo11[HW2]+Tablo3[[#This Row],[HW3]]*$F$40/Tablo11[HW3]+Tablo3[[#This Row],[HW4]]*$G$40/Tablo11[HW4]+Tablo3[[#This Row],[HW5]]*$H$40/Tablo11[HW5]</f>
        <v>3.3333333333333335</v>
      </c>
      <c r="O14" s="1" cm="1">
        <f t="array" ref="O14">Tablo3[[#This Row],[HW1]]*$D$41/Tablo11[HW1]+Tablo3[[#This Row],[HW2]]*$E$41/Tablo11[HW2]+Tablo3[[#This Row],[HW3]]*$F$41/Tablo11[HW3]+Tablo3[[#This Row],[HW4]]*$G$41/Tablo11[HW4]+Tablo3[[#This Row],[HW5]]*$H$41/Tablo11[HW5]</f>
        <v>4</v>
      </c>
      <c r="P14" s="1">
        <f t="shared" si="0"/>
        <v>15.166666666666666</v>
      </c>
      <c r="Q14" s="1">
        <f>_xlfn.NORM.DIST(Tablo3[[#This Row],[TOTAL]],$T$4,$U$4,FALSE)</f>
        <v>0.20475710386720036</v>
      </c>
    </row>
    <row r="15" spans="2:22" x14ac:dyDescent="0.3">
      <c r="B15" s="78">
        <v>11</v>
      </c>
      <c r="C15" s="35">
        <v>22</v>
      </c>
      <c r="D15" s="46" t="s">
        <v>17</v>
      </c>
      <c r="E15" s="46" t="s">
        <v>16</v>
      </c>
      <c r="F15" s="1">
        <v>1</v>
      </c>
      <c r="G15" s="1">
        <v>1</v>
      </c>
      <c r="H15" s="1">
        <v>8</v>
      </c>
      <c r="I15" s="1">
        <v>9</v>
      </c>
      <c r="J15" s="1">
        <v>3</v>
      </c>
      <c r="K15" s="1">
        <f>(Tablo3[[#This Row],[HW1]]+Tablo3[[#This Row],[HW2]]+Tablo3[[#This Row],[HW3]]+Tablo3[[#This Row],[HW4]]+Tablo3[[#This Row],[HW5]])/5</f>
        <v>4.4000000000000004</v>
      </c>
      <c r="L15" s="1" cm="1">
        <f t="array" ref="L15">Tablo3[[#This Row],[HW1]]*$D$38/Tablo11[HW1]+Tablo3[[#This Row],[HW2]]*$E$38/Tablo11[HW2]+Tablo3[[#This Row],[HW3]]*$F$38/Tablo11[HW3]+Tablo3[[#This Row],[HW4]]*$G$38/Tablo11[HW4]+Tablo3[[#This Row],[HW5]]*$H$38/Tablo11[HW5]</f>
        <v>12</v>
      </c>
      <c r="M15" s="1" cm="1">
        <f t="array" ref="M15">Tablo3[[#This Row],[HW1]]*$D$39/Tablo11[HW1]+Tablo3[[#This Row],[HW2]]*$E$39/Tablo11[HW2]+Tablo3[[#This Row],[HW3]]*$F$39/Tablo11[HW3]+Tablo3[[#This Row],[HW4]]*$G$39/Tablo11[HW4]+Tablo3[[#This Row],[HW5]]*$H$39/Tablo11[HW5]</f>
        <v>1</v>
      </c>
      <c r="N15" s="1" cm="1">
        <f t="array" ref="N15">Tablo3[[#This Row],[HW1]]*$D$40/Tablo11[HW1]+Tablo3[[#This Row],[HW2]]*$E$40/Tablo11[HW2]+Tablo3[[#This Row],[HW3]]*$F$40/Tablo11[HW3]+Tablo3[[#This Row],[HW4]]*$G$40/Tablo11[HW4]+Tablo3[[#This Row],[HW5]]*$H$40/Tablo11[HW5]</f>
        <v>3</v>
      </c>
      <c r="O15" s="1" cm="1">
        <f t="array" ref="O15">Tablo3[[#This Row],[HW1]]*$D$41/Tablo11[HW1]+Tablo3[[#This Row],[HW2]]*$E$41/Tablo11[HW2]+Tablo3[[#This Row],[HW3]]*$F$41/Tablo11[HW3]+Tablo3[[#This Row],[HW4]]*$G$41/Tablo11[HW4]+Tablo3[[#This Row],[HW5]]*$H$41/Tablo11[HW5]</f>
        <v>0.5</v>
      </c>
      <c r="P15" s="1">
        <f t="shared" si="0"/>
        <v>16.5</v>
      </c>
      <c r="Q15" s="1">
        <f>_xlfn.NORM.DIST(Tablo3[[#This Row],[TOTAL]],$T$4,$U$4,FALSE)</f>
        <v>0.20862251012305136</v>
      </c>
    </row>
    <row r="16" spans="2:22" x14ac:dyDescent="0.3">
      <c r="B16" s="79">
        <v>12</v>
      </c>
      <c r="C16" s="35">
        <v>13</v>
      </c>
      <c r="D16" s="46" t="s">
        <v>17</v>
      </c>
      <c r="E16" s="46" t="s">
        <v>16</v>
      </c>
      <c r="F16" s="1">
        <v>3</v>
      </c>
      <c r="G16" s="1">
        <v>1</v>
      </c>
      <c r="H16" s="1">
        <v>1</v>
      </c>
      <c r="I16" s="1">
        <v>8</v>
      </c>
      <c r="J16" s="1">
        <v>9</v>
      </c>
      <c r="K16" s="1">
        <f>(Tablo3[[#This Row],[HW1]]+Tablo3[[#This Row],[HW2]]+Tablo3[[#This Row],[HW3]]+Tablo3[[#This Row],[HW4]]+Tablo3[[#This Row],[HW5]])/5</f>
        <v>4.4000000000000004</v>
      </c>
      <c r="L16" s="1" cm="1">
        <f t="array" ref="L16">Tablo3[[#This Row],[HW1]]*$D$38/Tablo11[HW1]+Tablo3[[#This Row],[HW2]]*$E$38/Tablo11[HW2]+Tablo3[[#This Row],[HW3]]*$F$38/Tablo11[HW3]+Tablo3[[#This Row],[HW4]]*$G$38/Tablo11[HW4]+Tablo3[[#This Row],[HW5]]*$H$38/Tablo11[HW5]</f>
        <v>10.833333333333332</v>
      </c>
      <c r="M16" s="1" cm="1">
        <f t="array" ref="M16">Tablo3[[#This Row],[HW1]]*$D$39/Tablo11[HW1]+Tablo3[[#This Row],[HW2]]*$E$39/Tablo11[HW2]+Tablo3[[#This Row],[HW3]]*$F$39/Tablo11[HW3]+Tablo3[[#This Row],[HW4]]*$G$39/Tablo11[HW4]+Tablo3[[#This Row],[HW5]]*$H$39/Tablo11[HW5]</f>
        <v>1</v>
      </c>
      <c r="N16" s="1" cm="1">
        <f t="array" ref="N16">Tablo3[[#This Row],[HW1]]*$D$40/Tablo11[HW1]+Tablo3[[#This Row],[HW2]]*$E$40/Tablo11[HW2]+Tablo3[[#This Row],[HW3]]*$F$40/Tablo11[HW3]+Tablo3[[#This Row],[HW4]]*$G$40/Tablo11[HW4]+Tablo3[[#This Row],[HW5]]*$H$40/Tablo11[HW5]</f>
        <v>4.833333333333333</v>
      </c>
      <c r="O16" s="1" cm="1">
        <f t="array" ref="O16">Tablo3[[#This Row],[HW1]]*$D$41/Tablo11[HW1]+Tablo3[[#This Row],[HW2]]*$E$41/Tablo11[HW2]+Tablo3[[#This Row],[HW3]]*$F$41/Tablo11[HW3]+Tablo3[[#This Row],[HW4]]*$G$41/Tablo11[HW4]+Tablo3[[#This Row],[HW5]]*$H$41/Tablo11[HW5]</f>
        <v>1.5</v>
      </c>
      <c r="P16" s="1">
        <f t="shared" si="0"/>
        <v>18.166666666666664</v>
      </c>
      <c r="Q16" s="1">
        <f>_xlfn.NORM.DIST(Tablo3[[#This Row],[TOTAL]],$T$4,$U$4,FALSE)</f>
        <v>0.20862251012305136</v>
      </c>
    </row>
    <row r="17" spans="2:17" x14ac:dyDescent="0.3">
      <c r="B17" s="78">
        <v>13</v>
      </c>
      <c r="C17" s="35">
        <v>11</v>
      </c>
      <c r="D17" s="46" t="s">
        <v>17</v>
      </c>
      <c r="E17" s="46" t="s">
        <v>16</v>
      </c>
      <c r="F17" s="1">
        <v>6</v>
      </c>
      <c r="G17" s="1">
        <v>2</v>
      </c>
      <c r="H17" s="1">
        <v>0</v>
      </c>
      <c r="I17" s="1">
        <v>8</v>
      </c>
      <c r="J17" s="1">
        <v>8</v>
      </c>
      <c r="K17" s="1">
        <f>(Tablo3[[#This Row],[HW1]]+Tablo3[[#This Row],[HW2]]+Tablo3[[#This Row],[HW3]]+Tablo3[[#This Row],[HW4]]+Tablo3[[#This Row],[HW5]])/5</f>
        <v>4.8</v>
      </c>
      <c r="L17" s="1" cm="1">
        <f t="array" ref="L17">Tablo3[[#This Row],[HW1]]*$D$38/Tablo11[HW1]+Tablo3[[#This Row],[HW2]]*$E$38/Tablo11[HW2]+Tablo3[[#This Row],[HW3]]*$F$38/Tablo11[HW3]+Tablo3[[#This Row],[HW4]]*$G$38/Tablo11[HW4]+Tablo3[[#This Row],[HW5]]*$H$38/Tablo11[HW5]</f>
        <v>10.333333333333332</v>
      </c>
      <c r="M17" s="1" cm="1">
        <f t="array" ref="M17">Tablo3[[#This Row],[HW1]]*$D$39/Tablo11[HW1]+Tablo3[[#This Row],[HW2]]*$E$39/Tablo11[HW2]+Tablo3[[#This Row],[HW3]]*$F$39/Tablo11[HW3]+Tablo3[[#This Row],[HW4]]*$G$39/Tablo11[HW4]+Tablo3[[#This Row],[HW5]]*$H$39/Tablo11[HW5]</f>
        <v>2</v>
      </c>
      <c r="N17" s="1" cm="1">
        <f t="array" ref="N17">Tablo3[[#This Row],[HW1]]*$D$40/Tablo11[HW1]+Tablo3[[#This Row],[HW2]]*$E$40/Tablo11[HW2]+Tablo3[[#This Row],[HW3]]*$F$40/Tablo11[HW3]+Tablo3[[#This Row],[HW4]]*$G$40/Tablo11[HW4]+Tablo3[[#This Row],[HW5]]*$H$40/Tablo11[HW5]</f>
        <v>5.833333333333333</v>
      </c>
      <c r="O17" s="1" cm="1">
        <f t="array" ref="O17">Tablo3[[#This Row],[HW1]]*$D$41/Tablo11[HW1]+Tablo3[[#This Row],[HW2]]*$E$41/Tablo11[HW2]+Tablo3[[#This Row],[HW3]]*$F$41/Tablo11[HW3]+Tablo3[[#This Row],[HW4]]*$G$41/Tablo11[HW4]+Tablo3[[#This Row],[HW5]]*$H$41/Tablo11[HW5]</f>
        <v>3</v>
      </c>
      <c r="P17" s="1">
        <f t="shared" si="0"/>
        <v>21.166666666666664</v>
      </c>
      <c r="Q17" s="1">
        <f>_xlfn.NORM.DIST(Tablo3[[#This Row],[TOTAL]],$T$4,$U$4,FALSE)</f>
        <v>0.20947411102404476</v>
      </c>
    </row>
    <row r="18" spans="2:17" x14ac:dyDescent="0.3">
      <c r="B18" s="79">
        <v>14</v>
      </c>
      <c r="C18" s="35">
        <v>28</v>
      </c>
      <c r="D18" s="46" t="s">
        <v>17</v>
      </c>
      <c r="E18" s="46" t="s">
        <v>16</v>
      </c>
      <c r="F18" s="1">
        <v>3</v>
      </c>
      <c r="G18" s="1">
        <v>1</v>
      </c>
      <c r="H18" s="1">
        <v>7</v>
      </c>
      <c r="I18" s="1">
        <v>9</v>
      </c>
      <c r="J18" s="1">
        <v>5</v>
      </c>
      <c r="K18" s="1">
        <f>(Tablo3[[#This Row],[HW1]]+Tablo3[[#This Row],[HW2]]+Tablo3[[#This Row],[HW3]]+Tablo3[[#This Row],[HW4]]+Tablo3[[#This Row],[HW5]])/5</f>
        <v>5</v>
      </c>
      <c r="L18" s="1" cm="1">
        <f t="array" ref="L18">Tablo3[[#This Row],[HW1]]*$D$38/Tablo11[HW1]+Tablo3[[#This Row],[HW2]]*$E$38/Tablo11[HW2]+Tablo3[[#This Row],[HW3]]*$F$38/Tablo11[HW3]+Tablo3[[#This Row],[HW4]]*$G$38/Tablo11[HW4]+Tablo3[[#This Row],[HW5]]*$H$38/Tablo11[HW5]</f>
        <v>12.5</v>
      </c>
      <c r="M18" s="1" cm="1">
        <f t="array" ref="M18">Tablo3[[#This Row],[HW1]]*$D$39/Tablo11[HW1]+Tablo3[[#This Row],[HW2]]*$E$39/Tablo11[HW2]+Tablo3[[#This Row],[HW3]]*$F$39/Tablo11[HW3]+Tablo3[[#This Row],[HW4]]*$G$39/Tablo11[HW4]+Tablo3[[#This Row],[HW5]]*$H$39/Tablo11[HW5]</f>
        <v>1</v>
      </c>
      <c r="N18" s="1" cm="1">
        <f t="array" ref="N18">Tablo3[[#This Row],[HW1]]*$D$40/Tablo11[HW1]+Tablo3[[#This Row],[HW2]]*$E$40/Tablo11[HW2]+Tablo3[[#This Row],[HW3]]*$F$40/Tablo11[HW3]+Tablo3[[#This Row],[HW4]]*$G$40/Tablo11[HW4]+Tablo3[[#This Row],[HW5]]*$H$40/Tablo11[HW5]</f>
        <v>4</v>
      </c>
      <c r="O18" s="1" cm="1">
        <f t="array" ref="O18">Tablo3[[#This Row],[HW1]]*$D$41/Tablo11[HW1]+Tablo3[[#This Row],[HW2]]*$E$41/Tablo11[HW2]+Tablo3[[#This Row],[HW3]]*$F$41/Tablo11[HW3]+Tablo3[[#This Row],[HW4]]*$G$41/Tablo11[HW4]+Tablo3[[#This Row],[HW5]]*$H$41/Tablo11[HW5]</f>
        <v>1.5</v>
      </c>
      <c r="P18" s="1">
        <f t="shared" si="0"/>
        <v>19</v>
      </c>
      <c r="Q18" s="1">
        <f>_xlfn.NORM.DIST(Tablo3[[#This Row],[TOTAL]],$T$4,$U$4,FALSE)</f>
        <v>0.20643216019283087</v>
      </c>
    </row>
    <row r="19" spans="2:17" x14ac:dyDescent="0.3">
      <c r="B19" s="78">
        <v>15</v>
      </c>
      <c r="C19" s="35">
        <v>19</v>
      </c>
      <c r="D19" s="46" t="s">
        <v>17</v>
      </c>
      <c r="E19" s="46" t="s">
        <v>16</v>
      </c>
      <c r="F19" s="1">
        <v>2</v>
      </c>
      <c r="G19" s="1">
        <v>1</v>
      </c>
      <c r="H19" s="1">
        <v>8</v>
      </c>
      <c r="I19" s="1">
        <v>8</v>
      </c>
      <c r="J19" s="1">
        <v>6</v>
      </c>
      <c r="K19" s="1">
        <f>(Tablo3[[#This Row],[HW1]]+Tablo3[[#This Row],[HW2]]+Tablo3[[#This Row],[HW3]]+Tablo3[[#This Row],[HW4]]+Tablo3[[#This Row],[HW5]])/5</f>
        <v>5</v>
      </c>
      <c r="L19" s="1" cm="1">
        <f t="array" ref="L19">Tablo3[[#This Row],[HW1]]*$D$38/Tablo11[HW1]+Tablo3[[#This Row],[HW2]]*$E$38/Tablo11[HW2]+Tablo3[[#This Row],[HW3]]*$F$38/Tablo11[HW3]+Tablo3[[#This Row],[HW4]]*$G$38/Tablo11[HW4]+Tablo3[[#This Row],[HW5]]*$H$38/Tablo11[HW5]</f>
        <v>12.833333333333332</v>
      </c>
      <c r="M19" s="1" cm="1">
        <f t="array" ref="M19">Tablo3[[#This Row],[HW1]]*$D$39/Tablo11[HW1]+Tablo3[[#This Row],[HW2]]*$E$39/Tablo11[HW2]+Tablo3[[#This Row],[HW3]]*$F$39/Tablo11[HW3]+Tablo3[[#This Row],[HW4]]*$G$39/Tablo11[HW4]+Tablo3[[#This Row],[HW5]]*$H$39/Tablo11[HW5]</f>
        <v>1</v>
      </c>
      <c r="N19" s="1" cm="1">
        <f t="array" ref="N19">Tablo3[[#This Row],[HW1]]*$D$40/Tablo11[HW1]+Tablo3[[#This Row],[HW2]]*$E$40/Tablo11[HW2]+Tablo3[[#This Row],[HW3]]*$F$40/Tablo11[HW3]+Tablo3[[#This Row],[HW4]]*$G$40/Tablo11[HW4]+Tablo3[[#This Row],[HW5]]*$H$40/Tablo11[HW5]</f>
        <v>3.833333333333333</v>
      </c>
      <c r="O19" s="1" cm="1">
        <f t="array" ref="O19">Tablo3[[#This Row],[HW1]]*$D$41/Tablo11[HW1]+Tablo3[[#This Row],[HW2]]*$E$41/Tablo11[HW2]+Tablo3[[#This Row],[HW3]]*$F$41/Tablo11[HW3]+Tablo3[[#This Row],[HW4]]*$G$41/Tablo11[HW4]+Tablo3[[#This Row],[HW5]]*$H$41/Tablo11[HW5]</f>
        <v>1</v>
      </c>
      <c r="P19" s="1">
        <f t="shared" si="0"/>
        <v>18.666666666666664</v>
      </c>
      <c r="Q19" s="1">
        <f>_xlfn.NORM.DIST(Tablo3[[#This Row],[TOTAL]],$T$4,$U$4,FALSE)</f>
        <v>0.20643216019283087</v>
      </c>
    </row>
    <row r="20" spans="2:17" x14ac:dyDescent="0.3">
      <c r="B20" s="79">
        <v>16</v>
      </c>
      <c r="C20" s="35">
        <v>17</v>
      </c>
      <c r="D20" s="46" t="s">
        <v>17</v>
      </c>
      <c r="E20" s="46" t="s">
        <v>16</v>
      </c>
      <c r="F20" s="1">
        <v>0</v>
      </c>
      <c r="G20" s="1">
        <v>2</v>
      </c>
      <c r="H20" s="1">
        <v>8</v>
      </c>
      <c r="I20" s="1">
        <v>9</v>
      </c>
      <c r="J20" s="1">
        <v>6</v>
      </c>
      <c r="K20" s="1">
        <f>(Tablo3[[#This Row],[HW1]]+Tablo3[[#This Row],[HW2]]+Tablo3[[#This Row],[HW3]]+Tablo3[[#This Row],[HW4]]+Tablo3[[#This Row],[HW5]])/5</f>
        <v>5</v>
      </c>
      <c r="L20" s="1" cm="1">
        <f t="array" ref="L20">Tablo3[[#This Row],[HW1]]*$D$38/Tablo11[HW1]+Tablo3[[#This Row],[HW2]]*$E$38/Tablo11[HW2]+Tablo3[[#This Row],[HW3]]*$F$38/Tablo11[HW3]+Tablo3[[#This Row],[HW4]]*$G$38/Tablo11[HW4]+Tablo3[[#This Row],[HW5]]*$H$38/Tablo11[HW5]</f>
        <v>14</v>
      </c>
      <c r="M20" s="1" cm="1">
        <f t="array" ref="M20">Tablo3[[#This Row],[HW1]]*$D$39/Tablo11[HW1]+Tablo3[[#This Row],[HW2]]*$E$39/Tablo11[HW2]+Tablo3[[#This Row],[HW3]]*$F$39/Tablo11[HW3]+Tablo3[[#This Row],[HW4]]*$G$39/Tablo11[HW4]+Tablo3[[#This Row],[HW5]]*$H$39/Tablo11[HW5]</f>
        <v>2</v>
      </c>
      <c r="N20" s="1" cm="1">
        <f t="array" ref="N20">Tablo3[[#This Row],[HW1]]*$D$40/Tablo11[HW1]+Tablo3[[#This Row],[HW2]]*$E$40/Tablo11[HW2]+Tablo3[[#This Row],[HW3]]*$F$40/Tablo11[HW3]+Tablo3[[#This Row],[HW4]]*$G$40/Tablo11[HW4]+Tablo3[[#This Row],[HW5]]*$H$40/Tablo11[HW5]</f>
        <v>4</v>
      </c>
      <c r="O20" s="1" cm="1">
        <f t="array" ref="O20">Tablo3[[#This Row],[HW1]]*$D$41/Tablo11[HW1]+Tablo3[[#This Row],[HW2]]*$E$41/Tablo11[HW2]+Tablo3[[#This Row],[HW3]]*$F$41/Tablo11[HW3]+Tablo3[[#This Row],[HW4]]*$G$41/Tablo11[HW4]+Tablo3[[#This Row],[HW5]]*$H$41/Tablo11[HW5]</f>
        <v>0</v>
      </c>
      <c r="P20" s="1">
        <f t="shared" si="0"/>
        <v>20</v>
      </c>
      <c r="Q20" s="1">
        <f>_xlfn.NORM.DIST(Tablo3[[#This Row],[TOTAL]],$T$4,$U$4,FALSE)</f>
        <v>0.20643216019283087</v>
      </c>
    </row>
    <row r="21" spans="2:17" x14ac:dyDescent="0.3">
      <c r="B21" s="78">
        <v>17</v>
      </c>
      <c r="C21" s="35">
        <v>12</v>
      </c>
      <c r="D21" s="46" t="s">
        <v>17</v>
      </c>
      <c r="E21" s="46" t="s">
        <v>16</v>
      </c>
      <c r="F21" s="1">
        <v>0</v>
      </c>
      <c r="G21" s="1">
        <v>2</v>
      </c>
      <c r="H21" s="1">
        <v>7</v>
      </c>
      <c r="I21" s="1">
        <v>8</v>
      </c>
      <c r="J21" s="1">
        <v>8</v>
      </c>
      <c r="K21" s="1">
        <f>(Tablo3[[#This Row],[HW1]]+Tablo3[[#This Row],[HW2]]+Tablo3[[#This Row],[HW3]]+Tablo3[[#This Row],[HW4]]+Tablo3[[#This Row],[HW5]])/5</f>
        <v>5</v>
      </c>
      <c r="L21" s="1" cm="1">
        <f t="array" ref="L21">Tablo3[[#This Row],[HW1]]*$D$38/Tablo11[HW1]+Tablo3[[#This Row],[HW2]]*$E$38/Tablo11[HW2]+Tablo3[[#This Row],[HW3]]*$F$38/Tablo11[HW3]+Tablo3[[#This Row],[HW4]]*$G$38/Tablo11[HW4]+Tablo3[[#This Row],[HW5]]*$H$38/Tablo11[HW5]</f>
        <v>13.833333333333332</v>
      </c>
      <c r="M21" s="1" cm="1">
        <f t="array" ref="M21">Tablo3[[#This Row],[HW1]]*$D$39/Tablo11[HW1]+Tablo3[[#This Row],[HW2]]*$E$39/Tablo11[HW2]+Tablo3[[#This Row],[HW3]]*$F$39/Tablo11[HW3]+Tablo3[[#This Row],[HW4]]*$G$39/Tablo11[HW4]+Tablo3[[#This Row],[HW5]]*$H$39/Tablo11[HW5]</f>
        <v>2</v>
      </c>
      <c r="N21" s="1" cm="1">
        <f t="array" ref="N21">Tablo3[[#This Row],[HW1]]*$D$40/Tablo11[HW1]+Tablo3[[#This Row],[HW2]]*$E$40/Tablo11[HW2]+Tablo3[[#This Row],[HW3]]*$F$40/Tablo11[HW3]+Tablo3[[#This Row],[HW4]]*$G$40/Tablo11[HW4]+Tablo3[[#This Row],[HW5]]*$H$40/Tablo11[HW5]</f>
        <v>4.333333333333333</v>
      </c>
      <c r="O21" s="1" cm="1">
        <f t="array" ref="O21">Tablo3[[#This Row],[HW1]]*$D$41/Tablo11[HW1]+Tablo3[[#This Row],[HW2]]*$E$41/Tablo11[HW2]+Tablo3[[#This Row],[HW3]]*$F$41/Tablo11[HW3]+Tablo3[[#This Row],[HW4]]*$G$41/Tablo11[HW4]+Tablo3[[#This Row],[HW5]]*$H$41/Tablo11[HW5]</f>
        <v>0</v>
      </c>
      <c r="P21" s="1">
        <f t="shared" si="0"/>
        <v>20.166666666666664</v>
      </c>
      <c r="Q21" s="1">
        <f>_xlfn.NORM.DIST(Tablo3[[#This Row],[TOTAL]],$T$4,$U$4,FALSE)</f>
        <v>0.20643216019283087</v>
      </c>
    </row>
    <row r="22" spans="2:17" x14ac:dyDescent="0.3">
      <c r="B22" s="79">
        <v>18</v>
      </c>
      <c r="C22" s="35">
        <v>4</v>
      </c>
      <c r="D22" s="46" t="s">
        <v>17</v>
      </c>
      <c r="E22" s="46" t="s">
        <v>16</v>
      </c>
      <c r="F22" s="1">
        <v>1</v>
      </c>
      <c r="G22" s="1">
        <v>1</v>
      </c>
      <c r="H22" s="1">
        <v>8</v>
      </c>
      <c r="I22" s="1">
        <v>9</v>
      </c>
      <c r="J22" s="1">
        <v>6</v>
      </c>
      <c r="K22" s="1">
        <f>(Tablo3[[#This Row],[HW1]]+Tablo3[[#This Row],[HW2]]+Tablo3[[#This Row],[HW3]]+Tablo3[[#This Row],[HW4]]+Tablo3[[#This Row],[HW5]])/5</f>
        <v>5</v>
      </c>
      <c r="L22" s="1" cm="1">
        <f t="array" ref="L22">Tablo3[[#This Row],[HW1]]*$D$38/Tablo11[HW1]+Tablo3[[#This Row],[HW2]]*$E$38/Tablo11[HW2]+Tablo3[[#This Row],[HW3]]*$F$38/Tablo11[HW3]+Tablo3[[#This Row],[HW4]]*$G$38/Tablo11[HW4]+Tablo3[[#This Row],[HW5]]*$H$38/Tablo11[HW5]</f>
        <v>13.5</v>
      </c>
      <c r="M22" s="1" cm="1">
        <f t="array" ref="M22">Tablo3[[#This Row],[HW1]]*$D$39/Tablo11[HW1]+Tablo3[[#This Row],[HW2]]*$E$39/Tablo11[HW2]+Tablo3[[#This Row],[HW3]]*$F$39/Tablo11[HW3]+Tablo3[[#This Row],[HW4]]*$G$39/Tablo11[HW4]+Tablo3[[#This Row],[HW5]]*$H$39/Tablo11[HW5]</f>
        <v>1</v>
      </c>
      <c r="N22" s="1" cm="1">
        <f t="array" ref="N22">Tablo3[[#This Row],[HW1]]*$D$40/Tablo11[HW1]+Tablo3[[#This Row],[HW2]]*$E$40/Tablo11[HW2]+Tablo3[[#This Row],[HW3]]*$F$40/Tablo11[HW3]+Tablo3[[#This Row],[HW4]]*$G$40/Tablo11[HW4]+Tablo3[[#This Row],[HW5]]*$H$40/Tablo11[HW5]</f>
        <v>3.75</v>
      </c>
      <c r="O22" s="1" cm="1">
        <f t="array" ref="O22">Tablo3[[#This Row],[HW1]]*$D$41/Tablo11[HW1]+Tablo3[[#This Row],[HW2]]*$E$41/Tablo11[HW2]+Tablo3[[#This Row],[HW3]]*$F$41/Tablo11[HW3]+Tablo3[[#This Row],[HW4]]*$G$41/Tablo11[HW4]+Tablo3[[#This Row],[HW5]]*$H$41/Tablo11[HW5]</f>
        <v>0.5</v>
      </c>
      <c r="P22" s="1">
        <f t="shared" si="0"/>
        <v>18.75</v>
      </c>
      <c r="Q22" s="1">
        <f>_xlfn.NORM.DIST(Tablo3[[#This Row],[TOTAL]],$T$4,$U$4,FALSE)</f>
        <v>0.20643216019283087</v>
      </c>
    </row>
    <row r="23" spans="2:17" x14ac:dyDescent="0.3">
      <c r="B23" s="78">
        <v>19</v>
      </c>
      <c r="C23" s="35">
        <v>26</v>
      </c>
      <c r="D23" s="46" t="s">
        <v>17</v>
      </c>
      <c r="E23" s="46" t="s">
        <v>16</v>
      </c>
      <c r="F23" s="1">
        <v>0</v>
      </c>
      <c r="G23" s="1">
        <v>2</v>
      </c>
      <c r="H23" s="1">
        <v>8</v>
      </c>
      <c r="I23" s="1">
        <v>8</v>
      </c>
      <c r="J23" s="1">
        <v>8</v>
      </c>
      <c r="K23" s="1">
        <f>(Tablo3[[#This Row],[HW1]]+Tablo3[[#This Row],[HW2]]+Tablo3[[#This Row],[HW3]]+Tablo3[[#This Row],[HW4]]+Tablo3[[#This Row],[HW5]])/5</f>
        <v>5.2</v>
      </c>
      <c r="L23" s="1" cm="1">
        <f t="array" ref="L23">Tablo3[[#This Row],[HW1]]*$D$38/Tablo11[HW1]+Tablo3[[#This Row],[HW2]]*$E$38/Tablo11[HW2]+Tablo3[[#This Row],[HW3]]*$F$38/Tablo11[HW3]+Tablo3[[#This Row],[HW4]]*$G$38/Tablo11[HW4]+Tablo3[[#This Row],[HW5]]*$H$38/Tablo11[HW5]</f>
        <v>14.333333333333332</v>
      </c>
      <c r="M23" s="1" cm="1">
        <f t="array" ref="M23">Tablo3[[#This Row],[HW1]]*$D$39/Tablo11[HW1]+Tablo3[[#This Row],[HW2]]*$E$39/Tablo11[HW2]+Tablo3[[#This Row],[HW3]]*$F$39/Tablo11[HW3]+Tablo3[[#This Row],[HW4]]*$G$39/Tablo11[HW4]+Tablo3[[#This Row],[HW5]]*$H$39/Tablo11[HW5]</f>
        <v>2</v>
      </c>
      <c r="N23" s="1" cm="1">
        <f t="array" ref="N23">Tablo3[[#This Row],[HW1]]*$D$40/Tablo11[HW1]+Tablo3[[#This Row],[HW2]]*$E$40/Tablo11[HW2]+Tablo3[[#This Row],[HW3]]*$F$40/Tablo11[HW3]+Tablo3[[#This Row],[HW4]]*$G$40/Tablo11[HW4]+Tablo3[[#This Row],[HW5]]*$H$40/Tablo11[HW5]</f>
        <v>4.333333333333333</v>
      </c>
      <c r="O23" s="1" cm="1">
        <f t="array" ref="O23">Tablo3[[#This Row],[HW1]]*$D$41/Tablo11[HW1]+Tablo3[[#This Row],[HW2]]*$E$41/Tablo11[HW2]+Tablo3[[#This Row],[HW3]]*$F$41/Tablo11[HW3]+Tablo3[[#This Row],[HW4]]*$G$41/Tablo11[HW4]+Tablo3[[#This Row],[HW5]]*$H$41/Tablo11[HW5]</f>
        <v>0</v>
      </c>
      <c r="P23" s="1">
        <f t="shared" si="0"/>
        <v>20.666666666666664</v>
      </c>
      <c r="Q23" s="1">
        <f>_xlfn.NORM.DIST(Tablo3[[#This Row],[TOTAL]],$T$4,$U$4,FALSE)</f>
        <v>0.20118671342007613</v>
      </c>
    </row>
    <row r="24" spans="2:17" x14ac:dyDescent="0.3">
      <c r="B24" s="79">
        <v>20</v>
      </c>
      <c r="C24" s="35">
        <v>8</v>
      </c>
      <c r="D24" s="46" t="s">
        <v>17</v>
      </c>
      <c r="E24" s="46" t="s">
        <v>16</v>
      </c>
      <c r="F24" s="1">
        <v>1</v>
      </c>
      <c r="G24" s="1">
        <v>1</v>
      </c>
      <c r="H24" s="1">
        <v>9</v>
      </c>
      <c r="I24" s="1">
        <v>10</v>
      </c>
      <c r="J24" s="1">
        <v>6</v>
      </c>
      <c r="K24" s="1">
        <f>(Tablo3[[#This Row],[HW1]]+Tablo3[[#This Row],[HW2]]+Tablo3[[#This Row],[HW3]]+Tablo3[[#This Row],[HW4]]+Tablo3[[#This Row],[HW5]])/5</f>
        <v>5.4</v>
      </c>
      <c r="L24" s="1" cm="1">
        <f t="array" ref="L24">Tablo3[[#This Row],[HW1]]*$D$38/Tablo11[HW1]+Tablo3[[#This Row],[HW2]]*$E$38/Tablo11[HW2]+Tablo3[[#This Row],[HW3]]*$F$38/Tablo11[HW3]+Tablo3[[#This Row],[HW4]]*$G$38/Tablo11[HW4]+Tablo3[[#This Row],[HW5]]*$H$38/Tablo11[HW5]</f>
        <v>14.666666666666668</v>
      </c>
      <c r="M24" s="1" cm="1">
        <f t="array" ref="M24">Tablo3[[#This Row],[HW1]]*$D$39/Tablo11[HW1]+Tablo3[[#This Row],[HW2]]*$E$39/Tablo11[HW2]+Tablo3[[#This Row],[HW3]]*$F$39/Tablo11[HW3]+Tablo3[[#This Row],[HW4]]*$G$39/Tablo11[HW4]+Tablo3[[#This Row],[HW5]]*$H$39/Tablo11[HW5]</f>
        <v>1</v>
      </c>
      <c r="N24" s="1" cm="1">
        <f t="array" ref="N24">Tablo3[[#This Row],[HW1]]*$D$40/Tablo11[HW1]+Tablo3[[#This Row],[HW2]]*$E$40/Tablo11[HW2]+Tablo3[[#This Row],[HW3]]*$F$40/Tablo11[HW3]+Tablo3[[#This Row],[HW4]]*$G$40/Tablo11[HW4]+Tablo3[[#This Row],[HW5]]*$H$40/Tablo11[HW5]</f>
        <v>3.916666666666667</v>
      </c>
      <c r="O24" s="1" cm="1">
        <f t="array" ref="O24">Tablo3[[#This Row],[HW1]]*$D$41/Tablo11[HW1]+Tablo3[[#This Row],[HW2]]*$E$41/Tablo11[HW2]+Tablo3[[#This Row],[HW3]]*$F$41/Tablo11[HW3]+Tablo3[[#This Row],[HW4]]*$G$41/Tablo11[HW4]+Tablo3[[#This Row],[HW5]]*$H$41/Tablo11[HW5]</f>
        <v>0.5</v>
      </c>
      <c r="P24" s="1">
        <f t="shared" si="0"/>
        <v>20.083333333333336</v>
      </c>
      <c r="Q24" s="1">
        <f>_xlfn.NORM.DIST(Tablo3[[#This Row],[TOTAL]],$T$4,$U$4,FALSE)</f>
        <v>0.19390819893198225</v>
      </c>
    </row>
    <row r="25" spans="2:17" x14ac:dyDescent="0.3">
      <c r="B25" s="78">
        <v>21</v>
      </c>
      <c r="C25" s="35">
        <v>7</v>
      </c>
      <c r="D25" s="46" t="s">
        <v>17</v>
      </c>
      <c r="E25" s="46" t="s">
        <v>16</v>
      </c>
      <c r="F25" s="1">
        <v>1</v>
      </c>
      <c r="G25" s="1">
        <v>1</v>
      </c>
      <c r="H25" s="1">
        <v>9</v>
      </c>
      <c r="I25" s="1">
        <v>8</v>
      </c>
      <c r="J25" s="1">
        <v>8</v>
      </c>
      <c r="K25" s="1">
        <f>(Tablo3[[#This Row],[HW1]]+Tablo3[[#This Row],[HW2]]+Tablo3[[#This Row],[HW3]]+Tablo3[[#This Row],[HW4]]+Tablo3[[#This Row],[HW5]])/5</f>
        <v>5.4</v>
      </c>
      <c r="L25" s="1" cm="1">
        <f t="array" ref="L25">Tablo3[[#This Row],[HW1]]*$D$38/Tablo11[HW1]+Tablo3[[#This Row],[HW2]]*$E$38/Tablo11[HW2]+Tablo3[[#This Row],[HW3]]*$F$38/Tablo11[HW3]+Tablo3[[#This Row],[HW4]]*$G$38/Tablo11[HW4]+Tablo3[[#This Row],[HW5]]*$H$38/Tablo11[HW5]</f>
        <v>14.333333333333332</v>
      </c>
      <c r="M25" s="1" cm="1">
        <f t="array" ref="M25">Tablo3[[#This Row],[HW1]]*$D$39/Tablo11[HW1]+Tablo3[[#This Row],[HW2]]*$E$39/Tablo11[HW2]+Tablo3[[#This Row],[HW3]]*$F$39/Tablo11[HW3]+Tablo3[[#This Row],[HW4]]*$G$39/Tablo11[HW4]+Tablo3[[#This Row],[HW5]]*$H$39/Tablo11[HW5]</f>
        <v>1</v>
      </c>
      <c r="N25" s="1" cm="1">
        <f t="array" ref="N25">Tablo3[[#This Row],[HW1]]*$D$40/Tablo11[HW1]+Tablo3[[#This Row],[HW2]]*$E$40/Tablo11[HW2]+Tablo3[[#This Row],[HW3]]*$F$40/Tablo11[HW3]+Tablo3[[#This Row],[HW4]]*$G$40/Tablo11[HW4]+Tablo3[[#This Row],[HW5]]*$H$40/Tablo11[HW5]</f>
        <v>4.083333333333333</v>
      </c>
      <c r="O25" s="1" cm="1">
        <f t="array" ref="O25">Tablo3[[#This Row],[HW1]]*$D$41/Tablo11[HW1]+Tablo3[[#This Row],[HW2]]*$E$41/Tablo11[HW2]+Tablo3[[#This Row],[HW3]]*$F$41/Tablo11[HW3]+Tablo3[[#This Row],[HW4]]*$G$41/Tablo11[HW4]+Tablo3[[#This Row],[HW5]]*$H$41/Tablo11[HW5]</f>
        <v>0.5</v>
      </c>
      <c r="P25" s="1">
        <f t="shared" si="0"/>
        <v>19.916666666666664</v>
      </c>
      <c r="Q25" s="1">
        <f>_xlfn.NORM.DIST(Tablo3[[#This Row],[TOTAL]],$T$4,$U$4,FALSE)</f>
        <v>0.19390819893198225</v>
      </c>
    </row>
    <row r="26" spans="2:17" x14ac:dyDescent="0.3">
      <c r="B26" s="79">
        <v>22</v>
      </c>
      <c r="C26" s="35">
        <v>24</v>
      </c>
      <c r="D26" s="46" t="s">
        <v>17</v>
      </c>
      <c r="E26" s="46" t="s">
        <v>16</v>
      </c>
      <c r="F26" s="1">
        <v>2</v>
      </c>
      <c r="G26" s="1">
        <v>2</v>
      </c>
      <c r="H26" s="1">
        <v>8</v>
      </c>
      <c r="I26" s="1">
        <v>8</v>
      </c>
      <c r="J26" s="1">
        <v>8</v>
      </c>
      <c r="K26" s="1">
        <f>(Tablo3[[#This Row],[HW1]]+Tablo3[[#This Row],[HW2]]+Tablo3[[#This Row],[HW3]]+Tablo3[[#This Row],[HW4]]+Tablo3[[#This Row],[HW5]])/5</f>
        <v>5.6</v>
      </c>
      <c r="L26" s="1" cm="1">
        <f t="array" ref="L26">Tablo3[[#This Row],[HW1]]*$D$38/Tablo11[HW1]+Tablo3[[#This Row],[HW2]]*$E$38/Tablo11[HW2]+Tablo3[[#This Row],[HW3]]*$F$38/Tablo11[HW3]+Tablo3[[#This Row],[HW4]]*$G$38/Tablo11[HW4]+Tablo3[[#This Row],[HW5]]*$H$38/Tablo11[HW5]</f>
        <v>14.333333333333332</v>
      </c>
      <c r="M26" s="1" cm="1">
        <f t="array" ref="M26">Tablo3[[#This Row],[HW1]]*$D$39/Tablo11[HW1]+Tablo3[[#This Row],[HW2]]*$E$39/Tablo11[HW2]+Tablo3[[#This Row],[HW3]]*$F$39/Tablo11[HW3]+Tablo3[[#This Row],[HW4]]*$G$39/Tablo11[HW4]+Tablo3[[#This Row],[HW5]]*$H$39/Tablo11[HW5]</f>
        <v>2</v>
      </c>
      <c r="N26" s="1" cm="1">
        <f t="array" ref="N26">Tablo3[[#This Row],[HW1]]*$D$40/Tablo11[HW1]+Tablo3[[#This Row],[HW2]]*$E$40/Tablo11[HW2]+Tablo3[[#This Row],[HW3]]*$F$40/Tablo11[HW3]+Tablo3[[#This Row],[HW4]]*$G$40/Tablo11[HW4]+Tablo3[[#This Row],[HW5]]*$H$40/Tablo11[HW5]</f>
        <v>4.833333333333333</v>
      </c>
      <c r="O26" s="1" cm="1">
        <f t="array" ref="O26">Tablo3[[#This Row],[HW1]]*$D$41/Tablo11[HW1]+Tablo3[[#This Row],[HW2]]*$E$41/Tablo11[HW2]+Tablo3[[#This Row],[HW3]]*$F$41/Tablo11[HW3]+Tablo3[[#This Row],[HW4]]*$G$41/Tablo11[HW4]+Tablo3[[#This Row],[HW5]]*$H$41/Tablo11[HW5]</f>
        <v>1</v>
      </c>
      <c r="P26" s="1">
        <f t="shared" si="0"/>
        <v>22.166666666666664</v>
      </c>
      <c r="Q26" s="1">
        <f>_xlfn.NORM.DIST(Tablo3[[#This Row],[TOTAL]],$T$4,$U$4,FALSE)</f>
        <v>0.18482809471308606</v>
      </c>
    </row>
    <row r="27" spans="2:17" x14ac:dyDescent="0.3">
      <c r="B27" s="78">
        <v>23</v>
      </c>
      <c r="C27" s="35">
        <v>1</v>
      </c>
      <c r="D27" s="46" t="s">
        <v>17</v>
      </c>
      <c r="E27" s="46" t="s">
        <v>16</v>
      </c>
      <c r="F27" s="1">
        <v>5</v>
      </c>
      <c r="G27" s="1">
        <v>2</v>
      </c>
      <c r="H27" s="1">
        <v>7</v>
      </c>
      <c r="I27" s="1">
        <v>8</v>
      </c>
      <c r="J27" s="1">
        <v>6</v>
      </c>
      <c r="K27" s="1">
        <f>(Tablo3[[#This Row],[HW1]]+Tablo3[[#This Row],[HW2]]+Tablo3[[#This Row],[HW3]]+Tablo3[[#This Row],[HW4]]+Tablo3[[#This Row],[HW5]])/5</f>
        <v>5.6</v>
      </c>
      <c r="L27" s="1" cm="1">
        <f t="array" ref="L27">Tablo3[[#This Row],[HW1]]*$D$38/Tablo11[HW1]+Tablo3[[#This Row],[HW2]]*$E$38/Tablo11[HW2]+Tablo3[[#This Row],[HW3]]*$F$38/Tablo11[HW3]+Tablo3[[#This Row],[HW4]]*$G$38/Tablo11[HW4]+Tablo3[[#This Row],[HW5]]*$H$38/Tablo11[HW5]</f>
        <v>12.833333333333332</v>
      </c>
      <c r="M27" s="1" cm="1">
        <f t="array" ref="M27">Tablo3[[#This Row],[HW1]]*$D$39/Tablo11[HW1]+Tablo3[[#This Row],[HW2]]*$E$39/Tablo11[HW2]+Tablo3[[#This Row],[HW3]]*$F$39/Tablo11[HW3]+Tablo3[[#This Row],[HW4]]*$G$39/Tablo11[HW4]+Tablo3[[#This Row],[HW5]]*$H$39/Tablo11[HW5]</f>
        <v>2</v>
      </c>
      <c r="N27" s="1" cm="1">
        <f t="array" ref="N27">Tablo3[[#This Row],[HW1]]*$D$40/Tablo11[HW1]+Tablo3[[#This Row],[HW2]]*$E$40/Tablo11[HW2]+Tablo3[[#This Row],[HW3]]*$F$40/Tablo11[HW3]+Tablo3[[#This Row],[HW4]]*$G$40/Tablo11[HW4]+Tablo3[[#This Row],[HW5]]*$H$40/Tablo11[HW5]</f>
        <v>5.083333333333333</v>
      </c>
      <c r="O27" s="1" cm="1">
        <f t="array" ref="O27">Tablo3[[#This Row],[HW1]]*$D$41/Tablo11[HW1]+Tablo3[[#This Row],[HW2]]*$E$41/Tablo11[HW2]+Tablo3[[#This Row],[HW3]]*$F$41/Tablo11[HW3]+Tablo3[[#This Row],[HW4]]*$G$41/Tablo11[HW4]+Tablo3[[#This Row],[HW5]]*$H$41/Tablo11[HW5]</f>
        <v>2.5</v>
      </c>
      <c r="P27" s="1">
        <f t="shared" si="0"/>
        <v>22.416666666666664</v>
      </c>
      <c r="Q27" s="1">
        <f>_xlfn.NORM.DIST(Tablo3[[#This Row],[TOTAL]],$T$4,$U$4,FALSE)</f>
        <v>0.18482809471308606</v>
      </c>
    </row>
    <row r="28" spans="2:17" x14ac:dyDescent="0.3">
      <c r="B28" s="79">
        <v>24</v>
      </c>
      <c r="C28" s="35">
        <v>30</v>
      </c>
      <c r="D28" s="46" t="s">
        <v>17</v>
      </c>
      <c r="E28" s="46" t="s">
        <v>16</v>
      </c>
      <c r="F28" s="1">
        <v>3</v>
      </c>
      <c r="G28" s="1">
        <v>2</v>
      </c>
      <c r="H28" s="1">
        <v>8</v>
      </c>
      <c r="I28" s="1">
        <v>8</v>
      </c>
      <c r="J28" s="1">
        <v>8</v>
      </c>
      <c r="K28" s="1">
        <f>(Tablo3[[#This Row],[HW1]]+Tablo3[[#This Row],[HW2]]+Tablo3[[#This Row],[HW3]]+Tablo3[[#This Row],[HW4]]+Tablo3[[#This Row],[HW5]])/5</f>
        <v>5.8</v>
      </c>
      <c r="L28" s="1" cm="1">
        <f t="array" ref="L28">Tablo3[[#This Row],[HW1]]*$D$38/Tablo11[HW1]+Tablo3[[#This Row],[HW2]]*$E$38/Tablo11[HW2]+Tablo3[[#This Row],[HW3]]*$F$38/Tablo11[HW3]+Tablo3[[#This Row],[HW4]]*$G$38/Tablo11[HW4]+Tablo3[[#This Row],[HW5]]*$H$38/Tablo11[HW5]</f>
        <v>14.333333333333332</v>
      </c>
      <c r="M28" s="1" cm="1">
        <f t="array" ref="M28">Tablo3[[#This Row],[HW1]]*$D$39/Tablo11[HW1]+Tablo3[[#This Row],[HW2]]*$E$39/Tablo11[HW2]+Tablo3[[#This Row],[HW3]]*$F$39/Tablo11[HW3]+Tablo3[[#This Row],[HW4]]*$G$39/Tablo11[HW4]+Tablo3[[#This Row],[HW5]]*$H$39/Tablo11[HW5]</f>
        <v>2</v>
      </c>
      <c r="N28" s="1" cm="1">
        <f t="array" ref="N28">Tablo3[[#This Row],[HW1]]*$D$40/Tablo11[HW1]+Tablo3[[#This Row],[HW2]]*$E$40/Tablo11[HW2]+Tablo3[[#This Row],[HW3]]*$F$40/Tablo11[HW3]+Tablo3[[#This Row],[HW4]]*$G$40/Tablo11[HW4]+Tablo3[[#This Row],[HW5]]*$H$40/Tablo11[HW5]</f>
        <v>5.083333333333333</v>
      </c>
      <c r="O28" s="1" cm="1">
        <f t="array" ref="O28">Tablo3[[#This Row],[HW1]]*$D$41/Tablo11[HW1]+Tablo3[[#This Row],[HW2]]*$E$41/Tablo11[HW2]+Tablo3[[#This Row],[HW3]]*$F$41/Tablo11[HW3]+Tablo3[[#This Row],[HW4]]*$G$41/Tablo11[HW4]+Tablo3[[#This Row],[HW5]]*$H$41/Tablo11[HW5]</f>
        <v>1.5</v>
      </c>
      <c r="P28" s="1">
        <f t="shared" si="0"/>
        <v>22.916666666666664</v>
      </c>
      <c r="Q28" s="1">
        <f>_xlfn.NORM.DIST(Tablo3[[#This Row],[TOTAL]],$T$4,$U$4,FALSE)</f>
        <v>0.17422671106222601</v>
      </c>
    </row>
    <row r="29" spans="2:17" x14ac:dyDescent="0.3">
      <c r="B29" s="78">
        <v>25</v>
      </c>
      <c r="C29" s="35">
        <v>10</v>
      </c>
      <c r="D29" s="46" t="s">
        <v>17</v>
      </c>
      <c r="E29" s="46" t="s">
        <v>16</v>
      </c>
      <c r="F29" s="1">
        <v>4</v>
      </c>
      <c r="G29" s="1">
        <v>1</v>
      </c>
      <c r="H29" s="1">
        <v>8</v>
      </c>
      <c r="I29" s="1">
        <v>8</v>
      </c>
      <c r="J29" s="1">
        <v>8</v>
      </c>
      <c r="K29" s="1">
        <f>(Tablo3[[#This Row],[HW1]]+Tablo3[[#This Row],[HW2]]+Tablo3[[#This Row],[HW3]]+Tablo3[[#This Row],[HW4]]+Tablo3[[#This Row],[HW5]])/5</f>
        <v>5.8</v>
      </c>
      <c r="L29" s="1" cm="1">
        <f t="array" ref="L29">Tablo3[[#This Row],[HW1]]*$D$38/Tablo11[HW1]+Tablo3[[#This Row],[HW2]]*$E$38/Tablo11[HW2]+Tablo3[[#This Row],[HW3]]*$F$38/Tablo11[HW3]+Tablo3[[#This Row],[HW4]]*$G$38/Tablo11[HW4]+Tablo3[[#This Row],[HW5]]*$H$38/Tablo11[HW5]</f>
        <v>13.833333333333332</v>
      </c>
      <c r="M29" s="1" cm="1">
        <f t="array" ref="M29">Tablo3[[#This Row],[HW1]]*$D$39/Tablo11[HW1]+Tablo3[[#This Row],[HW2]]*$E$39/Tablo11[HW2]+Tablo3[[#This Row],[HW3]]*$F$39/Tablo11[HW3]+Tablo3[[#This Row],[HW4]]*$G$39/Tablo11[HW4]+Tablo3[[#This Row],[HW5]]*$H$39/Tablo11[HW5]</f>
        <v>1</v>
      </c>
      <c r="N29" s="1" cm="1">
        <f t="array" ref="N29">Tablo3[[#This Row],[HW1]]*$D$40/Tablo11[HW1]+Tablo3[[#This Row],[HW2]]*$E$40/Tablo11[HW2]+Tablo3[[#This Row],[HW3]]*$F$40/Tablo11[HW3]+Tablo3[[#This Row],[HW4]]*$G$40/Tablo11[HW4]+Tablo3[[#This Row],[HW5]]*$H$40/Tablo11[HW5]</f>
        <v>4.833333333333333</v>
      </c>
      <c r="O29" s="1" cm="1">
        <f t="array" ref="O29">Tablo3[[#This Row],[HW1]]*$D$41/Tablo11[HW1]+Tablo3[[#This Row],[HW2]]*$E$41/Tablo11[HW2]+Tablo3[[#This Row],[HW3]]*$F$41/Tablo11[HW3]+Tablo3[[#This Row],[HW4]]*$G$41/Tablo11[HW4]+Tablo3[[#This Row],[HW5]]*$H$41/Tablo11[HW5]</f>
        <v>2</v>
      </c>
      <c r="P29" s="1">
        <f t="shared" si="0"/>
        <v>21.666666666666664</v>
      </c>
      <c r="Q29" s="1">
        <f>_xlfn.NORM.DIST(Tablo3[[#This Row],[TOTAL]],$T$4,$U$4,FALSE)</f>
        <v>0.17422671106222601</v>
      </c>
    </row>
    <row r="30" spans="2:17" x14ac:dyDescent="0.3">
      <c r="B30" s="79">
        <v>26</v>
      </c>
      <c r="C30" s="35">
        <v>21</v>
      </c>
      <c r="D30" s="46" t="s">
        <v>17</v>
      </c>
      <c r="E30" s="46" t="s">
        <v>16</v>
      </c>
      <c r="F30" s="1">
        <v>1</v>
      </c>
      <c r="G30" s="1">
        <v>3</v>
      </c>
      <c r="H30" s="1">
        <v>8</v>
      </c>
      <c r="I30" s="1">
        <v>10</v>
      </c>
      <c r="J30" s="1">
        <v>8</v>
      </c>
      <c r="K30" s="1">
        <f>(Tablo3[[#This Row],[HW1]]+Tablo3[[#This Row],[HW2]]+Tablo3[[#This Row],[HW3]]+Tablo3[[#This Row],[HW4]]+Tablo3[[#This Row],[HW5]])/5</f>
        <v>6</v>
      </c>
      <c r="L30" s="1" cm="1">
        <f t="array" ref="L30">Tablo3[[#This Row],[HW1]]*$D$38/Tablo11[HW1]+Tablo3[[#This Row],[HW2]]*$E$38/Tablo11[HW2]+Tablo3[[#This Row],[HW3]]*$F$38/Tablo11[HW3]+Tablo3[[#This Row],[HW4]]*$G$38/Tablo11[HW4]+Tablo3[[#This Row],[HW5]]*$H$38/Tablo11[HW5]</f>
        <v>16.166666666666668</v>
      </c>
      <c r="M30" s="1" cm="1">
        <f t="array" ref="M30">Tablo3[[#This Row],[HW1]]*$D$39/Tablo11[HW1]+Tablo3[[#This Row],[HW2]]*$E$39/Tablo11[HW2]+Tablo3[[#This Row],[HW3]]*$F$39/Tablo11[HW3]+Tablo3[[#This Row],[HW4]]*$G$39/Tablo11[HW4]+Tablo3[[#This Row],[HW5]]*$H$39/Tablo11[HW5]</f>
        <v>3</v>
      </c>
      <c r="N30" s="1" cm="1">
        <f t="array" ref="N30">Tablo3[[#This Row],[HW1]]*$D$40/Tablo11[HW1]+Tablo3[[#This Row],[HW2]]*$E$40/Tablo11[HW2]+Tablo3[[#This Row],[HW3]]*$F$40/Tablo11[HW3]+Tablo3[[#This Row],[HW4]]*$G$40/Tablo11[HW4]+Tablo3[[#This Row],[HW5]]*$H$40/Tablo11[HW5]</f>
        <v>5.416666666666667</v>
      </c>
      <c r="O30" s="1" cm="1">
        <f t="array" ref="O30">Tablo3[[#This Row],[HW1]]*$D$41/Tablo11[HW1]+Tablo3[[#This Row],[HW2]]*$E$41/Tablo11[HW2]+Tablo3[[#This Row],[HW3]]*$F$41/Tablo11[HW3]+Tablo3[[#This Row],[HW4]]*$G$41/Tablo11[HW4]+Tablo3[[#This Row],[HW5]]*$H$41/Tablo11[HW5]</f>
        <v>0.5</v>
      </c>
      <c r="P30" s="1">
        <f t="shared" si="0"/>
        <v>25.083333333333336</v>
      </c>
      <c r="Q30" s="1">
        <f>_xlfn.NORM.DIST(Tablo3[[#This Row],[TOTAL]],$T$4,$U$4,FALSE)</f>
        <v>0.16241884871807252</v>
      </c>
    </row>
    <row r="31" spans="2:17" x14ac:dyDescent="0.3">
      <c r="B31" s="78">
        <v>27</v>
      </c>
      <c r="C31" s="35">
        <v>2</v>
      </c>
      <c r="D31" s="5" t="s">
        <v>17</v>
      </c>
      <c r="E31" s="46" t="s">
        <v>16</v>
      </c>
      <c r="F31" s="1">
        <v>0</v>
      </c>
      <c r="G31" s="1">
        <v>5</v>
      </c>
      <c r="H31" s="1">
        <v>8</v>
      </c>
      <c r="I31" s="1">
        <v>9</v>
      </c>
      <c r="J31" s="1">
        <v>8</v>
      </c>
      <c r="K31" s="1">
        <f>(Tablo3[[#This Row],[HW1]]+Tablo3[[#This Row],[HW2]]+Tablo3[[#This Row],[HW3]]+Tablo3[[#This Row],[HW4]]+Tablo3[[#This Row],[HW5]])/5</f>
        <v>6</v>
      </c>
      <c r="L31" s="1" cm="1">
        <f t="array" ref="L31">Tablo3[[#This Row],[HW1]]*$D$38/Tablo11[HW1]+Tablo3[[#This Row],[HW2]]*$E$38/Tablo11[HW2]+Tablo3[[#This Row],[HW3]]*$F$38/Tablo11[HW3]+Tablo3[[#This Row],[HW4]]*$G$38/Tablo11[HW4]+Tablo3[[#This Row],[HW5]]*$H$38/Tablo11[HW5]</f>
        <v>16.5</v>
      </c>
      <c r="M31" s="1" cm="1">
        <f t="array" ref="M31">Tablo3[[#This Row],[HW1]]*$D$39/Tablo11[HW1]+Tablo3[[#This Row],[HW2]]*$E$39/Tablo11[HW2]+Tablo3[[#This Row],[HW3]]*$F$39/Tablo11[HW3]+Tablo3[[#This Row],[HW4]]*$G$39/Tablo11[HW4]+Tablo3[[#This Row],[HW5]]*$H$39/Tablo11[HW5]</f>
        <v>5</v>
      </c>
      <c r="N31" s="1" cm="1">
        <f t="array" ref="N31">Tablo3[[#This Row],[HW1]]*$D$40/Tablo11[HW1]+Tablo3[[#This Row],[HW2]]*$E$40/Tablo11[HW2]+Tablo3[[#This Row],[HW3]]*$F$40/Tablo11[HW3]+Tablo3[[#This Row],[HW4]]*$G$40/Tablo11[HW4]+Tablo3[[#This Row],[HW5]]*$H$40/Tablo11[HW5]</f>
        <v>6</v>
      </c>
      <c r="O31" s="1" cm="1">
        <f t="array" ref="O31">Tablo3[[#This Row],[HW1]]*$D$41/Tablo11[HW1]+Tablo3[[#This Row],[HW2]]*$E$41/Tablo11[HW2]+Tablo3[[#This Row],[HW3]]*$F$41/Tablo11[HW3]+Tablo3[[#This Row],[HW4]]*$G$41/Tablo11[HW4]+Tablo3[[#This Row],[HW5]]*$H$41/Tablo11[HW5]</f>
        <v>0</v>
      </c>
      <c r="P31" s="1">
        <f t="shared" si="0"/>
        <v>27.5</v>
      </c>
      <c r="Q31" s="1">
        <f>_xlfn.NORM.DIST(Tablo3[[#This Row],[TOTAL]],$T$4,$U$4,FALSE)</f>
        <v>0.16241884871807252</v>
      </c>
    </row>
    <row r="32" spans="2:17" x14ac:dyDescent="0.3">
      <c r="B32" s="79">
        <v>28</v>
      </c>
      <c r="C32" s="35">
        <v>23</v>
      </c>
      <c r="D32" s="46" t="s">
        <v>17</v>
      </c>
      <c r="E32" s="46" t="s">
        <v>16</v>
      </c>
      <c r="F32" s="1">
        <v>3</v>
      </c>
      <c r="G32" s="1">
        <v>4</v>
      </c>
      <c r="H32" s="1">
        <v>8</v>
      </c>
      <c r="I32" s="1">
        <v>10</v>
      </c>
      <c r="J32" s="1">
        <v>6</v>
      </c>
      <c r="K32" s="1">
        <f>(Tablo3[[#This Row],[HW1]]+Tablo3[[#This Row],[HW2]]+Tablo3[[#This Row],[HW3]]+Tablo3[[#This Row],[HW4]]+Tablo3[[#This Row],[HW5]])/5</f>
        <v>6.2</v>
      </c>
      <c r="L32" s="1" cm="1">
        <f t="array" ref="L32">Tablo3[[#This Row],[HW1]]*$D$38/Tablo11[HW1]+Tablo3[[#This Row],[HW2]]*$E$38/Tablo11[HW2]+Tablo3[[#This Row],[HW3]]*$F$38/Tablo11[HW3]+Tablo3[[#This Row],[HW4]]*$G$38/Tablo11[HW4]+Tablo3[[#This Row],[HW5]]*$H$38/Tablo11[HW5]</f>
        <v>15.666666666666668</v>
      </c>
      <c r="M32" s="1" cm="1">
        <f t="array" ref="M32">Tablo3[[#This Row],[HW1]]*$D$39/Tablo11[HW1]+Tablo3[[#This Row],[HW2]]*$E$39/Tablo11[HW2]+Tablo3[[#This Row],[HW3]]*$F$39/Tablo11[HW3]+Tablo3[[#This Row],[HW4]]*$G$39/Tablo11[HW4]+Tablo3[[#This Row],[HW5]]*$H$39/Tablo11[HW5]</f>
        <v>4</v>
      </c>
      <c r="N32" s="1" cm="1">
        <f t="array" ref="N32">Tablo3[[#This Row],[HW1]]*$D$40/Tablo11[HW1]+Tablo3[[#This Row],[HW2]]*$E$40/Tablo11[HW2]+Tablo3[[#This Row],[HW3]]*$F$40/Tablo11[HW3]+Tablo3[[#This Row],[HW4]]*$G$40/Tablo11[HW4]+Tablo3[[#This Row],[HW5]]*$H$40/Tablo11[HW5]</f>
        <v>5.916666666666667</v>
      </c>
      <c r="O32" s="1" cm="1">
        <f t="array" ref="O32">Tablo3[[#This Row],[HW1]]*$D$41/Tablo11[HW1]+Tablo3[[#This Row],[HW2]]*$E$41/Tablo11[HW2]+Tablo3[[#This Row],[HW3]]*$F$41/Tablo11[HW3]+Tablo3[[#This Row],[HW4]]*$G$41/Tablo11[HW4]+Tablo3[[#This Row],[HW5]]*$H$41/Tablo11[HW5]</f>
        <v>1.5</v>
      </c>
      <c r="P32" s="1">
        <f t="shared" si="0"/>
        <v>27.083333333333336</v>
      </c>
      <c r="Q32" s="1">
        <f>_xlfn.NORM.DIST(Tablo3[[#This Row],[TOTAL]],$T$4,$U$4,FALSE)</f>
        <v>0.14973835396183968</v>
      </c>
    </row>
    <row r="33" spans="2:17" x14ac:dyDescent="0.3">
      <c r="B33" s="78">
        <v>29</v>
      </c>
      <c r="C33" s="35">
        <v>15</v>
      </c>
      <c r="D33" s="46" t="s">
        <v>17</v>
      </c>
      <c r="E33" s="46" t="s">
        <v>16</v>
      </c>
      <c r="F33" s="1">
        <v>6</v>
      </c>
      <c r="G33" s="1">
        <v>3.5</v>
      </c>
      <c r="H33" s="1">
        <v>8</v>
      </c>
      <c r="I33" s="1">
        <v>10</v>
      </c>
      <c r="J33" s="1">
        <v>6</v>
      </c>
      <c r="K33" s="1">
        <f>(Tablo3[[#This Row],[HW1]]+Tablo3[[#This Row],[HW2]]+Tablo3[[#This Row],[HW3]]+Tablo3[[#This Row],[HW4]]+Tablo3[[#This Row],[HW5]])/5</f>
        <v>6.7</v>
      </c>
      <c r="L33" s="1" cm="1">
        <f t="array" ref="L33">Tablo3[[#This Row],[HW1]]*$D$38/Tablo11[HW1]+Tablo3[[#This Row],[HW2]]*$E$38/Tablo11[HW2]+Tablo3[[#This Row],[HW3]]*$F$38/Tablo11[HW3]+Tablo3[[#This Row],[HW4]]*$G$38/Tablo11[HW4]+Tablo3[[#This Row],[HW5]]*$H$38/Tablo11[HW5]</f>
        <v>15.416666666666668</v>
      </c>
      <c r="M33" s="1" cm="1">
        <f t="array" ref="M33">Tablo3[[#This Row],[HW1]]*$D$39/Tablo11[HW1]+Tablo3[[#This Row],[HW2]]*$E$39/Tablo11[HW2]+Tablo3[[#This Row],[HW3]]*$F$39/Tablo11[HW3]+Tablo3[[#This Row],[HW4]]*$G$39/Tablo11[HW4]+Tablo3[[#This Row],[HW5]]*$H$39/Tablo11[HW5]</f>
        <v>3.5</v>
      </c>
      <c r="N33" s="1" cm="1">
        <f t="array" ref="N33">Tablo3[[#This Row],[HW1]]*$D$40/Tablo11[HW1]+Tablo3[[#This Row],[HW2]]*$E$40/Tablo11[HW2]+Tablo3[[#This Row],[HW3]]*$F$40/Tablo11[HW3]+Tablo3[[#This Row],[HW4]]*$G$40/Tablo11[HW4]+Tablo3[[#This Row],[HW5]]*$H$40/Tablo11[HW5]</f>
        <v>6.416666666666667</v>
      </c>
      <c r="O33" s="1" cm="1">
        <f t="array" ref="O33">Tablo3[[#This Row],[HW1]]*$D$41/Tablo11[HW1]+Tablo3[[#This Row],[HW2]]*$E$41/Tablo11[HW2]+Tablo3[[#This Row],[HW3]]*$F$41/Tablo11[HW3]+Tablo3[[#This Row],[HW4]]*$G$41/Tablo11[HW4]+Tablo3[[#This Row],[HW5]]*$H$41/Tablo11[HW5]</f>
        <v>3</v>
      </c>
      <c r="P33" s="1">
        <f t="shared" si="0"/>
        <v>28.333333333333336</v>
      </c>
      <c r="Q33" s="1">
        <f>_xlfn.NORM.DIST(Tablo3[[#This Row],[TOTAL]],$T$4,$U$4,FALSE)</f>
        <v>0.11640321468986572</v>
      </c>
    </row>
    <row r="34" spans="2:17" x14ac:dyDescent="0.3">
      <c r="B34" s="80">
        <v>30</v>
      </c>
      <c r="C34" s="35">
        <v>16</v>
      </c>
      <c r="D34" s="46" t="s">
        <v>17</v>
      </c>
      <c r="E34" s="46" t="s">
        <v>16</v>
      </c>
      <c r="F34" s="1">
        <v>10</v>
      </c>
      <c r="G34" s="1">
        <v>10</v>
      </c>
      <c r="H34" s="1">
        <v>10</v>
      </c>
      <c r="I34" s="1">
        <v>10</v>
      </c>
      <c r="J34" s="1">
        <v>10</v>
      </c>
      <c r="K34" s="1">
        <f>(Tablo3[[#This Row],[HW1]]+Tablo3[[#This Row],[HW2]]+Tablo3[[#This Row],[HW3]]+Tablo3[[#This Row],[HW4]]+Tablo3[[#This Row],[HW5]])/5</f>
        <v>10</v>
      </c>
      <c r="L34" s="1" cm="1">
        <f t="array" ref="L34">Tablo3[[#This Row],[HW1]]*$D$38/Tablo11[HW1]+Tablo3[[#This Row],[HW2]]*$E$38/Tablo11[HW2]+Tablo3[[#This Row],[HW3]]*$F$38/Tablo11[HW3]+Tablo3[[#This Row],[HW4]]*$G$38/Tablo11[HW4]+Tablo3[[#This Row],[HW5]]*$H$38/Tablo11[HW5]</f>
        <v>21.666666666666668</v>
      </c>
      <c r="M34" s="1" cm="1">
        <f t="array" ref="M34">Tablo3[[#This Row],[HW1]]*$D$39/Tablo11[HW1]+Tablo3[[#This Row],[HW2]]*$E$39/Tablo11[HW2]+Tablo3[[#This Row],[HW3]]*$F$39/Tablo11[HW3]+Tablo3[[#This Row],[HW4]]*$G$39/Tablo11[HW4]+Tablo3[[#This Row],[HW5]]*$H$39/Tablo11[HW5]</f>
        <v>10</v>
      </c>
      <c r="N34" s="1" cm="1">
        <f t="array" ref="N34">Tablo3[[#This Row],[HW1]]*$D$40/Tablo11[HW1]+Tablo3[[#This Row],[HW2]]*$E$40/Tablo11[HW2]+Tablo3[[#This Row],[HW3]]*$F$40/Tablo11[HW3]+Tablo3[[#This Row],[HW4]]*$G$40/Tablo11[HW4]+Tablo3[[#This Row],[HW5]]*$H$40/Tablo11[HW5]</f>
        <v>11.666666666666666</v>
      </c>
      <c r="O34" s="1" cm="1">
        <f t="array" ref="O34">Tablo3[[#This Row],[HW1]]*$D$41/Tablo11[HW1]+Tablo3[[#This Row],[HW2]]*$E$41/Tablo11[HW2]+Tablo3[[#This Row],[HW3]]*$F$41/Tablo11[HW3]+Tablo3[[#This Row],[HW4]]*$G$41/Tablo11[HW4]+Tablo3[[#This Row],[HW5]]*$H$41/Tablo11[HW5]</f>
        <v>5</v>
      </c>
      <c r="P34" s="1">
        <f t="shared" si="0"/>
        <v>48.333333333333336</v>
      </c>
      <c r="Q34" s="1">
        <f>_xlfn.NORM.DIST(Tablo3[[#This Row],[TOTAL]],$T$4,$U$4,FALSE)</f>
        <v>3.8708569066472501E-3</v>
      </c>
    </row>
    <row r="37" spans="2:17" x14ac:dyDescent="0.3">
      <c r="C37" s="43" t="s">
        <v>86</v>
      </c>
      <c r="D37" s="61" t="s">
        <v>95</v>
      </c>
      <c r="E37" s="61" t="s">
        <v>96</v>
      </c>
      <c r="F37" s="61" t="s">
        <v>97</v>
      </c>
      <c r="G37" s="61" t="s">
        <v>98</v>
      </c>
      <c r="H37" s="61" t="s">
        <v>99</v>
      </c>
      <c r="I37" s="57" t="s">
        <v>87</v>
      </c>
      <c r="J37" s="40" t="s">
        <v>88</v>
      </c>
      <c r="K37" s="43" t="s">
        <v>89</v>
      </c>
      <c r="M37" s="67" t="s">
        <v>28</v>
      </c>
      <c r="N37" s="67" t="s">
        <v>27</v>
      </c>
      <c r="O37" s="43" t="s">
        <v>81</v>
      </c>
      <c r="P37" s="43" t="s">
        <v>82</v>
      </c>
    </row>
    <row r="38" spans="2:17" x14ac:dyDescent="0.3">
      <c r="C38" s="41">
        <v>1</v>
      </c>
      <c r="D38" s="65">
        <v>0</v>
      </c>
      <c r="E38" s="65">
        <v>5</v>
      </c>
      <c r="F38" s="65">
        <v>10</v>
      </c>
      <c r="G38" s="65">
        <v>20</v>
      </c>
      <c r="H38" s="65">
        <v>10</v>
      </c>
      <c r="I38" s="36">
        <f>SUM(Tablo163719[[#This Row],[HW1]:[HW5]])</f>
        <v>45</v>
      </c>
      <c r="J38" s="68">
        <f>IF(Tablo163719[[#This Row],[TOPLAM]]=0,"0",SUM(Tablo3[DÇ1])/(30*Tablo415[[#This Row],[DERS ÇIKTISI KATSAYISI]]))</f>
        <v>0.25993827160493838</v>
      </c>
      <c r="K38" s="81">
        <f>$J38*Tablo415[[#This Row],[DERS ÇIKTISI KATSAYISI]]</f>
        <v>11.697222222222226</v>
      </c>
      <c r="M38" s="37">
        <v>1</v>
      </c>
      <c r="N38" s="1" t="s">
        <v>21</v>
      </c>
      <c r="O38" s="1">
        <v>45</v>
      </c>
      <c r="P38" s="2">
        <f>Tablo415[[#This Row],[DERS ÇIKTISI KATSAYISI]]-Tablo163719[[#This Row],[TOPLAM]]</f>
        <v>0</v>
      </c>
    </row>
    <row r="39" spans="2:17" x14ac:dyDescent="0.3">
      <c r="C39" s="35">
        <v>2</v>
      </c>
      <c r="D39" s="36">
        <v>0</v>
      </c>
      <c r="E39" s="36">
        <v>10</v>
      </c>
      <c r="F39" s="36">
        <v>0</v>
      </c>
      <c r="G39" s="36">
        <v>0</v>
      </c>
      <c r="H39" s="36">
        <v>0</v>
      </c>
      <c r="I39" s="36">
        <f>SUM(Tablo163719[[#This Row],[HW1]:[HW5]])</f>
        <v>10</v>
      </c>
      <c r="J39" s="68">
        <f>IF(Tablo163719[[#This Row],[TOPLAM]]=0,"0",SUM(Tablo3[DÇ2])/(30*Tablo415[[#This Row],[DERS ÇIKTISI KATSAYISI]]))</f>
        <v>0.17833333333333334</v>
      </c>
      <c r="K39" s="82">
        <f>$J39*Tablo415[[#This Row],[DERS ÇIKTISI KATSAYISI]]</f>
        <v>1.7833333333333334</v>
      </c>
      <c r="M39" s="37">
        <v>2</v>
      </c>
      <c r="N39" s="1" t="s">
        <v>20</v>
      </c>
      <c r="O39" s="1">
        <v>10</v>
      </c>
      <c r="P39" s="2">
        <f>Tablo415[[#This Row],[DERS ÇIKTISI KATSAYISI]]-Tablo163719[[#This Row],[TOPLAM]]</f>
        <v>0</v>
      </c>
    </row>
    <row r="40" spans="2:17" x14ac:dyDescent="0.3">
      <c r="C40" s="35">
        <v>3</v>
      </c>
      <c r="D40" s="36">
        <v>5</v>
      </c>
      <c r="E40" s="36">
        <v>5</v>
      </c>
      <c r="F40" s="36">
        <v>0</v>
      </c>
      <c r="G40" s="36">
        <v>5</v>
      </c>
      <c r="H40" s="36">
        <v>5</v>
      </c>
      <c r="I40" s="36">
        <f>SUM(Tablo163719[[#This Row],[HW1]:[HW5]])</f>
        <v>20</v>
      </c>
      <c r="J40" s="68">
        <f>IF(Tablo163719[[#This Row],[TOPLAM]]=0,"0",SUM(Tablo3[DÇ3])/(30*Tablo415[[#This Row],[DERS ÇIKTISI KATSAYISI]]))</f>
        <v>0.20194444444444445</v>
      </c>
      <c r="K40" s="82">
        <f>$J40*Tablo415[[#This Row],[DERS ÇIKTISI KATSAYISI]]</f>
        <v>4.0388888888888888</v>
      </c>
      <c r="M40" s="37">
        <v>3</v>
      </c>
      <c r="N40" s="1" t="s">
        <v>19</v>
      </c>
      <c r="O40" s="1">
        <v>20</v>
      </c>
      <c r="P40" s="2">
        <f>Tablo415[[#This Row],[DERS ÇIKTISI KATSAYISI]]-Tablo163719[[#This Row],[TOPLAM]]</f>
        <v>0</v>
      </c>
    </row>
    <row r="41" spans="2:17" x14ac:dyDescent="0.3">
      <c r="C41" s="35">
        <v>4</v>
      </c>
      <c r="D41" s="36">
        <v>10</v>
      </c>
      <c r="E41" s="36">
        <v>0</v>
      </c>
      <c r="F41" s="36">
        <v>0</v>
      </c>
      <c r="G41" s="36">
        <v>0</v>
      </c>
      <c r="H41" s="36">
        <v>0</v>
      </c>
      <c r="I41" s="36">
        <f>SUM(Tablo163719[[#This Row],[HW1]:[HW5]])</f>
        <v>10</v>
      </c>
      <c r="J41" s="68">
        <f>IF(Tablo163719[[#This Row],[TOPLAM]]=0,"0",SUM(Tablo3[DÇ4])/(30*Tablo415[[#This Row],[DERS ÇIKTISI KATSAYISI]]))</f>
        <v>0.105</v>
      </c>
      <c r="K41" s="82">
        <f>$J41*Tablo415[[#This Row],[DERS ÇIKTISI KATSAYISI]]</f>
        <v>1.05</v>
      </c>
      <c r="M41" s="3">
        <v>4</v>
      </c>
      <c r="N41" s="1" t="s">
        <v>18</v>
      </c>
      <c r="O41" s="1">
        <v>10</v>
      </c>
      <c r="P41" s="2">
        <f>Tablo415[[#This Row],[DERS ÇIKTISI KATSAYISI]]-Tablo163719[[#This Row],[TOPLAM]]</f>
        <v>0</v>
      </c>
    </row>
    <row r="44" spans="2:17" x14ac:dyDescent="0.3">
      <c r="C44" s="83" t="s">
        <v>95</v>
      </c>
      <c r="D44" s="83" t="s">
        <v>96</v>
      </c>
      <c r="E44" s="83" t="s">
        <v>97</v>
      </c>
      <c r="F44" s="83" t="s">
        <v>98</v>
      </c>
      <c r="G44" s="83" t="s">
        <v>99</v>
      </c>
      <c r="H44" s="83" t="s">
        <v>84</v>
      </c>
    </row>
    <row r="45" spans="2:17" x14ac:dyDescent="0.3">
      <c r="C45" s="84">
        <v>20</v>
      </c>
      <c r="D45" s="84">
        <v>10</v>
      </c>
      <c r="E45" s="84">
        <v>20</v>
      </c>
      <c r="F45" s="84">
        <v>30</v>
      </c>
      <c r="G45" s="84">
        <v>20</v>
      </c>
      <c r="H45" s="84">
        <f>SUM(C45,D45,E45,F45,G45)</f>
        <v>100</v>
      </c>
    </row>
  </sheetData>
  <mergeCells count="1">
    <mergeCell ref="B1:V1"/>
  </mergeCells>
  <conditionalFormatting sqref="P38:P41">
    <cfRule type="cellIs" dxfId="39" priority="17" operator="equal">
      <formula>0</formula>
    </cfRule>
    <cfRule type="cellIs" dxfId="38" priority="18" operator="lessThan">
      <formula>0</formula>
    </cfRule>
  </conditionalFormatting>
  <conditionalFormatting sqref="P38">
    <cfRule type="cellIs" dxfId="37" priority="16" operator="greaterThan">
      <formula>$D$37</formula>
    </cfRule>
  </conditionalFormatting>
  <conditionalFormatting sqref="P39">
    <cfRule type="cellIs" dxfId="36" priority="15" operator="greaterThan">
      <formula>$D$38</formula>
    </cfRule>
  </conditionalFormatting>
  <conditionalFormatting sqref="P40">
    <cfRule type="cellIs" dxfId="35" priority="14" operator="greaterThan">
      <formula>$D$39</formula>
    </cfRule>
  </conditionalFormatting>
  <conditionalFormatting sqref="P41">
    <cfRule type="cellIs" dxfId="34" priority="13" operator="greaterThan">
      <formula>$D$40</formula>
    </cfRule>
  </conditionalFormatting>
  <conditionalFormatting sqref="I38">
    <cfRule type="cellIs" dxfId="33" priority="4" operator="equal">
      <formula>45</formula>
    </cfRule>
    <cfRule type="cellIs" dxfId="32" priority="8" operator="lessThan">
      <formula>$O$38</formula>
    </cfRule>
    <cfRule type="cellIs" dxfId="31" priority="12" operator="greaterThan">
      <formula>$O$38</formula>
    </cfRule>
  </conditionalFormatting>
  <conditionalFormatting sqref="I39">
    <cfRule type="cellIs" dxfId="30" priority="3" operator="equal">
      <formula>$O$39</formula>
    </cfRule>
    <cfRule type="cellIs" dxfId="29" priority="7" operator="lessThan">
      <formula>$O$39</formula>
    </cfRule>
    <cfRule type="cellIs" dxfId="28" priority="11" operator="greaterThan">
      <formula>$O$39</formula>
    </cfRule>
  </conditionalFormatting>
  <conditionalFormatting sqref="I40">
    <cfRule type="cellIs" dxfId="27" priority="2" operator="equal">
      <formula>$O$40</formula>
    </cfRule>
    <cfRule type="cellIs" dxfId="26" priority="6" operator="lessThan">
      <formula>$O$40</formula>
    </cfRule>
    <cfRule type="cellIs" dxfId="25" priority="10" operator="greaterThan">
      <formula>$O$40</formula>
    </cfRule>
  </conditionalFormatting>
  <conditionalFormatting sqref="I41">
    <cfRule type="cellIs" dxfId="24" priority="1" operator="equal">
      <formula>$O$41</formula>
    </cfRule>
    <cfRule type="cellIs" dxfId="23" priority="5" operator="lessThan">
      <formula>$O$41</formula>
    </cfRule>
    <cfRule type="cellIs" dxfId="22" priority="9" operator="greaterThan">
      <formula>$O$41</formula>
    </cfRule>
  </conditionalFormatting>
  <pageMargins left="0.7" right="0.7" top="0.75" bottom="0.75" header="0.3" footer="0.3"/>
  <pageSetup paperSize="9" orientation="portrait" r:id="rId1"/>
  <drawing r:id="rId2"/>
  <legacyDrawing r:id="rId3"/>
  <tableParts count="6">
    <tablePart r:id="rId4"/>
    <tablePart r:id="rId5"/>
    <tablePart r:id="rId6"/>
    <tablePart r:id="rId7"/>
    <tablePart r:id="rId8"/>
    <tablePart r:id="rId9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BF509-BDCB-4C61-991C-5AFED5850BD7}">
  <dimension ref="B1:Z49"/>
  <sheetViews>
    <sheetView zoomScale="55" zoomScaleNormal="55" workbookViewId="0">
      <selection activeCell="AE34" sqref="AE34"/>
    </sheetView>
  </sheetViews>
  <sheetFormatPr defaultRowHeight="14.4" x14ac:dyDescent="0.3"/>
  <cols>
    <col min="1" max="1" width="8.88671875" style="1"/>
    <col min="2" max="2" width="15.33203125" style="1" bestFit="1" customWidth="1"/>
    <col min="3" max="3" width="17.44140625" style="1" bestFit="1" customWidth="1"/>
    <col min="4" max="4" width="11.6640625" style="1" bestFit="1" customWidth="1"/>
    <col min="5" max="5" width="12" style="1" customWidth="1"/>
    <col min="6" max="6" width="8.33203125" style="1" bestFit="1" customWidth="1"/>
    <col min="7" max="7" width="15.33203125" style="1" bestFit="1" customWidth="1"/>
    <col min="8" max="12" width="11.6640625" style="1" bestFit="1" customWidth="1"/>
    <col min="13" max="13" width="14.88671875" style="1" bestFit="1" customWidth="1"/>
    <col min="14" max="14" width="15.6640625" style="1" bestFit="1" customWidth="1"/>
    <col min="15" max="15" width="17.44140625" style="1" bestFit="1" customWidth="1"/>
    <col min="16" max="16" width="10" style="1" bestFit="1" customWidth="1"/>
    <col min="17" max="17" width="10.109375" style="1" customWidth="1"/>
    <col min="18" max="18" width="15" style="1" bestFit="1" customWidth="1"/>
    <col min="19" max="19" width="19.33203125" style="1" bestFit="1" customWidth="1"/>
    <col min="20" max="20" width="9.6640625" style="1" customWidth="1"/>
    <col min="21" max="24" width="8.88671875" style="1"/>
    <col min="25" max="25" width="10.6640625" style="1" customWidth="1"/>
    <col min="26" max="26" width="13.6640625" style="1" customWidth="1"/>
    <col min="27" max="16384" width="8.88671875" style="1"/>
  </cols>
  <sheetData>
    <row r="1" spans="2:26" ht="33.6" x14ac:dyDescent="0.3">
      <c r="B1" s="59" t="s">
        <v>116</v>
      </c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</row>
    <row r="4" spans="2:26" ht="15" thickBot="1" x14ac:dyDescent="0.35">
      <c r="B4" s="76" t="s">
        <v>37</v>
      </c>
      <c r="C4" s="39" t="s">
        <v>36</v>
      </c>
      <c r="D4" s="77" t="s">
        <v>17</v>
      </c>
      <c r="E4" s="77" t="s">
        <v>16</v>
      </c>
      <c r="F4" s="43" t="s">
        <v>114</v>
      </c>
      <c r="G4" s="43" t="s">
        <v>113</v>
      </c>
      <c r="H4" s="43" t="s">
        <v>112</v>
      </c>
      <c r="I4" s="43" t="s">
        <v>111</v>
      </c>
      <c r="J4" s="43" t="s">
        <v>110</v>
      </c>
      <c r="K4" s="43" t="s">
        <v>109</v>
      </c>
      <c r="L4" s="43" t="s">
        <v>108</v>
      </c>
      <c r="M4" s="43" t="s">
        <v>107</v>
      </c>
      <c r="N4" s="43" t="s">
        <v>106</v>
      </c>
      <c r="O4" s="43" t="s">
        <v>105</v>
      </c>
      <c r="P4" s="43" t="s">
        <v>104</v>
      </c>
      <c r="Q4" s="43" t="s">
        <v>103</v>
      </c>
      <c r="R4" s="43" t="s">
        <v>102</v>
      </c>
      <c r="S4" s="43" t="s">
        <v>101</v>
      </c>
      <c r="T4" s="43" t="s">
        <v>84</v>
      </c>
      <c r="U4" s="43" t="s">
        <v>3</v>
      </c>
      <c r="V4" s="43" t="s">
        <v>2</v>
      </c>
      <c r="W4" s="43" t="s">
        <v>1</v>
      </c>
      <c r="X4" s="43" t="s">
        <v>0</v>
      </c>
      <c r="Y4" s="43" t="s">
        <v>115</v>
      </c>
      <c r="Z4" s="43" t="s">
        <v>65</v>
      </c>
    </row>
    <row r="5" spans="2:26" ht="15" thickTop="1" x14ac:dyDescent="0.3">
      <c r="B5" s="78">
        <v>1</v>
      </c>
      <c r="C5" s="35">
        <v>17</v>
      </c>
      <c r="D5" s="46" t="s">
        <v>17</v>
      </c>
      <c r="E5" s="46" t="s">
        <v>16</v>
      </c>
      <c r="F5" s="1">
        <v>5</v>
      </c>
      <c r="G5" s="1">
        <v>0</v>
      </c>
      <c r="H5" s="1">
        <v>4</v>
      </c>
      <c r="I5" s="1">
        <v>4</v>
      </c>
      <c r="J5" s="1">
        <v>2</v>
      </c>
      <c r="K5" s="1">
        <v>2</v>
      </c>
      <c r="L5" s="1">
        <v>1</v>
      </c>
      <c r="M5" s="1">
        <v>4</v>
      </c>
      <c r="N5" s="1">
        <v>5</v>
      </c>
      <c r="O5" s="1">
        <v>0</v>
      </c>
      <c r="P5" s="1">
        <v>3</v>
      </c>
      <c r="Q5" s="1">
        <v>2</v>
      </c>
      <c r="R5" s="1">
        <v>0</v>
      </c>
      <c r="S5" s="1">
        <v>1</v>
      </c>
      <c r="T5" s="1">
        <f>SUM(Tablo314[[#This Row],[LW1]:[LW14]])</f>
        <v>33</v>
      </c>
      <c r="U5" s="1" cm="1">
        <f t="array" ref="U5">F5/Tablo27[LW1]*$C$37+Tablo314[[#This Row],[LW2]]/Tablo27[LW2]*$D$37+Tablo314[[#This Row],[LW3]]/Tablo27[LW3]*$E$37+Tablo314[[#This Row],[LW4]]/Tablo27[LW4]*$F$37+Tablo314[[#This Row],[LW5]]/Tablo27[LW5]*$G$37+Tablo314[[#This Row],[LW6]]/Tablo27[LW6]*$H$37+Tablo314[[#This Row],[LW7]]/Tablo27[LW7]*$I$37+Tablo314[[#This Row],[LW8]]/Tablo27[LW8]*$J$37+Tablo314[[#This Row],[LW9]]/Tablo27[LW9]*$K$37+Tablo314[[#This Row],[LW10]]/Tablo27[LW10]*$L$37+Tablo314[[#This Row],[LW11]]/Tablo27[LW11]*$M$37+Tablo314[[#This Row],[LW12]]/Tablo27[LW12]*$N$37+Tablo314[[#This Row],[LW13]]/Tablo27[LW13]*$O$37+Tablo314[[#This Row],[LW14]]/Tablo27[LW14]*$P$37</f>
        <v>15.5</v>
      </c>
      <c r="V5" s="1" cm="1">
        <f t="array" ref="V5">F5/Tablo27[LW1]*$C$38+Tablo314[[#This Row],[LW2]]/Tablo27[LW2]*$D$38+Tablo314[[#This Row],[LW3]]/Tablo27[LW3]*$E$38+Tablo314[[#This Row],[LW4]]/Tablo27[LW4]*$F$38+Tablo314[[#This Row],[LW5]]/Tablo27[LW5]*$G$38+Tablo314[[#This Row],[LW6]]/Tablo27[LW6]*$H$38+Tablo314[[#This Row],[LW7]]/Tablo27[LW7]*$I$38+Tablo314[[#This Row],[LW8]]/Tablo27[LW8]*$J$38+Tablo314[[#This Row],[LW9]]/Tablo27[LW9]*$K$38+Tablo314[[#This Row],[LW10]]/Tablo27[LW10]*$L$38+Tablo314[[#This Row],[LW11]]/Tablo27[LW11]*$M$38+Tablo314[[#This Row],[LW12]]/Tablo27[LW12]*$N$38+Tablo314[[#This Row],[LW13]]/Tablo27[LW13]*$O$38+Tablo314[[#This Row],[LW14]]/Tablo27[LW14]*$P$38</f>
        <v>14.5</v>
      </c>
      <c r="W5" s="1" cm="1">
        <f t="array" ref="W5">F5/Tablo27[LW1]*$C$39+Tablo314[[#This Row],[LW2]]/Tablo27[LW2]*$D$39+Tablo314[[#This Row],[LW3]]/Tablo27[LW3]*$E$39+Tablo314[[#This Row],[LW4]]/Tablo27[LW4]*$F$39+Tablo314[[#This Row],[LW5]]/Tablo27[LW5]*$G$39+Tablo314[[#This Row],[LW6]]/Tablo27[LW6]*$H$39+Tablo314[[#This Row],[LW7]]/Tablo27[LW7]*$I$39+Tablo314[[#This Row],[LW8]]/Tablo27[LW8]*$J$39+Tablo314[[#This Row],[LW9]]/Tablo27[LW9]*$K$39+Tablo314[[#This Row],[LW10]]/Tablo27[LW10]*$L$39+Tablo314[[#This Row],[LW11]]/Tablo27[LW11]*$M$39+Tablo314[[#This Row],[LW12]]/Tablo27[LW12]*$N$39+Tablo314[[#This Row],[LW13]]/Tablo27[LW13]*$O$39+Tablo314[[#This Row],[LW14]]/Tablo27[LW14]*$P$39</f>
        <v>16</v>
      </c>
      <c r="X5" s="1" cm="1">
        <f t="array" ref="X5">F5/Tablo27[LW1]*$C$40+Tablo314[[#This Row],[LW2]]/Tablo27[LW2]*$D$40+Tablo314[[#This Row],[LW3]]/Tablo27[LW3]*$E$40+Tablo314[[#This Row],[LW4]]/Tablo27[LW4]*$F$40+Tablo314[[#This Row],[LW5]]/Tablo27[LW5]*$G$40+Tablo314[[#This Row],[LW6]]/Tablo27[LW6]*$H$40+Tablo314[[#This Row],[LW7]]/Tablo27[LW7]*$I$40+Tablo314[[#This Row],[LW8]]/Tablo27[LW8]*$J$40+Tablo314[[#This Row],[LW9]]/Tablo27[LW9]*$K$40+Tablo314[[#This Row],[LW10]]/Tablo27[LW10]*$L$40+Tablo314[[#This Row],[LW11]]/Tablo27[LW11]*$M$40+Tablo314[[#This Row],[LW12]]/Tablo27[LW12]*$N$40+Tablo314[[#This Row],[LW13]]/Tablo27[LW13]*$O$40+Tablo314[[#This Row],[LW14]]/Tablo27[LW14]*$P$40</f>
        <v>20</v>
      </c>
      <c r="Y5" s="1">
        <f>SUM(Tablo314[[#This Row],[DÇ1]],Tablo314[[#This Row],[DÇ2]],Tablo314[[#This Row],[DÇ3]],Tablo314[[#This Row],[DÇ4]])</f>
        <v>66</v>
      </c>
      <c r="Z5" s="1" cm="1">
        <f t="array" ref="Z5">_xlfn.NORM.DIST(Tablo314[[#This Row],[TOTAL]],Tablo29[Mean],Tablo29[Variance],FALSE)</f>
        <v>4.2256317597747228E-3</v>
      </c>
    </row>
    <row r="6" spans="2:26" x14ac:dyDescent="0.3">
      <c r="B6" s="79">
        <v>2</v>
      </c>
      <c r="C6" s="35">
        <v>1</v>
      </c>
      <c r="D6" s="46" t="s">
        <v>17</v>
      </c>
      <c r="E6" s="46" t="s">
        <v>16</v>
      </c>
      <c r="F6" s="1">
        <v>1</v>
      </c>
      <c r="G6" s="1">
        <v>4</v>
      </c>
      <c r="H6" s="1">
        <v>2</v>
      </c>
      <c r="I6" s="1">
        <v>3</v>
      </c>
      <c r="J6" s="1">
        <v>4</v>
      </c>
      <c r="K6" s="1">
        <v>2</v>
      </c>
      <c r="L6" s="1">
        <v>5</v>
      </c>
      <c r="M6" s="1">
        <v>5</v>
      </c>
      <c r="N6" s="1">
        <v>1</v>
      </c>
      <c r="O6" s="1">
        <v>3</v>
      </c>
      <c r="P6" s="1">
        <v>0</v>
      </c>
      <c r="Q6" s="1">
        <v>2</v>
      </c>
      <c r="R6" s="1">
        <v>2</v>
      </c>
      <c r="S6" s="1">
        <v>1</v>
      </c>
      <c r="T6" s="1">
        <f>SUM(Tablo314[[#This Row],[LW1]:[LW14]])</f>
        <v>35</v>
      </c>
      <c r="U6" s="1" cm="1">
        <f t="array" ref="U6">F6/Tablo27[LW1]*$C$37+Tablo314[[#This Row],[LW2]]/Tablo27[LW2]*$D$37+Tablo314[[#This Row],[LW3]]/Tablo27[LW3]*$E$37+Tablo314[[#This Row],[LW4]]/Tablo27[LW4]*$F$37+Tablo314[[#This Row],[LW5]]/Tablo27[LW5]*$G$37+Tablo314[[#This Row],[LW6]]/Tablo27[LW6]*$H$37+Tablo314[[#This Row],[LW7]]/Tablo27[LW7]*$I$37+Tablo314[[#This Row],[LW8]]/Tablo27[LW8]*$J$37+Tablo314[[#This Row],[LW9]]/Tablo27[LW9]*$K$37+Tablo314[[#This Row],[LW10]]/Tablo27[LW10]*$L$37+Tablo314[[#This Row],[LW11]]/Tablo27[LW11]*$M$37+Tablo314[[#This Row],[LW12]]/Tablo27[LW12]*$N$37+Tablo314[[#This Row],[LW13]]/Tablo27[LW13]*$O$37+Tablo314[[#This Row],[LW14]]/Tablo27[LW14]*$P$37</f>
        <v>9</v>
      </c>
      <c r="V6" s="1" cm="1">
        <f t="array" ref="V6">F6/Tablo27[LW1]*$C$38+Tablo314[[#This Row],[LW2]]/Tablo27[LW2]*$D$38+Tablo314[[#This Row],[LW3]]/Tablo27[LW3]*$E$38+Tablo314[[#This Row],[LW4]]/Tablo27[LW4]*$F$38+Tablo314[[#This Row],[LW5]]/Tablo27[LW5]*$G$38+Tablo314[[#This Row],[LW6]]/Tablo27[LW6]*$H$38+Tablo314[[#This Row],[LW7]]/Tablo27[LW7]*$I$38+Tablo314[[#This Row],[LW8]]/Tablo27[LW8]*$J$38+Tablo314[[#This Row],[LW9]]/Tablo27[LW9]*$K$38+Tablo314[[#This Row],[LW10]]/Tablo27[LW10]*$L$38+Tablo314[[#This Row],[LW11]]/Tablo27[LW11]*$M$38+Tablo314[[#This Row],[LW12]]/Tablo27[LW12]*$N$38+Tablo314[[#This Row],[LW13]]/Tablo27[LW13]*$O$38+Tablo314[[#This Row],[LW14]]/Tablo27[LW14]*$P$38</f>
        <v>18.5</v>
      </c>
      <c r="W6" s="1" cm="1">
        <f t="array" ref="W6">F6/Tablo27[LW1]*$C$39+Tablo314[[#This Row],[LW2]]/Tablo27[LW2]*$D$39+Tablo314[[#This Row],[LW3]]/Tablo27[LW3]*$E$39+Tablo314[[#This Row],[LW4]]/Tablo27[LW4]*$F$39+Tablo314[[#This Row],[LW5]]/Tablo27[LW5]*$G$39+Tablo314[[#This Row],[LW6]]/Tablo27[LW6]*$H$39+Tablo314[[#This Row],[LW7]]/Tablo27[LW7]*$I$39+Tablo314[[#This Row],[LW8]]/Tablo27[LW8]*$J$39+Tablo314[[#This Row],[LW9]]/Tablo27[LW9]*$K$39+Tablo314[[#This Row],[LW10]]/Tablo27[LW10]*$L$39+Tablo314[[#This Row],[LW11]]/Tablo27[LW11]*$M$39+Tablo314[[#This Row],[LW12]]/Tablo27[LW12]*$N$39+Tablo314[[#This Row],[LW13]]/Tablo27[LW13]*$O$39+Tablo314[[#This Row],[LW14]]/Tablo27[LW14]*$P$39</f>
        <v>20</v>
      </c>
      <c r="X6" s="1" cm="1">
        <f t="array" ref="X6">F6/Tablo27[LW1]*$C$40+Tablo314[[#This Row],[LW2]]/Tablo27[LW2]*$D$40+Tablo314[[#This Row],[LW3]]/Tablo27[LW3]*$E$40+Tablo314[[#This Row],[LW4]]/Tablo27[LW4]*$F$40+Tablo314[[#This Row],[LW5]]/Tablo27[LW5]*$G$40+Tablo314[[#This Row],[LW6]]/Tablo27[LW6]*$H$40+Tablo314[[#This Row],[LW7]]/Tablo27[LW7]*$I$40+Tablo314[[#This Row],[LW8]]/Tablo27[LW8]*$J$40+Tablo314[[#This Row],[LW9]]/Tablo27[LW9]*$K$40+Tablo314[[#This Row],[LW10]]/Tablo27[LW10]*$L$40+Tablo314[[#This Row],[LW11]]/Tablo27[LW11]*$M$40+Tablo314[[#This Row],[LW12]]/Tablo27[LW12]*$N$40+Tablo314[[#This Row],[LW13]]/Tablo27[LW13]*$O$40+Tablo314[[#This Row],[LW14]]/Tablo27[LW14]*$P$40</f>
        <v>23</v>
      </c>
      <c r="Y6" s="1">
        <f>SUM(Tablo314[[#This Row],[DÇ1]],Tablo314[[#This Row],[DÇ2]],Tablo314[[#This Row],[DÇ3]],Tablo314[[#This Row],[DÇ4]])</f>
        <v>70.5</v>
      </c>
      <c r="Z6" s="1" cm="1">
        <f t="array" ref="Z6">_xlfn.NORM.DIST(Tablo314[[#This Row],[TOTAL]],Tablo29[Mean],Tablo29[Variance],FALSE)</f>
        <v>4.2432936677509877E-3</v>
      </c>
    </row>
    <row r="7" spans="2:26" x14ac:dyDescent="0.3">
      <c r="B7" s="78">
        <v>3</v>
      </c>
      <c r="C7" s="35">
        <v>2</v>
      </c>
      <c r="D7" s="5" t="s">
        <v>17</v>
      </c>
      <c r="E7" s="46" t="s">
        <v>16</v>
      </c>
      <c r="F7" s="1">
        <v>5</v>
      </c>
      <c r="G7" s="1">
        <v>1</v>
      </c>
      <c r="H7" s="1">
        <v>3</v>
      </c>
      <c r="I7" s="1">
        <v>0</v>
      </c>
      <c r="J7" s="1">
        <v>1</v>
      </c>
      <c r="K7" s="1">
        <v>6</v>
      </c>
      <c r="L7" s="1">
        <v>4</v>
      </c>
      <c r="M7" s="1">
        <v>5</v>
      </c>
      <c r="N7" s="1">
        <v>2</v>
      </c>
      <c r="O7" s="1">
        <v>3</v>
      </c>
      <c r="P7" s="1">
        <v>2</v>
      </c>
      <c r="Q7" s="1">
        <v>2</v>
      </c>
      <c r="R7" s="1">
        <v>0</v>
      </c>
      <c r="S7" s="1">
        <v>1</v>
      </c>
      <c r="T7" s="1">
        <f>SUM(Tablo314[[#This Row],[LW1]:[LW14]])</f>
        <v>35</v>
      </c>
      <c r="U7" s="1" cm="1">
        <f t="array" ref="U7">F7/Tablo27[LW1]*$C$37+Tablo314[[#This Row],[LW2]]/Tablo27[LW2]*$D$37+Tablo314[[#This Row],[LW3]]/Tablo27[LW3]*$E$37+Tablo314[[#This Row],[LW4]]/Tablo27[LW4]*$F$37+Tablo314[[#This Row],[LW5]]/Tablo27[LW5]*$G$37+Tablo314[[#This Row],[LW6]]/Tablo27[LW6]*$H$37+Tablo314[[#This Row],[LW7]]/Tablo27[LW7]*$I$37+Tablo314[[#This Row],[LW8]]/Tablo27[LW8]*$J$37+Tablo314[[#This Row],[LW9]]/Tablo27[LW9]*$K$37+Tablo314[[#This Row],[LW10]]/Tablo27[LW10]*$L$37+Tablo314[[#This Row],[LW11]]/Tablo27[LW11]*$M$37+Tablo314[[#This Row],[LW12]]/Tablo27[LW12]*$N$37+Tablo314[[#This Row],[LW13]]/Tablo27[LW13]*$O$37+Tablo314[[#This Row],[LW14]]/Tablo27[LW14]*$P$37</f>
        <v>17</v>
      </c>
      <c r="V7" s="1" cm="1">
        <f t="array" ref="V7">F7/Tablo27[LW1]*$C$38+Tablo314[[#This Row],[LW2]]/Tablo27[LW2]*$D$38+Tablo314[[#This Row],[LW3]]/Tablo27[LW3]*$E$38+Tablo314[[#This Row],[LW4]]/Tablo27[LW4]*$F$38+Tablo314[[#This Row],[LW5]]/Tablo27[LW5]*$G$38+Tablo314[[#This Row],[LW6]]/Tablo27[LW6]*$H$38+Tablo314[[#This Row],[LW7]]/Tablo27[LW7]*$I$38+Tablo314[[#This Row],[LW8]]/Tablo27[LW8]*$J$38+Tablo314[[#This Row],[LW9]]/Tablo27[LW9]*$K$38+Tablo314[[#This Row],[LW10]]/Tablo27[LW10]*$L$38+Tablo314[[#This Row],[LW11]]/Tablo27[LW11]*$M$38+Tablo314[[#This Row],[LW12]]/Tablo27[LW12]*$N$38+Tablo314[[#This Row],[LW13]]/Tablo27[LW13]*$O$38+Tablo314[[#This Row],[LW14]]/Tablo27[LW14]*$P$38</f>
        <v>16.5</v>
      </c>
      <c r="W7" s="1" cm="1">
        <f t="array" ref="W7">F7/Tablo27[LW1]*$C$39+Tablo314[[#This Row],[LW2]]/Tablo27[LW2]*$D$39+Tablo314[[#This Row],[LW3]]/Tablo27[LW3]*$E$39+Tablo314[[#This Row],[LW4]]/Tablo27[LW4]*$F$39+Tablo314[[#This Row],[LW5]]/Tablo27[LW5]*$G$39+Tablo314[[#This Row],[LW6]]/Tablo27[LW6]*$H$39+Tablo314[[#This Row],[LW7]]/Tablo27[LW7]*$I$39+Tablo314[[#This Row],[LW8]]/Tablo27[LW8]*$J$39+Tablo314[[#This Row],[LW9]]/Tablo27[LW9]*$K$39+Tablo314[[#This Row],[LW10]]/Tablo27[LW10]*$L$39+Tablo314[[#This Row],[LW11]]/Tablo27[LW11]*$M$39+Tablo314[[#This Row],[LW12]]/Tablo27[LW12]*$N$39+Tablo314[[#This Row],[LW13]]/Tablo27[LW13]*$O$39+Tablo314[[#This Row],[LW14]]/Tablo27[LW14]*$P$39</f>
        <v>19</v>
      </c>
      <c r="X7" s="1" cm="1">
        <f t="array" ref="X7">F7/Tablo27[LW1]*$C$40+Tablo314[[#This Row],[LW2]]/Tablo27[LW2]*$D$40+Tablo314[[#This Row],[LW3]]/Tablo27[LW3]*$E$40+Tablo314[[#This Row],[LW4]]/Tablo27[LW4]*$F$40+Tablo314[[#This Row],[LW5]]/Tablo27[LW5]*$G$40+Tablo314[[#This Row],[LW6]]/Tablo27[LW6]*$H$40+Tablo314[[#This Row],[LW7]]/Tablo27[LW7]*$I$40+Tablo314[[#This Row],[LW8]]/Tablo27[LW8]*$J$40+Tablo314[[#This Row],[LW9]]/Tablo27[LW9]*$K$40+Tablo314[[#This Row],[LW10]]/Tablo27[LW10]*$L$40+Tablo314[[#This Row],[LW11]]/Tablo27[LW11]*$M$40+Tablo314[[#This Row],[LW12]]/Tablo27[LW12]*$N$40+Tablo314[[#This Row],[LW13]]/Tablo27[LW13]*$O$40+Tablo314[[#This Row],[LW14]]/Tablo27[LW14]*$P$40</f>
        <v>19</v>
      </c>
      <c r="Y7" s="1">
        <f>SUM(Tablo314[[#This Row],[DÇ1]],Tablo314[[#This Row],[DÇ2]],Tablo314[[#This Row],[DÇ3]],Tablo314[[#This Row],[DÇ4]])</f>
        <v>71.5</v>
      </c>
      <c r="Z7" s="1" cm="1">
        <f t="array" ref="Z7">_xlfn.NORM.DIST(Tablo314[[#This Row],[TOTAL]],Tablo29[Mean],Tablo29[Variance],FALSE)</f>
        <v>4.2432936677509877E-3</v>
      </c>
    </row>
    <row r="8" spans="2:26" x14ac:dyDescent="0.3">
      <c r="B8" s="79">
        <v>4</v>
      </c>
      <c r="C8" s="35">
        <v>12</v>
      </c>
      <c r="D8" s="46" t="s">
        <v>17</v>
      </c>
      <c r="E8" s="46" t="s">
        <v>16</v>
      </c>
      <c r="F8" s="1">
        <v>0</v>
      </c>
      <c r="G8" s="1">
        <v>2</v>
      </c>
      <c r="H8" s="1">
        <v>5</v>
      </c>
      <c r="I8" s="1">
        <v>3</v>
      </c>
      <c r="J8" s="1">
        <v>0</v>
      </c>
      <c r="K8" s="1">
        <v>0</v>
      </c>
      <c r="L8" s="1">
        <v>0</v>
      </c>
      <c r="M8" s="1">
        <v>3</v>
      </c>
      <c r="N8" s="1">
        <v>3</v>
      </c>
      <c r="O8" s="1">
        <v>0</v>
      </c>
      <c r="P8" s="1">
        <v>6</v>
      </c>
      <c r="Q8" s="1">
        <v>0</v>
      </c>
      <c r="R8" s="1">
        <v>6</v>
      </c>
      <c r="S8" s="1">
        <v>8</v>
      </c>
      <c r="T8" s="1">
        <f>SUM(Tablo314[[#This Row],[LW1]:[LW14]])</f>
        <v>36</v>
      </c>
      <c r="U8" s="1" cm="1">
        <f t="array" ref="U8">F8/Tablo27[LW1]*$C$37+Tablo314[[#This Row],[LW2]]/Tablo27[LW2]*$D$37+Tablo314[[#This Row],[LW3]]/Tablo27[LW3]*$E$37+Tablo314[[#This Row],[LW4]]/Tablo27[LW4]*$F$37+Tablo314[[#This Row],[LW5]]/Tablo27[LW5]*$G$37+Tablo314[[#This Row],[LW6]]/Tablo27[LW6]*$H$37+Tablo314[[#This Row],[LW7]]/Tablo27[LW7]*$I$37+Tablo314[[#This Row],[LW8]]/Tablo27[LW8]*$J$37+Tablo314[[#This Row],[LW9]]/Tablo27[LW9]*$K$37+Tablo314[[#This Row],[LW10]]/Tablo27[LW10]*$L$37+Tablo314[[#This Row],[LW11]]/Tablo27[LW11]*$M$37+Tablo314[[#This Row],[LW12]]/Tablo27[LW12]*$N$37+Tablo314[[#This Row],[LW13]]/Tablo27[LW13]*$O$37+Tablo314[[#This Row],[LW14]]/Tablo27[LW14]*$P$37</f>
        <v>11</v>
      </c>
      <c r="V8" s="1" cm="1">
        <f t="array" ref="V8">F8/Tablo27[LW1]*$C$38+Tablo314[[#This Row],[LW2]]/Tablo27[LW2]*$D$38+Tablo314[[#This Row],[LW3]]/Tablo27[LW3]*$E$38+Tablo314[[#This Row],[LW4]]/Tablo27[LW4]*$F$38+Tablo314[[#This Row],[LW5]]/Tablo27[LW5]*$G$38+Tablo314[[#This Row],[LW6]]/Tablo27[LW6]*$H$38+Tablo314[[#This Row],[LW7]]/Tablo27[LW7]*$I$38+Tablo314[[#This Row],[LW8]]/Tablo27[LW8]*$J$38+Tablo314[[#This Row],[LW9]]/Tablo27[LW9]*$K$38+Tablo314[[#This Row],[LW10]]/Tablo27[LW10]*$L$38+Tablo314[[#This Row],[LW11]]/Tablo27[LW11]*$M$38+Tablo314[[#This Row],[LW12]]/Tablo27[LW12]*$N$38+Tablo314[[#This Row],[LW13]]/Tablo27[LW13]*$O$38+Tablo314[[#This Row],[LW14]]/Tablo27[LW14]*$P$38</f>
        <v>13</v>
      </c>
      <c r="W8" s="1" cm="1">
        <f t="array" ref="W8">F8/Tablo27[LW1]*$C$39+Tablo314[[#This Row],[LW2]]/Tablo27[LW2]*$D$39+Tablo314[[#This Row],[LW3]]/Tablo27[LW3]*$E$39+Tablo314[[#This Row],[LW4]]/Tablo27[LW4]*$F$39+Tablo314[[#This Row],[LW5]]/Tablo27[LW5]*$G$39+Tablo314[[#This Row],[LW6]]/Tablo27[LW6]*$H$39+Tablo314[[#This Row],[LW7]]/Tablo27[LW7]*$I$39+Tablo314[[#This Row],[LW8]]/Tablo27[LW8]*$J$39+Tablo314[[#This Row],[LW9]]/Tablo27[LW9]*$K$39+Tablo314[[#This Row],[LW10]]/Tablo27[LW10]*$L$39+Tablo314[[#This Row],[LW11]]/Tablo27[LW11]*$M$39+Tablo314[[#This Row],[LW12]]/Tablo27[LW12]*$N$39+Tablo314[[#This Row],[LW13]]/Tablo27[LW13]*$O$39+Tablo314[[#This Row],[LW14]]/Tablo27[LW14]*$P$39</f>
        <v>16</v>
      </c>
      <c r="X8" s="1" cm="1">
        <f t="array" ref="X8">F8/Tablo27[LW1]*$C$40+Tablo314[[#This Row],[LW2]]/Tablo27[LW2]*$D$40+Tablo314[[#This Row],[LW3]]/Tablo27[LW3]*$E$40+Tablo314[[#This Row],[LW4]]/Tablo27[LW4]*$F$40+Tablo314[[#This Row],[LW5]]/Tablo27[LW5]*$G$40+Tablo314[[#This Row],[LW6]]/Tablo27[LW6]*$H$40+Tablo314[[#This Row],[LW7]]/Tablo27[LW7]*$I$40+Tablo314[[#This Row],[LW8]]/Tablo27[LW8]*$J$40+Tablo314[[#This Row],[LW9]]/Tablo27[LW9]*$K$40+Tablo314[[#This Row],[LW10]]/Tablo27[LW10]*$L$40+Tablo314[[#This Row],[LW11]]/Tablo27[LW11]*$M$40+Tablo314[[#This Row],[LW12]]/Tablo27[LW12]*$N$40+Tablo314[[#This Row],[LW13]]/Tablo27[LW13]*$O$40+Tablo314[[#This Row],[LW14]]/Tablo27[LW14]*$P$40</f>
        <v>19</v>
      </c>
      <c r="Y8" s="1">
        <f>SUM(Tablo314[[#This Row],[DÇ1]],Tablo314[[#This Row],[DÇ2]],Tablo314[[#This Row],[DÇ3]],Tablo314[[#This Row],[DÇ4]])</f>
        <v>59</v>
      </c>
      <c r="Z8" s="1" cm="1">
        <f t="array" ref="Z8">_xlfn.NORM.DIST(Tablo314[[#This Row],[TOTAL]],Tablo29[Mean],Tablo29[Variance],FALSE)</f>
        <v>4.251406456380895E-3</v>
      </c>
    </row>
    <row r="9" spans="2:26" x14ac:dyDescent="0.3">
      <c r="B9" s="78">
        <v>5</v>
      </c>
      <c r="C9" s="35">
        <v>3</v>
      </c>
      <c r="D9" s="5" t="s">
        <v>17</v>
      </c>
      <c r="E9" s="46" t="s">
        <v>16</v>
      </c>
      <c r="F9" s="1">
        <v>5</v>
      </c>
      <c r="G9" s="1">
        <v>2</v>
      </c>
      <c r="H9" s="1">
        <v>5</v>
      </c>
      <c r="I9" s="1">
        <v>5</v>
      </c>
      <c r="J9" s="1">
        <v>1</v>
      </c>
      <c r="K9" s="1">
        <v>7</v>
      </c>
      <c r="L9" s="1">
        <v>5</v>
      </c>
      <c r="M9" s="1">
        <v>1</v>
      </c>
      <c r="N9" s="1">
        <v>3</v>
      </c>
      <c r="O9" s="1">
        <v>2</v>
      </c>
      <c r="P9" s="1">
        <v>1</v>
      </c>
      <c r="Q9" s="1">
        <v>1</v>
      </c>
      <c r="R9" s="1">
        <v>2</v>
      </c>
      <c r="S9" s="1">
        <v>0</v>
      </c>
      <c r="T9" s="1">
        <f>SUM(Tablo314[[#This Row],[LW1]:[LW14]])</f>
        <v>40</v>
      </c>
      <c r="U9" s="1" cm="1">
        <f t="array" ref="U9">F9/Tablo27[LW1]*$C$37+Tablo314[[#This Row],[LW2]]/Tablo27[LW2]*$D$37+Tablo314[[#This Row],[LW3]]/Tablo27[LW3]*$E$37+Tablo314[[#This Row],[LW4]]/Tablo27[LW4]*$F$37+Tablo314[[#This Row],[LW5]]/Tablo27[LW5]*$G$37+Tablo314[[#This Row],[LW6]]/Tablo27[LW6]*$H$37+Tablo314[[#This Row],[LW7]]/Tablo27[LW7]*$I$37+Tablo314[[#This Row],[LW8]]/Tablo27[LW8]*$J$37+Tablo314[[#This Row],[LW9]]/Tablo27[LW9]*$K$37+Tablo314[[#This Row],[LW10]]/Tablo27[LW10]*$L$37+Tablo314[[#This Row],[LW11]]/Tablo27[LW11]*$M$37+Tablo314[[#This Row],[LW12]]/Tablo27[LW12]*$N$37+Tablo314[[#This Row],[LW13]]/Tablo27[LW13]*$O$37+Tablo314[[#This Row],[LW14]]/Tablo27[LW14]*$P$37</f>
        <v>15</v>
      </c>
      <c r="V9" s="1" cm="1">
        <f t="array" ref="V9">F9/Tablo27[LW1]*$C$38+Tablo314[[#This Row],[LW2]]/Tablo27[LW2]*$D$38+Tablo314[[#This Row],[LW3]]/Tablo27[LW3]*$E$38+Tablo314[[#This Row],[LW4]]/Tablo27[LW4]*$F$38+Tablo314[[#This Row],[LW5]]/Tablo27[LW5]*$G$38+Tablo314[[#This Row],[LW6]]/Tablo27[LW6]*$H$38+Tablo314[[#This Row],[LW7]]/Tablo27[LW7]*$I$38+Tablo314[[#This Row],[LW8]]/Tablo27[LW8]*$J$38+Tablo314[[#This Row],[LW9]]/Tablo27[LW9]*$K$38+Tablo314[[#This Row],[LW10]]/Tablo27[LW10]*$L$38+Tablo314[[#This Row],[LW11]]/Tablo27[LW11]*$M$38+Tablo314[[#This Row],[LW12]]/Tablo27[LW12]*$N$38+Tablo314[[#This Row],[LW13]]/Tablo27[LW13]*$O$38+Tablo314[[#This Row],[LW14]]/Tablo27[LW14]*$P$38</f>
        <v>21</v>
      </c>
      <c r="W9" s="1" cm="1">
        <f t="array" ref="W9">F9/Tablo27[LW1]*$C$39+Tablo314[[#This Row],[LW2]]/Tablo27[LW2]*$D$39+Tablo314[[#This Row],[LW3]]/Tablo27[LW3]*$E$39+Tablo314[[#This Row],[LW4]]/Tablo27[LW4]*$F$39+Tablo314[[#This Row],[LW5]]/Tablo27[LW5]*$G$39+Tablo314[[#This Row],[LW6]]/Tablo27[LW6]*$H$39+Tablo314[[#This Row],[LW7]]/Tablo27[LW7]*$I$39+Tablo314[[#This Row],[LW8]]/Tablo27[LW8]*$J$39+Tablo314[[#This Row],[LW9]]/Tablo27[LW9]*$K$39+Tablo314[[#This Row],[LW10]]/Tablo27[LW10]*$L$39+Tablo314[[#This Row],[LW11]]/Tablo27[LW11]*$M$39+Tablo314[[#This Row],[LW12]]/Tablo27[LW12]*$N$39+Tablo314[[#This Row],[LW13]]/Tablo27[LW13]*$O$39+Tablo314[[#This Row],[LW14]]/Tablo27[LW14]*$P$39</f>
        <v>16.5</v>
      </c>
      <c r="X9" s="1" cm="1">
        <f t="array" ref="X9">F9/Tablo27[LW1]*$C$40+Tablo314[[#This Row],[LW2]]/Tablo27[LW2]*$D$40+Tablo314[[#This Row],[LW3]]/Tablo27[LW3]*$E$40+Tablo314[[#This Row],[LW4]]/Tablo27[LW4]*$F$40+Tablo314[[#This Row],[LW5]]/Tablo27[LW5]*$G$40+Tablo314[[#This Row],[LW6]]/Tablo27[LW6]*$H$40+Tablo314[[#This Row],[LW7]]/Tablo27[LW7]*$I$40+Tablo314[[#This Row],[LW8]]/Tablo27[LW8]*$J$40+Tablo314[[#This Row],[LW9]]/Tablo27[LW9]*$K$40+Tablo314[[#This Row],[LW10]]/Tablo27[LW10]*$L$40+Tablo314[[#This Row],[LW11]]/Tablo27[LW11]*$M$40+Tablo314[[#This Row],[LW12]]/Tablo27[LW12]*$N$40+Tablo314[[#This Row],[LW13]]/Tablo27[LW13]*$O$40+Tablo314[[#This Row],[LW14]]/Tablo27[LW14]*$P$40</f>
        <v>21.5</v>
      </c>
      <c r="Y9" s="1">
        <f>SUM(Tablo314[[#This Row],[DÇ1]],Tablo314[[#This Row],[DÇ2]],Tablo314[[#This Row],[DÇ3]],Tablo314[[#This Row],[DÇ4]])</f>
        <v>74</v>
      </c>
      <c r="Z9" s="1" cm="1">
        <f t="array" ref="Z9">_xlfn.NORM.DIST(Tablo314[[#This Row],[TOTAL]],Tablo29[Mean],Tablo29[Variance],FALSE)</f>
        <v>4.2790060550299217E-3</v>
      </c>
    </row>
    <row r="10" spans="2:26" x14ac:dyDescent="0.3">
      <c r="B10" s="79">
        <v>6</v>
      </c>
      <c r="C10" s="35">
        <v>22</v>
      </c>
      <c r="D10" s="46" t="s">
        <v>17</v>
      </c>
      <c r="E10" s="46" t="s">
        <v>16</v>
      </c>
      <c r="F10" s="1">
        <v>5</v>
      </c>
      <c r="G10" s="1">
        <v>5</v>
      </c>
      <c r="H10" s="1">
        <v>2</v>
      </c>
      <c r="I10" s="1">
        <v>0</v>
      </c>
      <c r="J10" s="1">
        <v>0</v>
      </c>
      <c r="K10" s="1">
        <v>8</v>
      </c>
      <c r="L10" s="1">
        <v>5</v>
      </c>
      <c r="M10" s="1">
        <v>5</v>
      </c>
      <c r="N10" s="1">
        <v>5</v>
      </c>
      <c r="O10" s="1">
        <v>2</v>
      </c>
      <c r="P10" s="1">
        <v>2</v>
      </c>
      <c r="Q10" s="1">
        <v>0</v>
      </c>
      <c r="R10" s="1">
        <v>3</v>
      </c>
      <c r="S10" s="1">
        <v>0</v>
      </c>
      <c r="T10" s="1">
        <f>SUM(Tablo314[[#This Row],[LW1]:[LW14]])</f>
        <v>42</v>
      </c>
      <c r="U10" s="1" cm="1">
        <f t="array" ref="U10">F10/Tablo27[LW1]*$C$37+Tablo314[[#This Row],[LW2]]/Tablo27[LW2]*$D$37+Tablo314[[#This Row],[LW3]]/Tablo27[LW3]*$E$37+Tablo314[[#This Row],[LW4]]/Tablo27[LW4]*$F$37+Tablo314[[#This Row],[LW5]]/Tablo27[LW5]*$G$37+Tablo314[[#This Row],[LW6]]/Tablo27[LW6]*$H$37+Tablo314[[#This Row],[LW7]]/Tablo27[LW7]*$I$37+Tablo314[[#This Row],[LW8]]/Tablo27[LW8]*$J$37+Tablo314[[#This Row],[LW9]]/Tablo27[LW9]*$K$37+Tablo314[[#This Row],[LW10]]/Tablo27[LW10]*$L$37+Tablo314[[#This Row],[LW11]]/Tablo27[LW11]*$M$37+Tablo314[[#This Row],[LW12]]/Tablo27[LW12]*$N$37+Tablo314[[#This Row],[LW13]]/Tablo27[LW13]*$O$37+Tablo314[[#This Row],[LW14]]/Tablo27[LW14]*$P$37</f>
        <v>17</v>
      </c>
      <c r="V10" s="1" cm="1">
        <f t="array" ref="V10">F10/Tablo27[LW1]*$C$38+Tablo314[[#This Row],[LW2]]/Tablo27[LW2]*$D$38+Tablo314[[#This Row],[LW3]]/Tablo27[LW3]*$E$38+Tablo314[[#This Row],[LW4]]/Tablo27[LW4]*$F$38+Tablo314[[#This Row],[LW5]]/Tablo27[LW5]*$G$38+Tablo314[[#This Row],[LW6]]/Tablo27[LW6]*$H$38+Tablo314[[#This Row],[LW7]]/Tablo27[LW7]*$I$38+Tablo314[[#This Row],[LW8]]/Tablo27[LW8]*$J$38+Tablo314[[#This Row],[LW9]]/Tablo27[LW9]*$K$38+Tablo314[[#This Row],[LW10]]/Tablo27[LW10]*$L$38+Tablo314[[#This Row],[LW11]]/Tablo27[LW11]*$M$38+Tablo314[[#This Row],[LW12]]/Tablo27[LW12]*$N$38+Tablo314[[#This Row],[LW13]]/Tablo27[LW13]*$O$38+Tablo314[[#This Row],[LW14]]/Tablo27[LW14]*$P$38</f>
        <v>23</v>
      </c>
      <c r="W10" s="1" cm="1">
        <f t="array" ref="W10">F10/Tablo27[LW1]*$C$39+Tablo314[[#This Row],[LW2]]/Tablo27[LW2]*$D$39+Tablo314[[#This Row],[LW3]]/Tablo27[LW3]*$E$39+Tablo314[[#This Row],[LW4]]/Tablo27[LW4]*$F$39+Tablo314[[#This Row],[LW5]]/Tablo27[LW5]*$G$39+Tablo314[[#This Row],[LW6]]/Tablo27[LW6]*$H$39+Tablo314[[#This Row],[LW7]]/Tablo27[LW7]*$I$39+Tablo314[[#This Row],[LW8]]/Tablo27[LW8]*$J$39+Tablo314[[#This Row],[LW9]]/Tablo27[LW9]*$K$39+Tablo314[[#This Row],[LW10]]/Tablo27[LW10]*$L$39+Tablo314[[#This Row],[LW11]]/Tablo27[LW11]*$M$39+Tablo314[[#This Row],[LW12]]/Tablo27[LW12]*$N$39+Tablo314[[#This Row],[LW13]]/Tablo27[LW13]*$O$39+Tablo314[[#This Row],[LW14]]/Tablo27[LW14]*$P$39</f>
        <v>22.5</v>
      </c>
      <c r="X10" s="1" cm="1">
        <f t="array" ref="X10">F10/Tablo27[LW1]*$C$40+Tablo314[[#This Row],[LW2]]/Tablo27[LW2]*$D$40+Tablo314[[#This Row],[LW3]]/Tablo27[LW3]*$E$40+Tablo314[[#This Row],[LW4]]/Tablo27[LW4]*$F$40+Tablo314[[#This Row],[LW5]]/Tablo27[LW5]*$G$40+Tablo314[[#This Row],[LW6]]/Tablo27[LW6]*$H$40+Tablo314[[#This Row],[LW7]]/Tablo27[LW7]*$I$40+Tablo314[[#This Row],[LW8]]/Tablo27[LW8]*$J$40+Tablo314[[#This Row],[LW9]]/Tablo27[LW9]*$K$40+Tablo314[[#This Row],[LW10]]/Tablo27[LW10]*$L$40+Tablo314[[#This Row],[LW11]]/Tablo27[LW11]*$M$40+Tablo314[[#This Row],[LW12]]/Tablo27[LW12]*$N$40+Tablo314[[#This Row],[LW13]]/Tablo27[LW13]*$O$40+Tablo314[[#This Row],[LW14]]/Tablo27[LW14]*$P$40</f>
        <v>22.5</v>
      </c>
      <c r="Y10" s="1">
        <f>SUM(Tablo314[[#This Row],[DÇ1]],Tablo314[[#This Row],[DÇ2]],Tablo314[[#This Row],[DÇ3]],Tablo314[[#This Row],[DÇ4]])</f>
        <v>85</v>
      </c>
      <c r="Z10" s="1" cm="1">
        <f t="array" ref="Z10">_xlfn.NORM.DIST(Tablo314[[#This Row],[TOTAL]],Tablo29[Mean],Tablo29[Variance],FALSE)</f>
        <v>4.2898618775489101E-3</v>
      </c>
    </row>
    <row r="11" spans="2:26" x14ac:dyDescent="0.3">
      <c r="B11" s="78">
        <v>7</v>
      </c>
      <c r="C11" s="35">
        <v>11</v>
      </c>
      <c r="D11" s="46" t="s">
        <v>17</v>
      </c>
      <c r="E11" s="46" t="s">
        <v>16</v>
      </c>
      <c r="F11" s="1">
        <v>5</v>
      </c>
      <c r="G11" s="1">
        <v>5</v>
      </c>
      <c r="H11" s="1">
        <v>1</v>
      </c>
      <c r="I11" s="1">
        <v>2</v>
      </c>
      <c r="J11" s="1">
        <v>1</v>
      </c>
      <c r="K11" s="1">
        <v>1</v>
      </c>
      <c r="L11" s="1">
        <v>3</v>
      </c>
      <c r="M11" s="1">
        <v>5</v>
      </c>
      <c r="N11" s="1">
        <v>0</v>
      </c>
      <c r="O11" s="1">
        <v>8</v>
      </c>
      <c r="P11" s="1">
        <v>7</v>
      </c>
      <c r="Q11" s="1">
        <v>2</v>
      </c>
      <c r="R11" s="1">
        <v>1</v>
      </c>
      <c r="S11" s="1">
        <v>2</v>
      </c>
      <c r="T11" s="1">
        <f>SUM(Tablo314[[#This Row],[LW1]:[LW14]])</f>
        <v>43</v>
      </c>
      <c r="U11" s="1" cm="1">
        <f t="array" ref="U11">F11/Tablo27[LW1]*$C$37+Tablo314[[#This Row],[LW2]]/Tablo27[LW2]*$D$37+Tablo314[[#This Row],[LW3]]/Tablo27[LW3]*$E$37+Tablo314[[#This Row],[LW4]]/Tablo27[LW4]*$F$37+Tablo314[[#This Row],[LW5]]/Tablo27[LW5]*$G$37+Tablo314[[#This Row],[LW6]]/Tablo27[LW6]*$H$37+Tablo314[[#This Row],[LW7]]/Tablo27[LW7]*$I$37+Tablo314[[#This Row],[LW8]]/Tablo27[LW8]*$J$37+Tablo314[[#This Row],[LW9]]/Tablo27[LW9]*$K$37+Tablo314[[#This Row],[LW10]]/Tablo27[LW10]*$L$37+Tablo314[[#This Row],[LW11]]/Tablo27[LW11]*$M$37+Tablo314[[#This Row],[LW12]]/Tablo27[LW12]*$N$37+Tablo314[[#This Row],[LW13]]/Tablo27[LW13]*$O$37+Tablo314[[#This Row],[LW14]]/Tablo27[LW14]*$P$37</f>
        <v>15</v>
      </c>
      <c r="V11" s="1" cm="1">
        <f t="array" ref="V11">F11/Tablo27[LW1]*$C$38+Tablo314[[#This Row],[LW2]]/Tablo27[LW2]*$D$38+Tablo314[[#This Row],[LW3]]/Tablo27[LW3]*$E$38+Tablo314[[#This Row],[LW4]]/Tablo27[LW4]*$F$38+Tablo314[[#This Row],[LW5]]/Tablo27[LW5]*$G$38+Tablo314[[#This Row],[LW6]]/Tablo27[LW6]*$H$38+Tablo314[[#This Row],[LW7]]/Tablo27[LW7]*$I$38+Tablo314[[#This Row],[LW8]]/Tablo27[LW8]*$J$38+Tablo314[[#This Row],[LW9]]/Tablo27[LW9]*$K$38+Tablo314[[#This Row],[LW10]]/Tablo27[LW10]*$L$38+Tablo314[[#This Row],[LW11]]/Tablo27[LW11]*$M$38+Tablo314[[#This Row],[LW12]]/Tablo27[LW12]*$N$38+Tablo314[[#This Row],[LW13]]/Tablo27[LW13]*$O$38+Tablo314[[#This Row],[LW14]]/Tablo27[LW14]*$P$38</f>
        <v>18</v>
      </c>
      <c r="W11" s="1" cm="1">
        <f t="array" ref="W11">F11/Tablo27[LW1]*$C$39+Tablo314[[#This Row],[LW2]]/Tablo27[LW2]*$D$39+Tablo314[[#This Row],[LW3]]/Tablo27[LW3]*$E$39+Tablo314[[#This Row],[LW4]]/Tablo27[LW4]*$F$39+Tablo314[[#This Row],[LW5]]/Tablo27[LW5]*$G$39+Tablo314[[#This Row],[LW6]]/Tablo27[LW6]*$H$39+Tablo314[[#This Row],[LW7]]/Tablo27[LW7]*$I$39+Tablo314[[#This Row],[LW8]]/Tablo27[LW8]*$J$39+Tablo314[[#This Row],[LW9]]/Tablo27[LW9]*$K$39+Tablo314[[#This Row],[LW10]]/Tablo27[LW10]*$L$39+Tablo314[[#This Row],[LW11]]/Tablo27[LW11]*$M$39+Tablo314[[#This Row],[LW12]]/Tablo27[LW12]*$N$39+Tablo314[[#This Row],[LW13]]/Tablo27[LW13]*$O$39+Tablo314[[#This Row],[LW14]]/Tablo27[LW14]*$P$39</f>
        <v>19.5</v>
      </c>
      <c r="X11" s="1" cm="1">
        <f t="array" ref="X11">F11/Tablo27[LW1]*$C$40+Tablo314[[#This Row],[LW2]]/Tablo27[LW2]*$D$40+Tablo314[[#This Row],[LW3]]/Tablo27[LW3]*$E$40+Tablo314[[#This Row],[LW4]]/Tablo27[LW4]*$F$40+Tablo314[[#This Row],[LW5]]/Tablo27[LW5]*$G$40+Tablo314[[#This Row],[LW6]]/Tablo27[LW6]*$H$40+Tablo314[[#This Row],[LW7]]/Tablo27[LW7]*$I$40+Tablo314[[#This Row],[LW8]]/Tablo27[LW8]*$J$40+Tablo314[[#This Row],[LW9]]/Tablo27[LW9]*$K$40+Tablo314[[#This Row],[LW10]]/Tablo27[LW10]*$L$40+Tablo314[[#This Row],[LW11]]/Tablo27[LW11]*$M$40+Tablo314[[#This Row],[LW12]]/Tablo27[LW12]*$N$40+Tablo314[[#This Row],[LW13]]/Tablo27[LW13]*$O$40+Tablo314[[#This Row],[LW14]]/Tablo27[LW14]*$P$40</f>
        <v>21.5</v>
      </c>
      <c r="Y11" s="1">
        <f>SUM(Tablo314[[#This Row],[DÇ1]],Tablo314[[#This Row],[DÇ2]],Tablo314[[#This Row],[DÇ3]],Tablo314[[#This Row],[DÇ4]])</f>
        <v>74</v>
      </c>
      <c r="Z11" s="1" cm="1">
        <f t="array" ref="Z11">_xlfn.NORM.DIST(Tablo314[[#This Row],[TOTAL]],Tablo29[Mean],Tablo29[Variance],FALSE)</f>
        <v>4.2945467150302128E-3</v>
      </c>
    </row>
    <row r="12" spans="2:26" x14ac:dyDescent="0.3">
      <c r="B12" s="79">
        <v>8</v>
      </c>
      <c r="C12" s="35">
        <v>30</v>
      </c>
      <c r="D12" s="46" t="s">
        <v>17</v>
      </c>
      <c r="E12" s="46" t="s">
        <v>16</v>
      </c>
      <c r="F12" s="1">
        <v>2</v>
      </c>
      <c r="G12" s="1">
        <v>1</v>
      </c>
      <c r="H12" s="1">
        <v>5</v>
      </c>
      <c r="I12" s="1">
        <v>4</v>
      </c>
      <c r="J12" s="1">
        <v>5</v>
      </c>
      <c r="K12" s="1">
        <v>9</v>
      </c>
      <c r="L12" s="1">
        <v>5</v>
      </c>
      <c r="M12" s="1">
        <v>5</v>
      </c>
      <c r="N12" s="1">
        <v>0</v>
      </c>
      <c r="O12" s="1">
        <v>0</v>
      </c>
      <c r="P12" s="1">
        <v>1</v>
      </c>
      <c r="Q12" s="1">
        <v>1</v>
      </c>
      <c r="R12" s="1">
        <v>5</v>
      </c>
      <c r="S12" s="1">
        <v>2</v>
      </c>
      <c r="T12" s="1">
        <f>SUM(Tablo314[[#This Row],[LW1]:[LW14]])</f>
        <v>45</v>
      </c>
      <c r="U12" s="1" cm="1">
        <f t="array" ref="U12">F12/Tablo27[LW1]*$C$37+Tablo314[[#This Row],[LW2]]/Tablo27[LW2]*$D$37+Tablo314[[#This Row],[LW3]]/Tablo27[LW3]*$E$37+Tablo314[[#This Row],[LW4]]/Tablo27[LW4]*$F$37+Tablo314[[#This Row],[LW5]]/Tablo27[LW5]*$G$37+Tablo314[[#This Row],[LW6]]/Tablo27[LW6]*$H$37+Tablo314[[#This Row],[LW7]]/Tablo27[LW7]*$I$37+Tablo314[[#This Row],[LW8]]/Tablo27[LW8]*$J$37+Tablo314[[#This Row],[LW9]]/Tablo27[LW9]*$K$37+Tablo314[[#This Row],[LW10]]/Tablo27[LW10]*$L$37+Tablo314[[#This Row],[LW11]]/Tablo27[LW11]*$M$37+Tablo314[[#This Row],[LW12]]/Tablo27[LW12]*$N$37+Tablo314[[#This Row],[LW13]]/Tablo27[LW13]*$O$37+Tablo314[[#This Row],[LW14]]/Tablo27[LW14]*$P$37</f>
        <v>17</v>
      </c>
      <c r="V12" s="1" cm="1">
        <f t="array" ref="V12">F12/Tablo27[LW1]*$C$38+Tablo314[[#This Row],[LW2]]/Tablo27[LW2]*$D$38+Tablo314[[#This Row],[LW3]]/Tablo27[LW3]*$E$38+Tablo314[[#This Row],[LW4]]/Tablo27[LW4]*$F$38+Tablo314[[#This Row],[LW5]]/Tablo27[LW5]*$G$38+Tablo314[[#This Row],[LW6]]/Tablo27[LW6]*$H$38+Tablo314[[#This Row],[LW7]]/Tablo27[LW7]*$I$38+Tablo314[[#This Row],[LW8]]/Tablo27[LW8]*$J$38+Tablo314[[#This Row],[LW9]]/Tablo27[LW9]*$K$38+Tablo314[[#This Row],[LW10]]/Tablo27[LW10]*$L$38+Tablo314[[#This Row],[LW11]]/Tablo27[LW11]*$M$38+Tablo314[[#This Row],[LW12]]/Tablo27[LW12]*$N$38+Tablo314[[#This Row],[LW13]]/Tablo27[LW13]*$O$38+Tablo314[[#This Row],[LW14]]/Tablo27[LW14]*$P$38</f>
        <v>21</v>
      </c>
      <c r="W12" s="1" cm="1">
        <f t="array" ref="W12">F12/Tablo27[LW1]*$C$39+Tablo314[[#This Row],[LW2]]/Tablo27[LW2]*$D$39+Tablo314[[#This Row],[LW3]]/Tablo27[LW3]*$E$39+Tablo314[[#This Row],[LW4]]/Tablo27[LW4]*$F$39+Tablo314[[#This Row],[LW5]]/Tablo27[LW5]*$G$39+Tablo314[[#This Row],[LW6]]/Tablo27[LW6]*$H$39+Tablo314[[#This Row],[LW7]]/Tablo27[LW7]*$I$39+Tablo314[[#This Row],[LW8]]/Tablo27[LW8]*$J$39+Tablo314[[#This Row],[LW9]]/Tablo27[LW9]*$K$39+Tablo314[[#This Row],[LW10]]/Tablo27[LW10]*$L$39+Tablo314[[#This Row],[LW11]]/Tablo27[LW11]*$M$39+Tablo314[[#This Row],[LW12]]/Tablo27[LW12]*$N$39+Tablo314[[#This Row],[LW13]]/Tablo27[LW13]*$O$39+Tablo314[[#This Row],[LW14]]/Tablo27[LW14]*$P$39</f>
        <v>24</v>
      </c>
      <c r="X12" s="1" cm="1">
        <f t="array" ref="X12">F12/Tablo27[LW1]*$C$40+Tablo314[[#This Row],[LW2]]/Tablo27[LW2]*$D$40+Tablo314[[#This Row],[LW3]]/Tablo27[LW3]*$E$40+Tablo314[[#This Row],[LW4]]/Tablo27[LW4]*$F$40+Tablo314[[#This Row],[LW5]]/Tablo27[LW5]*$G$40+Tablo314[[#This Row],[LW6]]/Tablo27[LW6]*$H$40+Tablo314[[#This Row],[LW7]]/Tablo27[LW7]*$I$40+Tablo314[[#This Row],[LW8]]/Tablo27[LW8]*$J$40+Tablo314[[#This Row],[LW9]]/Tablo27[LW9]*$K$40+Tablo314[[#This Row],[LW10]]/Tablo27[LW10]*$L$40+Tablo314[[#This Row],[LW11]]/Tablo27[LW11]*$M$40+Tablo314[[#This Row],[LW12]]/Tablo27[LW12]*$N$40+Tablo314[[#This Row],[LW13]]/Tablo27[LW13]*$O$40+Tablo314[[#This Row],[LW14]]/Tablo27[LW14]*$P$40</f>
        <v>28</v>
      </c>
      <c r="Y12" s="1">
        <f>SUM(Tablo314[[#This Row],[DÇ1]],Tablo314[[#This Row],[DÇ2]],Tablo314[[#This Row],[DÇ3]],Tablo314[[#This Row],[DÇ4]])</f>
        <v>90</v>
      </c>
      <c r="Z12" s="1" cm="1">
        <f t="array" ref="Z12">_xlfn.NORM.DIST(Tablo314[[#This Row],[TOTAL]],Tablo29[Mean],Tablo29[Variance],FALSE)</f>
        <v>4.3024220538293171E-3</v>
      </c>
    </row>
    <row r="13" spans="2:26" x14ac:dyDescent="0.3">
      <c r="B13" s="78">
        <v>9</v>
      </c>
      <c r="C13" s="35">
        <v>29</v>
      </c>
      <c r="D13" s="46" t="s">
        <v>17</v>
      </c>
      <c r="E13" s="46" t="s">
        <v>16</v>
      </c>
      <c r="F13" s="1">
        <v>0</v>
      </c>
      <c r="G13" s="1">
        <v>5</v>
      </c>
      <c r="H13" s="1">
        <v>1</v>
      </c>
      <c r="I13" s="1">
        <v>0</v>
      </c>
      <c r="J13" s="1">
        <v>5</v>
      </c>
      <c r="K13" s="1">
        <v>1</v>
      </c>
      <c r="L13" s="1">
        <v>3</v>
      </c>
      <c r="M13" s="1">
        <v>5</v>
      </c>
      <c r="N13" s="1">
        <v>5</v>
      </c>
      <c r="O13" s="1">
        <v>6</v>
      </c>
      <c r="P13" s="1">
        <v>4</v>
      </c>
      <c r="Q13" s="1">
        <v>1</v>
      </c>
      <c r="R13" s="1">
        <v>4</v>
      </c>
      <c r="S13" s="1">
        <v>7</v>
      </c>
      <c r="T13" s="1">
        <f>SUM(Tablo314[[#This Row],[LW1]:[LW14]])</f>
        <v>47</v>
      </c>
      <c r="U13" s="1" cm="1">
        <f t="array" ref="U13">F13/Tablo27[LW1]*$C$37+Tablo314[[#This Row],[LW2]]/Tablo27[LW2]*$D$37+Tablo314[[#This Row],[LW3]]/Tablo27[LW3]*$E$37+Tablo314[[#This Row],[LW4]]/Tablo27[LW4]*$F$37+Tablo314[[#This Row],[LW5]]/Tablo27[LW5]*$G$37+Tablo314[[#This Row],[LW6]]/Tablo27[LW6]*$H$37+Tablo314[[#This Row],[LW7]]/Tablo27[LW7]*$I$37+Tablo314[[#This Row],[LW8]]/Tablo27[LW8]*$J$37+Tablo314[[#This Row],[LW9]]/Tablo27[LW9]*$K$37+Tablo314[[#This Row],[LW10]]/Tablo27[LW10]*$L$37+Tablo314[[#This Row],[LW11]]/Tablo27[LW11]*$M$37+Tablo314[[#This Row],[LW12]]/Tablo27[LW12]*$N$37+Tablo314[[#This Row],[LW13]]/Tablo27[LW13]*$O$37+Tablo314[[#This Row],[LW14]]/Tablo27[LW14]*$P$37</f>
        <v>8.5</v>
      </c>
      <c r="V13" s="1" cm="1">
        <f t="array" ref="V13">F13/Tablo27[LW1]*$C$38+Tablo314[[#This Row],[LW2]]/Tablo27[LW2]*$D$38+Tablo314[[#This Row],[LW3]]/Tablo27[LW3]*$E$38+Tablo314[[#This Row],[LW4]]/Tablo27[LW4]*$F$38+Tablo314[[#This Row],[LW5]]/Tablo27[LW5]*$G$38+Tablo314[[#This Row],[LW6]]/Tablo27[LW6]*$H$38+Tablo314[[#This Row],[LW7]]/Tablo27[LW7]*$I$38+Tablo314[[#This Row],[LW8]]/Tablo27[LW8]*$J$38+Tablo314[[#This Row],[LW9]]/Tablo27[LW9]*$K$38+Tablo314[[#This Row],[LW10]]/Tablo27[LW10]*$L$38+Tablo314[[#This Row],[LW11]]/Tablo27[LW11]*$M$38+Tablo314[[#This Row],[LW12]]/Tablo27[LW12]*$N$38+Tablo314[[#This Row],[LW13]]/Tablo27[LW13]*$O$38+Tablo314[[#This Row],[LW14]]/Tablo27[LW14]*$P$38</f>
        <v>24.5</v>
      </c>
      <c r="W13" s="1" cm="1">
        <f t="array" ref="W13">F13/Tablo27[LW1]*$C$39+Tablo314[[#This Row],[LW2]]/Tablo27[LW2]*$D$39+Tablo314[[#This Row],[LW3]]/Tablo27[LW3]*$E$39+Tablo314[[#This Row],[LW4]]/Tablo27[LW4]*$F$39+Tablo314[[#This Row],[LW5]]/Tablo27[LW5]*$G$39+Tablo314[[#This Row],[LW6]]/Tablo27[LW6]*$H$39+Tablo314[[#This Row],[LW7]]/Tablo27[LW7]*$I$39+Tablo314[[#This Row],[LW8]]/Tablo27[LW8]*$J$39+Tablo314[[#This Row],[LW9]]/Tablo27[LW9]*$K$39+Tablo314[[#This Row],[LW10]]/Tablo27[LW10]*$L$39+Tablo314[[#This Row],[LW11]]/Tablo27[LW11]*$M$39+Tablo314[[#This Row],[LW12]]/Tablo27[LW12]*$N$39+Tablo314[[#This Row],[LW13]]/Tablo27[LW13]*$O$39+Tablo314[[#This Row],[LW14]]/Tablo27[LW14]*$P$39</f>
        <v>29.5</v>
      </c>
      <c r="X13" s="1" cm="1">
        <f t="array" ref="X13">F13/Tablo27[LW1]*$C$40+Tablo314[[#This Row],[LW2]]/Tablo27[LW2]*$D$40+Tablo314[[#This Row],[LW3]]/Tablo27[LW3]*$E$40+Tablo314[[#This Row],[LW4]]/Tablo27[LW4]*$F$40+Tablo314[[#This Row],[LW5]]/Tablo27[LW5]*$G$40+Tablo314[[#This Row],[LW6]]/Tablo27[LW6]*$H$40+Tablo314[[#This Row],[LW7]]/Tablo27[LW7]*$I$40+Tablo314[[#This Row],[LW8]]/Tablo27[LW8]*$J$40+Tablo314[[#This Row],[LW9]]/Tablo27[LW9]*$K$40+Tablo314[[#This Row],[LW10]]/Tablo27[LW10]*$L$40+Tablo314[[#This Row],[LW11]]/Tablo27[LW11]*$M$40+Tablo314[[#This Row],[LW12]]/Tablo27[LW12]*$N$40+Tablo314[[#This Row],[LW13]]/Tablo27[LW13]*$O$40+Tablo314[[#This Row],[LW14]]/Tablo27[LW14]*$P$40</f>
        <v>29.5</v>
      </c>
      <c r="Y13" s="1">
        <f>SUM(Tablo314[[#This Row],[DÇ1]],Tablo314[[#This Row],[DÇ2]],Tablo314[[#This Row],[DÇ3]],Tablo314[[#This Row],[DÇ4]])</f>
        <v>92</v>
      </c>
      <c r="Z13" s="1" cm="1">
        <f t="array" ref="Z13">_xlfn.NORM.DIST(Tablo314[[#This Row],[TOTAL]],Tablo29[Mean],Tablo29[Variance],FALSE)</f>
        <v>4.3082960479747072E-3</v>
      </c>
    </row>
    <row r="14" spans="2:26" x14ac:dyDescent="0.3">
      <c r="B14" s="79">
        <v>10</v>
      </c>
      <c r="C14" s="35">
        <v>6</v>
      </c>
      <c r="D14" s="46" t="s">
        <v>17</v>
      </c>
      <c r="E14" s="46" t="s">
        <v>16</v>
      </c>
      <c r="F14" s="1">
        <v>0</v>
      </c>
      <c r="G14" s="1">
        <v>3</v>
      </c>
      <c r="H14" s="1">
        <v>5</v>
      </c>
      <c r="I14" s="1">
        <v>0</v>
      </c>
      <c r="J14" s="1">
        <v>2</v>
      </c>
      <c r="K14" s="1">
        <v>8</v>
      </c>
      <c r="L14" s="1">
        <v>1</v>
      </c>
      <c r="M14" s="1">
        <v>4</v>
      </c>
      <c r="N14" s="1">
        <v>5</v>
      </c>
      <c r="O14" s="1">
        <v>0</v>
      </c>
      <c r="P14" s="1">
        <v>7</v>
      </c>
      <c r="Q14" s="1">
        <v>3</v>
      </c>
      <c r="R14" s="1">
        <v>2</v>
      </c>
      <c r="S14" s="1">
        <v>9</v>
      </c>
      <c r="T14" s="1">
        <f>SUM(Tablo314[[#This Row],[LW1]:[LW14]])</f>
        <v>49</v>
      </c>
      <c r="U14" s="1" cm="1">
        <f t="array" ref="U14">F14/Tablo27[LW1]*$C$37+Tablo314[[#This Row],[LW2]]/Tablo27[LW2]*$D$37+Tablo314[[#This Row],[LW3]]/Tablo27[LW3]*$E$37+Tablo314[[#This Row],[LW4]]/Tablo27[LW4]*$F$37+Tablo314[[#This Row],[LW5]]/Tablo27[LW5]*$G$37+Tablo314[[#This Row],[LW6]]/Tablo27[LW6]*$H$37+Tablo314[[#This Row],[LW7]]/Tablo27[LW7]*$I$37+Tablo314[[#This Row],[LW8]]/Tablo27[LW8]*$J$37+Tablo314[[#This Row],[LW9]]/Tablo27[LW9]*$K$37+Tablo314[[#This Row],[LW10]]/Tablo27[LW10]*$L$37+Tablo314[[#This Row],[LW11]]/Tablo27[LW11]*$M$37+Tablo314[[#This Row],[LW12]]/Tablo27[LW12]*$N$37+Tablo314[[#This Row],[LW13]]/Tablo27[LW13]*$O$37+Tablo314[[#This Row],[LW14]]/Tablo27[LW14]*$P$37</f>
        <v>16.5</v>
      </c>
      <c r="V14" s="1" cm="1">
        <f t="array" ref="V14">F14/Tablo27[LW1]*$C$38+Tablo314[[#This Row],[LW2]]/Tablo27[LW2]*$D$38+Tablo314[[#This Row],[LW3]]/Tablo27[LW3]*$E$38+Tablo314[[#This Row],[LW4]]/Tablo27[LW4]*$F$38+Tablo314[[#This Row],[LW5]]/Tablo27[LW5]*$G$38+Tablo314[[#This Row],[LW6]]/Tablo27[LW6]*$H$38+Tablo314[[#This Row],[LW7]]/Tablo27[LW7]*$I$38+Tablo314[[#This Row],[LW8]]/Tablo27[LW8]*$J$38+Tablo314[[#This Row],[LW9]]/Tablo27[LW9]*$K$38+Tablo314[[#This Row],[LW10]]/Tablo27[LW10]*$L$38+Tablo314[[#This Row],[LW11]]/Tablo27[LW11]*$M$38+Tablo314[[#This Row],[LW12]]/Tablo27[LW12]*$N$38+Tablo314[[#This Row],[LW13]]/Tablo27[LW13]*$O$38+Tablo314[[#This Row],[LW14]]/Tablo27[LW14]*$P$38</f>
        <v>23.5</v>
      </c>
      <c r="W14" s="1" cm="1">
        <f t="array" ref="W14">F14/Tablo27[LW1]*$C$39+Tablo314[[#This Row],[LW2]]/Tablo27[LW2]*$D$39+Tablo314[[#This Row],[LW3]]/Tablo27[LW3]*$E$39+Tablo314[[#This Row],[LW4]]/Tablo27[LW4]*$F$39+Tablo314[[#This Row],[LW5]]/Tablo27[LW5]*$G$39+Tablo314[[#This Row],[LW6]]/Tablo27[LW6]*$H$39+Tablo314[[#This Row],[LW7]]/Tablo27[LW7]*$I$39+Tablo314[[#This Row],[LW8]]/Tablo27[LW8]*$J$39+Tablo314[[#This Row],[LW9]]/Tablo27[LW9]*$K$39+Tablo314[[#This Row],[LW10]]/Tablo27[LW10]*$L$39+Tablo314[[#This Row],[LW11]]/Tablo27[LW11]*$M$39+Tablo314[[#This Row],[LW12]]/Tablo27[LW12]*$N$39+Tablo314[[#This Row],[LW13]]/Tablo27[LW13]*$O$39+Tablo314[[#This Row],[LW14]]/Tablo27[LW14]*$P$39</f>
        <v>26.5</v>
      </c>
      <c r="X14" s="1" cm="1">
        <f t="array" ref="X14">F14/Tablo27[LW1]*$C$40+Tablo314[[#This Row],[LW2]]/Tablo27[LW2]*$D$40+Tablo314[[#This Row],[LW3]]/Tablo27[LW3]*$E$40+Tablo314[[#This Row],[LW4]]/Tablo27[LW4]*$F$40+Tablo314[[#This Row],[LW5]]/Tablo27[LW5]*$G$40+Tablo314[[#This Row],[LW6]]/Tablo27[LW6]*$H$40+Tablo314[[#This Row],[LW7]]/Tablo27[LW7]*$I$40+Tablo314[[#This Row],[LW8]]/Tablo27[LW8]*$J$40+Tablo314[[#This Row],[LW9]]/Tablo27[LW9]*$K$40+Tablo314[[#This Row],[LW10]]/Tablo27[LW10]*$L$40+Tablo314[[#This Row],[LW11]]/Tablo27[LW11]*$M$40+Tablo314[[#This Row],[LW12]]/Tablo27[LW12]*$N$40+Tablo314[[#This Row],[LW13]]/Tablo27[LW13]*$O$40+Tablo314[[#This Row],[LW14]]/Tablo27[LW14]*$P$40</f>
        <v>26.5</v>
      </c>
      <c r="Y14" s="1">
        <f>SUM(Tablo314[[#This Row],[DÇ1]],Tablo314[[#This Row],[DÇ2]],Tablo314[[#This Row],[DÇ3]],Tablo314[[#This Row],[DÇ4]])</f>
        <v>93</v>
      </c>
      <c r="Z14" s="1" cm="1">
        <f t="array" ref="Z14">_xlfn.NORM.DIST(Tablo314[[#This Row],[TOTAL]],Tablo29[Mean],Tablo29[Variance],FALSE)</f>
        <v>4.3121604671926758E-3</v>
      </c>
    </row>
    <row r="15" spans="2:26" x14ac:dyDescent="0.3">
      <c r="B15" s="78">
        <v>11</v>
      </c>
      <c r="C15" s="35">
        <v>9</v>
      </c>
      <c r="D15" s="46" t="s">
        <v>17</v>
      </c>
      <c r="E15" s="46" t="s">
        <v>16</v>
      </c>
      <c r="F15" s="1">
        <v>4</v>
      </c>
      <c r="G15" s="1">
        <v>5</v>
      </c>
      <c r="H15" s="1">
        <v>5</v>
      </c>
      <c r="I15" s="1">
        <v>5</v>
      </c>
      <c r="J15" s="1">
        <v>1</v>
      </c>
      <c r="K15" s="1">
        <v>4</v>
      </c>
      <c r="L15" s="1">
        <v>0</v>
      </c>
      <c r="M15" s="1">
        <v>5</v>
      </c>
      <c r="N15" s="1">
        <v>5</v>
      </c>
      <c r="O15" s="1">
        <v>7</v>
      </c>
      <c r="P15" s="1">
        <v>0</v>
      </c>
      <c r="Q15" s="1">
        <v>0</v>
      </c>
      <c r="R15" s="1">
        <v>7</v>
      </c>
      <c r="S15" s="1">
        <v>1</v>
      </c>
      <c r="T15" s="1">
        <f>SUM(Tablo314[[#This Row],[LW1]:[LW14]])</f>
        <v>49</v>
      </c>
      <c r="U15" s="1" cm="1">
        <f t="array" ref="U15">F15/Tablo27[LW1]*$C$37+Tablo314[[#This Row],[LW2]]/Tablo27[LW2]*$D$37+Tablo314[[#This Row],[LW3]]/Tablo27[LW3]*$E$37+Tablo314[[#This Row],[LW4]]/Tablo27[LW4]*$F$37+Tablo314[[#This Row],[LW5]]/Tablo27[LW5]*$G$37+Tablo314[[#This Row],[LW6]]/Tablo27[LW6]*$H$37+Tablo314[[#This Row],[LW7]]/Tablo27[LW7]*$I$37+Tablo314[[#This Row],[LW8]]/Tablo27[LW8]*$J$37+Tablo314[[#This Row],[LW9]]/Tablo27[LW9]*$K$37+Tablo314[[#This Row],[LW10]]/Tablo27[LW10]*$L$37+Tablo314[[#This Row],[LW11]]/Tablo27[LW11]*$M$37+Tablo314[[#This Row],[LW12]]/Tablo27[LW12]*$N$37+Tablo314[[#This Row],[LW13]]/Tablo27[LW13]*$O$37+Tablo314[[#This Row],[LW14]]/Tablo27[LW14]*$P$37</f>
        <v>16</v>
      </c>
      <c r="V15" s="1" cm="1">
        <f t="array" ref="V15">F15/Tablo27[LW1]*$C$38+Tablo314[[#This Row],[LW2]]/Tablo27[LW2]*$D$38+Tablo314[[#This Row],[LW3]]/Tablo27[LW3]*$E$38+Tablo314[[#This Row],[LW4]]/Tablo27[LW4]*$F$38+Tablo314[[#This Row],[LW5]]/Tablo27[LW5]*$G$38+Tablo314[[#This Row],[LW6]]/Tablo27[LW6]*$H$38+Tablo314[[#This Row],[LW7]]/Tablo27[LW7]*$I$38+Tablo314[[#This Row],[LW8]]/Tablo27[LW8]*$J$38+Tablo314[[#This Row],[LW9]]/Tablo27[LW9]*$K$38+Tablo314[[#This Row],[LW10]]/Tablo27[LW10]*$L$38+Tablo314[[#This Row],[LW11]]/Tablo27[LW11]*$M$38+Tablo314[[#This Row],[LW12]]/Tablo27[LW12]*$N$38+Tablo314[[#This Row],[LW13]]/Tablo27[LW13]*$O$38+Tablo314[[#This Row],[LW14]]/Tablo27[LW14]*$P$38</f>
        <v>21.5</v>
      </c>
      <c r="W15" s="1" cm="1">
        <f t="array" ref="W15">F15/Tablo27[LW1]*$C$39+Tablo314[[#This Row],[LW2]]/Tablo27[LW2]*$D$39+Tablo314[[#This Row],[LW3]]/Tablo27[LW3]*$E$39+Tablo314[[#This Row],[LW4]]/Tablo27[LW4]*$F$39+Tablo314[[#This Row],[LW5]]/Tablo27[LW5]*$G$39+Tablo314[[#This Row],[LW6]]/Tablo27[LW6]*$H$39+Tablo314[[#This Row],[LW7]]/Tablo27[LW7]*$I$39+Tablo314[[#This Row],[LW8]]/Tablo27[LW8]*$J$39+Tablo314[[#This Row],[LW9]]/Tablo27[LW9]*$K$39+Tablo314[[#This Row],[LW10]]/Tablo27[LW10]*$L$39+Tablo314[[#This Row],[LW11]]/Tablo27[LW11]*$M$39+Tablo314[[#This Row],[LW12]]/Tablo27[LW12]*$N$39+Tablo314[[#This Row],[LW13]]/Tablo27[LW13]*$O$39+Tablo314[[#This Row],[LW14]]/Tablo27[LW14]*$P$39</f>
        <v>20.5</v>
      </c>
      <c r="X15" s="1" cm="1">
        <f t="array" ref="X15">F15/Tablo27[LW1]*$C$40+Tablo314[[#This Row],[LW2]]/Tablo27[LW2]*$D$40+Tablo314[[#This Row],[LW3]]/Tablo27[LW3]*$E$40+Tablo314[[#This Row],[LW4]]/Tablo27[LW4]*$F$40+Tablo314[[#This Row],[LW5]]/Tablo27[LW5]*$G$40+Tablo314[[#This Row],[LW6]]/Tablo27[LW6]*$H$40+Tablo314[[#This Row],[LW7]]/Tablo27[LW7]*$I$40+Tablo314[[#This Row],[LW8]]/Tablo27[LW8]*$J$40+Tablo314[[#This Row],[LW9]]/Tablo27[LW9]*$K$40+Tablo314[[#This Row],[LW10]]/Tablo27[LW10]*$L$40+Tablo314[[#This Row],[LW11]]/Tablo27[LW11]*$M$40+Tablo314[[#This Row],[LW12]]/Tablo27[LW12]*$N$40+Tablo314[[#This Row],[LW13]]/Tablo27[LW13]*$O$40+Tablo314[[#This Row],[LW14]]/Tablo27[LW14]*$P$40</f>
        <v>25.5</v>
      </c>
      <c r="Y15" s="1">
        <f>SUM(Tablo314[[#This Row],[DÇ1]],Tablo314[[#This Row],[DÇ2]],Tablo314[[#This Row],[DÇ3]],Tablo314[[#This Row],[DÇ4]])</f>
        <v>83.5</v>
      </c>
      <c r="Z15" s="1" cm="1">
        <f t="array" ref="Z15">_xlfn.NORM.DIST(Tablo314[[#This Row],[TOTAL]],Tablo29[Mean],Tablo29[Variance],FALSE)</f>
        <v>4.3121604671926758E-3</v>
      </c>
    </row>
    <row r="16" spans="2:26" x14ac:dyDescent="0.3">
      <c r="B16" s="79">
        <v>12</v>
      </c>
      <c r="C16" s="35">
        <v>18</v>
      </c>
      <c r="D16" s="46" t="s">
        <v>17</v>
      </c>
      <c r="E16" s="46" t="s">
        <v>16</v>
      </c>
      <c r="F16" s="1">
        <v>5</v>
      </c>
      <c r="G16" s="1">
        <v>1</v>
      </c>
      <c r="H16" s="1">
        <v>5</v>
      </c>
      <c r="I16" s="1">
        <v>5</v>
      </c>
      <c r="J16" s="1">
        <v>5</v>
      </c>
      <c r="K16" s="1">
        <v>6</v>
      </c>
      <c r="L16" s="1">
        <v>5</v>
      </c>
      <c r="M16" s="1">
        <v>2</v>
      </c>
      <c r="N16" s="1">
        <v>3</v>
      </c>
      <c r="O16" s="1">
        <v>3</v>
      </c>
      <c r="P16" s="1">
        <v>1</v>
      </c>
      <c r="Q16" s="1">
        <v>2</v>
      </c>
      <c r="R16" s="1">
        <v>2</v>
      </c>
      <c r="S16" s="1">
        <v>4</v>
      </c>
      <c r="T16" s="1">
        <f>SUM(Tablo314[[#This Row],[LW1]:[LW14]])</f>
        <v>49</v>
      </c>
      <c r="U16" s="1" cm="1">
        <f t="array" ref="U16">F16/Tablo27[LW1]*$C$37+Tablo314[[#This Row],[LW2]]/Tablo27[LW2]*$D$37+Tablo314[[#This Row],[LW3]]/Tablo27[LW3]*$E$37+Tablo314[[#This Row],[LW4]]/Tablo27[LW4]*$F$37+Tablo314[[#This Row],[LW5]]/Tablo27[LW5]*$G$37+Tablo314[[#This Row],[LW6]]/Tablo27[LW6]*$H$37+Tablo314[[#This Row],[LW7]]/Tablo27[LW7]*$I$37+Tablo314[[#This Row],[LW8]]/Tablo27[LW8]*$J$37+Tablo314[[#This Row],[LW9]]/Tablo27[LW9]*$K$37+Tablo314[[#This Row],[LW10]]/Tablo27[LW10]*$L$37+Tablo314[[#This Row],[LW11]]/Tablo27[LW11]*$M$37+Tablo314[[#This Row],[LW12]]/Tablo27[LW12]*$N$37+Tablo314[[#This Row],[LW13]]/Tablo27[LW13]*$O$37+Tablo314[[#This Row],[LW14]]/Tablo27[LW14]*$P$37</f>
        <v>15.5</v>
      </c>
      <c r="V16" s="1" cm="1">
        <f t="array" ref="V16">F16/Tablo27[LW1]*$C$38+Tablo314[[#This Row],[LW2]]/Tablo27[LW2]*$D$38+Tablo314[[#This Row],[LW3]]/Tablo27[LW3]*$E$38+Tablo314[[#This Row],[LW4]]/Tablo27[LW4]*$F$38+Tablo314[[#This Row],[LW5]]/Tablo27[LW5]*$G$38+Tablo314[[#This Row],[LW6]]/Tablo27[LW6]*$H$38+Tablo314[[#This Row],[LW7]]/Tablo27[LW7]*$I$38+Tablo314[[#This Row],[LW8]]/Tablo27[LW8]*$J$38+Tablo314[[#This Row],[LW9]]/Tablo27[LW9]*$K$38+Tablo314[[#This Row],[LW10]]/Tablo27[LW10]*$L$38+Tablo314[[#This Row],[LW11]]/Tablo27[LW11]*$M$38+Tablo314[[#This Row],[LW12]]/Tablo27[LW12]*$N$38+Tablo314[[#This Row],[LW13]]/Tablo27[LW13]*$O$38+Tablo314[[#This Row],[LW14]]/Tablo27[LW14]*$P$38</f>
        <v>24</v>
      </c>
      <c r="W16" s="1" cm="1">
        <f t="array" ref="W16">F16/Tablo27[LW1]*$C$39+Tablo314[[#This Row],[LW2]]/Tablo27[LW2]*$D$39+Tablo314[[#This Row],[LW3]]/Tablo27[LW3]*$E$39+Tablo314[[#This Row],[LW4]]/Tablo27[LW4]*$F$39+Tablo314[[#This Row],[LW5]]/Tablo27[LW5]*$G$39+Tablo314[[#This Row],[LW6]]/Tablo27[LW6]*$H$39+Tablo314[[#This Row],[LW7]]/Tablo27[LW7]*$I$39+Tablo314[[#This Row],[LW8]]/Tablo27[LW8]*$J$39+Tablo314[[#This Row],[LW9]]/Tablo27[LW9]*$K$39+Tablo314[[#This Row],[LW10]]/Tablo27[LW10]*$L$39+Tablo314[[#This Row],[LW11]]/Tablo27[LW11]*$M$39+Tablo314[[#This Row],[LW12]]/Tablo27[LW12]*$N$39+Tablo314[[#This Row],[LW13]]/Tablo27[LW13]*$O$39+Tablo314[[#This Row],[LW14]]/Tablo27[LW14]*$P$39</f>
        <v>24</v>
      </c>
      <c r="X16" s="1" cm="1">
        <f t="array" ref="X16">F16/Tablo27[LW1]*$C$40+Tablo314[[#This Row],[LW2]]/Tablo27[LW2]*$D$40+Tablo314[[#This Row],[LW3]]/Tablo27[LW3]*$E$40+Tablo314[[#This Row],[LW4]]/Tablo27[LW4]*$F$40+Tablo314[[#This Row],[LW5]]/Tablo27[LW5]*$G$40+Tablo314[[#This Row],[LW6]]/Tablo27[LW6]*$H$40+Tablo314[[#This Row],[LW7]]/Tablo27[LW7]*$I$40+Tablo314[[#This Row],[LW8]]/Tablo27[LW8]*$J$40+Tablo314[[#This Row],[LW9]]/Tablo27[LW9]*$K$40+Tablo314[[#This Row],[LW10]]/Tablo27[LW10]*$L$40+Tablo314[[#This Row],[LW11]]/Tablo27[LW11]*$M$40+Tablo314[[#This Row],[LW12]]/Tablo27[LW12]*$N$40+Tablo314[[#This Row],[LW13]]/Tablo27[LW13]*$O$40+Tablo314[[#This Row],[LW14]]/Tablo27[LW14]*$P$40</f>
        <v>29</v>
      </c>
      <c r="Y16" s="1">
        <f>SUM(Tablo314[[#This Row],[DÇ1]],Tablo314[[#This Row],[DÇ2]],Tablo314[[#This Row],[DÇ3]],Tablo314[[#This Row],[DÇ4]])</f>
        <v>92.5</v>
      </c>
      <c r="Z16" s="1" cm="1">
        <f t="array" ref="Z16">_xlfn.NORM.DIST(Tablo314[[#This Row],[TOTAL]],Tablo29[Mean],Tablo29[Variance],FALSE)</f>
        <v>4.3121604671926758E-3</v>
      </c>
    </row>
    <row r="17" spans="2:26" x14ac:dyDescent="0.3">
      <c r="B17" s="78">
        <v>13</v>
      </c>
      <c r="C17" s="35">
        <v>8</v>
      </c>
      <c r="D17" s="46" t="s">
        <v>17</v>
      </c>
      <c r="E17" s="46" t="s">
        <v>16</v>
      </c>
      <c r="F17" s="1">
        <v>4</v>
      </c>
      <c r="G17" s="1">
        <v>3</v>
      </c>
      <c r="H17" s="1">
        <v>5</v>
      </c>
      <c r="I17" s="1">
        <v>5</v>
      </c>
      <c r="J17" s="1">
        <v>1</v>
      </c>
      <c r="K17" s="1">
        <v>8</v>
      </c>
      <c r="L17" s="1">
        <v>5</v>
      </c>
      <c r="M17" s="1">
        <v>0</v>
      </c>
      <c r="N17" s="1">
        <v>0</v>
      </c>
      <c r="O17" s="1">
        <v>3</v>
      </c>
      <c r="P17" s="1">
        <v>6</v>
      </c>
      <c r="Q17" s="1">
        <v>2</v>
      </c>
      <c r="R17" s="1">
        <v>6</v>
      </c>
      <c r="S17" s="1">
        <v>2</v>
      </c>
      <c r="T17" s="1">
        <f>SUM(Tablo314[[#This Row],[LW1]:[LW14]])</f>
        <v>50</v>
      </c>
      <c r="U17" s="1" cm="1">
        <f t="array" ref="U17">F17/Tablo27[LW1]*$C$37+Tablo314[[#This Row],[LW2]]/Tablo27[LW2]*$D$37+Tablo314[[#This Row],[LW3]]/Tablo27[LW3]*$E$37+Tablo314[[#This Row],[LW4]]/Tablo27[LW4]*$F$37+Tablo314[[#This Row],[LW5]]/Tablo27[LW5]*$G$37+Tablo314[[#This Row],[LW6]]/Tablo27[LW6]*$H$37+Tablo314[[#This Row],[LW7]]/Tablo27[LW7]*$I$37+Tablo314[[#This Row],[LW8]]/Tablo27[LW8]*$J$37+Tablo314[[#This Row],[LW9]]/Tablo27[LW9]*$K$37+Tablo314[[#This Row],[LW10]]/Tablo27[LW10]*$L$37+Tablo314[[#This Row],[LW11]]/Tablo27[LW11]*$M$37+Tablo314[[#This Row],[LW12]]/Tablo27[LW12]*$N$37+Tablo314[[#This Row],[LW13]]/Tablo27[LW13]*$O$37+Tablo314[[#This Row],[LW14]]/Tablo27[LW14]*$P$37</f>
        <v>16</v>
      </c>
      <c r="V17" s="1" cm="1">
        <f t="array" ref="V17">F17/Tablo27[LW1]*$C$38+Tablo314[[#This Row],[LW2]]/Tablo27[LW2]*$D$38+Tablo314[[#This Row],[LW3]]/Tablo27[LW3]*$E$38+Tablo314[[#This Row],[LW4]]/Tablo27[LW4]*$F$38+Tablo314[[#This Row],[LW5]]/Tablo27[LW5]*$G$38+Tablo314[[#This Row],[LW6]]/Tablo27[LW6]*$H$38+Tablo314[[#This Row],[LW7]]/Tablo27[LW7]*$I$38+Tablo314[[#This Row],[LW8]]/Tablo27[LW8]*$J$38+Tablo314[[#This Row],[LW9]]/Tablo27[LW9]*$K$38+Tablo314[[#This Row],[LW10]]/Tablo27[LW10]*$L$38+Tablo314[[#This Row],[LW11]]/Tablo27[LW11]*$M$38+Tablo314[[#This Row],[LW12]]/Tablo27[LW12]*$N$38+Tablo314[[#This Row],[LW13]]/Tablo27[LW13]*$O$38+Tablo314[[#This Row],[LW14]]/Tablo27[LW14]*$P$38</f>
        <v>22.5</v>
      </c>
      <c r="W17" s="1" cm="1">
        <f t="array" ref="W17">F17/Tablo27[LW1]*$C$39+Tablo314[[#This Row],[LW2]]/Tablo27[LW2]*$D$39+Tablo314[[#This Row],[LW3]]/Tablo27[LW3]*$E$39+Tablo314[[#This Row],[LW4]]/Tablo27[LW4]*$F$39+Tablo314[[#This Row],[LW5]]/Tablo27[LW5]*$G$39+Tablo314[[#This Row],[LW6]]/Tablo27[LW6]*$H$39+Tablo314[[#This Row],[LW7]]/Tablo27[LW7]*$I$39+Tablo314[[#This Row],[LW8]]/Tablo27[LW8]*$J$39+Tablo314[[#This Row],[LW9]]/Tablo27[LW9]*$K$39+Tablo314[[#This Row],[LW10]]/Tablo27[LW10]*$L$39+Tablo314[[#This Row],[LW11]]/Tablo27[LW11]*$M$39+Tablo314[[#This Row],[LW12]]/Tablo27[LW12]*$N$39+Tablo314[[#This Row],[LW13]]/Tablo27[LW13]*$O$39+Tablo314[[#This Row],[LW14]]/Tablo27[LW14]*$P$39</f>
        <v>19.5</v>
      </c>
      <c r="X17" s="1" cm="1">
        <f t="array" ref="X17">F17/Tablo27[LW1]*$C$40+Tablo314[[#This Row],[LW2]]/Tablo27[LW2]*$D$40+Tablo314[[#This Row],[LW3]]/Tablo27[LW3]*$E$40+Tablo314[[#This Row],[LW4]]/Tablo27[LW4]*$F$40+Tablo314[[#This Row],[LW5]]/Tablo27[LW5]*$G$40+Tablo314[[#This Row],[LW6]]/Tablo27[LW6]*$H$40+Tablo314[[#This Row],[LW7]]/Tablo27[LW7]*$I$40+Tablo314[[#This Row],[LW8]]/Tablo27[LW8]*$J$40+Tablo314[[#This Row],[LW9]]/Tablo27[LW9]*$K$40+Tablo314[[#This Row],[LW10]]/Tablo27[LW10]*$L$40+Tablo314[[#This Row],[LW11]]/Tablo27[LW11]*$M$40+Tablo314[[#This Row],[LW12]]/Tablo27[LW12]*$N$40+Tablo314[[#This Row],[LW13]]/Tablo27[LW13]*$O$40+Tablo314[[#This Row],[LW14]]/Tablo27[LW14]*$P$40</f>
        <v>24.5</v>
      </c>
      <c r="Y17" s="1">
        <f>SUM(Tablo314[[#This Row],[DÇ1]],Tablo314[[#This Row],[DÇ2]],Tablo314[[#This Row],[DÇ3]],Tablo314[[#This Row],[DÇ4]])</f>
        <v>82.5</v>
      </c>
      <c r="Z17" s="1" cm="1">
        <f t="array" ref="Z17">_xlfn.NORM.DIST(Tablo314[[#This Row],[TOTAL]],Tablo29[Mean],Tablo29[Variance],FALSE)</f>
        <v>4.313337282650564E-3</v>
      </c>
    </row>
    <row r="18" spans="2:26" x14ac:dyDescent="0.3">
      <c r="B18" s="79">
        <v>14</v>
      </c>
      <c r="C18" s="35">
        <v>21</v>
      </c>
      <c r="D18" s="46" t="s">
        <v>17</v>
      </c>
      <c r="E18" s="46" t="s">
        <v>16</v>
      </c>
      <c r="F18" s="1">
        <v>5</v>
      </c>
      <c r="G18" s="1">
        <v>0</v>
      </c>
      <c r="H18" s="1">
        <v>4</v>
      </c>
      <c r="I18" s="1">
        <v>1</v>
      </c>
      <c r="J18" s="1">
        <v>5</v>
      </c>
      <c r="K18" s="1">
        <v>3</v>
      </c>
      <c r="L18" s="1">
        <v>5</v>
      </c>
      <c r="M18" s="1">
        <v>3</v>
      </c>
      <c r="N18" s="1">
        <v>2</v>
      </c>
      <c r="O18" s="1">
        <v>3</v>
      </c>
      <c r="P18" s="1">
        <v>7</v>
      </c>
      <c r="Q18" s="1">
        <v>5</v>
      </c>
      <c r="R18" s="1">
        <v>1</v>
      </c>
      <c r="S18" s="1">
        <v>9</v>
      </c>
      <c r="T18" s="1">
        <f>SUM(Tablo314[[#This Row],[LW1]:[LW14]])</f>
        <v>53</v>
      </c>
      <c r="U18" s="1" cm="1">
        <f t="array" ref="U18">F18/Tablo27[LW1]*$C$37+Tablo314[[#This Row],[LW2]]/Tablo27[LW2]*$D$37+Tablo314[[#This Row],[LW3]]/Tablo27[LW3]*$E$37+Tablo314[[#This Row],[LW4]]/Tablo27[LW4]*$F$37+Tablo314[[#This Row],[LW5]]/Tablo27[LW5]*$G$37+Tablo314[[#This Row],[LW6]]/Tablo27[LW6]*$H$37+Tablo314[[#This Row],[LW7]]/Tablo27[LW7]*$I$37+Tablo314[[#This Row],[LW8]]/Tablo27[LW8]*$J$37+Tablo314[[#This Row],[LW9]]/Tablo27[LW9]*$K$37+Tablo314[[#This Row],[LW10]]/Tablo27[LW10]*$L$37+Tablo314[[#This Row],[LW11]]/Tablo27[LW11]*$M$37+Tablo314[[#This Row],[LW12]]/Tablo27[LW12]*$N$37+Tablo314[[#This Row],[LW13]]/Tablo27[LW13]*$O$37+Tablo314[[#This Row],[LW14]]/Tablo27[LW14]*$P$37</f>
        <v>17</v>
      </c>
      <c r="V18" s="1" cm="1">
        <f t="array" ref="V18">F18/Tablo27[LW1]*$C$38+Tablo314[[#This Row],[LW2]]/Tablo27[LW2]*$D$38+Tablo314[[#This Row],[LW3]]/Tablo27[LW3]*$E$38+Tablo314[[#This Row],[LW4]]/Tablo27[LW4]*$F$38+Tablo314[[#This Row],[LW5]]/Tablo27[LW5]*$G$38+Tablo314[[#This Row],[LW6]]/Tablo27[LW6]*$H$38+Tablo314[[#This Row],[LW7]]/Tablo27[LW7]*$I$38+Tablo314[[#This Row],[LW8]]/Tablo27[LW8]*$J$38+Tablo314[[#This Row],[LW9]]/Tablo27[LW9]*$K$38+Tablo314[[#This Row],[LW10]]/Tablo27[LW10]*$L$38+Tablo314[[#This Row],[LW11]]/Tablo27[LW11]*$M$38+Tablo314[[#This Row],[LW12]]/Tablo27[LW12]*$N$38+Tablo314[[#This Row],[LW13]]/Tablo27[LW13]*$O$38+Tablo314[[#This Row],[LW14]]/Tablo27[LW14]*$P$38</f>
        <v>22.5</v>
      </c>
      <c r="W18" s="1" cm="1">
        <f t="array" ref="W18">F18/Tablo27[LW1]*$C$39+Tablo314[[#This Row],[LW2]]/Tablo27[LW2]*$D$39+Tablo314[[#This Row],[LW3]]/Tablo27[LW3]*$E$39+Tablo314[[#This Row],[LW4]]/Tablo27[LW4]*$F$39+Tablo314[[#This Row],[LW5]]/Tablo27[LW5]*$G$39+Tablo314[[#This Row],[LW6]]/Tablo27[LW6]*$H$39+Tablo314[[#This Row],[LW7]]/Tablo27[LW7]*$I$39+Tablo314[[#This Row],[LW8]]/Tablo27[LW8]*$J$39+Tablo314[[#This Row],[LW9]]/Tablo27[LW9]*$K$39+Tablo314[[#This Row],[LW10]]/Tablo27[LW10]*$L$39+Tablo314[[#This Row],[LW11]]/Tablo27[LW11]*$M$39+Tablo314[[#This Row],[LW12]]/Tablo27[LW12]*$N$39+Tablo314[[#This Row],[LW13]]/Tablo27[LW13]*$O$39+Tablo314[[#This Row],[LW14]]/Tablo27[LW14]*$P$39</f>
        <v>29</v>
      </c>
      <c r="X18" s="1" cm="1">
        <f t="array" ref="X18">F18/Tablo27[LW1]*$C$40+Tablo314[[#This Row],[LW2]]/Tablo27[LW2]*$D$40+Tablo314[[#This Row],[LW3]]/Tablo27[LW3]*$E$40+Tablo314[[#This Row],[LW4]]/Tablo27[LW4]*$F$40+Tablo314[[#This Row],[LW5]]/Tablo27[LW5]*$G$40+Tablo314[[#This Row],[LW6]]/Tablo27[LW6]*$H$40+Tablo314[[#This Row],[LW7]]/Tablo27[LW7]*$I$40+Tablo314[[#This Row],[LW8]]/Tablo27[LW8]*$J$40+Tablo314[[#This Row],[LW9]]/Tablo27[LW9]*$K$40+Tablo314[[#This Row],[LW10]]/Tablo27[LW10]*$L$40+Tablo314[[#This Row],[LW11]]/Tablo27[LW11]*$M$40+Tablo314[[#This Row],[LW12]]/Tablo27[LW12]*$N$40+Tablo314[[#This Row],[LW13]]/Tablo27[LW13]*$O$40+Tablo314[[#This Row],[LW14]]/Tablo27[LW14]*$P$40</f>
        <v>30</v>
      </c>
      <c r="Y18" s="1">
        <f>SUM(Tablo314[[#This Row],[DÇ1]],Tablo314[[#This Row],[DÇ2]],Tablo314[[#This Row],[DÇ3]],Tablo314[[#This Row],[DÇ4]])</f>
        <v>98.5</v>
      </c>
      <c r="Z18" s="1" cm="1">
        <f t="array" ref="Z18">_xlfn.NORM.DIST(Tablo314[[#This Row],[TOTAL]],Tablo29[Mean],Tablo29[Variance],FALSE)</f>
        <v>4.3138417304417745E-3</v>
      </c>
    </row>
    <row r="19" spans="2:26" x14ac:dyDescent="0.3">
      <c r="B19" s="78">
        <v>15</v>
      </c>
      <c r="C19" s="35">
        <v>5</v>
      </c>
      <c r="D19" s="46" t="s">
        <v>17</v>
      </c>
      <c r="E19" s="46" t="s">
        <v>16</v>
      </c>
      <c r="F19" s="1">
        <v>5</v>
      </c>
      <c r="G19" s="1">
        <v>3</v>
      </c>
      <c r="H19" s="1">
        <v>2</v>
      </c>
      <c r="I19" s="1">
        <v>1</v>
      </c>
      <c r="J19" s="1">
        <v>0</v>
      </c>
      <c r="K19" s="1">
        <v>8</v>
      </c>
      <c r="L19" s="1">
        <v>5</v>
      </c>
      <c r="M19" s="1">
        <v>2</v>
      </c>
      <c r="N19" s="1">
        <v>0</v>
      </c>
      <c r="O19" s="1">
        <v>7</v>
      </c>
      <c r="P19" s="1">
        <v>2</v>
      </c>
      <c r="Q19" s="1">
        <v>9</v>
      </c>
      <c r="R19" s="1">
        <v>3</v>
      </c>
      <c r="S19" s="1">
        <v>7</v>
      </c>
      <c r="T19" s="1">
        <f>SUM(Tablo314[[#This Row],[LW1]:[LW14]])</f>
        <v>54</v>
      </c>
      <c r="U19" s="1" cm="1">
        <f t="array" ref="U19">F19/Tablo27[LW1]*$C$37+Tablo314[[#This Row],[LW2]]/Tablo27[LW2]*$D$37+Tablo314[[#This Row],[LW3]]/Tablo27[LW3]*$E$37+Tablo314[[#This Row],[LW4]]/Tablo27[LW4]*$F$37+Tablo314[[#This Row],[LW5]]/Tablo27[LW5]*$G$37+Tablo314[[#This Row],[LW6]]/Tablo27[LW6]*$H$37+Tablo314[[#This Row],[LW7]]/Tablo27[LW7]*$I$37+Tablo314[[#This Row],[LW8]]/Tablo27[LW8]*$J$37+Tablo314[[#This Row],[LW9]]/Tablo27[LW9]*$K$37+Tablo314[[#This Row],[LW10]]/Tablo27[LW10]*$L$37+Tablo314[[#This Row],[LW11]]/Tablo27[LW11]*$M$37+Tablo314[[#This Row],[LW12]]/Tablo27[LW12]*$N$37+Tablo314[[#This Row],[LW13]]/Tablo27[LW13]*$O$37+Tablo314[[#This Row],[LW14]]/Tablo27[LW14]*$P$37</f>
        <v>14</v>
      </c>
      <c r="V19" s="1" cm="1">
        <f t="array" ref="V19">F19/Tablo27[LW1]*$C$38+Tablo314[[#This Row],[LW2]]/Tablo27[LW2]*$D$38+Tablo314[[#This Row],[LW3]]/Tablo27[LW3]*$E$38+Tablo314[[#This Row],[LW4]]/Tablo27[LW4]*$F$38+Tablo314[[#This Row],[LW5]]/Tablo27[LW5]*$G$38+Tablo314[[#This Row],[LW6]]/Tablo27[LW6]*$H$38+Tablo314[[#This Row],[LW7]]/Tablo27[LW7]*$I$38+Tablo314[[#This Row],[LW8]]/Tablo27[LW8]*$J$38+Tablo314[[#This Row],[LW9]]/Tablo27[LW9]*$K$38+Tablo314[[#This Row],[LW10]]/Tablo27[LW10]*$L$38+Tablo314[[#This Row],[LW11]]/Tablo27[LW11]*$M$38+Tablo314[[#This Row],[LW12]]/Tablo27[LW12]*$N$38+Tablo314[[#This Row],[LW13]]/Tablo27[LW13]*$O$38+Tablo314[[#This Row],[LW14]]/Tablo27[LW14]*$P$38</f>
        <v>18.5</v>
      </c>
      <c r="W19" s="1" cm="1">
        <f t="array" ref="W19">F19/Tablo27[LW1]*$C$39+Tablo314[[#This Row],[LW2]]/Tablo27[LW2]*$D$39+Tablo314[[#This Row],[LW3]]/Tablo27[LW3]*$E$39+Tablo314[[#This Row],[LW4]]/Tablo27[LW4]*$F$39+Tablo314[[#This Row],[LW5]]/Tablo27[LW5]*$G$39+Tablo314[[#This Row],[LW6]]/Tablo27[LW6]*$H$39+Tablo314[[#This Row],[LW7]]/Tablo27[LW7]*$I$39+Tablo314[[#This Row],[LW8]]/Tablo27[LW8]*$J$39+Tablo314[[#This Row],[LW9]]/Tablo27[LW9]*$K$39+Tablo314[[#This Row],[LW10]]/Tablo27[LW10]*$L$39+Tablo314[[#This Row],[LW11]]/Tablo27[LW11]*$M$39+Tablo314[[#This Row],[LW12]]/Tablo27[LW12]*$N$39+Tablo314[[#This Row],[LW13]]/Tablo27[LW13]*$O$39+Tablo314[[#This Row],[LW14]]/Tablo27[LW14]*$P$39</f>
        <v>25</v>
      </c>
      <c r="X19" s="1" cm="1">
        <f t="array" ref="X19">F19/Tablo27[LW1]*$C$40+Tablo314[[#This Row],[LW2]]/Tablo27[LW2]*$D$40+Tablo314[[#This Row],[LW3]]/Tablo27[LW3]*$E$40+Tablo314[[#This Row],[LW4]]/Tablo27[LW4]*$F$40+Tablo314[[#This Row],[LW5]]/Tablo27[LW5]*$G$40+Tablo314[[#This Row],[LW6]]/Tablo27[LW6]*$H$40+Tablo314[[#This Row],[LW7]]/Tablo27[LW7]*$I$40+Tablo314[[#This Row],[LW8]]/Tablo27[LW8]*$J$40+Tablo314[[#This Row],[LW9]]/Tablo27[LW9]*$K$40+Tablo314[[#This Row],[LW10]]/Tablo27[LW10]*$L$40+Tablo314[[#This Row],[LW11]]/Tablo27[LW11]*$M$40+Tablo314[[#This Row],[LW12]]/Tablo27[LW12]*$N$40+Tablo314[[#This Row],[LW13]]/Tablo27[LW13]*$O$40+Tablo314[[#This Row],[LW14]]/Tablo27[LW14]*$P$40</f>
        <v>26</v>
      </c>
      <c r="Y19" s="1">
        <f>SUM(Tablo314[[#This Row],[DÇ1]],Tablo314[[#This Row],[DÇ2]],Tablo314[[#This Row],[DÇ3]],Tablo314[[#This Row],[DÇ4]])</f>
        <v>83.5</v>
      </c>
      <c r="Z19" s="1" cm="1">
        <f t="array" ref="Z19">_xlfn.NORM.DIST(Tablo314[[#This Row],[TOTAL]],Tablo29[Mean],Tablo29[Variance],FALSE)</f>
        <v>4.3130010168949727E-3</v>
      </c>
    </row>
    <row r="20" spans="2:26" x14ac:dyDescent="0.3">
      <c r="B20" s="79">
        <v>16</v>
      </c>
      <c r="C20" s="35">
        <v>10</v>
      </c>
      <c r="D20" s="46" t="s">
        <v>17</v>
      </c>
      <c r="E20" s="46" t="s">
        <v>16</v>
      </c>
      <c r="F20" s="1">
        <v>0</v>
      </c>
      <c r="G20" s="1">
        <v>5</v>
      </c>
      <c r="H20" s="1">
        <v>1</v>
      </c>
      <c r="I20" s="1">
        <v>3</v>
      </c>
      <c r="J20" s="1">
        <v>0</v>
      </c>
      <c r="K20" s="1">
        <v>5</v>
      </c>
      <c r="L20" s="1">
        <v>0</v>
      </c>
      <c r="M20" s="1">
        <v>3</v>
      </c>
      <c r="N20" s="1">
        <v>9</v>
      </c>
      <c r="O20" s="1">
        <v>3</v>
      </c>
      <c r="P20" s="1">
        <v>7</v>
      </c>
      <c r="Q20" s="1">
        <v>2</v>
      </c>
      <c r="R20" s="1">
        <v>8</v>
      </c>
      <c r="S20" s="1">
        <v>8</v>
      </c>
      <c r="T20" s="1">
        <f>SUM(Tablo314[[#This Row],[LW1]:[LW14]])</f>
        <v>54</v>
      </c>
      <c r="U20" s="1" cm="1">
        <f t="array" ref="U20">F20/Tablo27[LW1]*$C$37+Tablo314[[#This Row],[LW2]]/Tablo27[LW2]*$D$37+Tablo314[[#This Row],[LW3]]/Tablo27[LW3]*$E$37+Tablo314[[#This Row],[LW4]]/Tablo27[LW4]*$F$37+Tablo314[[#This Row],[LW5]]/Tablo27[LW5]*$G$37+Tablo314[[#This Row],[LW6]]/Tablo27[LW6]*$H$37+Tablo314[[#This Row],[LW7]]/Tablo27[LW7]*$I$37+Tablo314[[#This Row],[LW8]]/Tablo27[LW8]*$J$37+Tablo314[[#This Row],[LW9]]/Tablo27[LW9]*$K$37+Tablo314[[#This Row],[LW10]]/Tablo27[LW10]*$L$37+Tablo314[[#This Row],[LW11]]/Tablo27[LW11]*$M$37+Tablo314[[#This Row],[LW12]]/Tablo27[LW12]*$N$37+Tablo314[[#This Row],[LW13]]/Tablo27[LW13]*$O$37+Tablo314[[#This Row],[LW14]]/Tablo27[LW14]*$P$37</f>
        <v>10</v>
      </c>
      <c r="V20" s="1" cm="1">
        <f t="array" ref="V20">F20/Tablo27[LW1]*$C$38+Tablo314[[#This Row],[LW2]]/Tablo27[LW2]*$D$38+Tablo314[[#This Row],[LW3]]/Tablo27[LW3]*$E$38+Tablo314[[#This Row],[LW4]]/Tablo27[LW4]*$F$38+Tablo314[[#This Row],[LW5]]/Tablo27[LW5]*$G$38+Tablo314[[#This Row],[LW6]]/Tablo27[LW6]*$H$38+Tablo314[[#This Row],[LW7]]/Tablo27[LW7]*$I$38+Tablo314[[#This Row],[LW8]]/Tablo27[LW8]*$J$38+Tablo314[[#This Row],[LW9]]/Tablo27[LW9]*$K$38+Tablo314[[#This Row],[LW10]]/Tablo27[LW10]*$L$38+Tablo314[[#This Row],[LW11]]/Tablo27[LW11]*$M$38+Tablo314[[#This Row],[LW12]]/Tablo27[LW12]*$N$38+Tablo314[[#This Row],[LW13]]/Tablo27[LW13]*$O$38+Tablo314[[#This Row],[LW14]]/Tablo27[LW14]*$P$38</f>
        <v>22.5</v>
      </c>
      <c r="W20" s="1" cm="1">
        <f t="array" ref="W20">F20/Tablo27[LW1]*$C$39+Tablo314[[#This Row],[LW2]]/Tablo27[LW2]*$D$39+Tablo314[[#This Row],[LW3]]/Tablo27[LW3]*$E$39+Tablo314[[#This Row],[LW4]]/Tablo27[LW4]*$F$39+Tablo314[[#This Row],[LW5]]/Tablo27[LW5]*$G$39+Tablo314[[#This Row],[LW6]]/Tablo27[LW6]*$H$39+Tablo314[[#This Row],[LW7]]/Tablo27[LW7]*$I$39+Tablo314[[#This Row],[LW8]]/Tablo27[LW8]*$J$39+Tablo314[[#This Row],[LW9]]/Tablo27[LW9]*$K$39+Tablo314[[#This Row],[LW10]]/Tablo27[LW10]*$L$39+Tablo314[[#This Row],[LW11]]/Tablo27[LW11]*$M$39+Tablo314[[#This Row],[LW12]]/Tablo27[LW12]*$N$39+Tablo314[[#This Row],[LW13]]/Tablo27[LW13]*$O$39+Tablo314[[#This Row],[LW14]]/Tablo27[LW14]*$P$39</f>
        <v>28.5</v>
      </c>
      <c r="X20" s="1" cm="1">
        <f t="array" ref="X20">F20/Tablo27[LW1]*$C$40+Tablo314[[#This Row],[LW2]]/Tablo27[LW2]*$D$40+Tablo314[[#This Row],[LW3]]/Tablo27[LW3]*$E$40+Tablo314[[#This Row],[LW4]]/Tablo27[LW4]*$F$40+Tablo314[[#This Row],[LW5]]/Tablo27[LW5]*$G$40+Tablo314[[#This Row],[LW6]]/Tablo27[LW6]*$H$40+Tablo314[[#This Row],[LW7]]/Tablo27[LW7]*$I$40+Tablo314[[#This Row],[LW8]]/Tablo27[LW8]*$J$40+Tablo314[[#This Row],[LW9]]/Tablo27[LW9]*$K$40+Tablo314[[#This Row],[LW10]]/Tablo27[LW10]*$L$40+Tablo314[[#This Row],[LW11]]/Tablo27[LW11]*$M$40+Tablo314[[#This Row],[LW12]]/Tablo27[LW12]*$N$40+Tablo314[[#This Row],[LW13]]/Tablo27[LW13]*$O$40+Tablo314[[#This Row],[LW14]]/Tablo27[LW14]*$P$40</f>
        <v>31.5</v>
      </c>
      <c r="Y20" s="1">
        <f>SUM(Tablo314[[#This Row],[DÇ1]],Tablo314[[#This Row],[DÇ2]],Tablo314[[#This Row],[DÇ3]],Tablo314[[#This Row],[DÇ4]])</f>
        <v>92.5</v>
      </c>
      <c r="Z20" s="1" cm="1">
        <f t="array" ref="Z20">_xlfn.NORM.DIST(Tablo314[[#This Row],[TOTAL]],Tablo29[Mean],Tablo29[Variance],FALSE)</f>
        <v>4.3130010168949727E-3</v>
      </c>
    </row>
    <row r="21" spans="2:26" x14ac:dyDescent="0.3">
      <c r="B21" s="78">
        <v>17</v>
      </c>
      <c r="C21" s="35">
        <v>27</v>
      </c>
      <c r="D21" s="46" t="s">
        <v>17</v>
      </c>
      <c r="E21" s="46" t="s">
        <v>16</v>
      </c>
      <c r="F21" s="1">
        <v>3</v>
      </c>
      <c r="G21" s="1">
        <v>5</v>
      </c>
      <c r="H21" s="1">
        <v>4</v>
      </c>
      <c r="I21" s="1">
        <v>3</v>
      </c>
      <c r="J21" s="1">
        <v>4</v>
      </c>
      <c r="K21" s="1">
        <v>8</v>
      </c>
      <c r="L21" s="1">
        <v>5</v>
      </c>
      <c r="M21" s="1">
        <v>5</v>
      </c>
      <c r="N21" s="1">
        <v>5</v>
      </c>
      <c r="O21" s="1">
        <v>2</v>
      </c>
      <c r="P21" s="1">
        <v>1</v>
      </c>
      <c r="Q21" s="1">
        <v>1</v>
      </c>
      <c r="R21" s="1">
        <v>6</v>
      </c>
      <c r="S21" s="1">
        <v>3</v>
      </c>
      <c r="T21" s="1">
        <f>SUM(Tablo314[[#This Row],[LW1]:[LW14]])</f>
        <v>55</v>
      </c>
      <c r="U21" s="1" cm="1">
        <f t="array" ref="U21">F21/Tablo27[LW1]*$C$37+Tablo314[[#This Row],[LW2]]/Tablo27[LW2]*$D$37+Tablo314[[#This Row],[LW3]]/Tablo27[LW3]*$E$37+Tablo314[[#This Row],[LW4]]/Tablo27[LW4]*$F$37+Tablo314[[#This Row],[LW5]]/Tablo27[LW5]*$G$37+Tablo314[[#This Row],[LW6]]/Tablo27[LW6]*$H$37+Tablo314[[#This Row],[LW7]]/Tablo27[LW7]*$I$37+Tablo314[[#This Row],[LW8]]/Tablo27[LW8]*$J$37+Tablo314[[#This Row],[LW9]]/Tablo27[LW9]*$K$37+Tablo314[[#This Row],[LW10]]/Tablo27[LW10]*$L$37+Tablo314[[#This Row],[LW11]]/Tablo27[LW11]*$M$37+Tablo314[[#This Row],[LW12]]/Tablo27[LW12]*$N$37+Tablo314[[#This Row],[LW13]]/Tablo27[LW13]*$O$37+Tablo314[[#This Row],[LW14]]/Tablo27[LW14]*$P$37</f>
        <v>16.5</v>
      </c>
      <c r="V21" s="1" cm="1">
        <f t="array" ref="V21">F21/Tablo27[LW1]*$C$38+Tablo314[[#This Row],[LW2]]/Tablo27[LW2]*$D$38+Tablo314[[#This Row],[LW3]]/Tablo27[LW3]*$E$38+Tablo314[[#This Row],[LW4]]/Tablo27[LW4]*$F$38+Tablo314[[#This Row],[LW5]]/Tablo27[LW5]*$G$38+Tablo314[[#This Row],[LW6]]/Tablo27[LW6]*$H$38+Tablo314[[#This Row],[LW7]]/Tablo27[LW7]*$I$38+Tablo314[[#This Row],[LW8]]/Tablo27[LW8]*$J$38+Tablo314[[#This Row],[LW9]]/Tablo27[LW9]*$K$38+Tablo314[[#This Row],[LW10]]/Tablo27[LW10]*$L$38+Tablo314[[#This Row],[LW11]]/Tablo27[LW11]*$M$38+Tablo314[[#This Row],[LW12]]/Tablo27[LW12]*$N$38+Tablo314[[#This Row],[LW13]]/Tablo27[LW13]*$O$38+Tablo314[[#This Row],[LW14]]/Tablo27[LW14]*$P$38</f>
        <v>28.5</v>
      </c>
      <c r="W21" s="1" cm="1">
        <f t="array" ref="W21">F21/Tablo27[LW1]*$C$39+Tablo314[[#This Row],[LW2]]/Tablo27[LW2]*$D$39+Tablo314[[#This Row],[LW3]]/Tablo27[LW3]*$E$39+Tablo314[[#This Row],[LW4]]/Tablo27[LW4]*$F$39+Tablo314[[#This Row],[LW5]]/Tablo27[LW5]*$G$39+Tablo314[[#This Row],[LW6]]/Tablo27[LW6]*$H$39+Tablo314[[#This Row],[LW7]]/Tablo27[LW7]*$I$39+Tablo314[[#This Row],[LW8]]/Tablo27[LW8]*$J$39+Tablo314[[#This Row],[LW9]]/Tablo27[LW9]*$K$39+Tablo314[[#This Row],[LW10]]/Tablo27[LW10]*$L$39+Tablo314[[#This Row],[LW11]]/Tablo27[LW11]*$M$39+Tablo314[[#This Row],[LW12]]/Tablo27[LW12]*$N$39+Tablo314[[#This Row],[LW13]]/Tablo27[LW13]*$O$39+Tablo314[[#This Row],[LW14]]/Tablo27[LW14]*$P$39</f>
        <v>29.5</v>
      </c>
      <c r="X21" s="1" cm="1">
        <f t="array" ref="X21">F21/Tablo27[LW1]*$C$40+Tablo314[[#This Row],[LW2]]/Tablo27[LW2]*$D$40+Tablo314[[#This Row],[LW3]]/Tablo27[LW3]*$E$40+Tablo314[[#This Row],[LW4]]/Tablo27[LW4]*$F$40+Tablo314[[#This Row],[LW5]]/Tablo27[LW5]*$G$40+Tablo314[[#This Row],[LW6]]/Tablo27[LW6]*$H$40+Tablo314[[#This Row],[LW7]]/Tablo27[LW7]*$I$40+Tablo314[[#This Row],[LW8]]/Tablo27[LW8]*$J$40+Tablo314[[#This Row],[LW9]]/Tablo27[LW9]*$K$40+Tablo314[[#This Row],[LW10]]/Tablo27[LW10]*$L$40+Tablo314[[#This Row],[LW11]]/Tablo27[LW11]*$M$40+Tablo314[[#This Row],[LW12]]/Tablo27[LW12]*$N$40+Tablo314[[#This Row],[LW13]]/Tablo27[LW13]*$O$40+Tablo314[[#This Row],[LW14]]/Tablo27[LW14]*$P$40</f>
        <v>32.5</v>
      </c>
      <c r="Y21" s="1">
        <f>SUM(Tablo314[[#This Row],[DÇ1]],Tablo314[[#This Row],[DÇ2]],Tablo314[[#This Row],[DÇ3]],Tablo314[[#This Row],[DÇ4]])</f>
        <v>107</v>
      </c>
      <c r="Z21" s="1" cm="1">
        <f t="array" ref="Z21">_xlfn.NORM.DIST(Tablo314[[#This Row],[TOTAL]],Tablo29[Mean],Tablo29[Variance],FALSE)</f>
        <v>4.311656216003378E-3</v>
      </c>
    </row>
    <row r="22" spans="2:26" x14ac:dyDescent="0.3">
      <c r="B22" s="79">
        <v>18</v>
      </c>
      <c r="C22" s="35">
        <v>16</v>
      </c>
      <c r="D22" s="46" t="s">
        <v>17</v>
      </c>
      <c r="E22" s="46" t="s">
        <v>16</v>
      </c>
      <c r="F22" s="1">
        <v>3</v>
      </c>
      <c r="G22" s="1">
        <v>2</v>
      </c>
      <c r="H22" s="1">
        <v>0</v>
      </c>
      <c r="I22" s="1">
        <v>5</v>
      </c>
      <c r="J22" s="1">
        <v>5</v>
      </c>
      <c r="K22" s="1">
        <v>1</v>
      </c>
      <c r="L22" s="1">
        <v>2</v>
      </c>
      <c r="M22" s="1">
        <v>2</v>
      </c>
      <c r="N22" s="1">
        <v>2</v>
      </c>
      <c r="O22" s="1">
        <v>8</v>
      </c>
      <c r="P22" s="1">
        <v>2</v>
      </c>
      <c r="Q22" s="1">
        <v>8</v>
      </c>
      <c r="R22" s="1">
        <v>8</v>
      </c>
      <c r="S22" s="1">
        <v>8</v>
      </c>
      <c r="T22" s="1">
        <f>SUM(Tablo314[[#This Row],[LW1]:[LW14]])</f>
        <v>56</v>
      </c>
      <c r="U22" s="1" cm="1">
        <f t="array" ref="U22">F22/Tablo27[LW1]*$C$37+Tablo314[[#This Row],[LW2]]/Tablo27[LW2]*$D$37+Tablo314[[#This Row],[LW3]]/Tablo27[LW3]*$E$37+Tablo314[[#This Row],[LW4]]/Tablo27[LW4]*$F$37+Tablo314[[#This Row],[LW5]]/Tablo27[LW5]*$G$37+Tablo314[[#This Row],[LW6]]/Tablo27[LW6]*$H$37+Tablo314[[#This Row],[LW7]]/Tablo27[LW7]*$I$37+Tablo314[[#This Row],[LW8]]/Tablo27[LW8]*$J$37+Tablo314[[#This Row],[LW9]]/Tablo27[LW9]*$K$37+Tablo314[[#This Row],[LW10]]/Tablo27[LW10]*$L$37+Tablo314[[#This Row],[LW11]]/Tablo27[LW11]*$M$37+Tablo314[[#This Row],[LW12]]/Tablo27[LW12]*$N$37+Tablo314[[#This Row],[LW13]]/Tablo27[LW13]*$O$37+Tablo314[[#This Row],[LW14]]/Tablo27[LW14]*$P$37</f>
        <v>6.5</v>
      </c>
      <c r="V22" s="1" cm="1">
        <f t="array" ref="V22">F22/Tablo27[LW1]*$C$38+Tablo314[[#This Row],[LW2]]/Tablo27[LW2]*$D$38+Tablo314[[#This Row],[LW3]]/Tablo27[LW3]*$E$38+Tablo314[[#This Row],[LW4]]/Tablo27[LW4]*$F$38+Tablo314[[#This Row],[LW5]]/Tablo27[LW5]*$G$38+Tablo314[[#This Row],[LW6]]/Tablo27[LW6]*$H$38+Tablo314[[#This Row],[LW7]]/Tablo27[LW7]*$I$38+Tablo314[[#This Row],[LW8]]/Tablo27[LW8]*$J$38+Tablo314[[#This Row],[LW9]]/Tablo27[LW9]*$K$38+Tablo314[[#This Row],[LW10]]/Tablo27[LW10]*$L$38+Tablo314[[#This Row],[LW11]]/Tablo27[LW11]*$M$38+Tablo314[[#This Row],[LW12]]/Tablo27[LW12]*$N$38+Tablo314[[#This Row],[LW13]]/Tablo27[LW13]*$O$38+Tablo314[[#This Row],[LW14]]/Tablo27[LW14]*$P$38</f>
        <v>16.5</v>
      </c>
      <c r="W22" s="1" cm="1">
        <f t="array" ref="W22">F22/Tablo27[LW1]*$C$39+Tablo314[[#This Row],[LW2]]/Tablo27[LW2]*$D$39+Tablo314[[#This Row],[LW3]]/Tablo27[LW3]*$E$39+Tablo314[[#This Row],[LW4]]/Tablo27[LW4]*$F$39+Tablo314[[#This Row],[LW5]]/Tablo27[LW5]*$G$39+Tablo314[[#This Row],[LW6]]/Tablo27[LW6]*$H$39+Tablo314[[#This Row],[LW7]]/Tablo27[LW7]*$I$39+Tablo314[[#This Row],[LW8]]/Tablo27[LW8]*$J$39+Tablo314[[#This Row],[LW9]]/Tablo27[LW9]*$K$39+Tablo314[[#This Row],[LW10]]/Tablo27[LW10]*$L$39+Tablo314[[#This Row],[LW11]]/Tablo27[LW11]*$M$39+Tablo314[[#This Row],[LW12]]/Tablo27[LW12]*$N$39+Tablo314[[#This Row],[LW13]]/Tablo27[LW13]*$O$39+Tablo314[[#This Row],[LW14]]/Tablo27[LW14]*$P$39</f>
        <v>28.5</v>
      </c>
      <c r="X22" s="1" cm="1">
        <f t="array" ref="X22">F22/Tablo27[LW1]*$C$40+Tablo314[[#This Row],[LW2]]/Tablo27[LW2]*$D$40+Tablo314[[#This Row],[LW3]]/Tablo27[LW3]*$E$40+Tablo314[[#This Row],[LW4]]/Tablo27[LW4]*$F$40+Tablo314[[#This Row],[LW5]]/Tablo27[LW5]*$G$40+Tablo314[[#This Row],[LW6]]/Tablo27[LW6]*$H$40+Tablo314[[#This Row],[LW7]]/Tablo27[LW7]*$I$40+Tablo314[[#This Row],[LW8]]/Tablo27[LW8]*$J$40+Tablo314[[#This Row],[LW9]]/Tablo27[LW9]*$K$40+Tablo314[[#This Row],[LW10]]/Tablo27[LW10]*$L$40+Tablo314[[#This Row],[LW11]]/Tablo27[LW11]*$M$40+Tablo314[[#This Row],[LW12]]/Tablo27[LW12]*$N$40+Tablo314[[#This Row],[LW13]]/Tablo27[LW13]*$O$40+Tablo314[[#This Row],[LW14]]/Tablo27[LW14]*$P$40</f>
        <v>33.5</v>
      </c>
      <c r="Y22" s="1">
        <f>SUM(Tablo314[[#This Row],[DÇ1]],Tablo314[[#This Row],[DÇ2]],Tablo314[[#This Row],[DÇ3]],Tablo314[[#This Row],[DÇ4]])</f>
        <v>85</v>
      </c>
      <c r="Z22" s="1" cm="1">
        <f t="array" ref="Z22">_xlfn.NORM.DIST(Tablo314[[#This Row],[TOTAL]],Tablo29[Mean],Tablo29[Variance],FALSE)</f>
        <v>4.3098077994072441E-3</v>
      </c>
    </row>
    <row r="23" spans="2:26" x14ac:dyDescent="0.3">
      <c r="B23" s="78">
        <v>19</v>
      </c>
      <c r="C23" s="35">
        <v>20</v>
      </c>
      <c r="D23" s="46" t="s">
        <v>17</v>
      </c>
      <c r="E23" s="46" t="s">
        <v>16</v>
      </c>
      <c r="F23" s="1">
        <v>0</v>
      </c>
      <c r="G23" s="1">
        <v>5</v>
      </c>
      <c r="H23" s="1">
        <v>0</v>
      </c>
      <c r="I23" s="1">
        <v>4</v>
      </c>
      <c r="J23" s="1">
        <v>5</v>
      </c>
      <c r="K23" s="1">
        <v>0</v>
      </c>
      <c r="L23" s="1">
        <v>1</v>
      </c>
      <c r="M23" s="1">
        <v>5</v>
      </c>
      <c r="N23" s="1">
        <v>3</v>
      </c>
      <c r="O23" s="1">
        <v>9</v>
      </c>
      <c r="P23" s="1">
        <v>4</v>
      </c>
      <c r="Q23" s="1">
        <v>2</v>
      </c>
      <c r="R23" s="1">
        <v>9</v>
      </c>
      <c r="S23" s="1">
        <v>9</v>
      </c>
      <c r="T23" s="1">
        <f>SUM(Tablo314[[#This Row],[LW1]:[LW14]])</f>
        <v>56</v>
      </c>
      <c r="U23" s="1" cm="1">
        <f t="array" ref="U23">F23/Tablo27[LW1]*$C$37+Tablo314[[#This Row],[LW2]]/Tablo27[LW2]*$D$37+Tablo314[[#This Row],[LW3]]/Tablo27[LW3]*$E$37+Tablo314[[#This Row],[LW4]]/Tablo27[LW4]*$F$37+Tablo314[[#This Row],[LW5]]/Tablo27[LW5]*$G$37+Tablo314[[#This Row],[LW6]]/Tablo27[LW6]*$H$37+Tablo314[[#This Row],[LW7]]/Tablo27[LW7]*$I$37+Tablo314[[#This Row],[LW8]]/Tablo27[LW8]*$J$37+Tablo314[[#This Row],[LW9]]/Tablo27[LW9]*$K$37+Tablo314[[#This Row],[LW10]]/Tablo27[LW10]*$L$37+Tablo314[[#This Row],[LW11]]/Tablo27[LW11]*$M$37+Tablo314[[#This Row],[LW12]]/Tablo27[LW12]*$N$37+Tablo314[[#This Row],[LW13]]/Tablo27[LW13]*$O$37+Tablo314[[#This Row],[LW14]]/Tablo27[LW14]*$P$37</f>
        <v>7</v>
      </c>
      <c r="V23" s="1" cm="1">
        <f t="array" ref="V23">F23/Tablo27[LW1]*$C$38+Tablo314[[#This Row],[LW2]]/Tablo27[LW2]*$D$38+Tablo314[[#This Row],[LW3]]/Tablo27[LW3]*$E$38+Tablo314[[#This Row],[LW4]]/Tablo27[LW4]*$F$38+Tablo314[[#This Row],[LW5]]/Tablo27[LW5]*$G$38+Tablo314[[#This Row],[LW6]]/Tablo27[LW6]*$H$38+Tablo314[[#This Row],[LW7]]/Tablo27[LW7]*$I$38+Tablo314[[#This Row],[LW8]]/Tablo27[LW8]*$J$38+Tablo314[[#This Row],[LW9]]/Tablo27[LW9]*$K$38+Tablo314[[#This Row],[LW10]]/Tablo27[LW10]*$L$38+Tablo314[[#This Row],[LW11]]/Tablo27[LW11]*$M$38+Tablo314[[#This Row],[LW12]]/Tablo27[LW12]*$N$38+Tablo314[[#This Row],[LW13]]/Tablo27[LW13]*$O$38+Tablo314[[#This Row],[LW14]]/Tablo27[LW14]*$P$38</f>
        <v>20.5</v>
      </c>
      <c r="W23" s="1" cm="1">
        <f t="array" ref="W23">F23/Tablo27[LW1]*$C$39+Tablo314[[#This Row],[LW2]]/Tablo27[LW2]*$D$39+Tablo314[[#This Row],[LW3]]/Tablo27[LW3]*$E$39+Tablo314[[#This Row],[LW4]]/Tablo27[LW4]*$F$39+Tablo314[[#This Row],[LW5]]/Tablo27[LW5]*$G$39+Tablo314[[#This Row],[LW6]]/Tablo27[LW6]*$H$39+Tablo314[[#This Row],[LW7]]/Tablo27[LW7]*$I$39+Tablo314[[#This Row],[LW8]]/Tablo27[LW8]*$J$39+Tablo314[[#This Row],[LW9]]/Tablo27[LW9]*$K$39+Tablo314[[#This Row],[LW10]]/Tablo27[LW10]*$L$39+Tablo314[[#This Row],[LW11]]/Tablo27[LW11]*$M$39+Tablo314[[#This Row],[LW12]]/Tablo27[LW12]*$N$39+Tablo314[[#This Row],[LW13]]/Tablo27[LW13]*$O$39+Tablo314[[#This Row],[LW14]]/Tablo27[LW14]*$P$39</f>
        <v>30.5</v>
      </c>
      <c r="X23" s="1" cm="1">
        <f t="array" ref="X23">F23/Tablo27[LW1]*$C$40+Tablo314[[#This Row],[LW2]]/Tablo27[LW2]*$D$40+Tablo314[[#This Row],[LW3]]/Tablo27[LW3]*$E$40+Tablo314[[#This Row],[LW4]]/Tablo27[LW4]*$F$40+Tablo314[[#This Row],[LW5]]/Tablo27[LW5]*$G$40+Tablo314[[#This Row],[LW6]]/Tablo27[LW6]*$H$40+Tablo314[[#This Row],[LW7]]/Tablo27[LW7]*$I$40+Tablo314[[#This Row],[LW8]]/Tablo27[LW8]*$J$40+Tablo314[[#This Row],[LW9]]/Tablo27[LW9]*$K$40+Tablo314[[#This Row],[LW10]]/Tablo27[LW10]*$L$40+Tablo314[[#This Row],[LW11]]/Tablo27[LW11]*$M$40+Tablo314[[#This Row],[LW12]]/Tablo27[LW12]*$N$40+Tablo314[[#This Row],[LW13]]/Tablo27[LW13]*$O$40+Tablo314[[#This Row],[LW14]]/Tablo27[LW14]*$P$40</f>
        <v>34.5</v>
      </c>
      <c r="Y23" s="1">
        <f>SUM(Tablo314[[#This Row],[DÇ1]],Tablo314[[#This Row],[DÇ2]],Tablo314[[#This Row],[DÇ3]],Tablo314[[#This Row],[DÇ4]])</f>
        <v>92.5</v>
      </c>
      <c r="Z23" s="1" cm="1">
        <f t="array" ref="Z23">_xlfn.NORM.DIST(Tablo314[[#This Row],[TOTAL]],Tablo29[Mean],Tablo29[Variance],FALSE)</f>
        <v>4.3098077994072441E-3</v>
      </c>
    </row>
    <row r="24" spans="2:26" x14ac:dyDescent="0.3">
      <c r="B24" s="79">
        <v>20</v>
      </c>
      <c r="C24" s="35">
        <v>25</v>
      </c>
      <c r="D24" s="46" t="s">
        <v>17</v>
      </c>
      <c r="E24" s="46" t="s">
        <v>16</v>
      </c>
      <c r="F24" s="1">
        <v>5</v>
      </c>
      <c r="G24" s="1">
        <v>5</v>
      </c>
      <c r="H24" s="1">
        <v>2</v>
      </c>
      <c r="I24" s="1">
        <v>5</v>
      </c>
      <c r="J24" s="1">
        <v>2</v>
      </c>
      <c r="K24" s="1">
        <v>2</v>
      </c>
      <c r="L24" s="1">
        <v>5</v>
      </c>
      <c r="M24" s="1">
        <v>0</v>
      </c>
      <c r="N24" s="1">
        <v>5</v>
      </c>
      <c r="O24" s="1">
        <v>3</v>
      </c>
      <c r="P24" s="1">
        <v>4</v>
      </c>
      <c r="Q24" s="1">
        <v>4</v>
      </c>
      <c r="R24" s="1">
        <v>5</v>
      </c>
      <c r="S24" s="1">
        <v>9</v>
      </c>
      <c r="T24" s="1">
        <f>SUM(Tablo314[[#This Row],[LW1]:[LW14]])</f>
        <v>56</v>
      </c>
      <c r="U24" s="1" cm="1">
        <f t="array" ref="U24">F24/Tablo27[LW1]*$C$37+Tablo314[[#This Row],[LW2]]/Tablo27[LW2]*$D$37+Tablo314[[#This Row],[LW3]]/Tablo27[LW3]*$E$37+Tablo314[[#This Row],[LW4]]/Tablo27[LW4]*$F$37+Tablo314[[#This Row],[LW5]]/Tablo27[LW5]*$G$37+Tablo314[[#This Row],[LW6]]/Tablo27[LW6]*$H$37+Tablo314[[#This Row],[LW7]]/Tablo27[LW7]*$I$37+Tablo314[[#This Row],[LW8]]/Tablo27[LW8]*$J$37+Tablo314[[#This Row],[LW9]]/Tablo27[LW9]*$K$37+Tablo314[[#This Row],[LW10]]/Tablo27[LW10]*$L$37+Tablo314[[#This Row],[LW11]]/Tablo27[LW11]*$M$37+Tablo314[[#This Row],[LW12]]/Tablo27[LW12]*$N$37+Tablo314[[#This Row],[LW13]]/Tablo27[LW13]*$O$37+Tablo314[[#This Row],[LW14]]/Tablo27[LW14]*$P$37</f>
        <v>10</v>
      </c>
      <c r="V24" s="1" cm="1">
        <f t="array" ref="V24">F24/Tablo27[LW1]*$C$38+Tablo314[[#This Row],[LW2]]/Tablo27[LW2]*$D$38+Tablo314[[#This Row],[LW3]]/Tablo27[LW3]*$E$38+Tablo314[[#This Row],[LW4]]/Tablo27[LW4]*$F$38+Tablo314[[#This Row],[LW5]]/Tablo27[LW5]*$G$38+Tablo314[[#This Row],[LW6]]/Tablo27[LW6]*$H$38+Tablo314[[#This Row],[LW7]]/Tablo27[LW7]*$I$38+Tablo314[[#This Row],[LW8]]/Tablo27[LW8]*$J$38+Tablo314[[#This Row],[LW9]]/Tablo27[LW9]*$K$38+Tablo314[[#This Row],[LW10]]/Tablo27[LW10]*$L$38+Tablo314[[#This Row],[LW11]]/Tablo27[LW11]*$M$38+Tablo314[[#This Row],[LW12]]/Tablo27[LW12]*$N$38+Tablo314[[#This Row],[LW13]]/Tablo27[LW13]*$O$38+Tablo314[[#This Row],[LW14]]/Tablo27[LW14]*$P$38</f>
        <v>23.5</v>
      </c>
      <c r="W24" s="1" cm="1">
        <f t="array" ref="W24">F24/Tablo27[LW1]*$C$39+Tablo314[[#This Row],[LW2]]/Tablo27[LW2]*$D$39+Tablo314[[#This Row],[LW3]]/Tablo27[LW3]*$E$39+Tablo314[[#This Row],[LW4]]/Tablo27[LW4]*$F$39+Tablo314[[#This Row],[LW5]]/Tablo27[LW5]*$G$39+Tablo314[[#This Row],[LW6]]/Tablo27[LW6]*$H$39+Tablo314[[#This Row],[LW7]]/Tablo27[LW7]*$I$39+Tablo314[[#This Row],[LW8]]/Tablo27[LW8]*$J$39+Tablo314[[#This Row],[LW9]]/Tablo27[LW9]*$K$39+Tablo314[[#This Row],[LW10]]/Tablo27[LW10]*$L$39+Tablo314[[#This Row],[LW11]]/Tablo27[LW11]*$M$39+Tablo314[[#This Row],[LW12]]/Tablo27[LW12]*$N$39+Tablo314[[#This Row],[LW13]]/Tablo27[LW13]*$O$39+Tablo314[[#This Row],[LW14]]/Tablo27[LW14]*$P$39</f>
        <v>25.5</v>
      </c>
      <c r="X24" s="1" cm="1">
        <f t="array" ref="X24">F24/Tablo27[LW1]*$C$40+Tablo314[[#This Row],[LW2]]/Tablo27[LW2]*$D$40+Tablo314[[#This Row],[LW3]]/Tablo27[LW3]*$E$40+Tablo314[[#This Row],[LW4]]/Tablo27[LW4]*$F$40+Tablo314[[#This Row],[LW5]]/Tablo27[LW5]*$G$40+Tablo314[[#This Row],[LW6]]/Tablo27[LW6]*$H$40+Tablo314[[#This Row],[LW7]]/Tablo27[LW7]*$I$40+Tablo314[[#This Row],[LW8]]/Tablo27[LW8]*$J$40+Tablo314[[#This Row],[LW9]]/Tablo27[LW9]*$K$40+Tablo314[[#This Row],[LW10]]/Tablo27[LW10]*$L$40+Tablo314[[#This Row],[LW11]]/Tablo27[LW11]*$M$40+Tablo314[[#This Row],[LW12]]/Tablo27[LW12]*$N$40+Tablo314[[#This Row],[LW13]]/Tablo27[LW13]*$O$40+Tablo314[[#This Row],[LW14]]/Tablo27[LW14]*$P$40</f>
        <v>30.5</v>
      </c>
      <c r="Y24" s="1">
        <f>SUM(Tablo314[[#This Row],[DÇ1]],Tablo314[[#This Row],[DÇ2]],Tablo314[[#This Row],[DÇ3]],Tablo314[[#This Row],[DÇ4]])</f>
        <v>89.5</v>
      </c>
      <c r="Z24" s="1" cm="1">
        <f t="array" ref="Z24">_xlfn.NORM.DIST(Tablo314[[#This Row],[TOTAL]],Tablo29[Mean],Tablo29[Variance],FALSE)</f>
        <v>4.3098077994072441E-3</v>
      </c>
    </row>
    <row r="25" spans="2:26" x14ac:dyDescent="0.3">
      <c r="B25" s="78">
        <v>21</v>
      </c>
      <c r="C25" s="35">
        <v>24</v>
      </c>
      <c r="D25" s="46" t="s">
        <v>17</v>
      </c>
      <c r="E25" s="46" t="s">
        <v>16</v>
      </c>
      <c r="F25" s="1">
        <v>5</v>
      </c>
      <c r="G25" s="1">
        <v>5</v>
      </c>
      <c r="H25" s="1">
        <v>5</v>
      </c>
      <c r="I25" s="1">
        <v>0</v>
      </c>
      <c r="J25" s="1">
        <v>5</v>
      </c>
      <c r="K25" s="1">
        <v>0</v>
      </c>
      <c r="L25" s="1">
        <v>2</v>
      </c>
      <c r="M25" s="1">
        <v>3</v>
      </c>
      <c r="N25" s="1">
        <v>4</v>
      </c>
      <c r="O25" s="1">
        <v>6</v>
      </c>
      <c r="P25" s="1">
        <v>4</v>
      </c>
      <c r="Q25" s="1">
        <v>6</v>
      </c>
      <c r="R25" s="1">
        <v>9</v>
      </c>
      <c r="S25" s="1">
        <v>3</v>
      </c>
      <c r="T25" s="1">
        <f>SUM(Tablo314[[#This Row],[LW1]:[LW14]])</f>
        <v>57</v>
      </c>
      <c r="U25" s="1" cm="1">
        <f t="array" ref="U25">F25/Tablo27[LW1]*$C$37+Tablo314[[#This Row],[LW2]]/Tablo27[LW2]*$D$37+Tablo314[[#This Row],[LW3]]/Tablo27[LW3]*$E$37+Tablo314[[#This Row],[LW4]]/Tablo27[LW4]*$F$37+Tablo314[[#This Row],[LW5]]/Tablo27[LW5]*$G$37+Tablo314[[#This Row],[LW6]]/Tablo27[LW6]*$H$37+Tablo314[[#This Row],[LW7]]/Tablo27[LW7]*$I$37+Tablo314[[#This Row],[LW8]]/Tablo27[LW8]*$J$37+Tablo314[[#This Row],[LW9]]/Tablo27[LW9]*$K$37+Tablo314[[#This Row],[LW10]]/Tablo27[LW10]*$L$37+Tablo314[[#This Row],[LW11]]/Tablo27[LW11]*$M$37+Tablo314[[#This Row],[LW12]]/Tablo27[LW12]*$N$37+Tablo314[[#This Row],[LW13]]/Tablo27[LW13]*$O$37+Tablo314[[#This Row],[LW14]]/Tablo27[LW14]*$P$37</f>
        <v>15</v>
      </c>
      <c r="V25" s="1" cm="1">
        <f t="array" ref="V25">F25/Tablo27[LW1]*$C$38+Tablo314[[#This Row],[LW2]]/Tablo27[LW2]*$D$38+Tablo314[[#This Row],[LW3]]/Tablo27[LW3]*$E$38+Tablo314[[#This Row],[LW4]]/Tablo27[LW4]*$F$38+Tablo314[[#This Row],[LW5]]/Tablo27[LW5]*$G$38+Tablo314[[#This Row],[LW6]]/Tablo27[LW6]*$H$38+Tablo314[[#This Row],[LW7]]/Tablo27[LW7]*$I$38+Tablo314[[#This Row],[LW8]]/Tablo27[LW8]*$J$38+Tablo314[[#This Row],[LW9]]/Tablo27[LW9]*$K$38+Tablo314[[#This Row],[LW10]]/Tablo27[LW10]*$L$38+Tablo314[[#This Row],[LW11]]/Tablo27[LW11]*$M$38+Tablo314[[#This Row],[LW12]]/Tablo27[LW12]*$N$38+Tablo314[[#This Row],[LW13]]/Tablo27[LW13]*$O$38+Tablo314[[#This Row],[LW14]]/Tablo27[LW14]*$P$38</f>
        <v>26</v>
      </c>
      <c r="W25" s="1" cm="1">
        <f t="array" ref="W25">F25/Tablo27[LW1]*$C$39+Tablo314[[#This Row],[LW2]]/Tablo27[LW2]*$D$39+Tablo314[[#This Row],[LW3]]/Tablo27[LW3]*$E$39+Tablo314[[#This Row],[LW4]]/Tablo27[LW4]*$F$39+Tablo314[[#This Row],[LW5]]/Tablo27[LW5]*$G$39+Tablo314[[#This Row],[LW6]]/Tablo27[LW6]*$H$39+Tablo314[[#This Row],[LW7]]/Tablo27[LW7]*$I$39+Tablo314[[#This Row],[LW8]]/Tablo27[LW8]*$J$39+Tablo314[[#This Row],[LW9]]/Tablo27[LW9]*$K$39+Tablo314[[#This Row],[LW10]]/Tablo27[LW10]*$L$39+Tablo314[[#This Row],[LW11]]/Tablo27[LW11]*$M$39+Tablo314[[#This Row],[LW12]]/Tablo27[LW12]*$N$39+Tablo314[[#This Row],[LW13]]/Tablo27[LW13]*$O$39+Tablo314[[#This Row],[LW14]]/Tablo27[LW14]*$P$39</f>
        <v>28</v>
      </c>
      <c r="X25" s="1" cm="1">
        <f t="array" ref="X25">F25/Tablo27[LW1]*$C$40+Tablo314[[#This Row],[LW2]]/Tablo27[LW2]*$D$40+Tablo314[[#This Row],[LW3]]/Tablo27[LW3]*$E$40+Tablo314[[#This Row],[LW4]]/Tablo27[LW4]*$F$40+Tablo314[[#This Row],[LW5]]/Tablo27[LW5]*$G$40+Tablo314[[#This Row],[LW6]]/Tablo27[LW6]*$H$40+Tablo314[[#This Row],[LW7]]/Tablo27[LW7]*$I$40+Tablo314[[#This Row],[LW8]]/Tablo27[LW8]*$J$40+Tablo314[[#This Row],[LW9]]/Tablo27[LW9]*$K$40+Tablo314[[#This Row],[LW10]]/Tablo27[LW10]*$L$40+Tablo314[[#This Row],[LW11]]/Tablo27[LW11]*$M$40+Tablo314[[#This Row],[LW12]]/Tablo27[LW12]*$N$40+Tablo314[[#This Row],[LW13]]/Tablo27[LW13]*$O$40+Tablo314[[#This Row],[LW14]]/Tablo27[LW14]*$P$40</f>
        <v>28</v>
      </c>
      <c r="Y25" s="1">
        <f>SUM(Tablo314[[#This Row],[DÇ1]],Tablo314[[#This Row],[DÇ2]],Tablo314[[#This Row],[DÇ3]],Tablo314[[#This Row],[DÇ4]])</f>
        <v>97</v>
      </c>
      <c r="Z25" s="1" cm="1">
        <f t="array" ref="Z25">_xlfn.NORM.DIST(Tablo314[[#This Row],[TOTAL]],Tablo29[Mean],Tablo29[Variance],FALSE)</f>
        <v>4.3074564152117325E-3</v>
      </c>
    </row>
    <row r="26" spans="2:26" x14ac:dyDescent="0.3">
      <c r="B26" s="79">
        <v>22</v>
      </c>
      <c r="C26" s="35">
        <v>28</v>
      </c>
      <c r="D26" s="46" t="s">
        <v>17</v>
      </c>
      <c r="E26" s="46" t="s">
        <v>16</v>
      </c>
      <c r="F26" s="1">
        <v>5</v>
      </c>
      <c r="G26" s="1">
        <v>5</v>
      </c>
      <c r="H26" s="1">
        <v>4</v>
      </c>
      <c r="I26" s="1">
        <v>2</v>
      </c>
      <c r="J26" s="1">
        <v>5</v>
      </c>
      <c r="K26" s="1">
        <v>9</v>
      </c>
      <c r="L26" s="1">
        <v>5</v>
      </c>
      <c r="M26" s="1">
        <v>3</v>
      </c>
      <c r="N26" s="1">
        <v>5</v>
      </c>
      <c r="O26" s="1">
        <v>2</v>
      </c>
      <c r="P26" s="1">
        <v>7</v>
      </c>
      <c r="Q26" s="1">
        <v>0</v>
      </c>
      <c r="R26" s="1">
        <v>1</v>
      </c>
      <c r="S26" s="1">
        <v>5</v>
      </c>
      <c r="T26" s="1">
        <f>SUM(Tablo314[[#This Row],[LW1]:[LW14]])</f>
        <v>58</v>
      </c>
      <c r="U26" s="1" cm="1">
        <f t="array" ref="U26">F26/Tablo27[LW1]*$C$37+Tablo314[[#This Row],[LW2]]/Tablo27[LW2]*$D$37+Tablo314[[#This Row],[LW3]]/Tablo27[LW3]*$E$37+Tablo314[[#This Row],[LW4]]/Tablo27[LW4]*$F$37+Tablo314[[#This Row],[LW5]]/Tablo27[LW5]*$G$37+Tablo314[[#This Row],[LW6]]/Tablo27[LW6]*$H$37+Tablo314[[#This Row],[LW7]]/Tablo27[LW7]*$I$37+Tablo314[[#This Row],[LW8]]/Tablo27[LW8]*$J$37+Tablo314[[#This Row],[LW9]]/Tablo27[LW9]*$K$37+Tablo314[[#This Row],[LW10]]/Tablo27[LW10]*$L$37+Tablo314[[#This Row],[LW11]]/Tablo27[LW11]*$M$37+Tablo314[[#This Row],[LW12]]/Tablo27[LW12]*$N$37+Tablo314[[#This Row],[LW13]]/Tablo27[LW13]*$O$37+Tablo314[[#This Row],[LW14]]/Tablo27[LW14]*$P$37</f>
        <v>20</v>
      </c>
      <c r="V26" s="1" cm="1">
        <f t="array" ref="V26">F26/Tablo27[LW1]*$C$38+Tablo314[[#This Row],[LW2]]/Tablo27[LW2]*$D$38+Tablo314[[#This Row],[LW3]]/Tablo27[LW3]*$E$38+Tablo314[[#This Row],[LW4]]/Tablo27[LW4]*$F$38+Tablo314[[#This Row],[LW5]]/Tablo27[LW5]*$G$38+Tablo314[[#This Row],[LW6]]/Tablo27[LW6]*$H$38+Tablo314[[#This Row],[LW7]]/Tablo27[LW7]*$I$38+Tablo314[[#This Row],[LW8]]/Tablo27[LW8]*$J$38+Tablo314[[#This Row],[LW9]]/Tablo27[LW9]*$K$38+Tablo314[[#This Row],[LW10]]/Tablo27[LW10]*$L$38+Tablo314[[#This Row],[LW11]]/Tablo27[LW11]*$M$38+Tablo314[[#This Row],[LW12]]/Tablo27[LW12]*$N$38+Tablo314[[#This Row],[LW13]]/Tablo27[LW13]*$O$38+Tablo314[[#This Row],[LW14]]/Tablo27[LW14]*$P$38</f>
        <v>33</v>
      </c>
      <c r="W26" s="1" cm="1">
        <f t="array" ref="W26">F26/Tablo27[LW1]*$C$39+Tablo314[[#This Row],[LW2]]/Tablo27[LW2]*$D$39+Tablo314[[#This Row],[LW3]]/Tablo27[LW3]*$E$39+Tablo314[[#This Row],[LW4]]/Tablo27[LW4]*$F$39+Tablo314[[#This Row],[LW5]]/Tablo27[LW5]*$G$39+Tablo314[[#This Row],[LW6]]/Tablo27[LW6]*$H$39+Tablo314[[#This Row],[LW7]]/Tablo27[LW7]*$I$39+Tablo314[[#This Row],[LW8]]/Tablo27[LW8]*$J$39+Tablo314[[#This Row],[LW9]]/Tablo27[LW9]*$K$39+Tablo314[[#This Row],[LW10]]/Tablo27[LW10]*$L$39+Tablo314[[#This Row],[LW11]]/Tablo27[LW11]*$M$39+Tablo314[[#This Row],[LW12]]/Tablo27[LW12]*$N$39+Tablo314[[#This Row],[LW13]]/Tablo27[LW13]*$O$39+Tablo314[[#This Row],[LW14]]/Tablo27[LW14]*$P$39</f>
        <v>30</v>
      </c>
      <c r="X26" s="1" cm="1">
        <f t="array" ref="X26">F26/Tablo27[LW1]*$C$40+Tablo314[[#This Row],[LW2]]/Tablo27[LW2]*$D$40+Tablo314[[#This Row],[LW3]]/Tablo27[LW3]*$E$40+Tablo314[[#This Row],[LW4]]/Tablo27[LW4]*$F$40+Tablo314[[#This Row],[LW5]]/Tablo27[LW5]*$G$40+Tablo314[[#This Row],[LW6]]/Tablo27[LW6]*$H$40+Tablo314[[#This Row],[LW7]]/Tablo27[LW7]*$I$40+Tablo314[[#This Row],[LW8]]/Tablo27[LW8]*$J$40+Tablo314[[#This Row],[LW9]]/Tablo27[LW9]*$K$40+Tablo314[[#This Row],[LW10]]/Tablo27[LW10]*$L$40+Tablo314[[#This Row],[LW11]]/Tablo27[LW11]*$M$40+Tablo314[[#This Row],[LW12]]/Tablo27[LW12]*$N$40+Tablo314[[#This Row],[LW13]]/Tablo27[LW13]*$O$40+Tablo314[[#This Row],[LW14]]/Tablo27[LW14]*$P$40</f>
        <v>32</v>
      </c>
      <c r="Y26" s="1">
        <f>SUM(Tablo314[[#This Row],[DÇ1]],Tablo314[[#This Row],[DÇ2]],Tablo314[[#This Row],[DÇ3]],Tablo314[[#This Row],[DÇ4]])</f>
        <v>115</v>
      </c>
      <c r="Z26" s="1" cm="1">
        <f t="array" ref="Z26">_xlfn.NORM.DIST(Tablo314[[#This Row],[TOTAL]],Tablo29[Mean],Tablo29[Variance],FALSE)</f>
        <v>4.3046028876081843E-3</v>
      </c>
    </row>
    <row r="27" spans="2:26" x14ac:dyDescent="0.3">
      <c r="B27" s="78">
        <v>23</v>
      </c>
      <c r="C27" s="35">
        <v>26</v>
      </c>
      <c r="D27" s="46" t="s">
        <v>17</v>
      </c>
      <c r="E27" s="46" t="s">
        <v>16</v>
      </c>
      <c r="F27" s="1">
        <v>5</v>
      </c>
      <c r="G27" s="1">
        <v>5</v>
      </c>
      <c r="H27" s="1">
        <v>9</v>
      </c>
      <c r="I27" s="1">
        <v>5</v>
      </c>
      <c r="J27" s="1">
        <v>1</v>
      </c>
      <c r="K27" s="1">
        <v>3</v>
      </c>
      <c r="L27" s="1">
        <v>5</v>
      </c>
      <c r="M27" s="1">
        <v>5</v>
      </c>
      <c r="N27" s="1">
        <v>5</v>
      </c>
      <c r="O27" s="1">
        <v>2</v>
      </c>
      <c r="P27" s="1">
        <v>1</v>
      </c>
      <c r="Q27" s="1">
        <v>3</v>
      </c>
      <c r="R27" s="1">
        <v>3</v>
      </c>
      <c r="S27" s="1">
        <v>7</v>
      </c>
      <c r="T27" s="1">
        <f>SUM(Tablo314[[#This Row],[LW1]:[LW14]])</f>
        <v>59</v>
      </c>
      <c r="U27" s="1" cm="1">
        <f t="array" ref="U27">F27/Tablo27[LW1]*$C$37+Tablo314[[#This Row],[LW2]]/Tablo27[LW2]*$D$37+Tablo314[[#This Row],[LW3]]/Tablo27[LW3]*$E$37+Tablo314[[#This Row],[LW4]]/Tablo27[LW4]*$F$37+Tablo314[[#This Row],[LW5]]/Tablo27[LW5]*$G$37+Tablo314[[#This Row],[LW6]]/Tablo27[LW6]*$H$37+Tablo314[[#This Row],[LW7]]/Tablo27[LW7]*$I$37+Tablo314[[#This Row],[LW8]]/Tablo27[LW8]*$J$37+Tablo314[[#This Row],[LW9]]/Tablo27[LW9]*$K$37+Tablo314[[#This Row],[LW10]]/Tablo27[LW10]*$L$37+Tablo314[[#This Row],[LW11]]/Tablo27[LW11]*$M$37+Tablo314[[#This Row],[LW12]]/Tablo27[LW12]*$N$37+Tablo314[[#This Row],[LW13]]/Tablo27[LW13]*$O$37+Tablo314[[#This Row],[LW14]]/Tablo27[LW14]*$P$37</f>
        <v>21</v>
      </c>
      <c r="V27" s="1" cm="1">
        <f t="array" ref="V27">F27/Tablo27[LW1]*$C$38+Tablo314[[#This Row],[LW2]]/Tablo27[LW2]*$D$38+Tablo314[[#This Row],[LW3]]/Tablo27[LW3]*$E$38+Tablo314[[#This Row],[LW4]]/Tablo27[LW4]*$F$38+Tablo314[[#This Row],[LW5]]/Tablo27[LW5]*$G$38+Tablo314[[#This Row],[LW6]]/Tablo27[LW6]*$H$38+Tablo314[[#This Row],[LW7]]/Tablo27[LW7]*$I$38+Tablo314[[#This Row],[LW8]]/Tablo27[LW8]*$J$38+Tablo314[[#This Row],[LW9]]/Tablo27[LW9]*$K$38+Tablo314[[#This Row],[LW10]]/Tablo27[LW10]*$L$38+Tablo314[[#This Row],[LW11]]/Tablo27[LW11]*$M$38+Tablo314[[#This Row],[LW12]]/Tablo27[LW12]*$N$38+Tablo314[[#This Row],[LW13]]/Tablo27[LW13]*$O$38+Tablo314[[#This Row],[LW14]]/Tablo27[LW14]*$P$38</f>
        <v>28</v>
      </c>
      <c r="W27" s="1" cm="1">
        <f t="array" ref="W27">F27/Tablo27[LW1]*$C$39+Tablo314[[#This Row],[LW2]]/Tablo27[LW2]*$D$39+Tablo314[[#This Row],[LW3]]/Tablo27[LW3]*$E$39+Tablo314[[#This Row],[LW4]]/Tablo27[LW4]*$F$39+Tablo314[[#This Row],[LW5]]/Tablo27[LW5]*$G$39+Tablo314[[#This Row],[LW6]]/Tablo27[LW6]*$H$39+Tablo314[[#This Row],[LW7]]/Tablo27[LW7]*$I$39+Tablo314[[#This Row],[LW8]]/Tablo27[LW8]*$J$39+Tablo314[[#This Row],[LW9]]/Tablo27[LW9]*$K$39+Tablo314[[#This Row],[LW10]]/Tablo27[LW10]*$L$39+Tablo314[[#This Row],[LW11]]/Tablo27[LW11]*$M$39+Tablo314[[#This Row],[LW12]]/Tablo27[LW12]*$N$39+Tablo314[[#This Row],[LW13]]/Tablo27[LW13]*$O$39+Tablo314[[#This Row],[LW14]]/Tablo27[LW14]*$P$39</f>
        <v>25.5</v>
      </c>
      <c r="X27" s="1" cm="1">
        <f t="array" ref="X27">F27/Tablo27[LW1]*$C$40+Tablo314[[#This Row],[LW2]]/Tablo27[LW2]*$D$40+Tablo314[[#This Row],[LW3]]/Tablo27[LW3]*$E$40+Tablo314[[#This Row],[LW4]]/Tablo27[LW4]*$F$40+Tablo314[[#This Row],[LW5]]/Tablo27[LW5]*$G$40+Tablo314[[#This Row],[LW6]]/Tablo27[LW6]*$H$40+Tablo314[[#This Row],[LW7]]/Tablo27[LW7]*$I$40+Tablo314[[#This Row],[LW8]]/Tablo27[LW8]*$J$40+Tablo314[[#This Row],[LW9]]/Tablo27[LW9]*$K$40+Tablo314[[#This Row],[LW10]]/Tablo27[LW10]*$L$40+Tablo314[[#This Row],[LW11]]/Tablo27[LW11]*$M$40+Tablo314[[#This Row],[LW12]]/Tablo27[LW12]*$N$40+Tablo314[[#This Row],[LW13]]/Tablo27[LW13]*$O$40+Tablo314[[#This Row],[LW14]]/Tablo27[LW14]*$P$40</f>
        <v>30.5</v>
      </c>
      <c r="Y27" s="1">
        <f>SUM(Tablo314[[#This Row],[DÇ1]],Tablo314[[#This Row],[DÇ2]],Tablo314[[#This Row],[DÇ3]],Tablo314[[#This Row],[DÇ4]])</f>
        <v>105</v>
      </c>
      <c r="Z27" s="1" cm="1">
        <f t="array" ref="Z27">_xlfn.NORM.DIST(Tablo314[[#This Row],[TOTAL]],Tablo29[Mean],Tablo29[Variance],FALSE)</f>
        <v>4.3012482163926596E-3</v>
      </c>
    </row>
    <row r="28" spans="2:26" x14ac:dyDescent="0.3">
      <c r="B28" s="79">
        <v>24</v>
      </c>
      <c r="C28" s="35">
        <v>14</v>
      </c>
      <c r="D28" s="46" t="s">
        <v>17</v>
      </c>
      <c r="E28" s="46" t="s">
        <v>16</v>
      </c>
      <c r="F28" s="1">
        <v>3</v>
      </c>
      <c r="G28" s="1">
        <v>3</v>
      </c>
      <c r="H28" s="1">
        <v>5</v>
      </c>
      <c r="I28" s="1">
        <v>5</v>
      </c>
      <c r="J28" s="1">
        <v>5</v>
      </c>
      <c r="K28" s="1">
        <v>3</v>
      </c>
      <c r="L28" s="1">
        <v>5</v>
      </c>
      <c r="M28" s="1">
        <v>5</v>
      </c>
      <c r="N28" s="1">
        <v>0</v>
      </c>
      <c r="O28" s="1">
        <v>5</v>
      </c>
      <c r="P28" s="1">
        <v>7</v>
      </c>
      <c r="Q28" s="1">
        <v>5</v>
      </c>
      <c r="R28" s="1">
        <v>4</v>
      </c>
      <c r="S28" s="1">
        <v>5</v>
      </c>
      <c r="T28" s="1">
        <f>SUM(Tablo314[[#This Row],[LW1]:[LW14]])</f>
        <v>60</v>
      </c>
      <c r="U28" s="1" cm="1">
        <f t="array" ref="U28">F28/Tablo27[LW1]*$C$37+Tablo314[[#This Row],[LW2]]/Tablo27[LW2]*$D$37+Tablo314[[#This Row],[LW3]]/Tablo27[LW3]*$E$37+Tablo314[[#This Row],[LW4]]/Tablo27[LW4]*$F$37+Tablo314[[#This Row],[LW5]]/Tablo27[LW5]*$G$37+Tablo314[[#This Row],[LW6]]/Tablo27[LW6]*$H$37+Tablo314[[#This Row],[LW7]]/Tablo27[LW7]*$I$37+Tablo314[[#This Row],[LW8]]/Tablo27[LW8]*$J$37+Tablo314[[#This Row],[LW9]]/Tablo27[LW9]*$K$37+Tablo314[[#This Row],[LW10]]/Tablo27[LW10]*$L$37+Tablo314[[#This Row],[LW11]]/Tablo27[LW11]*$M$37+Tablo314[[#This Row],[LW12]]/Tablo27[LW12]*$N$37+Tablo314[[#This Row],[LW13]]/Tablo27[LW13]*$O$37+Tablo314[[#This Row],[LW14]]/Tablo27[LW14]*$P$37</f>
        <v>18</v>
      </c>
      <c r="V28" s="1" cm="1">
        <f t="array" ref="V28">F28/Tablo27[LW1]*$C$38+Tablo314[[#This Row],[LW2]]/Tablo27[LW2]*$D$38+Tablo314[[#This Row],[LW3]]/Tablo27[LW3]*$E$38+Tablo314[[#This Row],[LW4]]/Tablo27[LW4]*$F$38+Tablo314[[#This Row],[LW5]]/Tablo27[LW5]*$G$38+Tablo314[[#This Row],[LW6]]/Tablo27[LW6]*$H$38+Tablo314[[#This Row],[LW7]]/Tablo27[LW7]*$I$38+Tablo314[[#This Row],[LW8]]/Tablo27[LW8]*$J$38+Tablo314[[#This Row],[LW9]]/Tablo27[LW9]*$K$38+Tablo314[[#This Row],[LW10]]/Tablo27[LW10]*$L$38+Tablo314[[#This Row],[LW11]]/Tablo27[LW11]*$M$38+Tablo314[[#This Row],[LW12]]/Tablo27[LW12]*$N$38+Tablo314[[#This Row],[LW13]]/Tablo27[LW13]*$O$38+Tablo314[[#This Row],[LW14]]/Tablo27[LW14]*$P$38</f>
        <v>25.5</v>
      </c>
      <c r="W28" s="1" cm="1">
        <f t="array" ref="W28">F28/Tablo27[LW1]*$C$39+Tablo314[[#This Row],[LW2]]/Tablo27[LW2]*$D$39+Tablo314[[#This Row],[LW3]]/Tablo27[LW3]*$E$39+Tablo314[[#This Row],[LW4]]/Tablo27[LW4]*$F$39+Tablo314[[#This Row],[LW5]]/Tablo27[LW5]*$G$39+Tablo314[[#This Row],[LW6]]/Tablo27[LW6]*$H$39+Tablo314[[#This Row],[LW7]]/Tablo27[LW7]*$I$39+Tablo314[[#This Row],[LW8]]/Tablo27[LW8]*$J$39+Tablo314[[#This Row],[LW9]]/Tablo27[LW9]*$K$39+Tablo314[[#This Row],[LW10]]/Tablo27[LW10]*$L$39+Tablo314[[#This Row],[LW11]]/Tablo27[LW11]*$M$39+Tablo314[[#This Row],[LW12]]/Tablo27[LW12]*$N$39+Tablo314[[#This Row],[LW13]]/Tablo27[LW13]*$O$39+Tablo314[[#This Row],[LW14]]/Tablo27[LW14]*$P$39</f>
        <v>29.5</v>
      </c>
      <c r="X28" s="1" cm="1">
        <f t="array" ref="X28">F28/Tablo27[LW1]*$C$40+Tablo314[[#This Row],[LW2]]/Tablo27[LW2]*$D$40+Tablo314[[#This Row],[LW3]]/Tablo27[LW3]*$E$40+Tablo314[[#This Row],[LW4]]/Tablo27[LW4]*$F$40+Tablo314[[#This Row],[LW5]]/Tablo27[LW5]*$G$40+Tablo314[[#This Row],[LW6]]/Tablo27[LW6]*$H$40+Tablo314[[#This Row],[LW7]]/Tablo27[LW7]*$I$40+Tablo314[[#This Row],[LW8]]/Tablo27[LW8]*$J$40+Tablo314[[#This Row],[LW9]]/Tablo27[LW9]*$K$40+Tablo314[[#This Row],[LW10]]/Tablo27[LW10]*$L$40+Tablo314[[#This Row],[LW11]]/Tablo27[LW11]*$M$40+Tablo314[[#This Row],[LW12]]/Tablo27[LW12]*$N$40+Tablo314[[#This Row],[LW13]]/Tablo27[LW13]*$O$40+Tablo314[[#This Row],[LW14]]/Tablo27[LW14]*$P$40</f>
        <v>34.5</v>
      </c>
      <c r="Y28" s="1">
        <f>SUM(Tablo314[[#This Row],[DÇ1]],Tablo314[[#This Row],[DÇ2]],Tablo314[[#This Row],[DÇ3]],Tablo314[[#This Row],[DÇ4]])</f>
        <v>107.5</v>
      </c>
      <c r="Z28" s="1" cm="1">
        <f t="array" ref="Z28">_xlfn.NORM.DIST(Tablo314[[#This Row],[TOTAL]],Tablo29[Mean],Tablo29[Variance],FALSE)</f>
        <v>4.2973935763821261E-3</v>
      </c>
    </row>
    <row r="29" spans="2:26" x14ac:dyDescent="0.3">
      <c r="B29" s="78">
        <v>25</v>
      </c>
      <c r="C29" s="35">
        <v>13</v>
      </c>
      <c r="D29" s="46" t="s">
        <v>17</v>
      </c>
      <c r="E29" s="46" t="s">
        <v>16</v>
      </c>
      <c r="F29" s="1">
        <v>1</v>
      </c>
      <c r="G29" s="1">
        <v>5</v>
      </c>
      <c r="H29" s="1">
        <v>0</v>
      </c>
      <c r="I29" s="1">
        <v>1</v>
      </c>
      <c r="J29" s="1">
        <v>2</v>
      </c>
      <c r="K29" s="1">
        <v>4</v>
      </c>
      <c r="L29" s="1">
        <v>4</v>
      </c>
      <c r="M29" s="1">
        <v>5</v>
      </c>
      <c r="N29" s="1">
        <v>5</v>
      </c>
      <c r="O29" s="1">
        <v>9</v>
      </c>
      <c r="P29" s="1">
        <v>8</v>
      </c>
      <c r="Q29" s="1">
        <v>5</v>
      </c>
      <c r="R29" s="1">
        <v>4</v>
      </c>
      <c r="S29" s="1">
        <v>8</v>
      </c>
      <c r="T29" s="1">
        <f>SUM(Tablo314[[#This Row],[LW1]:[LW14]])</f>
        <v>61</v>
      </c>
      <c r="U29" s="1" cm="1">
        <f t="array" ref="U29">F29/Tablo27[LW1]*$C$37+Tablo314[[#This Row],[LW2]]/Tablo27[LW2]*$D$37+Tablo314[[#This Row],[LW3]]/Tablo27[LW3]*$E$37+Tablo314[[#This Row],[LW4]]/Tablo27[LW4]*$F$37+Tablo314[[#This Row],[LW5]]/Tablo27[LW5]*$G$37+Tablo314[[#This Row],[LW6]]/Tablo27[LW6]*$H$37+Tablo314[[#This Row],[LW7]]/Tablo27[LW7]*$I$37+Tablo314[[#This Row],[LW8]]/Tablo27[LW8]*$J$37+Tablo314[[#This Row],[LW9]]/Tablo27[LW9]*$K$37+Tablo314[[#This Row],[LW10]]/Tablo27[LW10]*$L$37+Tablo314[[#This Row],[LW11]]/Tablo27[LW11]*$M$37+Tablo314[[#This Row],[LW12]]/Tablo27[LW12]*$N$37+Tablo314[[#This Row],[LW13]]/Tablo27[LW13]*$O$37+Tablo314[[#This Row],[LW14]]/Tablo27[LW14]*$P$37</f>
        <v>12</v>
      </c>
      <c r="V29" s="1" cm="1">
        <f t="array" ref="V29">F29/Tablo27[LW1]*$C$38+Tablo314[[#This Row],[LW2]]/Tablo27[LW2]*$D$38+Tablo314[[#This Row],[LW3]]/Tablo27[LW3]*$E$38+Tablo314[[#This Row],[LW4]]/Tablo27[LW4]*$F$38+Tablo314[[#This Row],[LW5]]/Tablo27[LW5]*$G$38+Tablo314[[#This Row],[LW6]]/Tablo27[LW6]*$H$38+Tablo314[[#This Row],[LW7]]/Tablo27[LW7]*$I$38+Tablo314[[#This Row],[LW8]]/Tablo27[LW8]*$J$38+Tablo314[[#This Row],[LW9]]/Tablo27[LW9]*$K$38+Tablo314[[#This Row],[LW10]]/Tablo27[LW10]*$L$38+Tablo314[[#This Row],[LW11]]/Tablo27[LW11]*$M$38+Tablo314[[#This Row],[LW12]]/Tablo27[LW12]*$N$38+Tablo314[[#This Row],[LW13]]/Tablo27[LW13]*$O$38+Tablo314[[#This Row],[LW14]]/Tablo27[LW14]*$P$38</f>
        <v>26.5</v>
      </c>
      <c r="W29" s="1" cm="1">
        <f t="array" ref="W29">F29/Tablo27[LW1]*$C$39+Tablo314[[#This Row],[LW2]]/Tablo27[LW2]*$D$39+Tablo314[[#This Row],[LW3]]/Tablo27[LW3]*$E$39+Tablo314[[#This Row],[LW4]]/Tablo27[LW4]*$F$39+Tablo314[[#This Row],[LW5]]/Tablo27[LW5]*$G$39+Tablo314[[#This Row],[LW6]]/Tablo27[LW6]*$H$39+Tablo314[[#This Row],[LW7]]/Tablo27[LW7]*$I$39+Tablo314[[#This Row],[LW8]]/Tablo27[LW8]*$J$39+Tablo314[[#This Row],[LW9]]/Tablo27[LW9]*$K$39+Tablo314[[#This Row],[LW10]]/Tablo27[LW10]*$L$39+Tablo314[[#This Row],[LW11]]/Tablo27[LW11]*$M$39+Tablo314[[#This Row],[LW12]]/Tablo27[LW12]*$N$39+Tablo314[[#This Row],[LW13]]/Tablo27[LW13]*$O$39+Tablo314[[#This Row],[LW14]]/Tablo27[LW14]*$P$39</f>
        <v>35</v>
      </c>
      <c r="X29" s="1" cm="1">
        <f t="array" ref="X29">F29/Tablo27[LW1]*$C$40+Tablo314[[#This Row],[LW2]]/Tablo27[LW2]*$D$40+Tablo314[[#This Row],[LW3]]/Tablo27[LW3]*$E$40+Tablo314[[#This Row],[LW4]]/Tablo27[LW4]*$F$40+Tablo314[[#This Row],[LW5]]/Tablo27[LW5]*$G$40+Tablo314[[#This Row],[LW6]]/Tablo27[LW6]*$H$40+Tablo314[[#This Row],[LW7]]/Tablo27[LW7]*$I$40+Tablo314[[#This Row],[LW8]]/Tablo27[LW8]*$J$40+Tablo314[[#This Row],[LW9]]/Tablo27[LW9]*$K$40+Tablo314[[#This Row],[LW10]]/Tablo27[LW10]*$L$40+Tablo314[[#This Row],[LW11]]/Tablo27[LW11]*$M$40+Tablo314[[#This Row],[LW12]]/Tablo27[LW12]*$N$40+Tablo314[[#This Row],[LW13]]/Tablo27[LW13]*$O$40+Tablo314[[#This Row],[LW14]]/Tablo27[LW14]*$P$40</f>
        <v>36</v>
      </c>
      <c r="Y29" s="1">
        <f>SUM(Tablo314[[#This Row],[DÇ1]],Tablo314[[#This Row],[DÇ2]],Tablo314[[#This Row],[DÇ3]],Tablo314[[#This Row],[DÇ4]])</f>
        <v>109.5</v>
      </c>
      <c r="Z29" s="1" cm="1">
        <f t="array" ref="Z29">_xlfn.NORM.DIST(Tablo314[[#This Row],[TOTAL]],Tablo29[Mean],Tablo29[Variance],FALSE)</f>
        <v>4.2930403167287757E-3</v>
      </c>
    </row>
    <row r="30" spans="2:26" x14ac:dyDescent="0.3">
      <c r="B30" s="79">
        <v>26</v>
      </c>
      <c r="C30" s="35">
        <v>7</v>
      </c>
      <c r="D30" s="46" t="s">
        <v>17</v>
      </c>
      <c r="E30" s="46" t="s">
        <v>16</v>
      </c>
      <c r="F30" s="1">
        <v>1</v>
      </c>
      <c r="G30" s="1">
        <v>2</v>
      </c>
      <c r="H30" s="1">
        <v>5</v>
      </c>
      <c r="I30" s="1">
        <v>3</v>
      </c>
      <c r="J30" s="1">
        <v>5</v>
      </c>
      <c r="K30" s="1">
        <v>4</v>
      </c>
      <c r="L30" s="1">
        <v>2</v>
      </c>
      <c r="M30" s="1">
        <v>5</v>
      </c>
      <c r="N30" s="1">
        <v>5</v>
      </c>
      <c r="O30" s="1">
        <v>7</v>
      </c>
      <c r="P30" s="1">
        <v>0</v>
      </c>
      <c r="Q30" s="1">
        <v>8</v>
      </c>
      <c r="R30" s="1">
        <v>8</v>
      </c>
      <c r="S30" s="1">
        <v>7</v>
      </c>
      <c r="T30" s="1">
        <f>SUM(Tablo314[[#This Row],[LW1]:[LW14]])</f>
        <v>62</v>
      </c>
      <c r="U30" s="1" cm="1">
        <f t="array" ref="U30">F30/Tablo27[LW1]*$C$37+Tablo314[[#This Row],[LW2]]/Tablo27[LW2]*$D$37+Tablo314[[#This Row],[LW3]]/Tablo27[LW3]*$E$37+Tablo314[[#This Row],[LW4]]/Tablo27[LW4]*$F$37+Tablo314[[#This Row],[LW5]]/Tablo27[LW5]*$G$37+Tablo314[[#This Row],[LW6]]/Tablo27[LW6]*$H$37+Tablo314[[#This Row],[LW7]]/Tablo27[LW7]*$I$37+Tablo314[[#This Row],[LW8]]/Tablo27[LW8]*$J$37+Tablo314[[#This Row],[LW9]]/Tablo27[LW9]*$K$37+Tablo314[[#This Row],[LW10]]/Tablo27[LW10]*$L$37+Tablo314[[#This Row],[LW11]]/Tablo27[LW11]*$M$37+Tablo314[[#This Row],[LW12]]/Tablo27[LW12]*$N$37+Tablo314[[#This Row],[LW13]]/Tablo27[LW13]*$O$37+Tablo314[[#This Row],[LW14]]/Tablo27[LW14]*$P$37</f>
        <v>13</v>
      </c>
      <c r="V30" s="1" cm="1">
        <f t="array" ref="V30">F30/Tablo27[LW1]*$C$38+Tablo314[[#This Row],[LW2]]/Tablo27[LW2]*$D$38+Tablo314[[#This Row],[LW3]]/Tablo27[LW3]*$E$38+Tablo314[[#This Row],[LW4]]/Tablo27[LW4]*$F$38+Tablo314[[#This Row],[LW5]]/Tablo27[LW5]*$G$38+Tablo314[[#This Row],[LW6]]/Tablo27[LW6]*$H$38+Tablo314[[#This Row],[LW7]]/Tablo27[LW7]*$I$38+Tablo314[[#This Row],[LW8]]/Tablo27[LW8]*$J$38+Tablo314[[#This Row],[LW9]]/Tablo27[LW9]*$K$38+Tablo314[[#This Row],[LW10]]/Tablo27[LW10]*$L$38+Tablo314[[#This Row],[LW11]]/Tablo27[LW11]*$M$38+Tablo314[[#This Row],[LW12]]/Tablo27[LW12]*$N$38+Tablo314[[#This Row],[LW13]]/Tablo27[LW13]*$O$38+Tablo314[[#This Row],[LW14]]/Tablo27[LW14]*$P$38</f>
        <v>24.5</v>
      </c>
      <c r="W30" s="1" cm="1">
        <f t="array" ref="W30">F30/Tablo27[LW1]*$C$39+Tablo314[[#This Row],[LW2]]/Tablo27[LW2]*$D$39+Tablo314[[#This Row],[LW3]]/Tablo27[LW3]*$E$39+Tablo314[[#This Row],[LW4]]/Tablo27[LW4]*$F$39+Tablo314[[#This Row],[LW5]]/Tablo27[LW5]*$G$39+Tablo314[[#This Row],[LW6]]/Tablo27[LW6]*$H$39+Tablo314[[#This Row],[LW7]]/Tablo27[LW7]*$I$39+Tablo314[[#This Row],[LW8]]/Tablo27[LW8]*$J$39+Tablo314[[#This Row],[LW9]]/Tablo27[LW9]*$K$39+Tablo314[[#This Row],[LW10]]/Tablo27[LW10]*$L$39+Tablo314[[#This Row],[LW11]]/Tablo27[LW11]*$M$39+Tablo314[[#This Row],[LW12]]/Tablo27[LW12]*$N$39+Tablo314[[#This Row],[LW13]]/Tablo27[LW13]*$O$39+Tablo314[[#This Row],[LW14]]/Tablo27[LW14]*$P$39</f>
        <v>34</v>
      </c>
      <c r="X30" s="1" cm="1">
        <f t="array" ref="X30">F30/Tablo27[LW1]*$C$40+Tablo314[[#This Row],[LW2]]/Tablo27[LW2]*$D$40+Tablo314[[#This Row],[LW3]]/Tablo27[LW3]*$E$40+Tablo314[[#This Row],[LW4]]/Tablo27[LW4]*$F$40+Tablo314[[#This Row],[LW5]]/Tablo27[LW5]*$G$40+Tablo314[[#This Row],[LW6]]/Tablo27[LW6]*$H$40+Tablo314[[#This Row],[LW7]]/Tablo27[LW7]*$I$40+Tablo314[[#This Row],[LW8]]/Tablo27[LW8]*$J$40+Tablo314[[#This Row],[LW9]]/Tablo27[LW9]*$K$40+Tablo314[[#This Row],[LW10]]/Tablo27[LW10]*$L$40+Tablo314[[#This Row],[LW11]]/Tablo27[LW11]*$M$40+Tablo314[[#This Row],[LW12]]/Tablo27[LW12]*$N$40+Tablo314[[#This Row],[LW13]]/Tablo27[LW13]*$O$40+Tablo314[[#This Row],[LW14]]/Tablo27[LW14]*$P$40</f>
        <v>37</v>
      </c>
      <c r="Y30" s="1">
        <f>SUM(Tablo314[[#This Row],[DÇ1]],Tablo314[[#This Row],[DÇ2]],Tablo314[[#This Row],[DÇ3]],Tablo314[[#This Row],[DÇ4]])</f>
        <v>108.5</v>
      </c>
      <c r="Z30" s="1" cm="1">
        <f t="array" ref="Z30">_xlfn.NORM.DIST(Tablo314[[#This Row],[TOTAL]],Tablo29[Mean],Tablo29[Variance],FALSE)</f>
        <v>4.2881899601330403E-3</v>
      </c>
    </row>
    <row r="31" spans="2:26" x14ac:dyDescent="0.3">
      <c r="B31" s="78">
        <v>27</v>
      </c>
      <c r="C31" s="35">
        <v>15</v>
      </c>
      <c r="D31" s="46" t="s">
        <v>17</v>
      </c>
      <c r="E31" s="46" t="s">
        <v>16</v>
      </c>
      <c r="F31" s="1">
        <v>3</v>
      </c>
      <c r="G31" s="1">
        <v>5</v>
      </c>
      <c r="H31" s="1">
        <v>5</v>
      </c>
      <c r="I31" s="1">
        <v>5</v>
      </c>
      <c r="J31" s="1">
        <v>1</v>
      </c>
      <c r="K31" s="1">
        <v>3</v>
      </c>
      <c r="L31" s="1">
        <v>2</v>
      </c>
      <c r="M31" s="1">
        <v>5</v>
      </c>
      <c r="N31" s="1">
        <v>5</v>
      </c>
      <c r="O31" s="1">
        <v>8</v>
      </c>
      <c r="P31" s="1">
        <v>7</v>
      </c>
      <c r="Q31" s="1">
        <v>3</v>
      </c>
      <c r="R31" s="1">
        <v>6</v>
      </c>
      <c r="S31" s="1">
        <v>4</v>
      </c>
      <c r="T31" s="1">
        <f>SUM(Tablo314[[#This Row],[LW1]:[LW14]])</f>
        <v>62</v>
      </c>
      <c r="U31" s="1" cm="1">
        <f t="array" ref="U31">F31/Tablo27[LW1]*$C$37+Tablo314[[#This Row],[LW2]]/Tablo27[LW2]*$D$37+Tablo314[[#This Row],[LW3]]/Tablo27[LW3]*$E$37+Tablo314[[#This Row],[LW4]]/Tablo27[LW4]*$F$37+Tablo314[[#This Row],[LW5]]/Tablo27[LW5]*$G$37+Tablo314[[#This Row],[LW6]]/Tablo27[LW6]*$H$37+Tablo314[[#This Row],[LW7]]/Tablo27[LW7]*$I$37+Tablo314[[#This Row],[LW8]]/Tablo27[LW8]*$J$37+Tablo314[[#This Row],[LW9]]/Tablo27[LW9]*$K$37+Tablo314[[#This Row],[LW10]]/Tablo27[LW10]*$L$37+Tablo314[[#This Row],[LW11]]/Tablo27[LW11]*$M$37+Tablo314[[#This Row],[LW12]]/Tablo27[LW12]*$N$37+Tablo314[[#This Row],[LW13]]/Tablo27[LW13]*$O$37+Tablo314[[#This Row],[LW14]]/Tablo27[LW14]*$P$37</f>
        <v>18</v>
      </c>
      <c r="V31" s="1" cm="1">
        <f t="array" ref="V31">F31/Tablo27[LW1]*$C$38+Tablo314[[#This Row],[LW2]]/Tablo27[LW2]*$D$38+Tablo314[[#This Row],[LW3]]/Tablo27[LW3]*$E$38+Tablo314[[#This Row],[LW4]]/Tablo27[LW4]*$F$38+Tablo314[[#This Row],[LW5]]/Tablo27[LW5]*$G$38+Tablo314[[#This Row],[LW6]]/Tablo27[LW6]*$H$38+Tablo314[[#This Row],[LW7]]/Tablo27[LW7]*$I$38+Tablo314[[#This Row],[LW8]]/Tablo27[LW8]*$J$38+Tablo314[[#This Row],[LW9]]/Tablo27[LW9]*$K$38+Tablo314[[#This Row],[LW10]]/Tablo27[LW10]*$L$38+Tablo314[[#This Row],[LW11]]/Tablo27[LW11]*$M$38+Tablo314[[#This Row],[LW12]]/Tablo27[LW12]*$N$38+Tablo314[[#This Row],[LW13]]/Tablo27[LW13]*$O$38+Tablo314[[#This Row],[LW14]]/Tablo27[LW14]*$P$38</f>
        <v>27</v>
      </c>
      <c r="W31" s="1" cm="1">
        <f t="array" ref="W31">F31/Tablo27[LW1]*$C$39+Tablo314[[#This Row],[LW2]]/Tablo27[LW2]*$D$39+Tablo314[[#This Row],[LW3]]/Tablo27[LW3]*$E$39+Tablo314[[#This Row],[LW4]]/Tablo27[LW4]*$F$39+Tablo314[[#This Row],[LW5]]/Tablo27[LW5]*$G$39+Tablo314[[#This Row],[LW6]]/Tablo27[LW6]*$H$39+Tablo314[[#This Row],[LW7]]/Tablo27[LW7]*$I$39+Tablo314[[#This Row],[LW8]]/Tablo27[LW8]*$J$39+Tablo314[[#This Row],[LW9]]/Tablo27[LW9]*$K$39+Tablo314[[#This Row],[LW10]]/Tablo27[LW10]*$L$39+Tablo314[[#This Row],[LW11]]/Tablo27[LW11]*$M$39+Tablo314[[#This Row],[LW12]]/Tablo27[LW12]*$N$39+Tablo314[[#This Row],[LW13]]/Tablo27[LW13]*$O$39+Tablo314[[#This Row],[LW14]]/Tablo27[LW14]*$P$39</f>
        <v>28.5</v>
      </c>
      <c r="X31" s="1" cm="1">
        <f t="array" ref="X31">F31/Tablo27[LW1]*$C$40+Tablo314[[#This Row],[LW2]]/Tablo27[LW2]*$D$40+Tablo314[[#This Row],[LW3]]/Tablo27[LW3]*$E$40+Tablo314[[#This Row],[LW4]]/Tablo27[LW4]*$F$40+Tablo314[[#This Row],[LW5]]/Tablo27[LW5]*$G$40+Tablo314[[#This Row],[LW6]]/Tablo27[LW6]*$H$40+Tablo314[[#This Row],[LW7]]/Tablo27[LW7]*$I$40+Tablo314[[#This Row],[LW8]]/Tablo27[LW8]*$J$40+Tablo314[[#This Row],[LW9]]/Tablo27[LW9]*$K$40+Tablo314[[#This Row],[LW10]]/Tablo27[LW10]*$L$40+Tablo314[[#This Row],[LW11]]/Tablo27[LW11]*$M$40+Tablo314[[#This Row],[LW12]]/Tablo27[LW12]*$N$40+Tablo314[[#This Row],[LW13]]/Tablo27[LW13]*$O$40+Tablo314[[#This Row],[LW14]]/Tablo27[LW14]*$P$40</f>
        <v>33.5</v>
      </c>
      <c r="Y31" s="1">
        <f>SUM(Tablo314[[#This Row],[DÇ1]],Tablo314[[#This Row],[DÇ2]],Tablo314[[#This Row],[DÇ3]],Tablo314[[#This Row],[DÇ4]])</f>
        <v>107</v>
      </c>
      <c r="Z31" s="1" cm="1">
        <f t="array" ref="Z31">_xlfn.NORM.DIST(Tablo314[[#This Row],[TOTAL]],Tablo29[Mean],Tablo29[Variance],FALSE)</f>
        <v>4.2881899601330403E-3</v>
      </c>
    </row>
    <row r="32" spans="2:26" x14ac:dyDescent="0.3">
      <c r="B32" s="79">
        <v>28</v>
      </c>
      <c r="C32" s="35">
        <v>4</v>
      </c>
      <c r="D32" s="46" t="s">
        <v>17</v>
      </c>
      <c r="E32" s="46" t="s">
        <v>16</v>
      </c>
      <c r="F32" s="1">
        <v>5</v>
      </c>
      <c r="G32" s="1">
        <v>5</v>
      </c>
      <c r="H32" s="1">
        <v>5</v>
      </c>
      <c r="I32" s="1">
        <v>5</v>
      </c>
      <c r="J32" s="1">
        <v>5</v>
      </c>
      <c r="K32" s="1">
        <v>4</v>
      </c>
      <c r="L32" s="1">
        <v>2</v>
      </c>
      <c r="M32" s="1">
        <v>5</v>
      </c>
      <c r="N32" s="1">
        <v>1</v>
      </c>
      <c r="O32" s="1">
        <v>6</v>
      </c>
      <c r="P32" s="1">
        <v>8</v>
      </c>
      <c r="Q32" s="1">
        <v>4</v>
      </c>
      <c r="R32" s="1">
        <v>9</v>
      </c>
      <c r="S32" s="1">
        <v>0</v>
      </c>
      <c r="T32" s="1">
        <f>SUM(Tablo314[[#This Row],[LW1]:[LW14]])</f>
        <v>64</v>
      </c>
      <c r="U32" s="1" cm="1">
        <f t="array" ref="U32">F32/Tablo27[LW1]*$C$37+Tablo314[[#This Row],[LW2]]/Tablo27[LW2]*$D$37+Tablo314[[#This Row],[LW3]]/Tablo27[LW3]*$E$37+Tablo314[[#This Row],[LW4]]/Tablo27[LW4]*$F$37+Tablo314[[#This Row],[LW5]]/Tablo27[LW5]*$G$37+Tablo314[[#This Row],[LW6]]/Tablo27[LW6]*$H$37+Tablo314[[#This Row],[LW7]]/Tablo27[LW7]*$I$37+Tablo314[[#This Row],[LW8]]/Tablo27[LW8]*$J$37+Tablo314[[#This Row],[LW9]]/Tablo27[LW9]*$K$37+Tablo314[[#This Row],[LW10]]/Tablo27[LW10]*$L$37+Tablo314[[#This Row],[LW11]]/Tablo27[LW11]*$M$37+Tablo314[[#This Row],[LW12]]/Tablo27[LW12]*$N$37+Tablo314[[#This Row],[LW13]]/Tablo27[LW13]*$O$37+Tablo314[[#This Row],[LW14]]/Tablo27[LW14]*$P$37</f>
        <v>21</v>
      </c>
      <c r="V32" s="1" cm="1">
        <f t="array" ref="V32">F32/Tablo27[LW1]*$C$38+Tablo314[[#This Row],[LW2]]/Tablo27[LW2]*$D$38+Tablo314[[#This Row],[LW3]]/Tablo27[LW3]*$E$38+Tablo314[[#This Row],[LW4]]/Tablo27[LW4]*$F$38+Tablo314[[#This Row],[LW5]]/Tablo27[LW5]*$G$38+Tablo314[[#This Row],[LW6]]/Tablo27[LW6]*$H$38+Tablo314[[#This Row],[LW7]]/Tablo27[LW7]*$I$38+Tablo314[[#This Row],[LW8]]/Tablo27[LW8]*$J$38+Tablo314[[#This Row],[LW9]]/Tablo27[LW9]*$K$38+Tablo314[[#This Row],[LW10]]/Tablo27[LW10]*$L$38+Tablo314[[#This Row],[LW11]]/Tablo27[LW11]*$M$38+Tablo314[[#This Row],[LW12]]/Tablo27[LW12]*$N$38+Tablo314[[#This Row],[LW13]]/Tablo27[LW13]*$O$38+Tablo314[[#This Row],[LW14]]/Tablo27[LW14]*$P$38</f>
        <v>27</v>
      </c>
      <c r="W32" s="1" cm="1">
        <f t="array" ref="W32">F32/Tablo27[LW1]*$C$39+Tablo314[[#This Row],[LW2]]/Tablo27[LW2]*$D$39+Tablo314[[#This Row],[LW3]]/Tablo27[LW3]*$E$39+Tablo314[[#This Row],[LW4]]/Tablo27[LW4]*$F$39+Tablo314[[#This Row],[LW5]]/Tablo27[LW5]*$G$39+Tablo314[[#This Row],[LW6]]/Tablo27[LW6]*$H$39+Tablo314[[#This Row],[LW7]]/Tablo27[LW7]*$I$39+Tablo314[[#This Row],[LW8]]/Tablo27[LW8]*$J$39+Tablo314[[#This Row],[LW9]]/Tablo27[LW9]*$K$39+Tablo314[[#This Row],[LW10]]/Tablo27[LW10]*$L$39+Tablo314[[#This Row],[LW11]]/Tablo27[LW11]*$M$39+Tablo314[[#This Row],[LW12]]/Tablo27[LW12]*$N$39+Tablo314[[#This Row],[LW13]]/Tablo27[LW13]*$O$39+Tablo314[[#This Row],[LW14]]/Tablo27[LW14]*$P$39</f>
        <v>28.5</v>
      </c>
      <c r="X32" s="1" cm="1">
        <f t="array" ref="X32">F32/Tablo27[LW1]*$C$40+Tablo314[[#This Row],[LW2]]/Tablo27[LW2]*$D$40+Tablo314[[#This Row],[LW3]]/Tablo27[LW3]*$E$40+Tablo314[[#This Row],[LW4]]/Tablo27[LW4]*$F$40+Tablo314[[#This Row],[LW5]]/Tablo27[LW5]*$G$40+Tablo314[[#This Row],[LW6]]/Tablo27[LW6]*$H$40+Tablo314[[#This Row],[LW7]]/Tablo27[LW7]*$I$40+Tablo314[[#This Row],[LW8]]/Tablo27[LW8]*$J$40+Tablo314[[#This Row],[LW9]]/Tablo27[LW9]*$K$40+Tablo314[[#This Row],[LW10]]/Tablo27[LW10]*$L$40+Tablo314[[#This Row],[LW11]]/Tablo27[LW11]*$M$40+Tablo314[[#This Row],[LW12]]/Tablo27[LW12]*$N$40+Tablo314[[#This Row],[LW13]]/Tablo27[LW13]*$O$40+Tablo314[[#This Row],[LW14]]/Tablo27[LW14]*$P$40</f>
        <v>33.5</v>
      </c>
      <c r="Y32" s="1">
        <f>SUM(Tablo314[[#This Row],[DÇ1]],Tablo314[[#This Row],[DÇ2]],Tablo314[[#This Row],[DÇ3]],Tablo314[[#This Row],[DÇ4]])</f>
        <v>110</v>
      </c>
      <c r="Z32" s="1" cm="1">
        <f t="array" ref="Z32">_xlfn.NORM.DIST(Tablo314[[#This Row],[TOTAL]],Tablo29[Mean],Tablo29[Variance],FALSE)</f>
        <v>4.2770049092314341E-3</v>
      </c>
    </row>
    <row r="33" spans="2:26" x14ac:dyDescent="0.3">
      <c r="B33" s="78">
        <v>29</v>
      </c>
      <c r="C33" s="35">
        <v>19</v>
      </c>
      <c r="D33" s="46" t="s">
        <v>17</v>
      </c>
      <c r="E33" s="46" t="s">
        <v>16</v>
      </c>
      <c r="F33" s="1">
        <v>3</v>
      </c>
      <c r="G33" s="1">
        <v>5</v>
      </c>
      <c r="H33" s="1">
        <v>5</v>
      </c>
      <c r="I33" s="1">
        <v>3</v>
      </c>
      <c r="J33" s="1">
        <v>1</v>
      </c>
      <c r="K33" s="1">
        <v>8</v>
      </c>
      <c r="L33" s="1">
        <v>4</v>
      </c>
      <c r="M33" s="1">
        <v>4</v>
      </c>
      <c r="N33" s="1">
        <v>5</v>
      </c>
      <c r="O33" s="1">
        <v>8</v>
      </c>
      <c r="P33" s="1">
        <v>6</v>
      </c>
      <c r="Q33" s="1">
        <v>7</v>
      </c>
      <c r="R33" s="1">
        <v>0</v>
      </c>
      <c r="S33" s="1">
        <v>7</v>
      </c>
      <c r="T33" s="1">
        <f>SUM(Tablo314[[#This Row],[LW1]:[LW14]])</f>
        <v>66</v>
      </c>
      <c r="U33" s="1" cm="1">
        <f t="array" ref="U33">F33/Tablo27[LW1]*$C$37+Tablo314[[#This Row],[LW2]]/Tablo27[LW2]*$D$37+Tablo314[[#This Row],[LW3]]/Tablo27[LW3]*$E$37+Tablo314[[#This Row],[LW4]]/Tablo27[LW4]*$F$37+Tablo314[[#This Row],[LW5]]/Tablo27[LW5]*$G$37+Tablo314[[#This Row],[LW6]]/Tablo27[LW6]*$H$37+Tablo314[[#This Row],[LW7]]/Tablo27[LW7]*$I$37+Tablo314[[#This Row],[LW8]]/Tablo27[LW8]*$J$37+Tablo314[[#This Row],[LW9]]/Tablo27[LW9]*$K$37+Tablo314[[#This Row],[LW10]]/Tablo27[LW10]*$L$37+Tablo314[[#This Row],[LW11]]/Tablo27[LW11]*$M$37+Tablo314[[#This Row],[LW12]]/Tablo27[LW12]*$N$37+Tablo314[[#This Row],[LW13]]/Tablo27[LW13]*$O$37+Tablo314[[#This Row],[LW14]]/Tablo27[LW14]*$P$37</f>
        <v>19</v>
      </c>
      <c r="V33" s="1" cm="1">
        <f t="array" ref="V33">F33/Tablo27[LW1]*$C$38+Tablo314[[#This Row],[LW2]]/Tablo27[LW2]*$D$38+Tablo314[[#This Row],[LW3]]/Tablo27[LW3]*$E$38+Tablo314[[#This Row],[LW4]]/Tablo27[LW4]*$F$38+Tablo314[[#This Row],[LW5]]/Tablo27[LW5]*$G$38+Tablo314[[#This Row],[LW6]]/Tablo27[LW6]*$H$38+Tablo314[[#This Row],[LW7]]/Tablo27[LW7]*$I$38+Tablo314[[#This Row],[LW8]]/Tablo27[LW8]*$J$38+Tablo314[[#This Row],[LW9]]/Tablo27[LW9]*$K$38+Tablo314[[#This Row],[LW10]]/Tablo27[LW10]*$L$38+Tablo314[[#This Row],[LW11]]/Tablo27[LW11]*$M$38+Tablo314[[#This Row],[LW12]]/Tablo27[LW12]*$N$38+Tablo314[[#This Row],[LW13]]/Tablo27[LW13]*$O$38+Tablo314[[#This Row],[LW14]]/Tablo27[LW14]*$P$38</f>
        <v>31</v>
      </c>
      <c r="W33" s="1" cm="1">
        <f t="array" ref="W33">F33/Tablo27[LW1]*$C$39+Tablo314[[#This Row],[LW2]]/Tablo27[LW2]*$D$39+Tablo314[[#This Row],[LW3]]/Tablo27[LW3]*$E$39+Tablo314[[#This Row],[LW4]]/Tablo27[LW4]*$F$39+Tablo314[[#This Row],[LW5]]/Tablo27[LW5]*$G$39+Tablo314[[#This Row],[LW6]]/Tablo27[LW6]*$H$39+Tablo314[[#This Row],[LW7]]/Tablo27[LW7]*$I$39+Tablo314[[#This Row],[LW8]]/Tablo27[LW8]*$J$39+Tablo314[[#This Row],[LW9]]/Tablo27[LW9]*$K$39+Tablo314[[#This Row],[LW10]]/Tablo27[LW10]*$L$39+Tablo314[[#This Row],[LW11]]/Tablo27[LW11]*$M$39+Tablo314[[#This Row],[LW12]]/Tablo27[LW12]*$N$39+Tablo314[[#This Row],[LW13]]/Tablo27[LW13]*$O$39+Tablo314[[#This Row],[LW14]]/Tablo27[LW14]*$P$39</f>
        <v>32</v>
      </c>
      <c r="X33" s="1" cm="1">
        <f t="array" ref="X33">F33/Tablo27[LW1]*$C$40+Tablo314[[#This Row],[LW2]]/Tablo27[LW2]*$D$40+Tablo314[[#This Row],[LW3]]/Tablo27[LW3]*$E$40+Tablo314[[#This Row],[LW4]]/Tablo27[LW4]*$F$40+Tablo314[[#This Row],[LW5]]/Tablo27[LW5]*$G$40+Tablo314[[#This Row],[LW6]]/Tablo27[LW6]*$H$40+Tablo314[[#This Row],[LW7]]/Tablo27[LW7]*$I$40+Tablo314[[#This Row],[LW8]]/Tablo27[LW8]*$J$40+Tablo314[[#This Row],[LW9]]/Tablo27[LW9]*$K$40+Tablo314[[#This Row],[LW10]]/Tablo27[LW10]*$L$40+Tablo314[[#This Row],[LW11]]/Tablo27[LW11]*$M$40+Tablo314[[#This Row],[LW12]]/Tablo27[LW12]*$N$40+Tablo314[[#This Row],[LW13]]/Tablo27[LW13]*$O$40+Tablo314[[#This Row],[LW14]]/Tablo27[LW14]*$P$40</f>
        <v>35</v>
      </c>
      <c r="Y33" s="1">
        <f>SUM(Tablo314[[#This Row],[DÇ1]],Tablo314[[#This Row],[DÇ2]],Tablo314[[#This Row],[DÇ3]],Tablo314[[#This Row],[DÇ4]])</f>
        <v>117</v>
      </c>
      <c r="Z33" s="1" cm="1">
        <f t="array" ref="Z33">_xlfn.NORM.DIST(Tablo314[[#This Row],[TOTAL]],Tablo29[Mean],Tablo29[Variance],FALSE)</f>
        <v>4.2638540400225184E-3</v>
      </c>
    </row>
    <row r="34" spans="2:26" x14ac:dyDescent="0.3">
      <c r="B34" s="80">
        <v>30</v>
      </c>
      <c r="C34" s="35">
        <v>23</v>
      </c>
      <c r="D34" s="46" t="s">
        <v>17</v>
      </c>
      <c r="E34" s="46" t="s">
        <v>16</v>
      </c>
      <c r="F34" s="1">
        <v>5</v>
      </c>
      <c r="G34" s="1">
        <v>1</v>
      </c>
      <c r="H34" s="1">
        <v>2</v>
      </c>
      <c r="I34" s="1">
        <v>3</v>
      </c>
      <c r="J34" s="1">
        <v>5</v>
      </c>
      <c r="K34" s="1">
        <v>3</v>
      </c>
      <c r="L34" s="1">
        <v>4</v>
      </c>
      <c r="M34" s="1">
        <v>5</v>
      </c>
      <c r="N34" s="1">
        <v>2</v>
      </c>
      <c r="O34" s="1">
        <v>8</v>
      </c>
      <c r="P34" s="1">
        <v>8</v>
      </c>
      <c r="Q34" s="1">
        <v>8</v>
      </c>
      <c r="R34" s="1">
        <v>6</v>
      </c>
      <c r="S34" s="1">
        <v>9</v>
      </c>
      <c r="T34" s="1">
        <f>SUM(Tablo314[[#This Row],[LW1]:[LW14]])</f>
        <v>69</v>
      </c>
      <c r="U34" s="1" cm="1">
        <f t="array" ref="U34">F34/Tablo27[LW1]*$C$37+Tablo314[[#This Row],[LW2]]/Tablo27[LW2]*$D$37+Tablo314[[#This Row],[LW3]]/Tablo27[LW3]*$E$37+Tablo314[[#This Row],[LW4]]/Tablo27[LW4]*$F$37+Tablo314[[#This Row],[LW5]]/Tablo27[LW5]*$G$37+Tablo314[[#This Row],[LW6]]/Tablo27[LW6]*$H$37+Tablo314[[#This Row],[LW7]]/Tablo27[LW7]*$I$37+Tablo314[[#This Row],[LW8]]/Tablo27[LW8]*$J$37+Tablo314[[#This Row],[LW9]]/Tablo27[LW9]*$K$37+Tablo314[[#This Row],[LW10]]/Tablo27[LW10]*$L$37+Tablo314[[#This Row],[LW11]]/Tablo27[LW11]*$M$37+Tablo314[[#This Row],[LW12]]/Tablo27[LW12]*$N$37+Tablo314[[#This Row],[LW13]]/Tablo27[LW13]*$O$37+Tablo314[[#This Row],[LW14]]/Tablo27[LW14]*$P$37</f>
        <v>17.5</v>
      </c>
      <c r="V34" s="1" cm="1">
        <f t="array" ref="V34">F34/Tablo27[LW1]*$C$38+Tablo314[[#This Row],[LW2]]/Tablo27[LW2]*$D$38+Tablo314[[#This Row],[LW3]]/Tablo27[LW3]*$E$38+Tablo314[[#This Row],[LW4]]/Tablo27[LW4]*$F$38+Tablo314[[#This Row],[LW5]]/Tablo27[LW5]*$G$38+Tablo314[[#This Row],[LW6]]/Tablo27[LW6]*$H$38+Tablo314[[#This Row],[LW7]]/Tablo27[LW7]*$I$38+Tablo314[[#This Row],[LW8]]/Tablo27[LW8]*$J$38+Tablo314[[#This Row],[LW9]]/Tablo27[LW9]*$K$38+Tablo314[[#This Row],[LW10]]/Tablo27[LW10]*$L$38+Tablo314[[#This Row],[LW11]]/Tablo27[LW11]*$M$38+Tablo314[[#This Row],[LW12]]/Tablo27[LW12]*$N$38+Tablo314[[#This Row],[LW13]]/Tablo27[LW13]*$O$38+Tablo314[[#This Row],[LW14]]/Tablo27[LW14]*$P$38</f>
        <v>23.5</v>
      </c>
      <c r="W34" s="1" cm="1">
        <f t="array" ref="W34">F34/Tablo27[LW1]*$C$39+Tablo314[[#This Row],[LW2]]/Tablo27[LW2]*$D$39+Tablo314[[#This Row],[LW3]]/Tablo27[LW3]*$E$39+Tablo314[[#This Row],[LW4]]/Tablo27[LW4]*$F$39+Tablo314[[#This Row],[LW5]]/Tablo27[LW5]*$G$39+Tablo314[[#This Row],[LW6]]/Tablo27[LW6]*$H$39+Tablo314[[#This Row],[LW7]]/Tablo27[LW7]*$I$39+Tablo314[[#This Row],[LW8]]/Tablo27[LW8]*$J$39+Tablo314[[#This Row],[LW9]]/Tablo27[LW9]*$K$39+Tablo314[[#This Row],[LW10]]/Tablo27[LW10]*$L$39+Tablo314[[#This Row],[LW11]]/Tablo27[LW11]*$M$39+Tablo314[[#This Row],[LW12]]/Tablo27[LW12]*$N$39+Tablo314[[#This Row],[LW13]]/Tablo27[LW13]*$O$39+Tablo314[[#This Row],[LW14]]/Tablo27[LW14]*$P$39</f>
        <v>37</v>
      </c>
      <c r="X34" s="1" cm="1">
        <f t="array" ref="X34">F34/Tablo27[LW1]*$C$40+Tablo314[[#This Row],[LW2]]/Tablo27[LW2]*$D$40+Tablo314[[#This Row],[LW3]]/Tablo27[LW3]*$E$40+Tablo314[[#This Row],[LW4]]/Tablo27[LW4]*$F$40+Tablo314[[#This Row],[LW5]]/Tablo27[LW5]*$G$40+Tablo314[[#This Row],[LW6]]/Tablo27[LW6]*$H$40+Tablo314[[#This Row],[LW7]]/Tablo27[LW7]*$I$40+Tablo314[[#This Row],[LW8]]/Tablo27[LW8]*$J$40+Tablo314[[#This Row],[LW9]]/Tablo27[LW9]*$K$40+Tablo314[[#This Row],[LW10]]/Tablo27[LW10]*$L$40+Tablo314[[#This Row],[LW11]]/Tablo27[LW11]*$M$40+Tablo314[[#This Row],[LW12]]/Tablo27[LW12]*$N$40+Tablo314[[#This Row],[LW13]]/Tablo27[LW13]*$O$40+Tablo314[[#This Row],[LW14]]/Tablo27[LW14]*$P$40</f>
        <v>40</v>
      </c>
      <c r="Y34" s="1">
        <f>SUM(Tablo314[[#This Row],[DÇ1]],Tablo314[[#This Row],[DÇ2]],Tablo314[[#This Row],[DÇ3]],Tablo314[[#This Row],[DÇ4]])</f>
        <v>118</v>
      </c>
      <c r="Z34" s="1" cm="1">
        <f t="array" ref="Z34">_xlfn.NORM.DIST(Tablo314[[#This Row],[TOTAL]],Tablo29[Mean],Tablo29[Variance],FALSE)</f>
        <v>4.2404826455504779E-3</v>
      </c>
    </row>
    <row r="36" spans="2:26" x14ac:dyDescent="0.3">
      <c r="B36" s="1" t="s">
        <v>86</v>
      </c>
      <c r="C36" s="1" t="s">
        <v>114</v>
      </c>
      <c r="D36" s="1" t="s">
        <v>113</v>
      </c>
      <c r="E36" s="1" t="s">
        <v>112</v>
      </c>
      <c r="F36" s="1" t="s">
        <v>111</v>
      </c>
      <c r="G36" s="1" t="s">
        <v>110</v>
      </c>
      <c r="H36" s="1" t="s">
        <v>109</v>
      </c>
      <c r="I36" s="1" t="s">
        <v>108</v>
      </c>
      <c r="J36" s="1" t="s">
        <v>107</v>
      </c>
      <c r="K36" s="1" t="s">
        <v>106</v>
      </c>
      <c r="L36" s="1" t="s">
        <v>105</v>
      </c>
      <c r="M36" s="1" t="s">
        <v>104</v>
      </c>
      <c r="N36" s="1" t="s">
        <v>103</v>
      </c>
      <c r="O36" s="1" t="s">
        <v>102</v>
      </c>
      <c r="P36" s="1" t="s">
        <v>101</v>
      </c>
      <c r="Q36" s="57" t="s">
        <v>87</v>
      </c>
      <c r="R36" s="43" t="s">
        <v>88</v>
      </c>
      <c r="S36" s="43" t="s">
        <v>89</v>
      </c>
      <c r="X36" s="43" t="s">
        <v>39</v>
      </c>
      <c r="Y36" s="43" t="s">
        <v>38</v>
      </c>
    </row>
    <row r="37" spans="2:26" x14ac:dyDescent="0.3">
      <c r="B37" s="1">
        <v>1</v>
      </c>
      <c r="C37" s="1">
        <v>5</v>
      </c>
      <c r="D37" s="1">
        <v>0</v>
      </c>
      <c r="E37" s="1">
        <v>5</v>
      </c>
      <c r="F37" s="1">
        <v>0</v>
      </c>
      <c r="G37" s="1">
        <v>0</v>
      </c>
      <c r="H37" s="1">
        <v>5</v>
      </c>
      <c r="I37" s="1">
        <v>0</v>
      </c>
      <c r="J37" s="1">
        <v>5</v>
      </c>
      <c r="K37" s="1">
        <v>0</v>
      </c>
      <c r="L37" s="1">
        <v>0</v>
      </c>
      <c r="M37" s="1">
        <v>5</v>
      </c>
      <c r="N37" s="1">
        <v>0</v>
      </c>
      <c r="O37" s="1">
        <v>0</v>
      </c>
      <c r="P37" s="1">
        <v>0</v>
      </c>
      <c r="Q37" s="36">
        <f>SUM(Tablo26[[#This Row],[LW1]:[LW14]])</f>
        <v>25</v>
      </c>
      <c r="R37" s="68">
        <f>IF(Q37=0,"0",SUM(Tablo314[DÇ1])/(30*D46))</f>
        <v>0.59266666666666667</v>
      </c>
      <c r="S37" s="81">
        <f>Tablo26[[#This Row],[TOTAL DÇ]]*D46</f>
        <v>14.816666666666666</v>
      </c>
      <c r="X37" s="1">
        <f>AVERAGE(Tablo314[TOTAL])</f>
        <v>51.833333333333336</v>
      </c>
      <c r="Y37" s="1">
        <f>_xlfn.VAR.P(Tablo314[TOTAL])</f>
        <v>92.472222222222229</v>
      </c>
    </row>
    <row r="38" spans="2:26" x14ac:dyDescent="0.3">
      <c r="B38" s="1">
        <v>2</v>
      </c>
      <c r="C38" s="1">
        <v>0</v>
      </c>
      <c r="D38" s="1">
        <v>5</v>
      </c>
      <c r="E38" s="1">
        <v>5</v>
      </c>
      <c r="F38" s="1">
        <v>0</v>
      </c>
      <c r="G38" s="1">
        <v>5</v>
      </c>
      <c r="H38" s="1">
        <v>5</v>
      </c>
      <c r="I38" s="1">
        <v>5</v>
      </c>
      <c r="J38" s="1">
        <v>0</v>
      </c>
      <c r="K38" s="1">
        <v>5</v>
      </c>
      <c r="L38" s="1">
        <v>5</v>
      </c>
      <c r="M38" s="1">
        <v>5</v>
      </c>
      <c r="N38" s="1">
        <v>0</v>
      </c>
      <c r="O38" s="1">
        <v>0</v>
      </c>
      <c r="P38" s="1">
        <v>0</v>
      </c>
      <c r="Q38" s="36">
        <f>SUM(Tablo26[[#This Row],[LW1]:[LW14]])</f>
        <v>40</v>
      </c>
      <c r="R38" s="68">
        <f>IF(Q38=0,"0",SUM(Tablo314[DÇ2])/(30*D47))</f>
        <v>0.57166666666666666</v>
      </c>
      <c r="S38" s="82">
        <f>Tablo26[[#This Row],[TOTAL DÇ]]*D47</f>
        <v>22.866666666666667</v>
      </c>
    </row>
    <row r="39" spans="2:26" x14ac:dyDescent="0.3">
      <c r="B39" s="1">
        <v>3</v>
      </c>
      <c r="C39" s="1">
        <v>0</v>
      </c>
      <c r="D39" s="1">
        <v>0</v>
      </c>
      <c r="E39" s="1">
        <v>0</v>
      </c>
      <c r="F39" s="1">
        <v>0</v>
      </c>
      <c r="G39" s="1">
        <v>5</v>
      </c>
      <c r="H39" s="1">
        <v>5</v>
      </c>
      <c r="I39" s="1">
        <v>5</v>
      </c>
      <c r="J39" s="1">
        <v>5</v>
      </c>
      <c r="K39" s="1">
        <v>5</v>
      </c>
      <c r="L39" s="1">
        <v>5</v>
      </c>
      <c r="M39" s="1">
        <v>5</v>
      </c>
      <c r="N39" s="1">
        <v>5</v>
      </c>
      <c r="O39" s="1">
        <v>5</v>
      </c>
      <c r="P39" s="1">
        <v>5</v>
      </c>
      <c r="Q39" s="36">
        <f>SUM(Tablo26[[#This Row],[LW1]:[LW14]])</f>
        <v>50</v>
      </c>
      <c r="R39" s="68">
        <f>IF(Q39=0,"0",SUM(Tablo314[DÇ3])/(30*D48))</f>
        <v>0.51866666666666672</v>
      </c>
      <c r="S39" s="82">
        <f>Tablo26[[#This Row],[TOTAL DÇ]]*D48</f>
        <v>25.933333333333337</v>
      </c>
    </row>
    <row r="40" spans="2:26" x14ac:dyDescent="0.3">
      <c r="B40" s="1">
        <v>4</v>
      </c>
      <c r="C40" s="1">
        <v>0</v>
      </c>
      <c r="D40" s="1">
        <v>0</v>
      </c>
      <c r="E40" s="1">
        <v>0</v>
      </c>
      <c r="F40" s="1">
        <v>5</v>
      </c>
      <c r="G40" s="1">
        <v>5</v>
      </c>
      <c r="H40" s="1">
        <v>5</v>
      </c>
      <c r="I40" s="1">
        <v>5</v>
      </c>
      <c r="J40" s="1">
        <v>5</v>
      </c>
      <c r="K40" s="1">
        <v>5</v>
      </c>
      <c r="L40" s="1">
        <v>5</v>
      </c>
      <c r="M40" s="1">
        <v>5</v>
      </c>
      <c r="N40" s="1">
        <v>5</v>
      </c>
      <c r="O40" s="1">
        <v>5</v>
      </c>
      <c r="P40" s="1">
        <v>5</v>
      </c>
      <c r="Q40" s="36">
        <f>SUM(Tablo26[[#This Row],[LW1]:[LW14]])</f>
        <v>55</v>
      </c>
      <c r="R40" s="68">
        <f>IF(Q40=0,"0",SUM(Tablo314[DÇ4])/(30*D49))</f>
        <v>0.52606060606060601</v>
      </c>
      <c r="S40" s="82">
        <f>Tablo26[[#This Row],[TOTAL DÇ]]*D49</f>
        <v>28.93333333333333</v>
      </c>
    </row>
    <row r="42" spans="2:26" x14ac:dyDescent="0.3">
      <c r="B42" s="43" t="s">
        <v>41</v>
      </c>
      <c r="C42" s="1" t="s">
        <v>114</v>
      </c>
      <c r="D42" s="1" t="s">
        <v>113</v>
      </c>
      <c r="E42" s="1" t="s">
        <v>112</v>
      </c>
      <c r="F42" s="1" t="s">
        <v>111</v>
      </c>
      <c r="G42" s="1" t="s">
        <v>110</v>
      </c>
      <c r="H42" s="1" t="s">
        <v>109</v>
      </c>
      <c r="I42" s="1" t="s">
        <v>108</v>
      </c>
      <c r="J42" s="1" t="s">
        <v>107</v>
      </c>
      <c r="K42" s="1" t="s">
        <v>106</v>
      </c>
      <c r="L42" s="1" t="s">
        <v>105</v>
      </c>
      <c r="M42" s="1" t="s">
        <v>104</v>
      </c>
      <c r="N42" s="1" t="s">
        <v>103</v>
      </c>
      <c r="O42" s="1" t="s">
        <v>102</v>
      </c>
      <c r="P42" s="1" t="s">
        <v>101</v>
      </c>
      <c r="Q42" s="1" t="s">
        <v>87</v>
      </c>
    </row>
    <row r="43" spans="2:26" x14ac:dyDescent="0.3">
      <c r="B43" s="43" t="s">
        <v>100</v>
      </c>
      <c r="C43" s="1">
        <v>5</v>
      </c>
      <c r="D43" s="1">
        <v>5</v>
      </c>
      <c r="E43" s="1">
        <v>5</v>
      </c>
      <c r="F43" s="1">
        <v>5</v>
      </c>
      <c r="G43" s="1">
        <v>5</v>
      </c>
      <c r="H43" s="1">
        <v>10</v>
      </c>
      <c r="I43" s="1">
        <v>5</v>
      </c>
      <c r="J43" s="1">
        <v>5</v>
      </c>
      <c r="K43" s="1">
        <v>5</v>
      </c>
      <c r="L43" s="1">
        <v>10</v>
      </c>
      <c r="M43" s="1">
        <v>10</v>
      </c>
      <c r="N43" s="1">
        <v>10</v>
      </c>
      <c r="O43" s="1">
        <v>10</v>
      </c>
      <c r="P43" s="1">
        <v>10</v>
      </c>
      <c r="Q43" s="1">
        <f>SUM(Tablo27[[#This Row],[LW1]:[LW14]])</f>
        <v>100</v>
      </c>
    </row>
    <row r="44" spans="2:26" x14ac:dyDescent="0.3">
      <c r="G44" s="41"/>
      <c r="H44" s="65"/>
      <c r="I44" s="65"/>
      <c r="J44" s="65"/>
      <c r="K44" s="65"/>
      <c r="L44" s="65"/>
      <c r="M44" s="36"/>
      <c r="N44" s="68"/>
      <c r="O44" s="81"/>
    </row>
    <row r="45" spans="2:26" x14ac:dyDescent="0.3">
      <c r="B45" s="67" t="s">
        <v>28</v>
      </c>
      <c r="C45" s="67" t="s">
        <v>27</v>
      </c>
      <c r="D45" s="43" t="s">
        <v>81</v>
      </c>
      <c r="E45" s="43" t="s">
        <v>82</v>
      </c>
      <c r="G45" s="35"/>
      <c r="H45" s="36"/>
      <c r="I45" s="36"/>
      <c r="J45" s="36"/>
      <c r="K45" s="36"/>
      <c r="L45" s="36"/>
      <c r="M45" s="36"/>
      <c r="N45" s="68"/>
      <c r="O45" s="82"/>
    </row>
    <row r="46" spans="2:26" x14ac:dyDescent="0.3">
      <c r="B46" s="37">
        <v>1</v>
      </c>
      <c r="C46" s="1" t="s">
        <v>21</v>
      </c>
      <c r="D46" s="1">
        <v>25</v>
      </c>
      <c r="E46" s="2">
        <f>Tablo41525[[#This Row],[DERS ÇIKTISI KATSAYISI]]-Q37</f>
        <v>0</v>
      </c>
      <c r="G46" s="35"/>
      <c r="H46" s="36"/>
      <c r="I46" s="36"/>
      <c r="J46" s="36"/>
      <c r="K46" s="36"/>
      <c r="L46" s="36"/>
      <c r="M46" s="36"/>
      <c r="N46" s="68"/>
      <c r="O46" s="82"/>
    </row>
    <row r="47" spans="2:26" x14ac:dyDescent="0.3">
      <c r="B47" s="37">
        <v>2</v>
      </c>
      <c r="C47" s="1" t="s">
        <v>20</v>
      </c>
      <c r="D47" s="1">
        <v>40</v>
      </c>
      <c r="E47" s="2">
        <f>Tablo41525[[#This Row],[DERS ÇIKTISI KATSAYISI]]-Q38</f>
        <v>0</v>
      </c>
      <c r="G47" s="35"/>
      <c r="H47" s="36"/>
      <c r="I47" s="36"/>
      <c r="J47" s="36"/>
      <c r="K47" s="36"/>
      <c r="L47" s="36"/>
      <c r="M47" s="36"/>
      <c r="N47" s="68"/>
      <c r="O47" s="82"/>
    </row>
    <row r="48" spans="2:26" x14ac:dyDescent="0.3">
      <c r="B48" s="37">
        <v>3</v>
      </c>
      <c r="C48" s="1" t="s">
        <v>19</v>
      </c>
      <c r="D48" s="1">
        <v>50</v>
      </c>
      <c r="E48" s="2">
        <f>Tablo41525[[#This Row],[DERS ÇIKTISI KATSAYISI]]-Q39</f>
        <v>0</v>
      </c>
    </row>
    <row r="49" spans="2:5" x14ac:dyDescent="0.3">
      <c r="B49" s="3">
        <v>4</v>
      </c>
      <c r="C49" s="1" t="s">
        <v>18</v>
      </c>
      <c r="D49" s="1">
        <v>55</v>
      </c>
      <c r="E49" s="2">
        <f>Tablo41525[[#This Row],[DERS ÇIKTISI KATSAYISI]]-Q40</f>
        <v>0</v>
      </c>
    </row>
  </sheetData>
  <mergeCells count="1">
    <mergeCell ref="B1:V1"/>
  </mergeCells>
  <conditionalFormatting sqref="E46:E49">
    <cfRule type="cellIs" dxfId="21" priority="5" operator="equal">
      <formula>0</formula>
    </cfRule>
    <cfRule type="cellIs" dxfId="20" priority="6" operator="lessThan">
      <formula>0</formula>
    </cfRule>
  </conditionalFormatting>
  <conditionalFormatting sqref="E46">
    <cfRule type="cellIs" dxfId="19" priority="7" operator="greaterThan">
      <formula>$I$43</formula>
    </cfRule>
  </conditionalFormatting>
  <conditionalFormatting sqref="E47">
    <cfRule type="cellIs" dxfId="18" priority="8" operator="greaterThan">
      <formula>$I$44</formula>
    </cfRule>
  </conditionalFormatting>
  <conditionalFormatting sqref="E48">
    <cfRule type="cellIs" dxfId="17" priority="9" operator="greaterThan">
      <formula>$I$45</formula>
    </cfRule>
  </conditionalFormatting>
  <conditionalFormatting sqref="E49">
    <cfRule type="cellIs" dxfId="16" priority="10" operator="greaterThan">
      <formula>$I$46</formula>
    </cfRule>
  </conditionalFormatting>
  <conditionalFormatting sqref="Q38">
    <cfRule type="cellIs" dxfId="15" priority="2" operator="lessThan">
      <formula>$D$47</formula>
    </cfRule>
    <cfRule type="cellIs" dxfId="14" priority="3" operator="greaterThan">
      <formula>$D$47</formula>
    </cfRule>
    <cfRule type="cellIs" dxfId="13" priority="4" operator="equal">
      <formula>$D$47</formula>
    </cfRule>
  </conditionalFormatting>
  <conditionalFormatting sqref="M44">
    <cfRule type="cellIs" dxfId="12" priority="11" operator="equal">
      <formula>45</formula>
    </cfRule>
    <cfRule type="cellIs" dxfId="11" priority="12" operator="lessThan">
      <formula>$E$46</formula>
    </cfRule>
    <cfRule type="cellIs" dxfId="10" priority="13" operator="greaterThan">
      <formula>$E$46</formula>
    </cfRule>
  </conditionalFormatting>
  <conditionalFormatting sqref="Q37">
    <cfRule type="cellIs" dxfId="9" priority="14" operator="greaterThan">
      <formula>$D$46</formula>
    </cfRule>
    <cfRule type="cellIs" dxfId="8" priority="15" operator="lessThan">
      <formula>$D$46</formula>
    </cfRule>
    <cfRule type="cellIs" dxfId="7" priority="16" operator="equal">
      <formula>$D$46</formula>
    </cfRule>
  </conditionalFormatting>
  <conditionalFormatting sqref="Q39">
    <cfRule type="cellIs" dxfId="6" priority="17" operator="lessThan">
      <formula>$D$48</formula>
    </cfRule>
    <cfRule type="cellIs" dxfId="5" priority="18" operator="greaterThan">
      <formula>$D$48</formula>
    </cfRule>
    <cfRule type="cellIs" dxfId="4" priority="19" operator="equal">
      <formula>$D$48</formula>
    </cfRule>
  </conditionalFormatting>
  <conditionalFormatting sqref="Q40">
    <cfRule type="cellIs" dxfId="3" priority="20" operator="lessThan">
      <formula>$D$49</formula>
    </cfRule>
    <cfRule type="cellIs" dxfId="2" priority="21" operator="greaterThan">
      <formula>$D$49</formula>
    </cfRule>
    <cfRule type="cellIs" dxfId="1" priority="22" operator="equal">
      <formula>$D$49</formula>
    </cfRule>
  </conditionalFormatting>
  <conditionalFormatting sqref="Y5:Y34">
    <cfRule type="cellIs" dxfId="0" priority="1" operator="greaterThan">
      <formula>$D$46+$D$47+$D$48+$D$49</formula>
    </cfRule>
  </conditionalFormatting>
  <pageMargins left="0.7" right="0.7" top="0.75" bottom="0.75" header="0.3" footer="0.3"/>
  <pageSetup paperSize="9" orientation="portrait" r:id="rId1"/>
  <drawing r:id="rId2"/>
  <legacyDrawing r:id="rId3"/>
  <tableParts count="6"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MAIN</vt:lpstr>
      <vt:lpstr>MIDTERM</vt:lpstr>
      <vt:lpstr>FINAL</vt:lpstr>
      <vt:lpstr>HOMEWORK</vt:lpstr>
      <vt:lpstr>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Alperen</dc:creator>
  <cp:lastModifiedBy>Alperen</cp:lastModifiedBy>
  <dcterms:created xsi:type="dcterms:W3CDTF">2015-06-05T18:19:34Z</dcterms:created>
  <dcterms:modified xsi:type="dcterms:W3CDTF">2022-12-14T21:52:32Z</dcterms:modified>
</cp:coreProperties>
</file>