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comments4.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comments5.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lperen\Desktop\bitirme excel\"/>
    </mc:Choice>
  </mc:AlternateContent>
  <xr:revisionPtr revIDLastSave="0" documentId="13_ncr:1_{37A1FF65-5C01-4E1D-BF06-F021C7208FE0}" xr6:coauthVersionLast="47" xr6:coauthVersionMax="47" xr10:uidLastSave="{00000000-0000-0000-0000-000000000000}"/>
  <bookViews>
    <workbookView xWindow="-108" yWindow="-108" windowWidth="23256" windowHeight="12576" activeTab="5" xr2:uid="{00000000-000D-0000-FFFF-FFFF00000000}"/>
  </bookViews>
  <sheets>
    <sheet name="READ ME" sheetId="2" r:id="rId1"/>
    <sheet name="MAIN" sheetId="3" r:id="rId2"/>
    <sheet name="MIDTERM" sheetId="4" r:id="rId3"/>
    <sheet name="FINAL" sheetId="5" r:id="rId4"/>
    <sheet name="HOMEWORK" sheetId="6" r:id="rId5"/>
    <sheet name="LAB" sheetId="7" r:id="rId6"/>
  </sheets>
  <externalReferences>
    <externalReference r:id="rId7"/>
  </externalReferenc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 i="7" l="1"/>
  <c r="Y37" i="7" s="1"/>
  <c r="U5" i="7" a="1"/>
  <c r="U5" i="7" s="1"/>
  <c r="V5" i="7" a="1"/>
  <c r="V5" i="7" s="1"/>
  <c r="W5" i="7" a="1"/>
  <c r="W5" i="7"/>
  <c r="X5" i="7" a="1"/>
  <c r="X5" i="7"/>
  <c r="T6" i="7"/>
  <c r="U6" i="7" a="1"/>
  <c r="U6" i="7" s="1"/>
  <c r="Y6" i="7" s="1"/>
  <c r="V6" i="7" a="1"/>
  <c r="V6" i="7" s="1"/>
  <c r="W6" i="7" a="1"/>
  <c r="W6" i="7" s="1"/>
  <c r="X6" i="7" a="1"/>
  <c r="X6" i="7"/>
  <c r="T7" i="7"/>
  <c r="U7" i="7" a="1"/>
  <c r="U7" i="7" s="1"/>
  <c r="V7" i="7" a="1"/>
  <c r="V7" i="7" s="1"/>
  <c r="W7" i="7" a="1"/>
  <c r="W7" i="7" s="1"/>
  <c r="X7" i="7" a="1"/>
  <c r="X7" i="7"/>
  <c r="T8" i="7"/>
  <c r="U8" i="7" a="1"/>
  <c r="U8" i="7" s="1"/>
  <c r="Y8" i="7" s="1"/>
  <c r="V8" i="7" a="1"/>
  <c r="V8" i="7" s="1"/>
  <c r="W8" i="7" a="1"/>
  <c r="W8" i="7" s="1"/>
  <c r="X8" i="7" a="1"/>
  <c r="X8" i="7"/>
  <c r="T9" i="7"/>
  <c r="U9" i="7" a="1"/>
  <c r="U9" i="7" s="1"/>
  <c r="V9" i="7" a="1"/>
  <c r="V9" i="7" s="1"/>
  <c r="W9" i="7" a="1"/>
  <c r="W9" i="7" s="1"/>
  <c r="X9" i="7" a="1"/>
  <c r="X9" i="7"/>
  <c r="T10" i="7"/>
  <c r="U10" i="7" a="1"/>
  <c r="U10" i="7" s="1"/>
  <c r="Y10" i="7" s="1"/>
  <c r="V10" i="7" a="1"/>
  <c r="V10" i="7" s="1"/>
  <c r="W10" i="7" a="1"/>
  <c r="W10" i="7" s="1"/>
  <c r="X10" i="7" a="1"/>
  <c r="X10" i="7"/>
  <c r="T11" i="7"/>
  <c r="U11" i="7" a="1"/>
  <c r="U11" i="7" s="1"/>
  <c r="V11" i="7" a="1"/>
  <c r="V11" i="7" s="1"/>
  <c r="W11" i="7" a="1"/>
  <c r="W11" i="7" s="1"/>
  <c r="X11" i="7" a="1"/>
  <c r="X11" i="7"/>
  <c r="T12" i="7"/>
  <c r="U12" i="7" a="1"/>
  <c r="U12" i="7" s="1"/>
  <c r="Y12" i="7" s="1"/>
  <c r="V12" i="7" a="1"/>
  <c r="V12" i="7" s="1"/>
  <c r="W12" i="7" a="1"/>
  <c r="W12" i="7" s="1"/>
  <c r="X12" i="7" a="1"/>
  <c r="X12" i="7"/>
  <c r="T13" i="7"/>
  <c r="U13" i="7" a="1"/>
  <c r="U13" i="7" s="1"/>
  <c r="V13" i="7" a="1"/>
  <c r="V13" i="7" s="1"/>
  <c r="W13" i="7" a="1"/>
  <c r="W13" i="7" s="1"/>
  <c r="X13" i="7" a="1"/>
  <c r="X13" i="7"/>
  <c r="T14" i="7"/>
  <c r="U14" i="7" a="1"/>
  <c r="U14" i="7" s="1"/>
  <c r="Y14" i="7" s="1"/>
  <c r="V14" i="7" a="1"/>
  <c r="V14" i="7" s="1"/>
  <c r="W14" i="7" a="1"/>
  <c r="W14" i="7" s="1"/>
  <c r="X14" i="7" a="1"/>
  <c r="X14" i="7"/>
  <c r="T15" i="7"/>
  <c r="U15" i="7" a="1"/>
  <c r="U15" i="7" s="1"/>
  <c r="V15" i="7" a="1"/>
  <c r="V15" i="7" s="1"/>
  <c r="W15" i="7" a="1"/>
  <c r="W15" i="7" s="1"/>
  <c r="X15" i="7" a="1"/>
  <c r="X15" i="7"/>
  <c r="T16" i="7"/>
  <c r="U16" i="7" a="1"/>
  <c r="U16" i="7" s="1"/>
  <c r="Y16" i="7" s="1"/>
  <c r="V16" i="7" a="1"/>
  <c r="V16" i="7" s="1"/>
  <c r="W16" i="7" a="1"/>
  <c r="W16" i="7" s="1"/>
  <c r="X16" i="7" a="1"/>
  <c r="X16" i="7"/>
  <c r="T17" i="7"/>
  <c r="U17" i="7" a="1"/>
  <c r="U17" i="7" s="1"/>
  <c r="V17" i="7" a="1"/>
  <c r="V17" i="7" s="1"/>
  <c r="W17" i="7" a="1"/>
  <c r="W17" i="7" s="1"/>
  <c r="X17" i="7" a="1"/>
  <c r="X17" i="7"/>
  <c r="T18" i="7"/>
  <c r="U18" i="7" a="1"/>
  <c r="U18" i="7" s="1"/>
  <c r="Y18" i="7" s="1"/>
  <c r="V18" i="7" a="1"/>
  <c r="V18" i="7" s="1"/>
  <c r="W18" i="7" a="1"/>
  <c r="W18" i="7" s="1"/>
  <c r="X18" i="7" a="1"/>
  <c r="X18" i="7"/>
  <c r="T19" i="7"/>
  <c r="U19" i="7" a="1"/>
  <c r="U19" i="7" s="1"/>
  <c r="Y19" i="7" s="1"/>
  <c r="V19" i="7" a="1"/>
  <c r="V19" i="7" s="1"/>
  <c r="W19" i="7" a="1"/>
  <c r="W19" i="7" s="1"/>
  <c r="X19" i="7" a="1"/>
  <c r="X19" i="7"/>
  <c r="T20" i="7"/>
  <c r="U20" i="7" a="1"/>
  <c r="U20" i="7" s="1"/>
  <c r="Y20" i="7" s="1"/>
  <c r="V20" i="7" a="1"/>
  <c r="V20" i="7" s="1"/>
  <c r="W20" i="7" a="1"/>
  <c r="W20" i="7" s="1"/>
  <c r="X20" i="7" a="1"/>
  <c r="X20" i="7"/>
  <c r="T21" i="7"/>
  <c r="U21" i="7" a="1"/>
  <c r="U21" i="7" s="1"/>
  <c r="Y21" i="7" s="1"/>
  <c r="V21" i="7" a="1"/>
  <c r="V21" i="7" s="1"/>
  <c r="W21" i="7" a="1"/>
  <c r="W21" i="7" s="1"/>
  <c r="X21" i="7" a="1"/>
  <c r="X21" i="7"/>
  <c r="T22" i="7"/>
  <c r="U22" i="7" a="1"/>
  <c r="U22" i="7" s="1"/>
  <c r="Y22" i="7" s="1"/>
  <c r="V22" i="7" a="1"/>
  <c r="V22" i="7" s="1"/>
  <c r="W22" i="7" a="1"/>
  <c r="W22" i="7" s="1"/>
  <c r="X22" i="7" a="1"/>
  <c r="X22" i="7"/>
  <c r="T23" i="7"/>
  <c r="U23" i="7" a="1"/>
  <c r="U23" i="7" s="1"/>
  <c r="Y23" i="7" s="1"/>
  <c r="V23" i="7" a="1"/>
  <c r="V23" i="7" s="1"/>
  <c r="W23" i="7" a="1"/>
  <c r="W23" i="7" s="1"/>
  <c r="X23" i="7" a="1"/>
  <c r="X23" i="7"/>
  <c r="T24" i="7"/>
  <c r="U24" i="7" a="1"/>
  <c r="U24" i="7" s="1"/>
  <c r="Y24" i="7" s="1"/>
  <c r="V24" i="7" a="1"/>
  <c r="V24" i="7" s="1"/>
  <c r="W24" i="7" a="1"/>
  <c r="W24" i="7" s="1"/>
  <c r="X24" i="7" a="1"/>
  <c r="X24" i="7"/>
  <c r="T25" i="7"/>
  <c r="U25" i="7" a="1"/>
  <c r="U25" i="7" s="1"/>
  <c r="Y25" i="7" s="1"/>
  <c r="V25" i="7" a="1"/>
  <c r="V25" i="7" s="1"/>
  <c r="W25" i="7" a="1"/>
  <c r="W25" i="7" s="1"/>
  <c r="X25" i="7" a="1"/>
  <c r="X25" i="7"/>
  <c r="T26" i="7"/>
  <c r="U26" i="7" a="1"/>
  <c r="U26" i="7" s="1"/>
  <c r="Y26" i="7" s="1"/>
  <c r="V26" i="7" a="1"/>
  <c r="V26" i="7" s="1"/>
  <c r="W26" i="7" a="1"/>
  <c r="W26" i="7" s="1"/>
  <c r="X26" i="7" a="1"/>
  <c r="X26" i="7"/>
  <c r="T27" i="7"/>
  <c r="U27" i="7" a="1"/>
  <c r="U27" i="7" s="1"/>
  <c r="Y27" i="7" s="1"/>
  <c r="V27" i="7" a="1"/>
  <c r="V27" i="7" s="1"/>
  <c r="W27" i="7" a="1"/>
  <c r="W27" i="7" s="1"/>
  <c r="X27" i="7" a="1"/>
  <c r="X27" i="7"/>
  <c r="T28" i="7"/>
  <c r="U28" i="7" a="1"/>
  <c r="U28" i="7" s="1"/>
  <c r="Y28" i="7" s="1"/>
  <c r="V28" i="7" a="1"/>
  <c r="V28" i="7" s="1"/>
  <c r="W28" i="7" a="1"/>
  <c r="W28" i="7" s="1"/>
  <c r="X28" i="7" a="1"/>
  <c r="X28" i="7"/>
  <c r="T29" i="7"/>
  <c r="U29" i="7" a="1"/>
  <c r="U29" i="7" s="1"/>
  <c r="Y29" i="7" s="1"/>
  <c r="V29" i="7" a="1"/>
  <c r="V29" i="7" s="1"/>
  <c r="W29" i="7" a="1"/>
  <c r="W29" i="7" s="1"/>
  <c r="X29" i="7" a="1"/>
  <c r="X29" i="7"/>
  <c r="T30" i="7"/>
  <c r="U30" i="7" a="1"/>
  <c r="U30" i="7" s="1"/>
  <c r="Y30" i="7" s="1"/>
  <c r="V30" i="7" a="1"/>
  <c r="V30" i="7" s="1"/>
  <c r="W30" i="7" a="1"/>
  <c r="W30" i="7" s="1"/>
  <c r="X30" i="7" a="1"/>
  <c r="X30" i="7"/>
  <c r="T31" i="7"/>
  <c r="U31" i="7" a="1"/>
  <c r="U31" i="7" s="1"/>
  <c r="Y31" i="7" s="1"/>
  <c r="V31" i="7" a="1"/>
  <c r="V31" i="7" s="1"/>
  <c r="W31" i="7" a="1"/>
  <c r="W31" i="7" s="1"/>
  <c r="X31" i="7" a="1"/>
  <c r="X31" i="7"/>
  <c r="T32" i="7"/>
  <c r="U32" i="7" a="1"/>
  <c r="U32" i="7" s="1"/>
  <c r="Y32" i="7" s="1"/>
  <c r="V32" i="7" a="1"/>
  <c r="V32" i="7" s="1"/>
  <c r="W32" i="7" a="1"/>
  <c r="W32" i="7" s="1"/>
  <c r="X32" i="7" a="1"/>
  <c r="X32" i="7"/>
  <c r="T33" i="7"/>
  <c r="U33" i="7" a="1"/>
  <c r="U33" i="7" s="1"/>
  <c r="Y33" i="7" s="1"/>
  <c r="V33" i="7" a="1"/>
  <c r="V33" i="7" s="1"/>
  <c r="W33" i="7" a="1"/>
  <c r="W33" i="7" s="1"/>
  <c r="X33" i="7" a="1"/>
  <c r="X33" i="7"/>
  <c r="T34" i="7"/>
  <c r="U34" i="7" a="1"/>
  <c r="U34" i="7" s="1"/>
  <c r="Y34" i="7" s="1"/>
  <c r="V34" i="7" a="1"/>
  <c r="V34" i="7" s="1"/>
  <c r="W34" i="7" a="1"/>
  <c r="W34" i="7" s="1"/>
  <c r="X34" i="7" a="1"/>
  <c r="X34" i="7"/>
  <c r="Q37" i="7"/>
  <c r="X37" i="7"/>
  <c r="Q38" i="7"/>
  <c r="Q39" i="7"/>
  <c r="Q40" i="7"/>
  <c r="Q43" i="7"/>
  <c r="C46" i="7"/>
  <c r="C47" i="7"/>
  <c r="C48" i="7"/>
  <c r="C49" i="7"/>
  <c r="K5" i="6"/>
  <c r="T4" i="6" s="1"/>
  <c r="L5" i="6" a="1"/>
  <c r="L5" i="6" s="1"/>
  <c r="M5" i="6" a="1"/>
  <c r="M5" i="6" s="1"/>
  <c r="N5" i="6" a="1"/>
  <c r="N5" i="6"/>
  <c r="O5" i="6" a="1"/>
  <c r="O5" i="6"/>
  <c r="K6" i="6"/>
  <c r="U4" i="6" s="1"/>
  <c r="L6" i="6" a="1"/>
  <c r="L6" i="6"/>
  <c r="M6" i="6" a="1"/>
  <c r="M6" i="6" s="1"/>
  <c r="P6" i="6" s="1"/>
  <c r="N6" i="6" a="1"/>
  <c r="N6" i="6"/>
  <c r="O6" i="6" a="1"/>
  <c r="O6" i="6"/>
  <c r="K7" i="6"/>
  <c r="L7" i="6" a="1"/>
  <c r="L7" i="6" s="1"/>
  <c r="P7" i="6" s="1"/>
  <c r="M7" i="6" a="1"/>
  <c r="M7" i="6" s="1"/>
  <c r="N7" i="6" a="1"/>
  <c r="N7" i="6" s="1"/>
  <c r="O7" i="6" a="1"/>
  <c r="O7" i="6"/>
  <c r="K8" i="6"/>
  <c r="L8" i="6" a="1"/>
  <c r="L8" i="6"/>
  <c r="M8" i="6" a="1"/>
  <c r="M8" i="6"/>
  <c r="N8" i="6" a="1"/>
  <c r="N8" i="6" s="1"/>
  <c r="O8" i="6" a="1"/>
  <c r="O8" i="6"/>
  <c r="K9" i="6"/>
  <c r="H32" i="3" s="1"/>
  <c r="L9" i="6" a="1"/>
  <c r="L9" i="6"/>
  <c r="M9" i="6" a="1"/>
  <c r="M9" i="6" s="1"/>
  <c r="N9" i="6" a="1"/>
  <c r="N9" i="6" s="1"/>
  <c r="O9" i="6" a="1"/>
  <c r="O9" i="6" s="1"/>
  <c r="K10" i="6"/>
  <c r="H31" i="3" s="1"/>
  <c r="L10" i="6" a="1"/>
  <c r="L10" i="6" s="1"/>
  <c r="P10" i="6" s="1"/>
  <c r="M10" i="6" a="1"/>
  <c r="M10" i="6"/>
  <c r="N10" i="6" a="1"/>
  <c r="N10" i="6"/>
  <c r="O10" i="6" a="1"/>
  <c r="O10" i="6" s="1"/>
  <c r="K11" i="6"/>
  <c r="L11" i="6" a="1"/>
  <c r="L11" i="6"/>
  <c r="M11" i="6" a="1"/>
  <c r="M11" i="6"/>
  <c r="N11" i="6" a="1"/>
  <c r="N11" i="6" s="1"/>
  <c r="O11" i="6" a="1"/>
  <c r="O11" i="6" s="1"/>
  <c r="K12" i="6"/>
  <c r="L12" i="6" a="1"/>
  <c r="L12" i="6"/>
  <c r="M12" i="6" a="1"/>
  <c r="M12" i="6" s="1"/>
  <c r="N12" i="6" a="1"/>
  <c r="N12" i="6"/>
  <c r="O12" i="6" a="1"/>
  <c r="O12" i="6"/>
  <c r="K13" i="6"/>
  <c r="L13" i="6" a="1"/>
  <c r="L13" i="6"/>
  <c r="M13" i="6" a="1"/>
  <c r="M13" i="6"/>
  <c r="P13" i="6" s="1"/>
  <c r="N13" i="6" a="1"/>
  <c r="N13" i="6"/>
  <c r="O13" i="6" a="1"/>
  <c r="O13" i="6" s="1"/>
  <c r="K14" i="6"/>
  <c r="L14" i="6" a="1"/>
  <c r="L14" i="6"/>
  <c r="M14" i="6" a="1"/>
  <c r="M14" i="6"/>
  <c r="N14" i="6" a="1"/>
  <c r="N14" i="6" s="1"/>
  <c r="O14" i="6" a="1"/>
  <c r="O14" i="6"/>
  <c r="K15" i="6"/>
  <c r="L15" i="6" a="1"/>
  <c r="L15" i="6" s="1"/>
  <c r="P15" i="6" s="1"/>
  <c r="M15" i="6" a="1"/>
  <c r="M15" i="6"/>
  <c r="N15" i="6" a="1"/>
  <c r="N15" i="6"/>
  <c r="O15" i="6" a="1"/>
  <c r="O15" i="6"/>
  <c r="K16" i="6"/>
  <c r="L16" i="6" a="1"/>
  <c r="L16" i="6" s="1"/>
  <c r="P16" i="6" s="1"/>
  <c r="M16" i="6" a="1"/>
  <c r="M16" i="6"/>
  <c r="N16" i="6" a="1"/>
  <c r="N16" i="6"/>
  <c r="O16" i="6" a="1"/>
  <c r="O16" i="6" s="1"/>
  <c r="K17" i="6"/>
  <c r="L17" i="6" a="1"/>
  <c r="L17" i="6" s="1"/>
  <c r="M17" i="6" a="1"/>
  <c r="M17" i="6" s="1"/>
  <c r="N17" i="6" a="1"/>
  <c r="N17" i="6"/>
  <c r="O17" i="6" a="1"/>
  <c r="O17" i="6"/>
  <c r="K18" i="6"/>
  <c r="L18" i="6" a="1"/>
  <c r="L18" i="6"/>
  <c r="M18" i="6" a="1"/>
  <c r="M18" i="6" s="1"/>
  <c r="P18" i="6" s="1"/>
  <c r="N18" i="6" a="1"/>
  <c r="N18" i="6"/>
  <c r="O18" i="6" a="1"/>
  <c r="O18" i="6"/>
  <c r="K19" i="6"/>
  <c r="L19" i="6" a="1"/>
  <c r="L19" i="6" s="1"/>
  <c r="M19" i="6" a="1"/>
  <c r="M19" i="6" s="1"/>
  <c r="N19" i="6" a="1"/>
  <c r="N19" i="6" s="1"/>
  <c r="O19" i="6" a="1"/>
  <c r="O19" i="6"/>
  <c r="K20" i="6"/>
  <c r="L20" i="6" a="1"/>
  <c r="L20" i="6"/>
  <c r="M20" i="6" a="1"/>
  <c r="M20" i="6"/>
  <c r="N20" i="6" a="1"/>
  <c r="N20" i="6" s="1"/>
  <c r="O20" i="6" a="1"/>
  <c r="O20" i="6"/>
  <c r="K21" i="6"/>
  <c r="H15" i="3" s="1"/>
  <c r="L21" i="6" a="1"/>
  <c r="L21" i="6"/>
  <c r="M21" i="6" a="1"/>
  <c r="M21" i="6" s="1"/>
  <c r="N21" i="6" a="1"/>
  <c r="N21" i="6" s="1"/>
  <c r="O21" i="6" a="1"/>
  <c r="O21" i="6" s="1"/>
  <c r="K22" i="6"/>
  <c r="H18" i="3" s="1"/>
  <c r="L22" i="6" a="1"/>
  <c r="L22" i="6" s="1"/>
  <c r="M22" i="6" a="1"/>
  <c r="M22" i="6"/>
  <c r="N22" i="6" a="1"/>
  <c r="N22" i="6"/>
  <c r="O22" i="6" a="1"/>
  <c r="O22" i="6" s="1"/>
  <c r="K23" i="6"/>
  <c r="L23" i="6" a="1"/>
  <c r="L23" i="6"/>
  <c r="P23" i="6" s="1"/>
  <c r="M23" i="6" a="1"/>
  <c r="M23" i="6"/>
  <c r="N23" i="6" a="1"/>
  <c r="N23" i="6" s="1"/>
  <c r="O23" i="6" a="1"/>
  <c r="O23" i="6" s="1"/>
  <c r="K24" i="6"/>
  <c r="L24" i="6" a="1"/>
  <c r="L24" i="6"/>
  <c r="P24" i="6" s="1"/>
  <c r="M24" i="6" a="1"/>
  <c r="M24" i="6" s="1"/>
  <c r="N24" i="6" a="1"/>
  <c r="N24" i="6"/>
  <c r="O24" i="6" a="1"/>
  <c r="O24" i="6"/>
  <c r="K25" i="6"/>
  <c r="L25" i="6" a="1"/>
  <c r="L25" i="6"/>
  <c r="M25" i="6" a="1"/>
  <c r="M25" i="6"/>
  <c r="N25" i="6" a="1"/>
  <c r="N25" i="6"/>
  <c r="O25" i="6" a="1"/>
  <c r="O25" i="6" s="1"/>
  <c r="K26" i="6"/>
  <c r="L26" i="6" a="1"/>
  <c r="L26" i="6"/>
  <c r="M26" i="6" a="1"/>
  <c r="M26" i="6"/>
  <c r="N26" i="6" a="1"/>
  <c r="N26" i="6" s="1"/>
  <c r="O26" i="6" a="1"/>
  <c r="O26" i="6"/>
  <c r="K27" i="6"/>
  <c r="L27" i="6" a="1"/>
  <c r="L27" i="6" s="1"/>
  <c r="P27" i="6" s="1"/>
  <c r="M27" i="6" a="1"/>
  <c r="M27" i="6"/>
  <c r="N27" i="6" a="1"/>
  <c r="N27" i="6"/>
  <c r="O27" i="6" a="1"/>
  <c r="O27" i="6"/>
  <c r="K28" i="6"/>
  <c r="L28" i="6" a="1"/>
  <c r="L28" i="6" s="1"/>
  <c r="P28" i="6" s="1"/>
  <c r="M28" i="6" a="1"/>
  <c r="M28" i="6"/>
  <c r="N28" i="6" a="1"/>
  <c r="N28" i="6"/>
  <c r="O28" i="6" a="1"/>
  <c r="O28" i="6" s="1"/>
  <c r="K29" i="6"/>
  <c r="L29" i="6" a="1"/>
  <c r="L29" i="6" s="1"/>
  <c r="M29" i="6" a="1"/>
  <c r="M29" i="6" s="1"/>
  <c r="N29" i="6" a="1"/>
  <c r="N29" i="6"/>
  <c r="O29" i="6" a="1"/>
  <c r="O29" i="6"/>
  <c r="K30" i="6"/>
  <c r="L30" i="6" a="1"/>
  <c r="L30" i="6"/>
  <c r="M30" i="6" a="1"/>
  <c r="M30" i="6" s="1"/>
  <c r="N30" i="6" a="1"/>
  <c r="N30" i="6"/>
  <c r="O30" i="6" a="1"/>
  <c r="O30" i="6"/>
  <c r="K31" i="6"/>
  <c r="L31" i="6" a="1"/>
  <c r="L31" i="6" s="1"/>
  <c r="M31" i="6" a="1"/>
  <c r="M31" i="6" s="1"/>
  <c r="N31" i="6" a="1"/>
  <c r="N31" i="6" s="1"/>
  <c r="O31" i="6" a="1"/>
  <c r="O31" i="6"/>
  <c r="K32" i="6"/>
  <c r="L32" i="6" a="1"/>
  <c r="L32" i="6"/>
  <c r="M32" i="6" a="1"/>
  <c r="M32" i="6"/>
  <c r="N32" i="6" a="1"/>
  <c r="N32" i="6" s="1"/>
  <c r="O32" i="6" a="1"/>
  <c r="O32" i="6"/>
  <c r="K33" i="6"/>
  <c r="H8" i="3" s="1"/>
  <c r="L33" i="6" a="1"/>
  <c r="L33" i="6"/>
  <c r="M33" i="6" a="1"/>
  <c r="M33" i="6" s="1"/>
  <c r="N33" i="6" a="1"/>
  <c r="N33" i="6" s="1"/>
  <c r="O33" i="6" a="1"/>
  <c r="O33" i="6" s="1"/>
  <c r="K34" i="6"/>
  <c r="H7" i="3" s="1"/>
  <c r="L34" i="6" a="1"/>
  <c r="L34" i="6" s="1"/>
  <c r="M34" i="6" a="1"/>
  <c r="M34" i="6"/>
  <c r="N34" i="6" a="1"/>
  <c r="N34" i="6"/>
  <c r="O34" i="6" a="1"/>
  <c r="O34" i="6" s="1"/>
  <c r="I38" i="6"/>
  <c r="N38" i="6"/>
  <c r="I39" i="6"/>
  <c r="N39" i="6"/>
  <c r="I40" i="6"/>
  <c r="N40" i="6"/>
  <c r="I41" i="6"/>
  <c r="N41" i="6"/>
  <c r="H45" i="6"/>
  <c r="M5" i="5"/>
  <c r="N5" i="5" a="1"/>
  <c r="N5" i="5" s="1"/>
  <c r="O5" i="5" a="1"/>
  <c r="O5" i="5" s="1"/>
  <c r="P5" i="5" a="1"/>
  <c r="P5" i="5" s="1"/>
  <c r="Q5" i="5" a="1"/>
  <c r="Q5" i="5"/>
  <c r="M6" i="5"/>
  <c r="N6" i="5" a="1"/>
  <c r="N6" i="5"/>
  <c r="O6" i="5" a="1"/>
  <c r="O6" i="5" s="1"/>
  <c r="P6" i="5" a="1"/>
  <c r="P6" i="5" s="1"/>
  <c r="Q6" i="5" a="1"/>
  <c r="Q6" i="5"/>
  <c r="M7" i="5"/>
  <c r="G6" i="3" s="1"/>
  <c r="N7" i="5" a="1"/>
  <c r="N7" i="5"/>
  <c r="O7" i="5" a="1"/>
  <c r="O7" i="5" s="1"/>
  <c r="P7" i="5" a="1"/>
  <c r="P7" i="5" s="1"/>
  <c r="Q7" i="5" a="1"/>
  <c r="Q7" i="5" s="1"/>
  <c r="M8" i="5"/>
  <c r="N8" i="5" a="1"/>
  <c r="N8" i="5" s="1"/>
  <c r="O8" i="5" a="1"/>
  <c r="O8" i="5"/>
  <c r="P8" i="5" a="1"/>
  <c r="P8" i="5" s="1"/>
  <c r="Q8" i="5" a="1"/>
  <c r="Q8" i="5" s="1"/>
  <c r="M9" i="5"/>
  <c r="N9" i="5" a="1"/>
  <c r="N9" i="5"/>
  <c r="O9" i="5" a="1"/>
  <c r="O9" i="5"/>
  <c r="P9" i="5" a="1"/>
  <c r="P9" i="5" s="1"/>
  <c r="Q9" i="5" a="1"/>
  <c r="Q9" i="5" s="1"/>
  <c r="M10" i="5"/>
  <c r="N10" i="5" a="1"/>
  <c r="N10" i="5"/>
  <c r="O10" i="5" a="1"/>
  <c r="O10" i="5" s="1"/>
  <c r="P10" i="5" a="1"/>
  <c r="P10" i="5"/>
  <c r="Q10" i="5" a="1"/>
  <c r="Q10" i="5" s="1"/>
  <c r="M11" i="5"/>
  <c r="N11" i="5" a="1"/>
  <c r="N11" i="5"/>
  <c r="O11" i="5" a="1"/>
  <c r="O11" i="5"/>
  <c r="P11" i="5" a="1"/>
  <c r="P11" i="5"/>
  <c r="Q11" i="5" a="1"/>
  <c r="Q11" i="5" s="1"/>
  <c r="M12" i="5"/>
  <c r="N12" i="5" a="1"/>
  <c r="N12" i="5"/>
  <c r="O12" i="5" a="1"/>
  <c r="O12" i="5"/>
  <c r="P12" i="5" a="1"/>
  <c r="P12" i="5" s="1"/>
  <c r="Q12" i="5" a="1"/>
  <c r="Q12" i="5"/>
  <c r="M13" i="5"/>
  <c r="N13" i="5" a="1"/>
  <c r="N13" i="5" s="1"/>
  <c r="O13" i="5" a="1"/>
  <c r="O13" i="5"/>
  <c r="P13" i="5" a="1"/>
  <c r="P13" i="5"/>
  <c r="Q13" i="5" a="1"/>
  <c r="Q13" i="5"/>
  <c r="M14" i="5"/>
  <c r="N14" i="5" a="1"/>
  <c r="N14" i="5" s="1"/>
  <c r="O14" i="5" a="1"/>
  <c r="O14" i="5"/>
  <c r="P14" i="5" a="1"/>
  <c r="P14" i="5"/>
  <c r="Q14" i="5" a="1"/>
  <c r="Q14" i="5" s="1"/>
  <c r="M15" i="5"/>
  <c r="N15" i="5" a="1"/>
  <c r="N15" i="5" s="1"/>
  <c r="O15" i="5" a="1"/>
  <c r="O15" i="5" s="1"/>
  <c r="P15" i="5" a="1"/>
  <c r="P15" i="5"/>
  <c r="Q15" i="5" a="1"/>
  <c r="Q15" i="5"/>
  <c r="M16" i="5"/>
  <c r="N16" i="5" a="1"/>
  <c r="N16" i="5" s="1"/>
  <c r="O16" i="5" a="1"/>
  <c r="O16" i="5" s="1"/>
  <c r="P16" i="5" a="1"/>
  <c r="P16" i="5"/>
  <c r="Q16" i="5" a="1"/>
  <c r="Q16" i="5"/>
  <c r="M17" i="5"/>
  <c r="N17" i="5" a="1"/>
  <c r="N17" i="5" s="1"/>
  <c r="O17" i="5" a="1"/>
  <c r="O17" i="5" s="1"/>
  <c r="P17" i="5" a="1"/>
  <c r="P17" i="5" s="1"/>
  <c r="Q17" i="5" a="1"/>
  <c r="Q17" i="5"/>
  <c r="M18" i="5"/>
  <c r="N18" i="5" a="1"/>
  <c r="N18" i="5"/>
  <c r="O18" i="5" a="1"/>
  <c r="O18" i="5" s="1"/>
  <c r="P18" i="5" a="1"/>
  <c r="P18" i="5" s="1"/>
  <c r="Q18" i="5" a="1"/>
  <c r="Q18" i="5"/>
  <c r="M19" i="5"/>
  <c r="G23" i="3" s="1"/>
  <c r="N19" i="5" a="1"/>
  <c r="N19" i="5"/>
  <c r="O19" i="5" a="1"/>
  <c r="O19" i="5" s="1"/>
  <c r="P19" i="5" a="1"/>
  <c r="P19" i="5" s="1"/>
  <c r="Q19" i="5" a="1"/>
  <c r="Q19" i="5" s="1"/>
  <c r="M20" i="5"/>
  <c r="N20" i="5" a="1"/>
  <c r="N20" i="5" s="1"/>
  <c r="O20" i="5" a="1"/>
  <c r="O20" i="5"/>
  <c r="P20" i="5" a="1"/>
  <c r="P20" i="5" s="1"/>
  <c r="Q20" i="5" a="1"/>
  <c r="Q20" i="5" s="1"/>
  <c r="M21" i="5"/>
  <c r="N21" i="5" a="1"/>
  <c r="N21" i="5"/>
  <c r="O21" i="5" a="1"/>
  <c r="O21" i="5"/>
  <c r="P21" i="5" a="1"/>
  <c r="P21" i="5" s="1"/>
  <c r="Q21" i="5" a="1"/>
  <c r="Q21" i="5" s="1"/>
  <c r="M22" i="5"/>
  <c r="N22" i="5" a="1"/>
  <c r="N22" i="5"/>
  <c r="O22" i="5" a="1"/>
  <c r="O22" i="5" s="1"/>
  <c r="P22" i="5" a="1"/>
  <c r="P22" i="5"/>
  <c r="Q22" i="5" a="1"/>
  <c r="Q22" i="5"/>
  <c r="M23" i="5"/>
  <c r="N23" i="5" a="1"/>
  <c r="N23" i="5"/>
  <c r="O23" i="5" a="1"/>
  <c r="O23" i="5"/>
  <c r="P23" i="5" a="1"/>
  <c r="P23" i="5"/>
  <c r="Q23" i="5" a="1"/>
  <c r="Q23" i="5" s="1"/>
  <c r="M24" i="5"/>
  <c r="N24" i="5" a="1"/>
  <c r="N24" i="5"/>
  <c r="O24" i="5" a="1"/>
  <c r="O24" i="5"/>
  <c r="P24" i="5" a="1"/>
  <c r="P24" i="5" s="1"/>
  <c r="Q24" i="5" a="1"/>
  <c r="Q24" i="5"/>
  <c r="M25" i="5"/>
  <c r="N25" i="5" a="1"/>
  <c r="N25" i="5" s="1"/>
  <c r="O25" i="5" a="1"/>
  <c r="O25" i="5"/>
  <c r="P25" i="5" a="1"/>
  <c r="P25" i="5"/>
  <c r="Q25" i="5" a="1"/>
  <c r="Q25" i="5"/>
  <c r="M26" i="5"/>
  <c r="N26" i="5" a="1"/>
  <c r="N26" i="5" s="1"/>
  <c r="O26" i="5" a="1"/>
  <c r="O26" i="5"/>
  <c r="P26" i="5" a="1"/>
  <c r="P26" i="5"/>
  <c r="Q26" i="5" a="1"/>
  <c r="Q26" i="5" s="1"/>
  <c r="M27" i="5"/>
  <c r="N27" i="5" a="1"/>
  <c r="N27" i="5"/>
  <c r="O27" i="5" a="1"/>
  <c r="O27" i="5" s="1"/>
  <c r="P27" i="5" a="1"/>
  <c r="P27" i="5"/>
  <c r="Q27" i="5" a="1"/>
  <c r="Q27" i="5"/>
  <c r="M28" i="5"/>
  <c r="N28" i="5" a="1"/>
  <c r="N28" i="5"/>
  <c r="O28" i="5" a="1"/>
  <c r="O28" i="5" s="1"/>
  <c r="P28" i="5" a="1"/>
  <c r="P28" i="5"/>
  <c r="Q28" i="5" a="1"/>
  <c r="Q28" i="5"/>
  <c r="M29" i="5"/>
  <c r="N29" i="5" a="1"/>
  <c r="N29" i="5" s="1"/>
  <c r="O29" i="5" a="1"/>
  <c r="O29" i="5" s="1"/>
  <c r="P29" i="5" a="1"/>
  <c r="P29" i="5" s="1"/>
  <c r="Q29" i="5" a="1"/>
  <c r="Q29" i="5"/>
  <c r="M30" i="5"/>
  <c r="N30" i="5" a="1"/>
  <c r="N30" i="5"/>
  <c r="R30" i="5" s="1"/>
  <c r="O30" i="5" a="1"/>
  <c r="O30" i="5"/>
  <c r="P30" i="5" a="1"/>
  <c r="P30" i="5" s="1"/>
  <c r="Q30" i="5" a="1"/>
  <c r="Q30" i="5"/>
  <c r="M31" i="5"/>
  <c r="G10" i="3" s="1"/>
  <c r="N31" i="5" a="1"/>
  <c r="N31" i="5"/>
  <c r="O31" i="5" a="1"/>
  <c r="O31" i="5" s="1"/>
  <c r="P31" i="5" a="1"/>
  <c r="P31" i="5" s="1"/>
  <c r="Q31" i="5" a="1"/>
  <c r="Q31" i="5" s="1"/>
  <c r="M32" i="5"/>
  <c r="N32" i="5" a="1"/>
  <c r="N32" i="5" s="1"/>
  <c r="O32" i="5" a="1"/>
  <c r="O32" i="5"/>
  <c r="P32" i="5" a="1"/>
  <c r="P32" i="5"/>
  <c r="Q32" i="5" a="1"/>
  <c r="Q32" i="5" s="1"/>
  <c r="M33" i="5"/>
  <c r="N33" i="5" a="1"/>
  <c r="N33" i="5"/>
  <c r="O33" i="5" a="1"/>
  <c r="O33" i="5"/>
  <c r="P33" i="5" a="1"/>
  <c r="P33" i="5" s="1"/>
  <c r="Q33" i="5" a="1"/>
  <c r="Q33" i="5"/>
  <c r="M34" i="5"/>
  <c r="N34" i="5" a="1"/>
  <c r="N34" i="5"/>
  <c r="O34" i="5" a="1"/>
  <c r="O34" i="5" s="1"/>
  <c r="P34" i="5" a="1"/>
  <c r="P34" i="5"/>
  <c r="Q34" i="5" a="1"/>
  <c r="Q34" i="5"/>
  <c r="C37" i="5"/>
  <c r="O37" i="5"/>
  <c r="C38" i="5"/>
  <c r="C39" i="5"/>
  <c r="C40" i="5"/>
  <c r="J43" i="5"/>
  <c r="J44" i="5"/>
  <c r="E38" i="5" s="1"/>
  <c r="J45" i="5"/>
  <c r="J46" i="5"/>
  <c r="R41" i="3" s="1"/>
  <c r="J46" i="4"/>
  <c r="E40" i="4" s="1"/>
  <c r="J45" i="4"/>
  <c r="E39" i="4" s="1"/>
  <c r="J44" i="4"/>
  <c r="E38" i="4" s="1"/>
  <c r="J43" i="4"/>
  <c r="D40" i="4"/>
  <c r="C40" i="4"/>
  <c r="C39" i="4"/>
  <c r="D38" i="4"/>
  <c r="C38" i="4"/>
  <c r="O37" i="4"/>
  <c r="D37" i="4"/>
  <c r="C37" i="4"/>
  <c r="Q34" i="4"/>
  <c r="Q34" i="4" a="1"/>
  <c r="P34" i="4" a="1"/>
  <c r="P34" i="4" s="1"/>
  <c r="O34" i="4" a="1"/>
  <c r="O34" i="4" s="1"/>
  <c r="N34" i="4"/>
  <c r="N34" i="4" a="1"/>
  <c r="M34" i="4"/>
  <c r="Q33" i="4" a="1"/>
  <c r="Q33" i="4" s="1"/>
  <c r="P33" i="4"/>
  <c r="P33" i="4" a="1"/>
  <c r="O33" i="4" a="1"/>
  <c r="O33" i="4" s="1"/>
  <c r="N33" i="4" a="1"/>
  <c r="N33" i="4" s="1"/>
  <c r="M33" i="4"/>
  <c r="Q32" i="4" a="1"/>
  <c r="Q32" i="4" s="1"/>
  <c r="P32" i="4"/>
  <c r="P32" i="4" a="1"/>
  <c r="O32" i="4" a="1"/>
  <c r="O32" i="4" s="1"/>
  <c r="N32" i="4" a="1"/>
  <c r="N32" i="4" s="1"/>
  <c r="M32" i="4"/>
  <c r="Q31" i="4" a="1"/>
  <c r="Q31" i="4" s="1"/>
  <c r="P31" i="4" a="1"/>
  <c r="P31" i="4" s="1"/>
  <c r="O31" i="4"/>
  <c r="O31" i="4" a="1"/>
  <c r="N31" i="4" a="1"/>
  <c r="N31" i="4" s="1"/>
  <c r="M31" i="4"/>
  <c r="Q30" i="4" a="1"/>
  <c r="Q30" i="4" s="1"/>
  <c r="P30" i="4" a="1"/>
  <c r="P30" i="4" s="1"/>
  <c r="O30" i="4"/>
  <c r="O30" i="4" a="1"/>
  <c r="N30" i="4" a="1"/>
  <c r="N30" i="4" s="1"/>
  <c r="M30" i="4"/>
  <c r="Q29" i="4" a="1"/>
  <c r="Q29" i="4" s="1"/>
  <c r="P29" i="4" a="1"/>
  <c r="P29" i="4" s="1"/>
  <c r="O29" i="4" a="1"/>
  <c r="O29" i="4" s="1"/>
  <c r="R29" i="4" s="1"/>
  <c r="N29" i="4"/>
  <c r="N29" i="4" a="1"/>
  <c r="M29" i="4"/>
  <c r="Q28" i="4"/>
  <c r="Q28" i="4" a="1"/>
  <c r="P28" i="4" a="1"/>
  <c r="P28" i="4" s="1"/>
  <c r="O28" i="4" a="1"/>
  <c r="O28" i="4" s="1"/>
  <c r="N28" i="4"/>
  <c r="N28" i="4" a="1"/>
  <c r="M28" i="4"/>
  <c r="Q27" i="4" a="1"/>
  <c r="Q27" i="4" s="1"/>
  <c r="P27" i="4" a="1"/>
  <c r="P27" i="4" s="1"/>
  <c r="O27" i="4" a="1"/>
  <c r="O27" i="4" s="1"/>
  <c r="N27" i="4" a="1"/>
  <c r="N27" i="4" s="1"/>
  <c r="M27" i="4"/>
  <c r="Q26" i="4" a="1"/>
  <c r="Q26" i="4" s="1"/>
  <c r="P26" i="4"/>
  <c r="P26" i="4" a="1"/>
  <c r="O26" i="4" a="1"/>
  <c r="O26" i="4" s="1"/>
  <c r="N26" i="4" a="1"/>
  <c r="N26" i="4" s="1"/>
  <c r="M26" i="4"/>
  <c r="Q25" i="4" a="1"/>
  <c r="Q25" i="4" s="1"/>
  <c r="P25" i="4" a="1"/>
  <c r="P25" i="4" s="1"/>
  <c r="O25" i="4" a="1"/>
  <c r="O25" i="4" s="1"/>
  <c r="N25" i="4" a="1"/>
  <c r="N25" i="4" s="1"/>
  <c r="R25" i="4" s="1"/>
  <c r="M25" i="4"/>
  <c r="Q24" i="4" a="1"/>
  <c r="Q24" i="4" s="1"/>
  <c r="P24" i="4" a="1"/>
  <c r="P24" i="4" s="1"/>
  <c r="O24" i="4"/>
  <c r="O24" i="4" a="1"/>
  <c r="N24" i="4" a="1"/>
  <c r="N24" i="4" s="1"/>
  <c r="R24" i="4" s="1"/>
  <c r="M24" i="4"/>
  <c r="Q23" i="4"/>
  <c r="Q23" i="4" a="1"/>
  <c r="P23" i="4" a="1"/>
  <c r="P23" i="4" s="1"/>
  <c r="O23" i="4" a="1"/>
  <c r="O23" i="4" s="1"/>
  <c r="N23" i="4" a="1"/>
  <c r="N23" i="4" s="1"/>
  <c r="R23" i="4" s="1"/>
  <c r="M23" i="4"/>
  <c r="Q22" i="4"/>
  <c r="Q22" i="4" a="1"/>
  <c r="P22" i="4" a="1"/>
  <c r="P22" i="4" s="1"/>
  <c r="O22" i="4" a="1"/>
  <c r="O22" i="4" s="1"/>
  <c r="N22" i="4"/>
  <c r="N22" i="4" a="1"/>
  <c r="M22" i="4"/>
  <c r="Q21" i="4" a="1"/>
  <c r="Q21" i="4" s="1"/>
  <c r="P21" i="4"/>
  <c r="P21" i="4" a="1"/>
  <c r="O21" i="4" a="1"/>
  <c r="O21" i="4" s="1"/>
  <c r="N21" i="4" a="1"/>
  <c r="N21" i="4" s="1"/>
  <c r="M21" i="4"/>
  <c r="Q20" i="4" a="1"/>
  <c r="Q20" i="4" s="1"/>
  <c r="P20" i="4"/>
  <c r="P20" i="4" a="1"/>
  <c r="O20" i="4" a="1"/>
  <c r="O20" i="4" s="1"/>
  <c r="N20" i="4" a="1"/>
  <c r="N20" i="4" s="1"/>
  <c r="M20" i="4"/>
  <c r="Q19" i="4" a="1"/>
  <c r="Q19" i="4" s="1"/>
  <c r="P19" i="4" a="1"/>
  <c r="P19" i="4" s="1"/>
  <c r="O19" i="4"/>
  <c r="O19" i="4" a="1"/>
  <c r="N19" i="4" a="1"/>
  <c r="N19" i="4" s="1"/>
  <c r="M19" i="4"/>
  <c r="Q18" i="4" a="1"/>
  <c r="Q18" i="4" s="1"/>
  <c r="P18" i="4" a="1"/>
  <c r="P18" i="4" s="1"/>
  <c r="O18" i="4"/>
  <c r="O18" i="4" a="1"/>
  <c r="N18" i="4" a="1"/>
  <c r="N18" i="4" s="1"/>
  <c r="M18" i="4"/>
  <c r="Q17" i="4" a="1"/>
  <c r="Q17" i="4" s="1"/>
  <c r="P17" i="4" a="1"/>
  <c r="P17" i="4" s="1"/>
  <c r="O17" i="4" a="1"/>
  <c r="O17" i="4" s="1"/>
  <c r="R17" i="4" s="1"/>
  <c r="N17" i="4"/>
  <c r="N17" i="4" a="1"/>
  <c r="M17" i="4"/>
  <c r="Q16" i="4"/>
  <c r="Q16" i="4" a="1"/>
  <c r="P16" i="4" a="1"/>
  <c r="P16" i="4" s="1"/>
  <c r="O16" i="4" a="1"/>
  <c r="O16" i="4" s="1"/>
  <c r="N16" i="4"/>
  <c r="N16" i="4" a="1"/>
  <c r="M16" i="4"/>
  <c r="Q15" i="4" a="1"/>
  <c r="Q15" i="4" s="1"/>
  <c r="P15" i="4" a="1"/>
  <c r="P15" i="4" s="1"/>
  <c r="O15" i="4" a="1"/>
  <c r="O15" i="4" s="1"/>
  <c r="N15" i="4" a="1"/>
  <c r="N15" i="4" s="1"/>
  <c r="M15" i="4"/>
  <c r="Q14" i="4" a="1"/>
  <c r="Q14" i="4" s="1"/>
  <c r="P14" i="4"/>
  <c r="P14" i="4" a="1"/>
  <c r="O14" i="4" a="1"/>
  <c r="O14" i="4" s="1"/>
  <c r="N14" i="4" a="1"/>
  <c r="N14" i="4" s="1"/>
  <c r="M14" i="4"/>
  <c r="Q13" i="4" a="1"/>
  <c r="Q13" i="4" s="1"/>
  <c r="P13" i="4" a="1"/>
  <c r="P13" i="4" s="1"/>
  <c r="O13" i="4" a="1"/>
  <c r="O13" i="4" s="1"/>
  <c r="N13" i="4" a="1"/>
  <c r="N13" i="4" s="1"/>
  <c r="R13" i="4" s="1"/>
  <c r="M13" i="4"/>
  <c r="Q12" i="4" a="1"/>
  <c r="Q12" i="4" s="1"/>
  <c r="P12" i="4" a="1"/>
  <c r="P12" i="4" s="1"/>
  <c r="O12" i="4"/>
  <c r="O12" i="4" a="1"/>
  <c r="N12" i="4" a="1"/>
  <c r="N12" i="4" s="1"/>
  <c r="R12" i="4" s="1"/>
  <c r="M12" i="4"/>
  <c r="Q11" i="4"/>
  <c r="Q11" i="4" a="1"/>
  <c r="P11" i="4" a="1"/>
  <c r="P11" i="4" s="1"/>
  <c r="O11" i="4" a="1"/>
  <c r="O11" i="4" s="1"/>
  <c r="N11" i="4" a="1"/>
  <c r="N11" i="4" s="1"/>
  <c r="R11" i="4" s="1"/>
  <c r="M11" i="4"/>
  <c r="Q10" i="4"/>
  <c r="Q10" i="4" a="1"/>
  <c r="P10" i="4" a="1"/>
  <c r="P10" i="4" s="1"/>
  <c r="O10" i="4" a="1"/>
  <c r="O10" i="4" s="1"/>
  <c r="N10" i="4"/>
  <c r="N10" i="4" a="1"/>
  <c r="M10" i="4"/>
  <c r="Q9" i="4" a="1"/>
  <c r="Q9" i="4" s="1"/>
  <c r="P9" i="4"/>
  <c r="P9" i="4" a="1"/>
  <c r="O9" i="4" a="1"/>
  <c r="O9" i="4" s="1"/>
  <c r="N9" i="4" a="1"/>
  <c r="N9" i="4" s="1"/>
  <c r="M9" i="4"/>
  <c r="Q8" i="4" a="1"/>
  <c r="Q8" i="4" s="1"/>
  <c r="P8" i="4"/>
  <c r="P8" i="4" a="1"/>
  <c r="O8" i="4" a="1"/>
  <c r="O8" i="4" s="1"/>
  <c r="N8" i="4" a="1"/>
  <c r="N8" i="4" s="1"/>
  <c r="M8" i="4"/>
  <c r="Q7" i="4" a="1"/>
  <c r="Q7" i="4" s="1"/>
  <c r="P7" i="4" a="1"/>
  <c r="P7" i="4" s="1"/>
  <c r="O7" i="4"/>
  <c r="O7" i="4" a="1"/>
  <c r="N7" i="4" a="1"/>
  <c r="N7" i="4" s="1"/>
  <c r="M7" i="4"/>
  <c r="Q6" i="4" a="1"/>
  <c r="Q6" i="4" s="1"/>
  <c r="P6" i="4" a="1"/>
  <c r="P6" i="4" s="1"/>
  <c r="O6" i="4"/>
  <c r="O6" i="4" a="1"/>
  <c r="N6" i="4" a="1"/>
  <c r="N6" i="4" s="1"/>
  <c r="M6" i="4"/>
  <c r="N56" i="4" s="1"/>
  <c r="Q5" i="4" a="1"/>
  <c r="Q5" i="4" s="1"/>
  <c r="P5" i="4" a="1"/>
  <c r="P5" i="4" s="1"/>
  <c r="O5" i="4" a="1"/>
  <c r="O5" i="4" s="1"/>
  <c r="R5" i="4" s="1"/>
  <c r="N5" i="4"/>
  <c r="N5" i="4" a="1"/>
  <c r="M5" i="4"/>
  <c r="O56" i="4" s="1"/>
  <c r="X73" i="3"/>
  <c r="V73" i="3"/>
  <c r="T73" i="3"/>
  <c r="R73" i="3"/>
  <c r="P73" i="3"/>
  <c r="N73" i="3"/>
  <c r="L73" i="3"/>
  <c r="J73" i="3"/>
  <c r="H73" i="3"/>
  <c r="F73" i="3"/>
  <c r="D73" i="3"/>
  <c r="X72" i="3"/>
  <c r="V72" i="3"/>
  <c r="T72" i="3"/>
  <c r="R72" i="3"/>
  <c r="P72" i="3"/>
  <c r="N72" i="3"/>
  <c r="L72" i="3"/>
  <c r="J72" i="3"/>
  <c r="H72" i="3"/>
  <c r="F72" i="3"/>
  <c r="D72" i="3"/>
  <c r="X71" i="3"/>
  <c r="V71" i="3"/>
  <c r="T71" i="3"/>
  <c r="R71" i="3"/>
  <c r="P71" i="3"/>
  <c r="N71" i="3"/>
  <c r="L71" i="3"/>
  <c r="J71" i="3"/>
  <c r="H71" i="3"/>
  <c r="F71" i="3"/>
  <c r="D71" i="3"/>
  <c r="X70" i="3"/>
  <c r="V70" i="3"/>
  <c r="T70" i="3"/>
  <c r="R70" i="3"/>
  <c r="P70" i="3"/>
  <c r="N70" i="3"/>
  <c r="L70" i="3"/>
  <c r="J70" i="3"/>
  <c r="H70" i="3"/>
  <c r="F70" i="3"/>
  <c r="D70" i="3"/>
  <c r="E66" i="3"/>
  <c r="D66" i="3"/>
  <c r="E65" i="3"/>
  <c r="D65" i="3"/>
  <c r="E64" i="3"/>
  <c r="D64" i="3"/>
  <c r="E63" i="3"/>
  <c r="D63" i="3"/>
  <c r="E62" i="3"/>
  <c r="D62" i="3"/>
  <c r="E61" i="3"/>
  <c r="D61" i="3"/>
  <c r="E60" i="3"/>
  <c r="D60" i="3"/>
  <c r="E59" i="3"/>
  <c r="D59" i="3"/>
  <c r="E58" i="3"/>
  <c r="D58" i="3"/>
  <c r="E57" i="3"/>
  <c r="D57" i="3"/>
  <c r="E56" i="3"/>
  <c r="D56" i="3"/>
  <c r="E55" i="3"/>
  <c r="D55" i="3"/>
  <c r="E54" i="3"/>
  <c r="D54" i="3"/>
  <c r="E53" i="3"/>
  <c r="D53" i="3"/>
  <c r="E52" i="3"/>
  <c r="D52" i="3"/>
  <c r="E51" i="3"/>
  <c r="D51" i="3"/>
  <c r="E50" i="3"/>
  <c r="D50" i="3"/>
  <c r="Q49" i="3"/>
  <c r="E49" i="3"/>
  <c r="D49" i="3"/>
  <c r="Q48" i="3"/>
  <c r="E48" i="3"/>
  <c r="D48" i="3"/>
  <c r="Q47" i="3"/>
  <c r="E47" i="3"/>
  <c r="D47" i="3"/>
  <c r="Q46" i="3"/>
  <c r="E46" i="3"/>
  <c r="D46" i="3"/>
  <c r="E45" i="3"/>
  <c r="D45" i="3"/>
  <c r="E44" i="3"/>
  <c r="D44" i="3"/>
  <c r="E43" i="3"/>
  <c r="D43" i="3"/>
  <c r="E42" i="3"/>
  <c r="D42" i="3"/>
  <c r="T41" i="3"/>
  <c r="S41" i="3"/>
  <c r="Q41" i="3"/>
  <c r="E41" i="3"/>
  <c r="D41" i="3"/>
  <c r="S40" i="3"/>
  <c r="R40" i="3"/>
  <c r="Q40" i="3"/>
  <c r="E40" i="3"/>
  <c r="D40" i="3"/>
  <c r="T39" i="3"/>
  <c r="S39" i="3"/>
  <c r="R39" i="3"/>
  <c r="Q39" i="3"/>
  <c r="E39" i="3"/>
  <c r="D39" i="3"/>
  <c r="T38" i="3"/>
  <c r="P38" i="3" s="1"/>
  <c r="S38" i="3"/>
  <c r="R38" i="3"/>
  <c r="Q38" i="3"/>
  <c r="E38" i="3"/>
  <c r="D38" i="3"/>
  <c r="E37" i="3"/>
  <c r="D37" i="3"/>
  <c r="I33" i="3"/>
  <c r="H33" i="3"/>
  <c r="G33" i="3"/>
  <c r="F33" i="3"/>
  <c r="I32" i="3"/>
  <c r="G32" i="3"/>
  <c r="F32" i="3"/>
  <c r="I31" i="3"/>
  <c r="G31" i="3"/>
  <c r="F31" i="3"/>
  <c r="I30" i="3"/>
  <c r="H30" i="3"/>
  <c r="G30" i="3"/>
  <c r="F30" i="3"/>
  <c r="I29" i="3"/>
  <c r="H29" i="3"/>
  <c r="G29" i="3"/>
  <c r="F29" i="3"/>
  <c r="I28" i="3"/>
  <c r="H28" i="3"/>
  <c r="G28" i="3"/>
  <c r="F28" i="3"/>
  <c r="I27" i="3"/>
  <c r="H27" i="3"/>
  <c r="G27" i="3"/>
  <c r="F27" i="3"/>
  <c r="I26" i="3"/>
  <c r="H26" i="3"/>
  <c r="G26" i="3"/>
  <c r="F26" i="3"/>
  <c r="I25" i="3"/>
  <c r="H25" i="3"/>
  <c r="G25" i="3"/>
  <c r="F25" i="3"/>
  <c r="P24" i="3"/>
  <c r="I24" i="3"/>
  <c r="H24" i="3"/>
  <c r="G24" i="3"/>
  <c r="F24" i="3"/>
  <c r="Q23" i="3" a="1"/>
  <c r="Q23" i="3" s="1"/>
  <c r="I23" i="3"/>
  <c r="H23" i="3"/>
  <c r="F23" i="3"/>
  <c r="Q22" i="3" a="1"/>
  <c r="Q22" i="3" s="1"/>
  <c r="I22" i="3"/>
  <c r="H22" i="3"/>
  <c r="G22" i="3"/>
  <c r="F22" i="3"/>
  <c r="Q21" i="3"/>
  <c r="Q21" i="3" a="1"/>
  <c r="I21" i="3"/>
  <c r="H21" i="3"/>
  <c r="G21" i="3"/>
  <c r="F21" i="3"/>
  <c r="Q20" i="3" a="1"/>
  <c r="Q20" i="3" s="1"/>
  <c r="I20" i="3"/>
  <c r="H20" i="3"/>
  <c r="G20" i="3"/>
  <c r="F20" i="3"/>
  <c r="I19" i="3"/>
  <c r="H19" i="3"/>
  <c r="G19" i="3"/>
  <c r="F19" i="3"/>
  <c r="I18" i="3"/>
  <c r="G18" i="3"/>
  <c r="F18" i="3"/>
  <c r="I17" i="3"/>
  <c r="H17" i="3"/>
  <c r="G17" i="3"/>
  <c r="F17" i="3"/>
  <c r="I16" i="3"/>
  <c r="H16" i="3"/>
  <c r="G16" i="3"/>
  <c r="F16" i="3"/>
  <c r="I15" i="3"/>
  <c r="G15" i="3"/>
  <c r="F15" i="3"/>
  <c r="I14" i="3"/>
  <c r="H14" i="3"/>
  <c r="G14" i="3"/>
  <c r="F14" i="3"/>
  <c r="I13" i="3"/>
  <c r="H13" i="3"/>
  <c r="G13" i="3"/>
  <c r="F13" i="3"/>
  <c r="I12" i="3"/>
  <c r="H12" i="3"/>
  <c r="G12" i="3"/>
  <c r="F12" i="3"/>
  <c r="I11" i="3"/>
  <c r="H11" i="3"/>
  <c r="G11" i="3"/>
  <c r="F11" i="3"/>
  <c r="I10" i="3"/>
  <c r="H10" i="3"/>
  <c r="F10" i="3"/>
  <c r="I9" i="3"/>
  <c r="H9" i="3"/>
  <c r="G9" i="3"/>
  <c r="F9" i="3"/>
  <c r="I8" i="3"/>
  <c r="G8" i="3"/>
  <c r="F8" i="3"/>
  <c r="I7" i="3"/>
  <c r="G7" i="3"/>
  <c r="F7" i="3"/>
  <c r="I6" i="3"/>
  <c r="H6" i="3"/>
  <c r="F6" i="3"/>
  <c r="I5" i="3"/>
  <c r="H5" i="3"/>
  <c r="G5" i="3"/>
  <c r="F5" i="3"/>
  <c r="I4" i="3"/>
  <c r="H4" i="3"/>
  <c r="G4" i="3"/>
  <c r="F4" i="3"/>
  <c r="E91" i="2"/>
  <c r="D91" i="2"/>
  <c r="E90" i="2"/>
  <c r="D90" i="2"/>
  <c r="E89" i="2"/>
  <c r="D89" i="2"/>
  <c r="E88" i="2"/>
  <c r="D88" i="2"/>
  <c r="E87" i="2"/>
  <c r="D87" i="2"/>
  <c r="E86" i="2"/>
  <c r="D86" i="2"/>
  <c r="J70" i="2"/>
  <c r="K70" i="2" s="1"/>
  <c r="L70" i="2" s="1"/>
  <c r="J69" i="2"/>
  <c r="K69" i="2" s="1"/>
  <c r="L69" i="2" s="1"/>
  <c r="J68" i="2"/>
  <c r="K68" i="2" s="1"/>
  <c r="L68" i="2" s="1"/>
  <c r="J67" i="2"/>
  <c r="K67" i="2" s="1"/>
  <c r="L67" i="2" s="1"/>
  <c r="D61" i="2"/>
  <c r="E61" i="2" s="1"/>
  <c r="E60" i="2"/>
  <c r="D59" i="2"/>
  <c r="E59" i="2" s="1"/>
  <c r="E58" i="2"/>
  <c r="D58" i="2"/>
  <c r="C45" i="2"/>
  <c r="D44" i="2" a="1"/>
  <c r="D44" i="2" s="1"/>
  <c r="D43" i="2" a="1"/>
  <c r="D43" i="2" s="1"/>
  <c r="D42" i="2" a="1"/>
  <c r="D42" i="2" s="1"/>
  <c r="D41" i="2" a="1"/>
  <c r="D41" i="2" s="1"/>
  <c r="J23" i="2"/>
  <c r="Y17" i="7" l="1"/>
  <c r="Y15" i="7"/>
  <c r="Y13" i="7"/>
  <c r="Y11" i="7"/>
  <c r="Y9" i="7"/>
  <c r="Y7" i="7"/>
  <c r="Y5" i="7"/>
  <c r="Z5" i="7" a="1"/>
  <c r="Z5" i="7" s="1"/>
  <c r="Z6" i="7" a="1"/>
  <c r="Z6" i="7" s="1"/>
  <c r="Z7" i="7" a="1"/>
  <c r="Z7" i="7" s="1"/>
  <c r="Z8" i="7" a="1"/>
  <c r="Z8" i="7" s="1"/>
  <c r="Z9" i="7" a="1"/>
  <c r="Z9" i="7" s="1"/>
  <c r="Z10" i="7" a="1"/>
  <c r="Z10" i="7" s="1"/>
  <c r="Z11" i="7" a="1"/>
  <c r="Z11" i="7" s="1"/>
  <c r="Z12" i="7" a="1"/>
  <c r="Z12" i="7" s="1"/>
  <c r="Z13" i="7" a="1"/>
  <c r="Z13" i="7" s="1"/>
  <c r="Z14" i="7" a="1"/>
  <c r="Z14" i="7" s="1"/>
  <c r="Z15" i="7" a="1"/>
  <c r="Z15" i="7" s="1"/>
  <c r="Z16" i="7" a="1"/>
  <c r="Z16" i="7" s="1"/>
  <c r="Z17" i="7" a="1"/>
  <c r="Z17" i="7" s="1"/>
  <c r="Z18" i="7" a="1"/>
  <c r="Z18" i="7" s="1"/>
  <c r="Z19" i="7" a="1"/>
  <c r="Z19" i="7" s="1"/>
  <c r="Z20" i="7" a="1"/>
  <c r="Z20" i="7" s="1"/>
  <c r="Z21" i="7" a="1"/>
  <c r="Z21" i="7" s="1"/>
  <c r="Z22" i="7" a="1"/>
  <c r="Z22" i="7" s="1"/>
  <c r="Z23" i="7" a="1"/>
  <c r="Z23" i="7" s="1"/>
  <c r="Z24" i="7" a="1"/>
  <c r="Z24" i="7" s="1"/>
  <c r="Z25" i="7" a="1"/>
  <c r="Z25" i="7" s="1"/>
  <c r="Z26" i="7" a="1"/>
  <c r="Z26" i="7" s="1"/>
  <c r="Z27" i="7" a="1"/>
  <c r="Z27" i="7" s="1"/>
  <c r="Z28" i="7" a="1"/>
  <c r="Z28" i="7" s="1"/>
  <c r="Z29" i="7" a="1"/>
  <c r="Z29" i="7" s="1"/>
  <c r="Z30" i="7" a="1"/>
  <c r="Z30" i="7" s="1"/>
  <c r="Z31" i="7" a="1"/>
  <c r="Z31" i="7" s="1"/>
  <c r="Z32" i="7" a="1"/>
  <c r="Z32" i="7" s="1"/>
  <c r="Z33" i="7" a="1"/>
  <c r="Z33" i="7" s="1"/>
  <c r="Z34" i="7" a="1"/>
  <c r="Z34" i="7" s="1"/>
  <c r="T40" i="3"/>
  <c r="P40" i="3" s="1"/>
  <c r="T74" i="3"/>
  <c r="X74" i="3"/>
  <c r="P39" i="3"/>
  <c r="F74" i="3"/>
  <c r="H74" i="3"/>
  <c r="N74" i="3"/>
  <c r="P26" i="6"/>
  <c r="P5" i="6"/>
  <c r="J38" i="6"/>
  <c r="K38" i="6" s="1"/>
  <c r="S46" i="3" s="1"/>
  <c r="P31" i="6"/>
  <c r="Q5" i="6"/>
  <c r="Q17" i="6"/>
  <c r="Q29" i="6"/>
  <c r="Q16" i="6"/>
  <c r="Q28" i="6"/>
  <c r="Q7" i="6"/>
  <c r="Q19" i="6"/>
  <c r="Q31" i="6"/>
  <c r="Q15" i="6"/>
  <c r="Q27" i="6"/>
  <c r="Q8" i="6"/>
  <c r="Q14" i="6"/>
  <c r="Q26" i="6"/>
  <c r="Q13" i="6"/>
  <c r="Q25" i="6"/>
  <c r="Q12" i="6"/>
  <c r="Q24" i="6"/>
  <c r="Q32" i="6"/>
  <c r="Q11" i="6"/>
  <c r="Q23" i="6"/>
  <c r="Q20" i="6"/>
  <c r="Q10" i="6"/>
  <c r="Q22" i="6"/>
  <c r="Q34" i="6"/>
  <c r="Q9" i="6"/>
  <c r="Q21" i="6"/>
  <c r="Q33" i="6"/>
  <c r="Q6" i="6"/>
  <c r="Q18" i="6"/>
  <c r="Q30" i="6"/>
  <c r="P21" i="6"/>
  <c r="P8" i="6"/>
  <c r="P29" i="6"/>
  <c r="P14" i="6"/>
  <c r="P34" i="6"/>
  <c r="P19" i="6"/>
  <c r="P11" i="6"/>
  <c r="P9" i="6"/>
  <c r="P30" i="6"/>
  <c r="P32" i="6"/>
  <c r="P17" i="6"/>
  <c r="P22" i="6"/>
  <c r="P33" i="6"/>
  <c r="P20" i="6"/>
  <c r="P12" i="6"/>
  <c r="P74" i="3"/>
  <c r="R74" i="3"/>
  <c r="P25" i="6"/>
  <c r="L74" i="3"/>
  <c r="R10" i="5"/>
  <c r="R25" i="5"/>
  <c r="R28" i="5"/>
  <c r="R33" i="5"/>
  <c r="R31" i="5"/>
  <c r="R23" i="5"/>
  <c r="R20" i="5"/>
  <c r="R18" i="5"/>
  <c r="R13" i="5"/>
  <c r="R8" i="5"/>
  <c r="R6" i="5"/>
  <c r="R16" i="5"/>
  <c r="R15" i="5"/>
  <c r="R34" i="5"/>
  <c r="R26" i="5"/>
  <c r="R24" i="5"/>
  <c r="R29" i="5"/>
  <c r="R19" i="5"/>
  <c r="R14" i="5"/>
  <c r="R12" i="5"/>
  <c r="R7" i="5"/>
  <c r="R21" i="5"/>
  <c r="R9" i="5"/>
  <c r="R22" i="5"/>
  <c r="R27" i="5"/>
  <c r="R17" i="5"/>
  <c r="R5" i="5"/>
  <c r="K44" i="5"/>
  <c r="L44" i="5" s="1"/>
  <c r="R47" i="3" s="1"/>
  <c r="R32" i="5"/>
  <c r="K22" i="3"/>
  <c r="K33" i="3"/>
  <c r="L33" i="3" s="1" a="1"/>
  <c r="L33" i="3" s="1"/>
  <c r="D74" i="3"/>
  <c r="J74" i="3"/>
  <c r="O56" i="5"/>
  <c r="N56" i="5"/>
  <c r="K46" i="5"/>
  <c r="L46" i="5" s="1"/>
  <c r="R49" i="3" s="1"/>
  <c r="R11" i="5"/>
  <c r="V74" i="3"/>
  <c r="P41" i="3"/>
  <c r="R7" i="4"/>
  <c r="R9" i="4"/>
  <c r="R15" i="4"/>
  <c r="R19" i="4"/>
  <c r="R21" i="4"/>
  <c r="R27" i="4"/>
  <c r="R31" i="4"/>
  <c r="R33" i="4"/>
  <c r="S32" i="4"/>
  <c r="S20" i="4"/>
  <c r="S8" i="4"/>
  <c r="S9" i="4"/>
  <c r="S10" i="4"/>
  <c r="S34" i="4"/>
  <c r="S22" i="4"/>
  <c r="S23" i="4"/>
  <c r="S11" i="4"/>
  <c r="S24" i="4"/>
  <c r="S12" i="4"/>
  <c r="S25" i="4"/>
  <c r="S13" i="4"/>
  <c r="S30" i="4"/>
  <c r="S18" i="4"/>
  <c r="S6" i="4"/>
  <c r="S26" i="4"/>
  <c r="S14" i="4"/>
  <c r="S28" i="4"/>
  <c r="S27" i="4"/>
  <c r="S15" i="4"/>
  <c r="S16" i="4"/>
  <c r="S17" i="4"/>
  <c r="S29" i="4"/>
  <c r="S5" i="4"/>
  <c r="S31" i="4"/>
  <c r="S19" i="4"/>
  <c r="S7" i="4"/>
  <c r="S33" i="4"/>
  <c r="S21" i="4"/>
  <c r="R6" i="4"/>
  <c r="R8" i="4"/>
  <c r="R14" i="4"/>
  <c r="R16" i="4"/>
  <c r="R18" i="4"/>
  <c r="R20" i="4"/>
  <c r="R26" i="4"/>
  <c r="R28" i="4"/>
  <c r="R30" i="4"/>
  <c r="R32" i="4"/>
  <c r="R10" i="4"/>
  <c r="R22" i="4"/>
  <c r="R34" i="4"/>
  <c r="K43" i="4"/>
  <c r="L43" i="4" s="1"/>
  <c r="E37" i="4"/>
  <c r="K44" i="4"/>
  <c r="L44" i="4" s="1"/>
  <c r="K45" i="4"/>
  <c r="L45" i="4" s="1"/>
  <c r="K46" i="4"/>
  <c r="L46" i="4" s="1"/>
  <c r="L22" i="3" a="1"/>
  <c r="L22" i="3" s="1"/>
  <c r="K23" i="3"/>
  <c r="K31" i="3"/>
  <c r="K28" i="3"/>
  <c r="K25" i="3"/>
  <c r="K11" i="3"/>
  <c r="K8" i="3"/>
  <c r="K13" i="3"/>
  <c r="K10" i="3"/>
  <c r="K7" i="3"/>
  <c r="K20" i="3"/>
  <c r="K17" i="3"/>
  <c r="K14" i="3"/>
  <c r="K5" i="3"/>
  <c r="K30" i="3"/>
  <c r="K27" i="3"/>
  <c r="K24" i="3"/>
  <c r="K19" i="3"/>
  <c r="K16" i="3"/>
  <c r="K4" i="3"/>
  <c r="K6" i="3"/>
  <c r="K9" i="3"/>
  <c r="K12" i="3"/>
  <c r="K15" i="3"/>
  <c r="K21" i="3"/>
  <c r="K26" i="3"/>
  <c r="K29" i="3"/>
  <c r="K32" i="3"/>
  <c r="K18" i="3"/>
  <c r="O38" i="6"/>
  <c r="P38" i="6" s="1"/>
  <c r="O39" i="6"/>
  <c r="O40" i="6"/>
  <c r="P40" i="6" s="1"/>
  <c r="O41" i="6"/>
  <c r="P41" i="6" s="1"/>
  <c r="D40" i="5"/>
  <c r="D39" i="5"/>
  <c r="D37" i="5"/>
  <c r="J40" i="6" l="1"/>
  <c r="K40" i="6" s="1"/>
  <c r="S48" i="3" s="1"/>
  <c r="H37" i="3"/>
  <c r="P39" i="6"/>
  <c r="J41" i="6"/>
  <c r="K41" i="6" s="1"/>
  <c r="S49" i="3" s="1"/>
  <c r="J39" i="6"/>
  <c r="K39" i="6" s="1"/>
  <c r="S47" i="3" s="1"/>
  <c r="K45" i="5"/>
  <c r="L45" i="5" s="1"/>
  <c r="R48" i="3" s="1"/>
  <c r="H61" i="3"/>
  <c r="E40" i="5"/>
  <c r="K43" i="5"/>
  <c r="L43" i="5" s="1"/>
  <c r="R46" i="3" s="1"/>
  <c r="H49" i="3"/>
  <c r="H59" i="3"/>
  <c r="S15" i="5"/>
  <c r="S27" i="5"/>
  <c r="S29" i="5"/>
  <c r="S14" i="5"/>
  <c r="S26" i="5"/>
  <c r="S13" i="5"/>
  <c r="S25" i="5"/>
  <c r="S12" i="5"/>
  <c r="S24" i="5"/>
  <c r="S11" i="5"/>
  <c r="S23" i="5"/>
  <c r="S10" i="5"/>
  <c r="S22" i="5"/>
  <c r="S34" i="5"/>
  <c r="S17" i="5"/>
  <c r="S9" i="5"/>
  <c r="S21" i="5"/>
  <c r="S33" i="5"/>
  <c r="S5" i="5"/>
  <c r="S8" i="5"/>
  <c r="S20" i="5"/>
  <c r="S32" i="5"/>
  <c r="S7" i="5"/>
  <c r="S19" i="5"/>
  <c r="S31" i="5"/>
  <c r="S6" i="5"/>
  <c r="S18" i="5"/>
  <c r="S30" i="5"/>
  <c r="S16" i="5"/>
  <c r="S28" i="5"/>
  <c r="H63" i="3"/>
  <c r="H57" i="3"/>
  <c r="E37" i="5"/>
  <c r="H64" i="3"/>
  <c r="H60" i="3"/>
  <c r="H54" i="3"/>
  <c r="E39" i="5"/>
  <c r="H55" i="3"/>
  <c r="H48" i="3"/>
  <c r="H52" i="3"/>
  <c r="H56" i="3"/>
  <c r="H38" i="3"/>
  <c r="L30" i="3" a="1"/>
  <c r="L30" i="3" s="1"/>
  <c r="L5" i="3" a="1"/>
  <c r="L5" i="3" s="1"/>
  <c r="L6" i="3" a="1"/>
  <c r="L6" i="3" s="1"/>
  <c r="L10" i="3" a="1"/>
  <c r="L10" i="3" s="1"/>
  <c r="L29" i="3" a="1"/>
  <c r="L29" i="3" s="1"/>
  <c r="L23" i="3" a="1"/>
  <c r="L23" i="3" s="1"/>
  <c r="L14" i="3" a="1"/>
  <c r="L14" i="3" s="1"/>
  <c r="L13" i="3" a="1"/>
  <c r="L13" i="3" s="1"/>
  <c r="L8" i="3" a="1"/>
  <c r="L8" i="3" s="1"/>
  <c r="L24" i="3" a="1"/>
  <c r="L24" i="3" s="1"/>
  <c r="L31" i="3" a="1"/>
  <c r="L31" i="3" s="1"/>
  <c r="L26" i="3" a="1"/>
  <c r="L26" i="3" s="1"/>
  <c r="L21" i="3" a="1"/>
  <c r="L21" i="3" s="1"/>
  <c r="U32" i="3"/>
  <c r="T32" i="3"/>
  <c r="M6" i="3" s="1"/>
  <c r="L4" i="3" a="1"/>
  <c r="L4" i="3" s="1"/>
  <c r="L16" i="3" a="1"/>
  <c r="L16" i="3" s="1"/>
  <c r="L19" i="3" a="1"/>
  <c r="L19" i="3" s="1"/>
  <c r="L11" i="3" a="1"/>
  <c r="L11" i="3" s="1"/>
  <c r="L18" i="3" a="1"/>
  <c r="L18" i="3" s="1"/>
  <c r="L25" i="3" a="1"/>
  <c r="L25" i="3" s="1"/>
  <c r="L32" i="3" a="1"/>
  <c r="L32" i="3" s="1"/>
  <c r="L27" i="3" a="1"/>
  <c r="L27" i="3" s="1"/>
  <c r="L28" i="3" a="1"/>
  <c r="L28" i="3" s="1"/>
  <c r="L15" i="3" a="1"/>
  <c r="L15" i="3" s="1"/>
  <c r="L17" i="3" a="1"/>
  <c r="L17" i="3" s="1"/>
  <c r="L12" i="3" a="1"/>
  <c r="L12" i="3" s="1"/>
  <c r="L20" i="3" a="1"/>
  <c r="L20" i="3" s="1"/>
  <c r="L9" i="3" a="1"/>
  <c r="L9" i="3" s="1"/>
  <c r="L7" i="3" a="1"/>
  <c r="L7" i="3" s="1"/>
  <c r="D49" i="7"/>
  <c r="I43" i="3" s="1"/>
  <c r="D48" i="7"/>
  <c r="D47" i="7" l="1"/>
  <c r="I48" i="3"/>
  <c r="I66" i="3"/>
  <c r="R39" i="7"/>
  <c r="S39" i="7" s="1"/>
  <c r="E48" i="7"/>
  <c r="I37" i="3"/>
  <c r="H90" i="2"/>
  <c r="H88" i="2"/>
  <c r="I56" i="3"/>
  <c r="I55" i="3"/>
  <c r="H65" i="3"/>
  <c r="I90" i="2"/>
  <c r="I50" i="3"/>
  <c r="H86" i="2"/>
  <c r="H58" i="3"/>
  <c r="H39" i="3"/>
  <c r="H45" i="3"/>
  <c r="E49" i="7"/>
  <c r="S40" i="7"/>
  <c r="P49" i="3" s="1"/>
  <c r="T49" i="3" s="1"/>
  <c r="R40" i="7"/>
  <c r="I58" i="3"/>
  <c r="I49" i="3"/>
  <c r="H62" i="3"/>
  <c r="I44" i="3"/>
  <c r="H66" i="3"/>
  <c r="I61" i="3"/>
  <c r="I86" i="2"/>
  <c r="I57" i="3"/>
  <c r="H44" i="3"/>
  <c r="H42" i="3"/>
  <c r="H41" i="3"/>
  <c r="I53" i="3"/>
  <c r="I40" i="3"/>
  <c r="I62" i="3"/>
  <c r="I59" i="3"/>
  <c r="I87" i="2"/>
  <c r="H46" i="3"/>
  <c r="H51" i="3"/>
  <c r="I54" i="3"/>
  <c r="I42" i="3"/>
  <c r="H53" i="3"/>
  <c r="I65" i="3"/>
  <c r="I47" i="3"/>
  <c r="I45" i="3"/>
  <c r="I89" i="2"/>
  <c r="H87" i="2"/>
  <c r="I52" i="3"/>
  <c r="I46" i="3"/>
  <c r="I60" i="3"/>
  <c r="I64" i="3"/>
  <c r="I88" i="2"/>
  <c r="I91" i="2"/>
  <c r="H89" i="2"/>
  <c r="H50" i="3"/>
  <c r="I51" i="3"/>
  <c r="D46" i="7"/>
  <c r="I38" i="3"/>
  <c r="H43" i="3"/>
  <c r="H91" i="2"/>
  <c r="I63" i="3"/>
  <c r="H47" i="3"/>
  <c r="I39" i="3"/>
  <c r="I41" i="3"/>
  <c r="H40" i="3"/>
  <c r="M25" i="3"/>
  <c r="M30" i="3"/>
  <c r="M18" i="3"/>
  <c r="M11" i="3"/>
  <c r="M23" i="3"/>
  <c r="M28" i="3"/>
  <c r="M31" i="3"/>
  <c r="M19" i="3"/>
  <c r="M24" i="3"/>
  <c r="M21" i="3"/>
  <c r="M15" i="3"/>
  <c r="M26" i="3"/>
  <c r="M7" i="3"/>
  <c r="M29" i="3"/>
  <c r="M9" i="3"/>
  <c r="M27" i="3"/>
  <c r="M16" i="3"/>
  <c r="M10" i="3"/>
  <c r="M17" i="3"/>
  <c r="M14" i="3"/>
  <c r="M20" i="3"/>
  <c r="M4" i="3"/>
  <c r="M8" i="3"/>
  <c r="M32" i="3"/>
  <c r="M33" i="3"/>
  <c r="M22" i="3"/>
  <c r="M13" i="3"/>
  <c r="M5" i="3"/>
  <c r="M12" i="3"/>
  <c r="P48" i="3" l="1"/>
  <c r="T48" i="3" s="1"/>
  <c r="E46" i="7"/>
  <c r="F45" i="3"/>
  <c r="R37" i="7"/>
  <c r="S37" i="7" s="1"/>
  <c r="F47" i="3"/>
  <c r="F57" i="3"/>
  <c r="F89" i="2"/>
  <c r="F43" i="3"/>
  <c r="F90" i="2"/>
  <c r="F87" i="2"/>
  <c r="F39" i="3"/>
  <c r="F40" i="3"/>
  <c r="F56" i="3"/>
  <c r="F86" i="2"/>
  <c r="F44" i="3"/>
  <c r="F53" i="3"/>
  <c r="F88" i="2"/>
  <c r="F42" i="3"/>
  <c r="F64" i="3"/>
  <c r="F41" i="3"/>
  <c r="F63" i="3"/>
  <c r="F59" i="3"/>
  <c r="F50" i="3"/>
  <c r="F46" i="3"/>
  <c r="F66" i="3"/>
  <c r="F65" i="3"/>
  <c r="F49" i="3"/>
  <c r="F51" i="3"/>
  <c r="F58" i="3"/>
  <c r="F37" i="3"/>
  <c r="F62" i="3"/>
  <c r="F48" i="3"/>
  <c r="F60" i="3"/>
  <c r="F54" i="3"/>
  <c r="F55" i="3"/>
  <c r="F52" i="3"/>
  <c r="F61" i="3"/>
  <c r="F91" i="2"/>
  <c r="F38" i="3"/>
  <c r="E47" i="7"/>
  <c r="S38" i="7"/>
  <c r="R38" i="7"/>
  <c r="G42" i="3"/>
  <c r="G57" i="3"/>
  <c r="G44" i="3"/>
  <c r="G54" i="3"/>
  <c r="G53" i="3"/>
  <c r="G51" i="3"/>
  <c r="G49" i="3"/>
  <c r="G58" i="3"/>
  <c r="G61" i="3"/>
  <c r="G62" i="3"/>
  <c r="G50" i="3"/>
  <c r="G88" i="2"/>
  <c r="G86" i="2"/>
  <c r="G64" i="3"/>
  <c r="G55" i="3"/>
  <c r="G52" i="3"/>
  <c r="G45" i="3"/>
  <c r="G48" i="3"/>
  <c r="G66" i="3"/>
  <c r="G60" i="3"/>
  <c r="G65" i="3"/>
  <c r="G87" i="2"/>
  <c r="G90" i="2"/>
  <c r="G41" i="3"/>
  <c r="G63" i="3"/>
  <c r="G47" i="3"/>
  <c r="G56" i="3"/>
  <c r="G46" i="3"/>
  <c r="G37" i="3"/>
  <c r="G38" i="3"/>
  <c r="G40" i="3"/>
  <c r="G91" i="2"/>
  <c r="G39" i="3"/>
  <c r="G43" i="3"/>
  <c r="G89" i="2"/>
  <c r="G59" i="3"/>
  <c r="P46" i="3" l="1"/>
  <c r="T46" i="3" s="1"/>
  <c r="P47" i="3"/>
  <c r="T47"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K67" authorId="0" shapeId="0" xr:uid="{C6843378-FEC2-4B75-8755-4FBD62BA3E58}">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67" authorId="0" shapeId="0" xr:uid="{E04BAA02-D9B1-4D0B-9DB4-47E7B9F2341D}">
      <text>
        <r>
          <rPr>
            <b/>
            <sz val="9"/>
            <color indexed="81"/>
            <rFont val="Tahoma"/>
            <family val="2"/>
            <charset val="162"/>
          </rPr>
          <t>Alperen:</t>
        </r>
        <r>
          <rPr>
            <sz val="9"/>
            <color indexed="81"/>
            <rFont val="Tahoma"/>
            <family val="2"/>
            <charset val="162"/>
          </rPr>
          <t xml:space="preserve">
MIDTERM TOTAL DÇ * DERS ÇIKTISI KATSAYISI= TOTAL CONTRIBUTION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K43" authorId="0" shapeId="0" xr:uid="{4D1F6C66-871C-4FD5-96F7-0DA289B380E7}">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43" authorId="0" shapeId="0" xr:uid="{F51B2159-241F-45C5-86AD-0B81AE773042}">
      <text>
        <r>
          <rPr>
            <b/>
            <sz val="9"/>
            <color indexed="81"/>
            <rFont val="Tahoma"/>
            <family val="2"/>
            <charset val="162"/>
          </rPr>
          <t>Alperen:</t>
        </r>
        <r>
          <rPr>
            <sz val="9"/>
            <color indexed="81"/>
            <rFont val="Tahoma"/>
            <family val="2"/>
            <charset val="162"/>
          </rPr>
          <t xml:space="preserve">
MIDTERM TOTAL DÇ * DERS ÇIKTISI KATSAYISI= TOTAL CONTRIBUTION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K43" authorId="0" shapeId="0" xr:uid="{C3BC60A0-7A80-4B52-8BF5-629B0B7D372E}">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43" authorId="0" shapeId="0" xr:uid="{80B35943-8F8B-435E-BE97-BCE284F4ABE2}">
      <text>
        <r>
          <rPr>
            <b/>
            <sz val="9"/>
            <color indexed="81"/>
            <rFont val="Tahoma"/>
            <family val="2"/>
            <charset val="162"/>
          </rPr>
          <t>Alperen:</t>
        </r>
        <r>
          <rPr>
            <sz val="9"/>
            <color indexed="81"/>
            <rFont val="Tahoma"/>
            <family val="2"/>
            <charset val="162"/>
          </rPr>
          <t xml:space="preserve">
MIDTERM TOTAL DÇ * DERS ÇIKTISI KATSAYISI= TOTAL CONTRIBUTION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J38" authorId="0" shapeId="0" xr:uid="{D8C48DD9-ABA1-419C-995C-82D5406DF3E5}">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K38" authorId="0" shapeId="0" xr:uid="{3145E533-BE58-4156-8796-1CA1838AD370}">
      <text>
        <r>
          <rPr>
            <b/>
            <sz val="9"/>
            <color indexed="81"/>
            <rFont val="Tahoma"/>
            <family val="2"/>
            <charset val="162"/>
          </rPr>
          <t>Alperen:</t>
        </r>
        <r>
          <rPr>
            <sz val="9"/>
            <color indexed="81"/>
            <rFont val="Tahoma"/>
            <family val="2"/>
            <charset val="162"/>
          </rPr>
          <t xml:space="preserve">
MIDTERM TOTAL DÇ * DERS ÇIKTISI KATSAYISI= TOTAL CONTRIBUTION</t>
        </r>
      </text>
    </comment>
    <comment ref="J39" authorId="0" shapeId="0" xr:uid="{4A9D2D60-449E-4FDA-BCB8-70C2D29948F6}">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J40" authorId="0" shapeId="0" xr:uid="{EBD0DAF4-6103-4E36-A602-3429D08CCC80}">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J41" authorId="0" shapeId="0" xr:uid="{F1EAFA5C-9FF3-4856-A770-18A77D365EBE}">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R37" authorId="0" shapeId="0" xr:uid="{D98AB3F4-5C79-482E-8A9A-421A94BA088A}">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S37" authorId="0" shapeId="0" xr:uid="{A4414B43-9471-4861-9B56-E288C2E715C0}">
      <text>
        <r>
          <rPr>
            <b/>
            <sz val="9"/>
            <color indexed="81"/>
            <rFont val="Tahoma"/>
            <family val="2"/>
            <charset val="162"/>
          </rPr>
          <t>Alperen:</t>
        </r>
        <r>
          <rPr>
            <sz val="9"/>
            <color indexed="81"/>
            <rFont val="Tahoma"/>
            <family val="2"/>
            <charset val="162"/>
          </rPr>
          <t xml:space="preserve">
MIDTERM TOTAL DÇ * DERS ÇIKTISI KATSAYISI= TOTAL CONTRIBUTION</t>
        </r>
      </text>
    </comment>
    <comment ref="R38" authorId="0" shapeId="0" xr:uid="{9CB0419D-02F9-4B8B-8DC7-8AC1DCF0FF21}">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R39" authorId="0" shapeId="0" xr:uid="{6AC332CA-BF69-4684-91E4-770349C40F30}">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R40" authorId="0" shapeId="0" xr:uid="{F9FAD21F-DF6B-4FB0-AE73-DCBEB723EDD3}">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<sst xmlns="http://schemas.openxmlformats.org/spreadsheetml/2006/main" count="887" uniqueCount="153">
  <si>
    <t>-</t>
  </si>
  <si>
    <t>Midterm</t>
  </si>
  <si>
    <t>FINAL</t>
  </si>
  <si>
    <t>HOMEWORK</t>
  </si>
  <si>
    <t>LAB</t>
  </si>
  <si>
    <t>BONUS</t>
  </si>
  <si>
    <t>Total Points</t>
  </si>
  <si>
    <t>Letter Grade</t>
  </si>
  <si>
    <t>* Bu  renkteki tablolara dokunmayın. İçlerinde formüller vardır ve değiştirilirse hesaplamaların hepsi hatalı çıkabilir.</t>
  </si>
  <si>
    <t>Satır1</t>
  </si>
  <si>
    <t>Veri</t>
  </si>
  <si>
    <t>Satır2</t>
  </si>
  <si>
    <t>*Eğer bu renkte hücreler görürseniz sütündaki verilerin doldurulabilir. İşlemleri bozmaz. Doldurmadan hesaplamalar düzgün çalışır. (Default olarak 0 verilir)</t>
  </si>
  <si>
    <t>Satır3</t>
  </si>
  <si>
    <t>Satır4</t>
  </si>
  <si>
    <t>*Sarı renkli hücreler dışındaki hücrelere dokunulmamalıdır.</t>
  </si>
  <si>
    <t>Satır5</t>
  </si>
  <si>
    <t>Satır6</t>
  </si>
  <si>
    <t>Satır7</t>
  </si>
  <si>
    <t>Q1</t>
  </si>
  <si>
    <t>Q2</t>
  </si>
  <si>
    <t>Q3</t>
  </si>
  <si>
    <t>Q4</t>
  </si>
  <si>
    <t>Q5</t>
  </si>
  <si>
    <t>Q6</t>
  </si>
  <si>
    <t>Total Points2</t>
  </si>
  <si>
    <t>*Bu tablolar ders verilerinin girilmesi gereken tablolardır. Doldurulmaması gereken yerleri vardır. (İçlerinde formüller vardır.</t>
  </si>
  <si>
    <t>*Bu renkli sütunlar formül içerir ve dokunulmaması lazımdır. (Sonradan kilitleyeceğim)</t>
  </si>
  <si>
    <t>Sütun1</t>
  </si>
  <si>
    <t>Q7</t>
  </si>
  <si>
    <t>TOTAL</t>
  </si>
  <si>
    <t>*Her mavi tablonun altında bunun gibi bir not dağılım tablosu bulunur. Bunlarda sadece total kısmına dokunulmamalıdır. Diğer verilerin de x&gt;0 olması beklenir.</t>
  </si>
  <si>
    <t>PUAN</t>
  </si>
  <si>
    <t>LETTER GRADE RANGE</t>
  </si>
  <si>
    <t>Grade</t>
  </si>
  <si>
    <t>Min</t>
  </si>
  <si>
    <t>Max</t>
  </si>
  <si>
    <t xml:space="preserve">Bu değerler kullanılırken max değerlerin o değere eşit olmadığı düşünülür.                                       Örn: BA -&gt;  85&gt;=X&lt;90 (AA HARİÇ) </t>
  </si>
  <si>
    <t>AA</t>
  </si>
  <si>
    <t>BA</t>
  </si>
  <si>
    <t>BB</t>
  </si>
  <si>
    <t>CB</t>
  </si>
  <si>
    <t>CC</t>
  </si>
  <si>
    <t>CD</t>
  </si>
  <si>
    <t>DD</t>
  </si>
  <si>
    <t>Bu tabloların tüm verileri ile oynanabilir. Hatalı veriler girilince hücrelerin rengi değişir ve hesaplama hataları olacağını gösterir. (Kırmızı =Hatalı Değer)</t>
  </si>
  <si>
    <t>FD</t>
  </si>
  <si>
    <t>FF</t>
  </si>
  <si>
    <t>Bu tablolar sadece MAIN'de bulunur.</t>
  </si>
  <si>
    <t>NA</t>
  </si>
  <si>
    <t>X</t>
  </si>
  <si>
    <t>GRADING INFO</t>
  </si>
  <si>
    <t>Item</t>
  </si>
  <si>
    <t>Multiplier</t>
  </si>
  <si>
    <t>Base Value</t>
  </si>
  <si>
    <t>Homework</t>
  </si>
  <si>
    <t>Lab</t>
  </si>
  <si>
    <t>BASE VALUE sütunu otomatik olarak güncellenir. Sadece Grade girilmelidir.</t>
  </si>
  <si>
    <t>Final</t>
  </si>
  <si>
    <t>Bu değerler ilgili satırın kaç puan üzerinden hesaplandığını gösterir.                                      Örn: Midterm 100 puan üzerinden değerlendirildi, toplam ders puanına da %30 etki etti.</t>
  </si>
  <si>
    <t>Total</t>
  </si>
  <si>
    <t>PÇ1</t>
  </si>
  <si>
    <t>PÇ2</t>
  </si>
  <si>
    <t>PÇ3</t>
  </si>
  <si>
    <t>PÇ4</t>
  </si>
  <si>
    <t>PÇ5</t>
  </si>
  <si>
    <t>PÇ6</t>
  </si>
  <si>
    <t>PÇ7</t>
  </si>
  <si>
    <t>PÇ8</t>
  </si>
  <si>
    <t>PÇ9</t>
  </si>
  <si>
    <t>PÇ10</t>
  </si>
  <si>
    <t>PÇ11</t>
  </si>
  <si>
    <t>DÇ1</t>
  </si>
  <si>
    <t>DÇ2</t>
  </si>
  <si>
    <t>DÇ3</t>
  </si>
  <si>
    <t>DÇ4</t>
  </si>
  <si>
    <t>* Bu tablo otomatik doldurulur ve değiştirilemez. Sadece yönetim kararı ile değiştirilebilir. Kutucuklar işaretli ise ilgili değerler yanına yazılır. (MAIN'de bulunur.) Dönem sonu derslerin ortalamasını hesaplarken bu tablodan veri alınır.</t>
  </si>
  <si>
    <t>DERS ÇIKTILARI</t>
  </si>
  <si>
    <t>DERS ÇIKTISI ADI</t>
  </si>
  <si>
    <t>DERS ÇIKTISI TABAN PUANI</t>
  </si>
  <si>
    <t>KULLANILMAMIŞ PUAN</t>
  </si>
  <si>
    <t>*Bu tablo ders çıktılarının bilgisini içerir. MAIN üzerinden Ders Çıktılarının bilgileri girilir.</t>
  </si>
  <si>
    <t>Çıktı-1</t>
  </si>
  <si>
    <t>*Ders Çıktısı taban puanı sorulara dağıtılması için kullanılacak olan değerler bütünüdür. İstenilen değerler girilebilir. Sonuç olarak asıl tabloda 0 ile 1 üzerinden hesaplanır. İşlem kolaylığı açısından böyle tasarlandı.</t>
  </si>
  <si>
    <t>Çıktı-2</t>
  </si>
  <si>
    <t>Çıktı-3</t>
  </si>
  <si>
    <t>Çıktı-4</t>
  </si>
  <si>
    <t>*Bu tabloda değiştirilen Qn değerleri üst tabloda otomatik olarak değişir. DÇ TABAN PUANI sütununu otomatik olarak günceller.</t>
  </si>
  <si>
    <t>Örn: Midterm Verileri olsun</t>
  </si>
  <si>
    <t>Ders Çıktıları</t>
  </si>
  <si>
    <t>TOPLAM</t>
  </si>
  <si>
    <t>TOTAL DÇ</t>
  </si>
  <si>
    <t>CONTRIBUTION</t>
  </si>
  <si>
    <t>Bu tablodaki veriler otomatik olarak güncellenir.</t>
  </si>
  <si>
    <t>DÇ DAĞILIMI VE DÇ BİLGİSİ</t>
  </si>
  <si>
    <t>DÇ KATSAYISI</t>
  </si>
  <si>
    <t>Öğrenci DÇ Katkısı</t>
  </si>
  <si>
    <t>*ÖNEMLİ NOT!!!! ŞU ANDA FORMÜLLER BU TABLOYU HESAPLARKEN HATA VERİYOR. BU HATAYI GİDERMEK İÇİN NOT TABLOLARININ (LAB , HOMEWORK, FINAL, MIDTERM) ÖĞRENCİ NUMARASININ KÜÇÜKTEN BÜYÜĞE SIRALANMASI LAZIMDIR. (MAIN HARİÇ)</t>
  </si>
  <si>
    <t>Number</t>
  </si>
  <si>
    <t>Student No</t>
  </si>
  <si>
    <t>Student Name</t>
  </si>
  <si>
    <t>Student Surname</t>
  </si>
  <si>
    <t>DÇ-1</t>
  </si>
  <si>
    <t>DÇ-2</t>
  </si>
  <si>
    <t>DÇ-3</t>
  </si>
  <si>
    <t>DÇ-4</t>
  </si>
  <si>
    <t>Her sayfada dersin belli başlığının çan eğrisini gösteren bir grafik vardır. Bunları düzgün kullanmak için total grades sütununu küçükten büyüğe ya da büyükten küçüğe sıralamanız lazımdır. Yoksa grafik düzgün bir çan eğrisi göstermez.</t>
  </si>
  <si>
    <t xml:space="preserve">Grafikte görülen 1-2-3…30 diye giden sayılar öğrencilerin student no'sudur. </t>
  </si>
  <si>
    <t>CENG-XXX OVERALL STUDENT AND COURSE DATA</t>
  </si>
  <si>
    <t>GENEL PUAN/NOT TABLOSU</t>
  </si>
  <si>
    <t>Name</t>
  </si>
  <si>
    <t>Surname</t>
  </si>
  <si>
    <t>Normal Dist.</t>
  </si>
  <si>
    <t>* To use the graph select total points from the main tablo and order it by smallest to biggest.</t>
  </si>
  <si>
    <t>Mean</t>
  </si>
  <si>
    <t>Variance</t>
  </si>
  <si>
    <t>DERSİN TOPLAM DÇ ORANI</t>
  </si>
  <si>
    <t>Toplam Katkı</t>
  </si>
  <si>
    <t>DÇ VE PÇ İLİŞKİSİ</t>
  </si>
  <si>
    <t>CENG-XXX MIDTERM EXAM DATA</t>
  </si>
  <si>
    <t>STUDENT ID</t>
  </si>
  <si>
    <t>TOTAL GRADE</t>
  </si>
  <si>
    <t>TOT</t>
  </si>
  <si>
    <t>Normal Dist</t>
  </si>
  <si>
    <t>DERS ÇIKTISI KATSAYISI</t>
  </si>
  <si>
    <t>KALAN KATSAYI</t>
  </si>
  <si>
    <t>Her dç-x katsayısını ders çıktıları tablosuna bakaraktan yazınız. DÇ-1 için olan toplam 30 ise bu tablo da da toplam 30 olmalı.</t>
  </si>
  <si>
    <t>CENG-XXX FINAL EXAM DATA</t>
  </si>
  <si>
    <t>HW5</t>
  </si>
  <si>
    <t>HW4</t>
  </si>
  <si>
    <t>HW3</t>
  </si>
  <si>
    <t>HW2</t>
  </si>
  <si>
    <t>HW1</t>
  </si>
  <si>
    <t>VARIANCE</t>
  </si>
  <si>
    <t>MEAN</t>
  </si>
  <si>
    <t>CENG-XXX HOMEWORK DATA</t>
  </si>
  <si>
    <t>POINTS</t>
  </si>
  <si>
    <t>LW14</t>
  </si>
  <si>
    <t>LW13</t>
  </si>
  <si>
    <t>LW12</t>
  </si>
  <si>
    <t>LW11</t>
  </si>
  <si>
    <t>LW10</t>
  </si>
  <si>
    <t>LW9</t>
  </si>
  <si>
    <t>LW8</t>
  </si>
  <si>
    <t>LW7</t>
  </si>
  <si>
    <t>LW6</t>
  </si>
  <si>
    <t>LW5</t>
  </si>
  <si>
    <t>LW4</t>
  </si>
  <si>
    <t>LW3</t>
  </si>
  <si>
    <t>LW2</t>
  </si>
  <si>
    <t>LW1</t>
  </si>
  <si>
    <t>TOTAL2</t>
  </si>
  <si>
    <t>CENG-XXX LABWORK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</si>
</sst>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
    <numFmt numFmtId="165" formatCode="0.0000000000"/>
    <numFmt numFmtId="166" formatCode="0.00000000"/>
  </numFmts>
  <fonts count="26" x14ac:knownFonts="1">
    <font>
      <sz val="11"/>
      <color theme="1"/>
      <name val="Calibri"/>
      <family val="2"/>
      <scheme val="minor"/>
    </font>
    <font>
      <sz val="11"/>
      <color rgb="FF9C5700"/>
      <name val="Calibri"/>
      <family val="2"/>
      <charset val="162"/>
      <scheme val="minor"/>
    </font>
    <font>
      <b/>
      <sz val="11"/>
      <color theme="0"/>
      <name val="Calibri"/>
      <family val="2"/>
      <charset val="162"/>
      <scheme val="minor"/>
    </font>
    <font>
      <sz val="11"/>
      <color theme="1"/>
      <name val="Calibri"/>
      <family val="2"/>
      <charset val="162"/>
    </font>
    <font>
      <sz val="11"/>
      <name val="Calibri"/>
      <charset val="1"/>
    </font>
    <font>
      <b/>
      <sz val="11"/>
      <name val="Calibri"/>
      <family val="2"/>
      <charset val="162"/>
    </font>
    <font>
      <sz val="11"/>
      <name val="Calibri"/>
      <family val="2"/>
      <charset val="162"/>
    </font>
    <font>
      <b/>
      <sz val="11"/>
      <name val="Calibri"/>
      <family val="2"/>
      <charset val="1"/>
    </font>
    <font>
      <sz val="10"/>
      <name val="Noto Sans"/>
      <family val="2"/>
      <charset val="1"/>
    </font>
    <font>
      <sz val="11"/>
      <color theme="1" tint="0.249977111117893"/>
      <name val="Calibri"/>
      <family val="2"/>
      <charset val="162"/>
    </font>
    <font>
      <sz val="10"/>
      <color theme="1" tint="0.249977111117893"/>
      <name val="Noto Sans"/>
      <family val="2"/>
      <charset val="1"/>
    </font>
    <font>
      <sz val="11"/>
      <name val="Calibri"/>
      <family val="2"/>
      <charset val="1"/>
    </font>
    <font>
      <sz val="20"/>
      <name val="Calibri"/>
      <family val="2"/>
      <charset val="162"/>
    </font>
    <font>
      <sz val="24"/>
      <name val="Calibri"/>
      <family val="2"/>
      <charset val="162"/>
    </font>
    <font>
      <b/>
      <sz val="11"/>
      <color theme="0"/>
      <name val="Calibri"/>
      <family val="2"/>
      <charset val="162"/>
    </font>
    <font>
      <sz val="16"/>
      <name val="Calibri"/>
      <family val="2"/>
      <charset val="162"/>
    </font>
    <font>
      <b/>
      <sz val="9"/>
      <color indexed="81"/>
      <name val="Tahoma"/>
      <family val="2"/>
      <charset val="162"/>
    </font>
    <font>
      <sz val="9"/>
      <color indexed="81"/>
      <name val="Tahoma"/>
      <family val="2"/>
      <charset val="162"/>
    </font>
    <font>
      <sz val="26"/>
      <name val="Calibri"/>
      <family val="2"/>
      <charset val="162"/>
    </font>
    <font>
      <b/>
      <i/>
      <sz val="11"/>
      <name val="Calibri"/>
      <family val="2"/>
      <charset val="162"/>
    </font>
    <font>
      <sz val="12"/>
      <name val="Calibri"/>
      <family val="2"/>
      <charset val="162"/>
    </font>
    <font>
      <sz val="22"/>
      <name val="Calibri"/>
      <family val="2"/>
      <charset val="162"/>
    </font>
    <font>
      <sz val="11"/>
      <color theme="0"/>
      <name val="Calibri"/>
      <family val="2"/>
      <charset val="162"/>
    </font>
    <font>
      <b/>
      <sz val="12"/>
      <color rgb="FFBDC1C6"/>
      <name val="Arial"/>
      <family val="2"/>
      <charset val="162"/>
    </font>
    <font>
      <sz val="11"/>
      <name val="Calibri"/>
      <family val="2"/>
    </font>
    <font>
      <b/>
      <sz val="11"/>
      <name val="Calibri"/>
      <family val="2"/>
    </font>
  </fonts>
  <fills count="18">
    <fill>
      <patternFill patternType="none"/>
    </fill>
    <fill>
      <patternFill patternType="gray125"/>
    </fill>
    <fill>
      <patternFill patternType="solid">
        <fgColor rgb="FFFFEB9C"/>
      </patternFill>
    </fill>
    <fill>
      <patternFill patternType="solid">
        <fgColor rgb="FFA5A5A5"/>
      </patternFill>
    </fill>
    <fill>
      <patternFill patternType="solid">
        <fgColor theme="4"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theme="8" tint="0.59999389629810485"/>
      </patternFill>
    </fill>
    <fill>
      <patternFill patternType="solid">
        <fgColor rgb="FFFF0000"/>
        <bgColor indexed="64"/>
      </patternFill>
    </fill>
    <fill>
      <patternFill patternType="solid">
        <fgColor theme="7" tint="0.39997558519241921"/>
        <bgColor indexed="64"/>
      </patternFill>
    </fill>
    <fill>
      <patternFill patternType="solid">
        <fgColor theme="1"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theme="8"/>
        <bgColor theme="8"/>
      </patternFill>
    </fill>
    <fill>
      <patternFill patternType="solid">
        <fgColor theme="8" tint="0.79998168889431442"/>
        <bgColor theme="8" tint="0.79998168889431442"/>
      </patternFill>
    </fill>
    <fill>
      <patternFill patternType="solid">
        <fgColor rgb="FFD9D9D9"/>
        <bgColor rgb="FFC0C0C0"/>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right style="thin">
        <color indexed="64"/>
      </right>
      <top/>
      <bottom style="thin">
        <color indexed="64"/>
      </bottom>
      <diagonal/>
    </border>
    <border>
      <left style="thin">
        <color theme="8" tint="0.39997558519241921"/>
      </left>
      <right/>
      <top style="thin">
        <color theme="8" tint="0.39997558519241921"/>
      </top>
      <bottom style="thin">
        <color theme="8" tint="0.39997558519241921"/>
      </bottom>
      <diagonal/>
    </border>
    <border>
      <left style="thin">
        <color theme="0"/>
      </left>
      <right/>
      <top style="thin">
        <color theme="8" tint="0.39997558519241921"/>
      </top>
      <bottom style="thin">
        <color theme="8" tint="0.39997558519241921"/>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cellStyleXfs>
  <cellXfs count="110">
    <xf numFmtId="0" fontId="0" fillId="0" borderId="0" xfId="0"/>
    <xf numFmtId="0" fontId="4" fillId="0" borderId="0" xfId="3" applyAlignment="1">
      <alignment horizontal="center" vertical="center"/>
    </xf>
    <xf numFmtId="0" fontId="5" fillId="0" borderId="0" xfId="3" applyFont="1" applyAlignment="1">
      <alignment horizontal="center" vertical="center"/>
    </xf>
    <xf numFmtId="2" fontId="5" fillId="0" borderId="0" xfId="3" applyNumberFormat="1" applyFont="1" applyAlignment="1">
      <alignment horizontal="center" vertical="center"/>
    </xf>
    <xf numFmtId="0" fontId="6" fillId="0" borderId="0" xfId="3" applyFont="1" applyAlignment="1">
      <alignment horizontal="center" wrapText="1"/>
    </xf>
    <xf numFmtId="0" fontId="4" fillId="0" borderId="0" xfId="3"/>
    <xf numFmtId="0" fontId="6" fillId="0" borderId="0" xfId="3" applyFont="1"/>
    <xf numFmtId="0" fontId="1" fillId="2" borderId="0" xfId="1"/>
    <xf numFmtId="0" fontId="1" fillId="2" borderId="0" xfId="1" applyAlignment="1">
      <alignment horizontal="center" wrapText="1"/>
    </xf>
    <xf numFmtId="0" fontId="4" fillId="0" borderId="0" xfId="3" applyAlignment="1">
      <alignment horizontal="center" wrapText="1"/>
    </xf>
    <xf numFmtId="0" fontId="2" fillId="3" borderId="1" xfId="2"/>
    <xf numFmtId="0" fontId="2" fillId="3" borderId="1" xfId="2" applyAlignment="1">
      <alignment horizontal="center"/>
    </xf>
    <xf numFmtId="0" fontId="7" fillId="0" borderId="0" xfId="3" applyFont="1" applyAlignment="1">
      <alignment horizontal="center" vertical="center"/>
    </xf>
    <xf numFmtId="0" fontId="7" fillId="0" borderId="0" xfId="3" applyFont="1" applyAlignment="1">
      <alignment horizontal="center"/>
    </xf>
    <xf numFmtId="0" fontId="2" fillId="3" borderId="1" xfId="2" applyAlignment="1">
      <alignment horizontal="center" vertical="center"/>
    </xf>
    <xf numFmtId="0" fontId="5" fillId="4" borderId="0" xfId="3" applyFont="1" applyFill="1" applyAlignment="1">
      <alignment horizontal="center"/>
    </xf>
    <xf numFmtId="2" fontId="4" fillId="0" borderId="0" xfId="3" applyNumberFormat="1" applyAlignment="1">
      <alignment horizontal="center" vertical="center"/>
    </xf>
    <xf numFmtId="0" fontId="4" fillId="0" borderId="0" xfId="3" applyAlignment="1">
      <alignment horizontal="center"/>
    </xf>
    <xf numFmtId="0" fontId="6" fillId="5" borderId="0" xfId="3" applyFont="1" applyFill="1" applyAlignment="1">
      <alignment horizontal="center" wrapText="1"/>
    </xf>
    <xf numFmtId="0" fontId="6" fillId="6" borderId="0" xfId="3" applyFont="1" applyFill="1" applyAlignment="1">
      <alignment horizontal="center"/>
    </xf>
    <xf numFmtId="0" fontId="4" fillId="6" borderId="0" xfId="3" applyFill="1" applyAlignment="1">
      <alignment horizontal="center"/>
    </xf>
    <xf numFmtId="0" fontId="3" fillId="7" borderId="2" xfId="3" applyFont="1" applyFill="1" applyBorder="1" applyAlignment="1">
      <alignment horizontal="center"/>
    </xf>
    <xf numFmtId="0" fontId="3" fillId="7" borderId="3" xfId="3" applyFont="1" applyFill="1" applyBorder="1" applyAlignment="1">
      <alignment horizontal="center"/>
    </xf>
    <xf numFmtId="0" fontId="3" fillId="7" borderId="4" xfId="3" applyFont="1" applyFill="1" applyBorder="1" applyAlignment="1">
      <alignment horizontal="center"/>
    </xf>
    <xf numFmtId="0" fontId="2" fillId="3" borderId="1" xfId="2" applyAlignment="1">
      <alignment horizontal="center"/>
    </xf>
    <xf numFmtId="0" fontId="6" fillId="6" borderId="0" xfId="3" applyFont="1" applyFill="1" applyAlignment="1">
      <alignment horizontal="center" vertical="center"/>
    </xf>
    <xf numFmtId="0" fontId="4" fillId="8" borderId="0" xfId="3" applyFill="1" applyAlignment="1">
      <alignment horizontal="center"/>
    </xf>
    <xf numFmtId="1" fontId="4" fillId="9" borderId="5" xfId="3" applyNumberFormat="1" applyFill="1" applyBorder="1" applyAlignment="1">
      <alignment horizontal="center" vertical="center"/>
    </xf>
    <xf numFmtId="0" fontId="4" fillId="9" borderId="6" xfId="3" applyFill="1" applyBorder="1" applyAlignment="1">
      <alignment horizontal="center" vertical="center"/>
    </xf>
    <xf numFmtId="0" fontId="8" fillId="9" borderId="6" xfId="3" applyFont="1" applyFill="1" applyBorder="1" applyAlignment="1">
      <alignment horizontal="center" vertical="center"/>
    </xf>
    <xf numFmtId="0" fontId="6" fillId="9" borderId="6" xfId="3" applyFont="1" applyFill="1" applyBorder="1" applyAlignment="1">
      <alignment horizontal="center" vertical="center"/>
    </xf>
    <xf numFmtId="0" fontId="6" fillId="9" borderId="7" xfId="3" applyFont="1" applyFill="1" applyBorder="1" applyAlignment="1">
      <alignment horizontal="center" vertical="center"/>
    </xf>
    <xf numFmtId="1" fontId="4" fillId="9" borderId="8" xfId="3" applyNumberFormat="1" applyFill="1" applyBorder="1" applyAlignment="1">
      <alignment horizontal="center" vertical="center"/>
    </xf>
    <xf numFmtId="0" fontId="9" fillId="10" borderId="9" xfId="3" applyFont="1" applyFill="1" applyBorder="1"/>
    <xf numFmtId="0" fontId="4" fillId="5" borderId="9" xfId="3" applyFill="1" applyBorder="1" applyAlignment="1">
      <alignment horizontal="center" vertical="center"/>
    </xf>
    <xf numFmtId="0" fontId="9" fillId="10" borderId="9" xfId="3" applyFont="1" applyFill="1" applyBorder="1" applyAlignment="1">
      <alignment horizontal="center" vertical="center"/>
    </xf>
    <xf numFmtId="0" fontId="10" fillId="10" borderId="9" xfId="3" applyFont="1" applyFill="1" applyBorder="1" applyAlignment="1">
      <alignment horizontal="center" vertical="center"/>
    </xf>
    <xf numFmtId="0" fontId="9" fillId="10" borderId="6" xfId="3" applyFont="1" applyFill="1" applyBorder="1"/>
    <xf numFmtId="0" fontId="4" fillId="5" borderId="6" xfId="3" applyFill="1" applyBorder="1" applyAlignment="1">
      <alignment horizontal="center" vertical="center"/>
    </xf>
    <xf numFmtId="0" fontId="9" fillId="10" borderId="6" xfId="3" applyFont="1" applyFill="1" applyBorder="1" applyAlignment="1">
      <alignment horizontal="center" vertical="center"/>
    </xf>
    <xf numFmtId="0" fontId="10" fillId="10" borderId="6" xfId="3" applyFont="1" applyFill="1" applyBorder="1" applyAlignment="1">
      <alignment horizontal="center" vertical="center"/>
    </xf>
    <xf numFmtId="1" fontId="4" fillId="0" borderId="8" xfId="3" applyNumberFormat="1" applyBorder="1" applyAlignment="1">
      <alignment horizontal="center" vertical="center"/>
    </xf>
    <xf numFmtId="0" fontId="6" fillId="11" borderId="10" xfId="3" applyFont="1" applyFill="1" applyBorder="1" applyAlignment="1">
      <alignment horizontal="center" wrapText="1"/>
    </xf>
    <xf numFmtId="0" fontId="7" fillId="0" borderId="0" xfId="3" applyFont="1"/>
    <xf numFmtId="0" fontId="6" fillId="0" borderId="0" xfId="3" applyFont="1" applyAlignment="1">
      <alignment horizontal="center"/>
    </xf>
    <xf numFmtId="0" fontId="11" fillId="0" borderId="0" xfId="3" applyFont="1" applyAlignment="1">
      <alignment horizontal="center" vertical="center"/>
    </xf>
    <xf numFmtId="2" fontId="4" fillId="0" borderId="0" xfId="3" applyNumberFormat="1"/>
    <xf numFmtId="0" fontId="6" fillId="12" borderId="0" xfId="3" applyFont="1" applyFill="1" applyAlignment="1">
      <alignment horizontal="center" wrapText="1"/>
    </xf>
    <xf numFmtId="0" fontId="5" fillId="0" borderId="0" xfId="3" applyFont="1" applyAlignment="1">
      <alignment horizontal="center" wrapText="1"/>
    </xf>
    <xf numFmtId="0" fontId="5" fillId="0" borderId="0" xfId="3" applyFont="1" applyAlignment="1">
      <alignment horizontal="center"/>
    </xf>
    <xf numFmtId="0" fontId="6" fillId="0" borderId="0" xfId="3" applyFont="1" applyAlignment="1">
      <alignment horizontal="center"/>
    </xf>
    <xf numFmtId="2" fontId="6" fillId="0" borderId="0" xfId="3" applyNumberFormat="1" applyFont="1" applyAlignment="1">
      <alignment horizontal="center" vertical="center"/>
    </xf>
    <xf numFmtId="2" fontId="2" fillId="3" borderId="1" xfId="2" applyNumberFormat="1" applyAlignment="1">
      <alignment horizontal="center"/>
    </xf>
    <xf numFmtId="164" fontId="2" fillId="3" borderId="1" xfId="2" applyNumberFormat="1" applyAlignment="1">
      <alignment horizontal="center"/>
    </xf>
    <xf numFmtId="2" fontId="4" fillId="0" borderId="0" xfId="3" applyNumberFormat="1" applyAlignment="1">
      <alignment horizontal="center"/>
    </xf>
    <xf numFmtId="0" fontId="6" fillId="12" borderId="0" xfId="3" applyFont="1" applyFill="1" applyAlignment="1">
      <alignment horizontal="center"/>
    </xf>
    <xf numFmtId="0" fontId="6" fillId="11" borderId="0" xfId="3" applyFont="1" applyFill="1" applyAlignment="1">
      <alignment horizontal="center"/>
    </xf>
    <xf numFmtId="0" fontId="4" fillId="11" borderId="0" xfId="3" applyFill="1" applyAlignment="1">
      <alignment horizontal="center"/>
    </xf>
    <xf numFmtId="0" fontId="1" fillId="2" borderId="0" xfId="1" applyAlignment="1">
      <alignment horizontal="center"/>
    </xf>
    <xf numFmtId="2" fontId="6" fillId="0" borderId="0" xfId="3" applyNumberFormat="1" applyFont="1" applyAlignment="1">
      <alignment horizontal="center"/>
    </xf>
    <xf numFmtId="0" fontId="12" fillId="11" borderId="0" xfId="3" applyFont="1" applyFill="1" applyAlignment="1">
      <alignment horizontal="center"/>
    </xf>
    <xf numFmtId="0" fontId="13" fillId="8" borderId="0" xfId="3" applyFont="1" applyFill="1" applyAlignment="1">
      <alignment horizontal="center" wrapText="1"/>
    </xf>
    <xf numFmtId="0" fontId="14" fillId="13" borderId="11" xfId="3" applyFont="1" applyFill="1" applyBorder="1" applyAlignment="1">
      <alignment horizontal="center" vertical="center"/>
    </xf>
    <xf numFmtId="0" fontId="3" fillId="14" borderId="11" xfId="3" applyFont="1" applyFill="1" applyBorder="1" applyAlignment="1">
      <alignment horizontal="center" vertical="center"/>
    </xf>
    <xf numFmtId="0" fontId="3" fillId="0" borderId="11" xfId="3" applyFont="1" applyBorder="1" applyAlignment="1">
      <alignment horizontal="center" vertical="center"/>
    </xf>
    <xf numFmtId="0" fontId="15" fillId="5" borderId="0" xfId="3" applyFont="1" applyFill="1" applyAlignment="1">
      <alignment horizontal="center" wrapText="1"/>
    </xf>
    <xf numFmtId="0" fontId="6" fillId="5" borderId="0" xfId="3" applyFont="1" applyFill="1" applyAlignment="1">
      <alignment horizontal="center"/>
    </xf>
    <xf numFmtId="0" fontId="18" fillId="0" borderId="0" xfId="3" applyFont="1" applyAlignment="1">
      <alignment horizontal="center" vertical="center"/>
    </xf>
    <xf numFmtId="0" fontId="15" fillId="11" borderId="0" xfId="3" applyFont="1" applyFill="1" applyAlignment="1">
      <alignment horizontal="center"/>
    </xf>
    <xf numFmtId="0" fontId="14" fillId="13" borderId="12" xfId="3" applyFont="1" applyFill="1" applyBorder="1" applyAlignment="1">
      <alignment horizontal="center" vertical="center"/>
    </xf>
    <xf numFmtId="0" fontId="3" fillId="14" borderId="12" xfId="3" applyFont="1" applyFill="1" applyBorder="1" applyAlignment="1">
      <alignment horizontal="center" vertical="center"/>
    </xf>
    <xf numFmtId="1" fontId="6" fillId="0" borderId="0" xfId="3" applyNumberFormat="1" applyFont="1" applyAlignment="1">
      <alignment horizontal="center" vertical="center"/>
    </xf>
    <xf numFmtId="0" fontId="8" fillId="0" borderId="0" xfId="3" applyFont="1" applyAlignment="1">
      <alignment horizontal="center" vertical="center"/>
    </xf>
    <xf numFmtId="2" fontId="1" fillId="2" borderId="0" xfId="1" applyNumberFormat="1" applyAlignment="1">
      <alignment horizontal="center" vertical="center"/>
    </xf>
    <xf numFmtId="0" fontId="3" fillId="0" borderId="12" xfId="3" applyFont="1" applyBorder="1" applyAlignment="1">
      <alignment horizontal="center" vertical="center"/>
    </xf>
    <xf numFmtId="1" fontId="4" fillId="0" borderId="0" xfId="3" applyNumberFormat="1" applyAlignment="1">
      <alignment horizontal="center" vertical="center"/>
    </xf>
    <xf numFmtId="0" fontId="19" fillId="0" borderId="0" xfId="3" applyFont="1" applyAlignment="1">
      <alignment horizontal="center"/>
    </xf>
    <xf numFmtId="0" fontId="19" fillId="0" borderId="0" xfId="3" applyFont="1"/>
    <xf numFmtId="0" fontId="6" fillId="0" borderId="0" xfId="3" applyFont="1" applyAlignment="1">
      <alignment horizontal="center" vertical="center"/>
    </xf>
    <xf numFmtId="0" fontId="20" fillId="0" borderId="0" xfId="3" applyFont="1" applyAlignment="1">
      <alignment horizontal="center"/>
    </xf>
    <xf numFmtId="0" fontId="11" fillId="0" borderId="0" xfId="3" applyFont="1"/>
    <xf numFmtId="0" fontId="21" fillId="12" borderId="9" xfId="3" applyFont="1" applyFill="1" applyBorder="1" applyAlignment="1">
      <alignment horizontal="center" wrapText="1"/>
    </xf>
    <xf numFmtId="0" fontId="8" fillId="5" borderId="9" xfId="3" applyFont="1" applyFill="1" applyBorder="1" applyAlignment="1">
      <alignment horizontal="center" vertical="center"/>
    </xf>
    <xf numFmtId="165" fontId="4" fillId="5" borderId="9" xfId="3" applyNumberFormat="1" applyFill="1" applyBorder="1" applyAlignment="1">
      <alignment horizontal="center" vertical="center"/>
    </xf>
    <xf numFmtId="0" fontId="4" fillId="5" borderId="13" xfId="3" applyFill="1" applyBorder="1" applyAlignment="1">
      <alignment horizontal="center" vertical="center"/>
    </xf>
    <xf numFmtId="0" fontId="8" fillId="5" borderId="6" xfId="3" applyFont="1" applyFill="1" applyBorder="1" applyAlignment="1">
      <alignment horizontal="center" vertical="center"/>
    </xf>
    <xf numFmtId="165" fontId="4" fillId="5" borderId="6" xfId="3" applyNumberFormat="1" applyFill="1" applyBorder="1" applyAlignment="1">
      <alignment horizontal="center" vertical="center"/>
    </xf>
    <xf numFmtId="0" fontId="4" fillId="5" borderId="7" xfId="3" applyFill="1" applyBorder="1" applyAlignment="1">
      <alignment horizontal="center" vertical="center"/>
    </xf>
    <xf numFmtId="0" fontId="22" fillId="0" borderId="0" xfId="3" applyFont="1"/>
    <xf numFmtId="0" fontId="23" fillId="0" borderId="0" xfId="3" applyFont="1"/>
    <xf numFmtId="0" fontId="18" fillId="0" borderId="0" xfId="3" applyFont="1" applyAlignment="1">
      <alignment vertical="center"/>
    </xf>
    <xf numFmtId="0" fontId="14" fillId="15" borderId="14" xfId="3" applyFont="1" applyFill="1" applyBorder="1" applyAlignment="1">
      <alignment horizontal="center"/>
    </xf>
    <xf numFmtId="0" fontId="3" fillId="16" borderId="14" xfId="3" applyFont="1" applyFill="1" applyBorder="1" applyAlignment="1">
      <alignment horizontal="center"/>
    </xf>
    <xf numFmtId="2" fontId="2" fillId="3" borderId="1" xfId="2" applyNumberFormat="1" applyAlignment="1">
      <alignment horizontal="center" vertical="center"/>
    </xf>
    <xf numFmtId="0" fontId="3" fillId="0" borderId="14" xfId="3" applyFont="1" applyBorder="1" applyAlignment="1">
      <alignment horizontal="center"/>
    </xf>
    <xf numFmtId="0" fontId="5" fillId="0" borderId="0" xfId="3" applyFont="1" applyAlignment="1">
      <alignment horizontal="center"/>
    </xf>
    <xf numFmtId="0" fontId="4" fillId="17" borderId="0" xfId="3" applyFill="1" applyAlignment="1">
      <alignment horizontal="center" vertical="center"/>
    </xf>
    <xf numFmtId="0" fontId="24" fillId="0" borderId="0" xfId="3" applyFont="1" applyAlignment="1">
      <alignment horizontal="center"/>
    </xf>
    <xf numFmtId="2" fontId="24" fillId="0" borderId="0" xfId="3" applyNumberFormat="1" applyFont="1" applyAlignment="1">
      <alignment horizontal="center"/>
    </xf>
    <xf numFmtId="0" fontId="25" fillId="0" borderId="0" xfId="3" applyFont="1" applyAlignment="1">
      <alignment horizontal="center"/>
    </xf>
    <xf numFmtId="0" fontId="25" fillId="0" borderId="0" xfId="3" applyFont="1"/>
    <xf numFmtId="0" fontId="14" fillId="0" borderId="0" xfId="3" applyFont="1"/>
    <xf numFmtId="166" fontId="2" fillId="3" borderId="1" xfId="2" applyNumberFormat="1" applyAlignment="1">
      <alignment horizontal="center"/>
    </xf>
    <xf numFmtId="0" fontId="3" fillId="0" borderId="15" xfId="3" applyFont="1" applyBorder="1" applyAlignment="1">
      <alignment horizontal="center"/>
    </xf>
    <xf numFmtId="0" fontId="3" fillId="16" borderId="15" xfId="3" applyFont="1" applyFill="1" applyBorder="1" applyAlignment="1">
      <alignment horizontal="center"/>
    </xf>
    <xf numFmtId="0" fontId="5" fillId="0" borderId="0" xfId="3" applyFont="1"/>
    <xf numFmtId="0" fontId="14" fillId="15" borderId="15" xfId="3" applyFont="1" applyFill="1" applyBorder="1" applyAlignment="1">
      <alignment horizontal="center" vertical="center"/>
    </xf>
    <xf numFmtId="166" fontId="4" fillId="0" borderId="0" xfId="3" applyNumberFormat="1" applyAlignment="1">
      <alignment horizontal="center"/>
    </xf>
    <xf numFmtId="164" fontId="4" fillId="0" borderId="0" xfId="3" applyNumberFormat="1" applyAlignment="1">
      <alignment horizontal="center"/>
    </xf>
    <xf numFmtId="166" fontId="6" fillId="0" borderId="0" xfId="3" applyNumberFormat="1" applyFont="1" applyAlignment="1">
      <alignment horizontal="center"/>
    </xf>
  </cellXfs>
  <cellStyles count="4">
    <cellStyle name="İşaretli Hücre" xfId="2" builtinId="23"/>
    <cellStyle name="Normal" xfId="0" builtinId="0"/>
    <cellStyle name="Normal 2" xfId="3" xr:uid="{1EBB6B65-D5F1-4C7A-9E4C-F144BECE3A77}"/>
    <cellStyle name="Nötr" xfId="1" builtinId="28"/>
  </cellStyles>
  <dxfs count="43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0000"/>
        </patternFill>
      </fill>
    </dxf>
    <dxf>
      <font>
        <color rgb="FF9C0006"/>
      </font>
      <fill>
        <patternFill patternType="solid">
          <bgColor rgb="FFFF0000"/>
        </patternFill>
      </fill>
    </dxf>
    <dxf>
      <fill>
        <patternFill patternType="solid">
          <bgColor rgb="FFFF0000"/>
        </patternFill>
      </fill>
    </dxf>
    <dxf>
      <fill>
        <patternFill>
          <bgColor rgb="FF92D05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ill>
        <patternFill>
          <bgColor rgb="FF92D050"/>
        </patternFill>
      </fill>
    </dxf>
    <dxf>
      <font>
        <b val="0"/>
        <i val="0"/>
        <strike val="0"/>
        <condense val="0"/>
        <extend val="0"/>
        <outline val="0"/>
        <shadow val="0"/>
        <u val="none"/>
        <vertAlign val="baseline"/>
        <sz val="11"/>
        <color auto="1"/>
        <name val="Calibri"/>
        <family val="2"/>
        <charset val="162"/>
        <scheme val="none"/>
      </font>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numFmt numFmtId="166" formatCode="0.00000000"/>
      <alignment horizontal="center" vertical="bottom" textRotation="0" wrapText="0" indent="0" justifyLastLine="0" shrinkToFit="0" readingOrder="0"/>
    </dxf>
    <dxf>
      <numFmt numFmtId="164" formatCode="0.00000000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numFmt numFmtId="2" formatCode="0.00"/>
    </dxf>
    <dxf>
      <numFmt numFmtId="2" formatCode="0.00"/>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alignment horizontal="center" vertical="bottom" textRotation="0" wrapText="0" indent="0" justifyLastLine="0" shrinkToFit="0" readingOrder="0"/>
    </dxf>
    <dxf>
      <border outline="0">
        <left style="thin">
          <color theme="0"/>
        </left>
      </border>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auto="1"/>
        </patternFill>
      </fill>
    </dxf>
    <dxf>
      <font>
        <b/>
        <i val="0"/>
        <strike val="0"/>
        <condense val="0"/>
        <extend val="0"/>
        <outline val="0"/>
        <shadow val="0"/>
        <u val="none"/>
        <vertAlign val="baseline"/>
        <sz val="11"/>
        <color theme="0"/>
        <name val="Calibri"/>
        <family val="2"/>
        <charset val="162"/>
        <scheme val="none"/>
      </font>
      <fill>
        <patternFill patternType="none">
          <fgColor indexed="64"/>
          <bgColor auto="1"/>
        </patternFill>
      </fill>
      <border diagonalUp="0" diagonalDown="0" outline="0">
        <left style="thin">
          <color theme="0"/>
        </left>
        <right style="thin">
          <color theme="0"/>
        </right>
        <top/>
        <bottom/>
      </border>
    </dxf>
    <dxf>
      <numFmt numFmtId="166" formatCode="0.00000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auto="1"/>
        <name val="Calibri"/>
        <family val="2"/>
        <charset val="162"/>
        <scheme val="none"/>
      </font>
      <fill>
        <patternFill patternType="none">
          <fgColor indexed="64"/>
          <bgColor indexed="65"/>
        </patternFill>
      </fill>
    </dxf>
    <dxf>
      <font>
        <b val="0"/>
        <i val="0"/>
        <strike val="0"/>
        <condense val="0"/>
        <extend val="0"/>
        <outline val="0"/>
        <shadow val="0"/>
        <u val="none"/>
        <vertAlign val="baseline"/>
        <sz val="11"/>
        <color auto="1"/>
        <name val="Calibri"/>
        <family val="2"/>
        <charset val="162"/>
        <scheme val="none"/>
      </font>
    </dxf>
    <dxf>
      <numFmt numFmtId="2" formatCode="0.00"/>
    </dxf>
    <dxf>
      <numFmt numFmtId="2" formatCode="0.00"/>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alignment horizontal="center" vertical="bottom" textRotation="0" wrapText="0" indent="0" justifyLastLine="0" shrinkToFit="0" readingOrder="0"/>
    </dxf>
    <dxf>
      <border outline="0">
        <left style="thin">
          <color theme="0"/>
        </left>
      </border>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bottom"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solid">
          <fgColor indexed="64"/>
          <bgColor rgb="FFFFFF0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2" formatCode="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numFmt numFmtId="2" formatCode="0.00"/>
    </dxf>
    <dxf>
      <numFmt numFmtId="0" formatCode="General"/>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bottom"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solid">
          <fgColor indexed="64"/>
          <bgColor rgb="FFFFFF0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2" formatCode="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1" formatCode="0"/>
      <alignment horizontal="center" vertical="bottom" textRotation="0" wrapText="0" indent="0" justifyLastLine="0" shrinkToFit="0" readingOrder="0"/>
    </dxf>
    <dxf>
      <alignment horizontal="center" textRotation="0" wrapText="0" indent="0" justifyLastLine="0" shrinkToFit="0" readingOrder="0"/>
    </dxf>
    <dxf>
      <font>
        <b/>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numFmt numFmtId="2" formatCode="0.00"/>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solid">
          <fgColor indexed="64"/>
          <bgColor rgb="FFFFFF0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a:t>CENG-XXX CURVE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57078265-B1ED-455A-AF46-E44FBDFF45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669-4B66-B43A-72A28D4E5630}"/>
                </c:ext>
              </c:extLst>
            </c:dLbl>
            <c:dLbl>
              <c:idx val="1"/>
              <c:tx>
                <c:rich>
                  <a:bodyPr/>
                  <a:lstStyle/>
                  <a:p>
                    <a:fld id="{B2BA2411-BC13-4188-B8DD-2A96ED1D36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669-4B66-B43A-72A28D4E5630}"/>
                </c:ext>
              </c:extLst>
            </c:dLbl>
            <c:dLbl>
              <c:idx val="2"/>
              <c:tx>
                <c:rich>
                  <a:bodyPr/>
                  <a:lstStyle/>
                  <a:p>
                    <a:fld id="{3D3B7664-8C43-4844-9822-B601AB4A093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669-4B66-B43A-72A28D4E5630}"/>
                </c:ext>
              </c:extLst>
            </c:dLbl>
            <c:dLbl>
              <c:idx val="3"/>
              <c:tx>
                <c:rich>
                  <a:bodyPr/>
                  <a:lstStyle/>
                  <a:p>
                    <a:fld id="{C77AA824-93BA-4150-BE66-EB7495D074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669-4B66-B43A-72A28D4E5630}"/>
                </c:ext>
              </c:extLst>
            </c:dLbl>
            <c:dLbl>
              <c:idx val="4"/>
              <c:tx>
                <c:rich>
                  <a:bodyPr/>
                  <a:lstStyle/>
                  <a:p>
                    <a:fld id="{17D25B9E-F5FF-4795-AF42-D921196456F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669-4B66-B43A-72A28D4E5630}"/>
                </c:ext>
              </c:extLst>
            </c:dLbl>
            <c:dLbl>
              <c:idx val="5"/>
              <c:tx>
                <c:rich>
                  <a:bodyPr/>
                  <a:lstStyle/>
                  <a:p>
                    <a:fld id="{A59AC29C-86A7-4703-9D7D-F4F46F2FC3E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669-4B66-B43A-72A28D4E5630}"/>
                </c:ext>
              </c:extLst>
            </c:dLbl>
            <c:dLbl>
              <c:idx val="6"/>
              <c:tx>
                <c:rich>
                  <a:bodyPr/>
                  <a:lstStyle/>
                  <a:p>
                    <a:fld id="{83F3C5C4-4573-4C43-B1FE-BA66384C8F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669-4B66-B43A-72A28D4E5630}"/>
                </c:ext>
              </c:extLst>
            </c:dLbl>
            <c:dLbl>
              <c:idx val="7"/>
              <c:tx>
                <c:rich>
                  <a:bodyPr/>
                  <a:lstStyle/>
                  <a:p>
                    <a:fld id="{33E238B9-9CC5-4277-8A28-E41C2DDD7B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669-4B66-B43A-72A28D4E5630}"/>
                </c:ext>
              </c:extLst>
            </c:dLbl>
            <c:dLbl>
              <c:idx val="8"/>
              <c:tx>
                <c:rich>
                  <a:bodyPr/>
                  <a:lstStyle/>
                  <a:p>
                    <a:fld id="{4014F6F6-01A8-4C6B-9857-3FBE57DAA80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669-4B66-B43A-72A28D4E5630}"/>
                </c:ext>
              </c:extLst>
            </c:dLbl>
            <c:dLbl>
              <c:idx val="9"/>
              <c:tx>
                <c:rich>
                  <a:bodyPr/>
                  <a:lstStyle/>
                  <a:p>
                    <a:fld id="{86D4216C-0539-4A3E-8B38-265D708FFB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669-4B66-B43A-72A28D4E5630}"/>
                </c:ext>
              </c:extLst>
            </c:dLbl>
            <c:dLbl>
              <c:idx val="10"/>
              <c:tx>
                <c:rich>
                  <a:bodyPr/>
                  <a:lstStyle/>
                  <a:p>
                    <a:fld id="{E7A41D62-8F23-434E-B6C5-4BFA0FF8EE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669-4B66-B43A-72A28D4E5630}"/>
                </c:ext>
              </c:extLst>
            </c:dLbl>
            <c:dLbl>
              <c:idx val="11"/>
              <c:tx>
                <c:rich>
                  <a:bodyPr/>
                  <a:lstStyle/>
                  <a:p>
                    <a:fld id="{DA42F55A-1E36-4410-8F51-D2B5279673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669-4B66-B43A-72A28D4E5630}"/>
                </c:ext>
              </c:extLst>
            </c:dLbl>
            <c:dLbl>
              <c:idx val="12"/>
              <c:tx>
                <c:rich>
                  <a:bodyPr/>
                  <a:lstStyle/>
                  <a:p>
                    <a:fld id="{7166E50E-E28D-4B7B-A81B-A749B2A27A6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669-4B66-B43A-72A28D4E5630}"/>
                </c:ext>
              </c:extLst>
            </c:dLbl>
            <c:dLbl>
              <c:idx val="13"/>
              <c:tx>
                <c:rich>
                  <a:bodyPr/>
                  <a:lstStyle/>
                  <a:p>
                    <a:fld id="{8D93012F-8210-4590-A360-F34B8048552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669-4B66-B43A-72A28D4E5630}"/>
                </c:ext>
              </c:extLst>
            </c:dLbl>
            <c:dLbl>
              <c:idx val="14"/>
              <c:tx>
                <c:rich>
                  <a:bodyPr/>
                  <a:lstStyle/>
                  <a:p>
                    <a:fld id="{9C15FF17-6BBA-4521-9F1E-490F465D1D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669-4B66-B43A-72A28D4E5630}"/>
                </c:ext>
              </c:extLst>
            </c:dLbl>
            <c:dLbl>
              <c:idx val="15"/>
              <c:tx>
                <c:rich>
                  <a:bodyPr/>
                  <a:lstStyle/>
                  <a:p>
                    <a:fld id="{D9C0A0FE-15DC-41E8-AEE2-50AE716F59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669-4B66-B43A-72A28D4E5630}"/>
                </c:ext>
              </c:extLst>
            </c:dLbl>
            <c:dLbl>
              <c:idx val="16"/>
              <c:tx>
                <c:rich>
                  <a:bodyPr/>
                  <a:lstStyle/>
                  <a:p>
                    <a:fld id="{E6BF990E-302B-4705-BCBE-A9797881C5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669-4B66-B43A-72A28D4E5630}"/>
                </c:ext>
              </c:extLst>
            </c:dLbl>
            <c:dLbl>
              <c:idx val="17"/>
              <c:tx>
                <c:rich>
                  <a:bodyPr/>
                  <a:lstStyle/>
                  <a:p>
                    <a:fld id="{B95D88A6-12F4-45BC-86E4-9523B049665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669-4B66-B43A-72A28D4E5630}"/>
                </c:ext>
              </c:extLst>
            </c:dLbl>
            <c:dLbl>
              <c:idx val="18"/>
              <c:tx>
                <c:rich>
                  <a:bodyPr/>
                  <a:lstStyle/>
                  <a:p>
                    <a:fld id="{65FF2645-55EB-4AD7-BB7B-34BDE7B2B9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669-4B66-B43A-72A28D4E5630}"/>
                </c:ext>
              </c:extLst>
            </c:dLbl>
            <c:dLbl>
              <c:idx val="19"/>
              <c:tx>
                <c:rich>
                  <a:bodyPr/>
                  <a:lstStyle/>
                  <a:p>
                    <a:fld id="{800F47C6-643C-466E-A898-D576C55FFB5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669-4B66-B43A-72A28D4E5630}"/>
                </c:ext>
              </c:extLst>
            </c:dLbl>
            <c:dLbl>
              <c:idx val="20"/>
              <c:tx>
                <c:rich>
                  <a:bodyPr/>
                  <a:lstStyle/>
                  <a:p>
                    <a:fld id="{4A0C8A54-E65E-4E49-B53C-BB8618DA2F3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669-4B66-B43A-72A28D4E5630}"/>
                </c:ext>
              </c:extLst>
            </c:dLbl>
            <c:dLbl>
              <c:idx val="21"/>
              <c:tx>
                <c:rich>
                  <a:bodyPr/>
                  <a:lstStyle/>
                  <a:p>
                    <a:fld id="{A7E9B9F8-2B64-457D-A2DB-3385B65295D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669-4B66-B43A-72A28D4E5630}"/>
                </c:ext>
              </c:extLst>
            </c:dLbl>
            <c:dLbl>
              <c:idx val="22"/>
              <c:tx>
                <c:rich>
                  <a:bodyPr/>
                  <a:lstStyle/>
                  <a:p>
                    <a:fld id="{6C8B7B90-C539-4A66-956C-9DA595A2E7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669-4B66-B43A-72A28D4E5630}"/>
                </c:ext>
              </c:extLst>
            </c:dLbl>
            <c:dLbl>
              <c:idx val="23"/>
              <c:tx>
                <c:rich>
                  <a:bodyPr/>
                  <a:lstStyle/>
                  <a:p>
                    <a:fld id="{A9943015-6696-445A-8072-227453637A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669-4B66-B43A-72A28D4E5630}"/>
                </c:ext>
              </c:extLst>
            </c:dLbl>
            <c:dLbl>
              <c:idx val="24"/>
              <c:tx>
                <c:rich>
                  <a:bodyPr/>
                  <a:lstStyle/>
                  <a:p>
                    <a:fld id="{2398A22A-4014-406C-BF87-ADE3A11041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3669-4B66-B43A-72A28D4E5630}"/>
                </c:ext>
              </c:extLst>
            </c:dLbl>
            <c:dLbl>
              <c:idx val="25"/>
              <c:tx>
                <c:rich>
                  <a:bodyPr/>
                  <a:lstStyle/>
                  <a:p>
                    <a:fld id="{A220C4D4-25CD-400F-98D9-AE0AC0CAFA0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669-4B66-B43A-72A28D4E5630}"/>
                </c:ext>
              </c:extLst>
            </c:dLbl>
            <c:dLbl>
              <c:idx val="26"/>
              <c:tx>
                <c:rich>
                  <a:bodyPr/>
                  <a:lstStyle/>
                  <a:p>
                    <a:fld id="{63F64A0B-CD6B-4261-83FA-46E6D07DF34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669-4B66-B43A-72A28D4E5630}"/>
                </c:ext>
              </c:extLst>
            </c:dLbl>
            <c:dLbl>
              <c:idx val="27"/>
              <c:tx>
                <c:rich>
                  <a:bodyPr/>
                  <a:lstStyle/>
                  <a:p>
                    <a:fld id="{9A7ED5A4-3B40-4D0F-81A1-741256628C0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669-4B66-B43A-72A28D4E5630}"/>
                </c:ext>
              </c:extLst>
            </c:dLbl>
            <c:dLbl>
              <c:idx val="28"/>
              <c:tx>
                <c:rich>
                  <a:bodyPr/>
                  <a:lstStyle/>
                  <a:p>
                    <a:fld id="{92960457-C1DD-41E4-8122-E6EBC66CBF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669-4B66-B43A-72A28D4E5630}"/>
                </c:ext>
              </c:extLst>
            </c:dLbl>
            <c:dLbl>
              <c:idx val="29"/>
              <c:tx>
                <c:rich>
                  <a:bodyPr/>
                  <a:lstStyle/>
                  <a:p>
                    <a:fld id="{0ECDA075-752E-4ED2-8921-B494536BC9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669-4B66-B43A-72A28D4E5630}"/>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MAIN!$K$4:$K$33</c:f>
              <c:numCache>
                <c:formatCode>0.00</c:formatCode>
                <c:ptCount val="30"/>
                <c:pt idx="0">
                  <c:v>7.56</c:v>
                </c:pt>
                <c:pt idx="1">
                  <c:v>7.6</c:v>
                </c:pt>
                <c:pt idx="2">
                  <c:v>8.42</c:v>
                </c:pt>
                <c:pt idx="3">
                  <c:v>21.48</c:v>
                </c:pt>
                <c:pt idx="4">
                  <c:v>24.52</c:v>
                </c:pt>
                <c:pt idx="5">
                  <c:v>27.5</c:v>
                </c:pt>
                <c:pt idx="6">
                  <c:v>28.2</c:v>
                </c:pt>
                <c:pt idx="7">
                  <c:v>29.82</c:v>
                </c:pt>
                <c:pt idx="8">
                  <c:v>31.02</c:v>
                </c:pt>
                <c:pt idx="9">
                  <c:v>34.040000000000006</c:v>
                </c:pt>
                <c:pt idx="10">
                  <c:v>36.46</c:v>
                </c:pt>
                <c:pt idx="11">
                  <c:v>36.5</c:v>
                </c:pt>
                <c:pt idx="12">
                  <c:v>37.1</c:v>
                </c:pt>
                <c:pt idx="13">
                  <c:v>39.4</c:v>
                </c:pt>
                <c:pt idx="14">
                  <c:v>39.480000000000004</c:v>
                </c:pt>
                <c:pt idx="15">
                  <c:v>39.620000000000005</c:v>
                </c:pt>
                <c:pt idx="16">
                  <c:v>41.300000000000004</c:v>
                </c:pt>
                <c:pt idx="17">
                  <c:v>41.7</c:v>
                </c:pt>
                <c:pt idx="18">
                  <c:v>42.3</c:v>
                </c:pt>
                <c:pt idx="19">
                  <c:v>43.870000000000005</c:v>
                </c:pt>
                <c:pt idx="20">
                  <c:v>44.08</c:v>
                </c:pt>
                <c:pt idx="21">
                  <c:v>45.24</c:v>
                </c:pt>
                <c:pt idx="22">
                  <c:v>46.239999999999995</c:v>
                </c:pt>
                <c:pt idx="23">
                  <c:v>46.379999999999995</c:v>
                </c:pt>
                <c:pt idx="24">
                  <c:v>47.3</c:v>
                </c:pt>
                <c:pt idx="25">
                  <c:v>49.04</c:v>
                </c:pt>
                <c:pt idx="26">
                  <c:v>52.839999999999996</c:v>
                </c:pt>
                <c:pt idx="27">
                  <c:v>53.2</c:v>
                </c:pt>
                <c:pt idx="28">
                  <c:v>57.7</c:v>
                </c:pt>
                <c:pt idx="29">
                  <c:v>63</c:v>
                </c:pt>
              </c:numCache>
            </c:numRef>
          </c:xVal>
          <c:yVal>
            <c:numRef>
              <c:f>MAIN!$M$4:$M$33</c:f>
              <c:numCache>
                <c:formatCode>General</c:formatCode>
                <c:ptCount val="30"/>
                <c:pt idx="0">
                  <c:v>2.5835198658602518E-3</c:v>
                </c:pt>
                <c:pt idx="1">
                  <c:v>2.6004063125194665E-3</c:v>
                </c:pt>
                <c:pt idx="2">
                  <c:v>2.966255095607051E-3</c:v>
                </c:pt>
                <c:pt idx="3">
                  <c:v>1.4720569026309553E-2</c:v>
                </c:pt>
                <c:pt idx="4">
                  <c:v>1.8701540010571848E-2</c:v>
                </c:pt>
                <c:pt idx="5">
                  <c:v>2.2517649931579547E-2</c:v>
                </c:pt>
                <c:pt idx="6">
                  <c:v>2.3356865475674778E-2</c:v>
                </c:pt>
                <c:pt idx="7">
                  <c:v>2.5161640685374652E-2</c:v>
                </c:pt>
                <c:pt idx="8">
                  <c:v>2.6343500813529274E-2</c:v>
                </c:pt>
                <c:pt idx="9">
                  <c:v>2.855894170296823E-2</c:v>
                </c:pt>
                <c:pt idx="10">
                  <c:v>2.9393100692773337E-2</c:v>
                </c:pt>
                <c:pt idx="11">
                  <c:v>2.9399197861535199E-2</c:v>
                </c:pt>
                <c:pt idx="12">
                  <c:v>2.9459928382259248E-2</c:v>
                </c:pt>
                <c:pt idx="13">
                  <c:v>2.9158442590746642E-2</c:v>
                </c:pt>
                <c:pt idx="14">
                  <c:v>2.9132875007177667E-2</c:v>
                </c:pt>
                <c:pt idx="15">
                  <c:v>2.908574155866496E-2</c:v>
                </c:pt>
                <c:pt idx="16">
                  <c:v>2.8289088090760511E-2</c:v>
                </c:pt>
                <c:pt idx="17">
                  <c:v>2.8038931309781329E-2</c:v>
                </c:pt>
                <c:pt idx="18">
                  <c:v>2.7622585181342061E-2</c:v>
                </c:pt>
                <c:pt idx="19">
                  <c:v>2.631642468448479E-2</c:v>
                </c:pt>
                <c:pt idx="20">
                  <c:v>2.6119813534685173E-2</c:v>
                </c:pt>
                <c:pt idx="21">
                  <c:v>2.4951526469312774E-2</c:v>
                </c:pt>
                <c:pt idx="22">
                  <c:v>2.384547790320761E-2</c:v>
                </c:pt>
                <c:pt idx="23">
                  <c:v>2.3684279603739766E-2</c:v>
                </c:pt>
                <c:pt idx="24">
                  <c:v>2.2591563133072187E-2</c:v>
                </c:pt>
                <c:pt idx="25">
                  <c:v>2.0401607494210355E-2</c:v>
                </c:pt>
                <c:pt idx="26">
                  <c:v>1.5417492944803013E-2</c:v>
                </c:pt>
                <c:pt idx="27">
                  <c:v>1.4952525787742199E-2</c:v>
                </c:pt>
                <c:pt idx="28">
                  <c:v>9.6064371118935454E-3</c:v>
                </c:pt>
                <c:pt idx="29">
                  <c:v>4.9511906617681943E-3</c:v>
                </c:pt>
              </c:numCache>
            </c:numRef>
          </c:yVal>
          <c:smooth val="0"/>
          <c:extLst>
            <c:ext xmlns:c15="http://schemas.microsoft.com/office/drawing/2012/chart" uri="{02D57815-91ED-43cb-92C2-25804820EDAC}">
              <c15:datalabelsRange>
                <c15:f>MAIN!$C$4:$C$33</c15:f>
                <c15:dlblRangeCache>
                  <c:ptCount val="30"/>
                  <c:pt idx="0">
                    <c:v>1</c:v>
                  </c:pt>
                  <c:pt idx="1">
                    <c:v>2</c:v>
                  </c:pt>
                  <c:pt idx="2">
                    <c:v>3</c:v>
                  </c:pt>
                  <c:pt idx="3">
                    <c:v>30</c:v>
                  </c:pt>
                  <c:pt idx="4">
                    <c:v>29</c:v>
                  </c:pt>
                  <c:pt idx="5">
                    <c:v>28</c:v>
                  </c:pt>
                  <c:pt idx="6">
                    <c:v>27</c:v>
                  </c:pt>
                  <c:pt idx="7">
                    <c:v>26</c:v>
                  </c:pt>
                  <c:pt idx="8">
                    <c:v>25</c:v>
                  </c:pt>
                  <c:pt idx="9">
                    <c:v>22</c:v>
                  </c:pt>
                  <c:pt idx="10">
                    <c:v>24</c:v>
                  </c:pt>
                  <c:pt idx="11">
                    <c:v>17</c:v>
                  </c:pt>
                  <c:pt idx="12">
                    <c:v>21</c:v>
                  </c:pt>
                  <c:pt idx="13">
                    <c:v>20</c:v>
                  </c:pt>
                  <c:pt idx="14">
                    <c:v>18</c:v>
                  </c:pt>
                  <c:pt idx="15">
                    <c:v>23</c:v>
                  </c:pt>
                  <c:pt idx="16">
                    <c:v>12</c:v>
                  </c:pt>
                  <c:pt idx="17">
                    <c:v>19</c:v>
                  </c:pt>
                  <c:pt idx="18">
                    <c:v>16</c:v>
                  </c:pt>
                  <c:pt idx="19">
                    <c:v>15</c:v>
                  </c:pt>
                  <c:pt idx="20">
                    <c:v>11</c:v>
                  </c:pt>
                  <c:pt idx="21">
                    <c:v>14</c:v>
                  </c:pt>
                  <c:pt idx="22">
                    <c:v>13</c:v>
                  </c:pt>
                  <c:pt idx="23">
                    <c:v>10</c:v>
                  </c:pt>
                  <c:pt idx="24">
                    <c:v>9</c:v>
                  </c:pt>
                  <c:pt idx="25">
                    <c:v>8</c:v>
                  </c:pt>
                  <c:pt idx="26">
                    <c:v>7</c:v>
                  </c:pt>
                  <c:pt idx="27">
                    <c:v>6</c:v>
                  </c:pt>
                  <c:pt idx="28">
                    <c:v>5</c:v>
                  </c:pt>
                  <c:pt idx="29">
                    <c:v>4</c:v>
                  </c:pt>
                </c15:dlblRangeCache>
              </c15:datalabelsRange>
            </c:ext>
            <c:ext xmlns:c16="http://schemas.microsoft.com/office/drawing/2014/chart" uri="{C3380CC4-5D6E-409C-BE32-E72D297353CC}">
              <c16:uniqueId val="{0000001E-3669-4B66-B43A-72A28D4E5630}"/>
            </c:ext>
          </c:extLst>
        </c:ser>
        <c:dLbls>
          <c:showLegendKey val="0"/>
          <c:showVal val="0"/>
          <c:showCatName val="0"/>
          <c:showSerName val="0"/>
          <c:showPercent val="0"/>
          <c:showBubbleSize val="0"/>
        </c:dLbls>
        <c:axId val="520302671"/>
        <c:axId val="520303503"/>
      </c:scatterChart>
      <c:valAx>
        <c:axId val="5203026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Grades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20303503"/>
        <c:crosses val="autoZero"/>
        <c:crossBetween val="midCat"/>
      </c:valAx>
      <c:valAx>
        <c:axId val="52030350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203026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baseline="0"/>
              <a:t>CENG-XXX MIDTERM CURVE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1408147152337667E-2"/>
          <c:y val="0.14639175706283516"/>
          <c:w val="0.91750784200755398"/>
          <c:h val="0.73842367563293898"/>
        </c:manualLayout>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5070FB74-07AB-42A5-935F-EE21C00BF2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45A-4921-AF4B-56E8C4A96742}"/>
                </c:ext>
              </c:extLst>
            </c:dLbl>
            <c:dLbl>
              <c:idx val="1"/>
              <c:tx>
                <c:rich>
                  <a:bodyPr/>
                  <a:lstStyle/>
                  <a:p>
                    <a:fld id="{3BA4D851-EA26-482F-A039-40D070F9EC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45A-4921-AF4B-56E8C4A96742}"/>
                </c:ext>
              </c:extLst>
            </c:dLbl>
            <c:dLbl>
              <c:idx val="2"/>
              <c:tx>
                <c:rich>
                  <a:bodyPr/>
                  <a:lstStyle/>
                  <a:p>
                    <a:fld id="{8E136EE8-E589-4404-AF80-7CA790BFA6F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45A-4921-AF4B-56E8C4A96742}"/>
                </c:ext>
              </c:extLst>
            </c:dLbl>
            <c:dLbl>
              <c:idx val="3"/>
              <c:tx>
                <c:rich>
                  <a:bodyPr/>
                  <a:lstStyle/>
                  <a:p>
                    <a:fld id="{CCBB3FCB-8C4D-4A73-B9CD-415FEE5E97E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45A-4921-AF4B-56E8C4A96742}"/>
                </c:ext>
              </c:extLst>
            </c:dLbl>
            <c:dLbl>
              <c:idx val="4"/>
              <c:tx>
                <c:rich>
                  <a:bodyPr/>
                  <a:lstStyle/>
                  <a:p>
                    <a:fld id="{C4F60F86-FBAE-4A2A-AFAE-5223A60AC3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45A-4921-AF4B-56E8C4A96742}"/>
                </c:ext>
              </c:extLst>
            </c:dLbl>
            <c:dLbl>
              <c:idx val="5"/>
              <c:tx>
                <c:rich>
                  <a:bodyPr/>
                  <a:lstStyle/>
                  <a:p>
                    <a:fld id="{5D62789F-DF60-4B42-BDBF-3B0BE3DF5E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45A-4921-AF4B-56E8C4A96742}"/>
                </c:ext>
              </c:extLst>
            </c:dLbl>
            <c:dLbl>
              <c:idx val="6"/>
              <c:tx>
                <c:rich>
                  <a:bodyPr/>
                  <a:lstStyle/>
                  <a:p>
                    <a:fld id="{E3129C0F-CD7D-49E4-B322-2DE0809F34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45A-4921-AF4B-56E8C4A96742}"/>
                </c:ext>
              </c:extLst>
            </c:dLbl>
            <c:dLbl>
              <c:idx val="7"/>
              <c:tx>
                <c:rich>
                  <a:bodyPr/>
                  <a:lstStyle/>
                  <a:p>
                    <a:fld id="{408FCF9E-29F1-430D-AC8C-3513E353552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45A-4921-AF4B-56E8C4A96742}"/>
                </c:ext>
              </c:extLst>
            </c:dLbl>
            <c:dLbl>
              <c:idx val="8"/>
              <c:tx>
                <c:rich>
                  <a:bodyPr/>
                  <a:lstStyle/>
                  <a:p>
                    <a:fld id="{819EC984-9A7C-4ACE-AB59-D50D3F3572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45A-4921-AF4B-56E8C4A96742}"/>
                </c:ext>
              </c:extLst>
            </c:dLbl>
            <c:dLbl>
              <c:idx val="9"/>
              <c:tx>
                <c:rich>
                  <a:bodyPr/>
                  <a:lstStyle/>
                  <a:p>
                    <a:fld id="{E3C723D5-2F05-467F-AF42-BEECE40A6A7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45A-4921-AF4B-56E8C4A96742}"/>
                </c:ext>
              </c:extLst>
            </c:dLbl>
            <c:dLbl>
              <c:idx val="10"/>
              <c:tx>
                <c:rich>
                  <a:bodyPr/>
                  <a:lstStyle/>
                  <a:p>
                    <a:fld id="{4504ECCD-D434-4A09-B24E-E8189FDB27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45A-4921-AF4B-56E8C4A96742}"/>
                </c:ext>
              </c:extLst>
            </c:dLbl>
            <c:dLbl>
              <c:idx val="11"/>
              <c:tx>
                <c:rich>
                  <a:bodyPr/>
                  <a:lstStyle/>
                  <a:p>
                    <a:fld id="{534900BF-31DE-4DC6-AC1A-708B211A2F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45A-4921-AF4B-56E8C4A96742}"/>
                </c:ext>
              </c:extLst>
            </c:dLbl>
            <c:dLbl>
              <c:idx val="12"/>
              <c:tx>
                <c:rich>
                  <a:bodyPr/>
                  <a:lstStyle/>
                  <a:p>
                    <a:fld id="{6E41B1CB-FA88-4B37-88E8-BCB4D9CC32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45A-4921-AF4B-56E8C4A96742}"/>
                </c:ext>
              </c:extLst>
            </c:dLbl>
            <c:dLbl>
              <c:idx val="13"/>
              <c:tx>
                <c:rich>
                  <a:bodyPr/>
                  <a:lstStyle/>
                  <a:p>
                    <a:fld id="{14CB9CBE-B4A4-4612-9CDA-7D5DA63BAE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45A-4921-AF4B-56E8C4A96742}"/>
                </c:ext>
              </c:extLst>
            </c:dLbl>
            <c:dLbl>
              <c:idx val="14"/>
              <c:tx>
                <c:rich>
                  <a:bodyPr/>
                  <a:lstStyle/>
                  <a:p>
                    <a:fld id="{C626281D-C410-446D-8C31-41027EE143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45A-4921-AF4B-56E8C4A96742}"/>
                </c:ext>
              </c:extLst>
            </c:dLbl>
            <c:dLbl>
              <c:idx val="15"/>
              <c:tx>
                <c:rich>
                  <a:bodyPr/>
                  <a:lstStyle/>
                  <a:p>
                    <a:fld id="{6067F29C-EF4D-4511-AC99-5873898F98C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45A-4921-AF4B-56E8C4A96742}"/>
                </c:ext>
              </c:extLst>
            </c:dLbl>
            <c:dLbl>
              <c:idx val="16"/>
              <c:tx>
                <c:rich>
                  <a:bodyPr/>
                  <a:lstStyle/>
                  <a:p>
                    <a:fld id="{6B9A2617-A380-4D41-B60B-CAE748F5C77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45A-4921-AF4B-56E8C4A96742}"/>
                </c:ext>
              </c:extLst>
            </c:dLbl>
            <c:dLbl>
              <c:idx val="17"/>
              <c:tx>
                <c:rich>
                  <a:bodyPr/>
                  <a:lstStyle/>
                  <a:p>
                    <a:fld id="{F9F86174-EBD4-4F48-920C-3E3BF522B9B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45A-4921-AF4B-56E8C4A96742}"/>
                </c:ext>
              </c:extLst>
            </c:dLbl>
            <c:dLbl>
              <c:idx val="18"/>
              <c:tx>
                <c:rich>
                  <a:bodyPr/>
                  <a:lstStyle/>
                  <a:p>
                    <a:fld id="{6A57826B-9E6D-4728-A687-588B2D26F7E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45A-4921-AF4B-56E8C4A96742}"/>
                </c:ext>
              </c:extLst>
            </c:dLbl>
            <c:dLbl>
              <c:idx val="19"/>
              <c:tx>
                <c:rich>
                  <a:bodyPr/>
                  <a:lstStyle/>
                  <a:p>
                    <a:fld id="{286805AF-A8F0-4B43-B1A2-8E59571495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45A-4921-AF4B-56E8C4A96742}"/>
                </c:ext>
              </c:extLst>
            </c:dLbl>
            <c:dLbl>
              <c:idx val="20"/>
              <c:tx>
                <c:rich>
                  <a:bodyPr/>
                  <a:lstStyle/>
                  <a:p>
                    <a:fld id="{B5352887-3C0D-44AA-8A9B-638DCFB3774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45A-4921-AF4B-56E8C4A96742}"/>
                </c:ext>
              </c:extLst>
            </c:dLbl>
            <c:dLbl>
              <c:idx val="21"/>
              <c:tx>
                <c:rich>
                  <a:bodyPr/>
                  <a:lstStyle/>
                  <a:p>
                    <a:fld id="{33843FF8-D5A0-4B0A-923E-DF592F15D03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45A-4921-AF4B-56E8C4A96742}"/>
                </c:ext>
              </c:extLst>
            </c:dLbl>
            <c:dLbl>
              <c:idx val="22"/>
              <c:tx>
                <c:rich>
                  <a:bodyPr/>
                  <a:lstStyle/>
                  <a:p>
                    <a:fld id="{47A274C7-588C-4325-8354-34E17835A7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45A-4921-AF4B-56E8C4A96742}"/>
                </c:ext>
              </c:extLst>
            </c:dLbl>
            <c:dLbl>
              <c:idx val="23"/>
              <c:tx>
                <c:rich>
                  <a:bodyPr/>
                  <a:lstStyle/>
                  <a:p>
                    <a:fld id="{21706A75-5F2D-4E2D-B594-B56128809FE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45A-4921-AF4B-56E8C4A96742}"/>
                </c:ext>
              </c:extLst>
            </c:dLbl>
            <c:dLbl>
              <c:idx val="24"/>
              <c:tx>
                <c:rich>
                  <a:bodyPr/>
                  <a:lstStyle/>
                  <a:p>
                    <a:fld id="{6721A3E8-2301-45D3-9F08-CCEFFD58E0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345A-4921-AF4B-56E8C4A96742}"/>
                </c:ext>
              </c:extLst>
            </c:dLbl>
            <c:dLbl>
              <c:idx val="25"/>
              <c:tx>
                <c:rich>
                  <a:bodyPr/>
                  <a:lstStyle/>
                  <a:p>
                    <a:fld id="{57EA8B66-8980-45B9-9DA1-A4C9B32F30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45A-4921-AF4B-56E8C4A96742}"/>
                </c:ext>
              </c:extLst>
            </c:dLbl>
            <c:dLbl>
              <c:idx val="26"/>
              <c:tx>
                <c:rich>
                  <a:bodyPr/>
                  <a:lstStyle/>
                  <a:p>
                    <a:fld id="{08E3EEB1-2B26-4226-82D9-AF52CFEE959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45A-4921-AF4B-56E8C4A96742}"/>
                </c:ext>
              </c:extLst>
            </c:dLbl>
            <c:dLbl>
              <c:idx val="27"/>
              <c:tx>
                <c:rich>
                  <a:bodyPr/>
                  <a:lstStyle/>
                  <a:p>
                    <a:fld id="{442061A0-D80B-4467-AC19-04C825EB90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45A-4921-AF4B-56E8C4A96742}"/>
                </c:ext>
              </c:extLst>
            </c:dLbl>
            <c:dLbl>
              <c:idx val="28"/>
              <c:tx>
                <c:rich>
                  <a:bodyPr/>
                  <a:lstStyle/>
                  <a:p>
                    <a:fld id="{6293EF6E-B988-4AB8-B28E-C592694500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45A-4921-AF4B-56E8C4A96742}"/>
                </c:ext>
              </c:extLst>
            </c:dLbl>
            <c:dLbl>
              <c:idx val="29"/>
              <c:tx>
                <c:rich>
                  <a:bodyPr/>
                  <a:lstStyle/>
                  <a:p>
                    <a:fld id="{EBD4C206-1A6F-4737-8281-37ECFBE0FC6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45A-4921-AF4B-56E8C4A96742}"/>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trendline>
            <c:spPr>
              <a:ln w="25400" cap="rnd">
                <a:solidFill>
                  <a:schemeClr val="accent1">
                    <a:alpha val="50000"/>
                  </a:schemeClr>
                </a:solidFill>
              </a:ln>
              <a:effectLst/>
            </c:spPr>
            <c:trendlineType val="power"/>
            <c:dispRSqr val="0"/>
            <c:dispEq val="0"/>
          </c:trendline>
          <c:xVal>
            <c:numRef>
              <c:f>MIDTERM!$M$5:$M$34</c:f>
              <c:numCache>
                <c:formatCode>General</c:formatCode>
                <c:ptCount val="30"/>
                <c:pt idx="0">
                  <c:v>0</c:v>
                </c:pt>
                <c:pt idx="1">
                  <c:v>0</c:v>
                </c:pt>
                <c:pt idx="2">
                  <c:v>0</c:v>
                </c:pt>
                <c:pt idx="3">
                  <c:v>71</c:v>
                </c:pt>
                <c:pt idx="4">
                  <c:v>67</c:v>
                </c:pt>
                <c:pt idx="5">
                  <c:v>62</c:v>
                </c:pt>
                <c:pt idx="6">
                  <c:v>57</c:v>
                </c:pt>
                <c:pt idx="7">
                  <c:v>55</c:v>
                </c:pt>
                <c:pt idx="8">
                  <c:v>53</c:v>
                </c:pt>
                <c:pt idx="9">
                  <c:v>50</c:v>
                </c:pt>
                <c:pt idx="10">
                  <c:v>50</c:v>
                </c:pt>
                <c:pt idx="11">
                  <c:v>48</c:v>
                </c:pt>
                <c:pt idx="12">
                  <c:v>48</c:v>
                </c:pt>
                <c:pt idx="13">
                  <c:v>47</c:v>
                </c:pt>
                <c:pt idx="14">
                  <c:v>44</c:v>
                </c:pt>
                <c:pt idx="15">
                  <c:v>43</c:v>
                </c:pt>
                <c:pt idx="16">
                  <c:v>42</c:v>
                </c:pt>
                <c:pt idx="17">
                  <c:v>42</c:v>
                </c:pt>
                <c:pt idx="18">
                  <c:v>40</c:v>
                </c:pt>
                <c:pt idx="19">
                  <c:v>40</c:v>
                </c:pt>
                <c:pt idx="20">
                  <c:v>37</c:v>
                </c:pt>
                <c:pt idx="21">
                  <c:v>36</c:v>
                </c:pt>
                <c:pt idx="22">
                  <c:v>36</c:v>
                </c:pt>
                <c:pt idx="23">
                  <c:v>35</c:v>
                </c:pt>
                <c:pt idx="24">
                  <c:v>28</c:v>
                </c:pt>
                <c:pt idx="25">
                  <c:v>25</c:v>
                </c:pt>
                <c:pt idx="26">
                  <c:v>24</c:v>
                </c:pt>
                <c:pt idx="27">
                  <c:v>22</c:v>
                </c:pt>
                <c:pt idx="28">
                  <c:v>21</c:v>
                </c:pt>
                <c:pt idx="29">
                  <c:v>17</c:v>
                </c:pt>
              </c:numCache>
            </c:numRef>
          </c:xVal>
          <c:yVal>
            <c:numRef>
              <c:f>MIDTERM!$S$5:$S$34</c:f>
              <c:numCache>
                <c:formatCode>General</c:formatCode>
                <c:ptCount val="30"/>
                <c:pt idx="0">
                  <c:v>2.4428421796479677E-3</c:v>
                </c:pt>
                <c:pt idx="1">
                  <c:v>2.4428421796479677E-3</c:v>
                </c:pt>
                <c:pt idx="2">
                  <c:v>2.4428421796479677E-3</c:v>
                </c:pt>
                <c:pt idx="3">
                  <c:v>4.1940278803414199E-3</c:v>
                </c:pt>
                <c:pt idx="4">
                  <c:v>6.1180895764037227E-3</c:v>
                </c:pt>
                <c:pt idx="5">
                  <c:v>9.1588558478442415E-3</c:v>
                </c:pt>
                <c:pt idx="6">
                  <c:v>1.2705893806020505E-2</c:v>
                </c:pt>
                <c:pt idx="7">
                  <c:v>1.4177956179946404E-2</c:v>
                </c:pt>
                <c:pt idx="8">
                  <c:v>1.5629036846777963E-2</c:v>
                </c:pt>
                <c:pt idx="9">
                  <c:v>1.7680383242776862E-2</c:v>
                </c:pt>
                <c:pt idx="10">
                  <c:v>1.7680383242776862E-2</c:v>
                </c:pt>
                <c:pt idx="11">
                  <c:v>1.8905392662284057E-2</c:v>
                </c:pt>
                <c:pt idx="12">
                  <c:v>1.8905392662284057E-2</c:v>
                </c:pt>
                <c:pt idx="13">
                  <c:v>1.9460277639275211E-2</c:v>
                </c:pt>
                <c:pt idx="14">
                  <c:v>2.0840315400294896E-2</c:v>
                </c:pt>
                <c:pt idx="15">
                  <c:v>2.1192285407833772E-2</c:v>
                </c:pt>
                <c:pt idx="16">
                  <c:v>2.1484677809694316E-2</c:v>
                </c:pt>
                <c:pt idx="17">
                  <c:v>2.1484677809694316E-2</c:v>
                </c:pt>
                <c:pt idx="18">
                  <c:v>2.1880819321820844E-2</c:v>
                </c:pt>
                <c:pt idx="19">
                  <c:v>2.1880819321820844E-2</c:v>
                </c:pt>
                <c:pt idx="20">
                  <c:v>2.1980990760215053E-2</c:v>
                </c:pt>
                <c:pt idx="21">
                  <c:v>2.1880819321820844E-2</c:v>
                </c:pt>
                <c:pt idx="22">
                  <c:v>2.1880819321820844E-2</c:v>
                </c:pt>
                <c:pt idx="23">
                  <c:v>2.1714880340688841E-2</c:v>
                </c:pt>
                <c:pt idx="24">
                  <c:v>1.8905392662284057E-2</c:v>
                </c:pt>
                <c:pt idx="25">
                  <c:v>1.7020055707633003E-2</c:v>
                </c:pt>
                <c:pt idx="26">
                  <c:v>1.6334574426045821E-2</c:v>
                </c:pt>
                <c:pt idx="27">
                  <c:v>1.4908506887514609E-2</c:v>
                </c:pt>
                <c:pt idx="28">
                  <c:v>1.4177956179946404E-2</c:v>
                </c:pt>
                <c:pt idx="29">
                  <c:v>1.1248820574905113E-2</c:v>
                </c:pt>
              </c:numCache>
            </c:numRef>
          </c:yVal>
          <c:smooth val="0"/>
          <c:extLst>
            <c:ext xmlns:c15="http://schemas.microsoft.com/office/drawing/2012/chart" uri="{02D57815-91ED-43cb-92C2-25804820EDAC}">
              <c15:datalabelsRange>
                <c15:f>MIDTERM!$C$5:$C$34</c15:f>
                <c15:dlblRange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15:dlblRangeCache>
              </c15:datalabelsRange>
            </c:ext>
            <c:ext xmlns:c16="http://schemas.microsoft.com/office/drawing/2014/chart" uri="{C3380CC4-5D6E-409C-BE32-E72D297353CC}">
              <c16:uniqueId val="{0000001F-345A-4921-AF4B-56E8C4A96742}"/>
            </c:ext>
          </c:extLst>
        </c:ser>
        <c:dLbls>
          <c:showLegendKey val="0"/>
          <c:showVal val="0"/>
          <c:showCatName val="0"/>
          <c:showSerName val="0"/>
          <c:showPercent val="0"/>
          <c:showBubbleSize val="0"/>
        </c:dLbls>
        <c:axId val="367640431"/>
        <c:axId val="367637103"/>
      </c:scatterChart>
      <c:valAx>
        <c:axId val="36764043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MIDTERM GRADE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637103"/>
        <c:crosses val="autoZero"/>
        <c:crossBetween val="midCat"/>
      </c:valAx>
      <c:valAx>
        <c:axId val="36763710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640431"/>
        <c:crosses val="autoZero"/>
        <c:crossBetween val="midCat"/>
      </c:valAx>
      <c:spPr>
        <a:noFill/>
        <a:ln>
          <a:noFill/>
        </a:ln>
        <a:effectLst>
          <a:glow rad="63500">
            <a:schemeClr val="accent1">
              <a:satMod val="175000"/>
              <a:alpha val="40000"/>
            </a:schemeClr>
          </a:glow>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a:glow rad="127000">
        <a:schemeClr val="bg1"/>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baseline="0"/>
              <a:t>CENG-XXX FINAL CURVE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3238403451067945E-2"/>
          <c:y val="0.14206609179889018"/>
          <c:w val="0.9155179375465754"/>
          <c:h val="0.69635888590540473"/>
        </c:manualLayout>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7AE77F27-9731-4415-8C56-1FDD83167E5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67C8-4E5F-AF8F-69185498E514}"/>
                </c:ext>
              </c:extLst>
            </c:dLbl>
            <c:dLbl>
              <c:idx val="1"/>
              <c:tx>
                <c:rich>
                  <a:bodyPr/>
                  <a:lstStyle/>
                  <a:p>
                    <a:fld id="{67BA8F32-BDE3-4C72-A6B3-51F2AFDB13F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7C8-4E5F-AF8F-69185498E514}"/>
                </c:ext>
              </c:extLst>
            </c:dLbl>
            <c:dLbl>
              <c:idx val="2"/>
              <c:tx>
                <c:rich>
                  <a:bodyPr/>
                  <a:lstStyle/>
                  <a:p>
                    <a:fld id="{460DE203-1162-48F6-BCB9-DBB1236C49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7C8-4E5F-AF8F-69185498E514}"/>
                </c:ext>
              </c:extLst>
            </c:dLbl>
            <c:dLbl>
              <c:idx val="3"/>
              <c:tx>
                <c:rich>
                  <a:bodyPr/>
                  <a:lstStyle/>
                  <a:p>
                    <a:fld id="{34A8A951-28E8-4110-9F93-403D8155B5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7C8-4E5F-AF8F-69185498E514}"/>
                </c:ext>
              </c:extLst>
            </c:dLbl>
            <c:dLbl>
              <c:idx val="4"/>
              <c:tx>
                <c:rich>
                  <a:bodyPr/>
                  <a:lstStyle/>
                  <a:p>
                    <a:fld id="{C66923FA-5991-4D93-A700-0C4BCAB0FA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7C8-4E5F-AF8F-69185498E514}"/>
                </c:ext>
              </c:extLst>
            </c:dLbl>
            <c:dLbl>
              <c:idx val="5"/>
              <c:tx>
                <c:rich>
                  <a:bodyPr/>
                  <a:lstStyle/>
                  <a:p>
                    <a:fld id="{1F3B23CD-2B91-473B-9E0E-874399C3E1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7C8-4E5F-AF8F-69185498E514}"/>
                </c:ext>
              </c:extLst>
            </c:dLbl>
            <c:dLbl>
              <c:idx val="6"/>
              <c:tx>
                <c:rich>
                  <a:bodyPr/>
                  <a:lstStyle/>
                  <a:p>
                    <a:fld id="{E98F7A28-F9CA-43DB-A989-97FF88CD77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7C8-4E5F-AF8F-69185498E514}"/>
                </c:ext>
              </c:extLst>
            </c:dLbl>
            <c:dLbl>
              <c:idx val="7"/>
              <c:tx>
                <c:rich>
                  <a:bodyPr/>
                  <a:lstStyle/>
                  <a:p>
                    <a:fld id="{1A3BD7E9-91DB-4F05-913B-90EE6654A8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7C8-4E5F-AF8F-69185498E514}"/>
                </c:ext>
              </c:extLst>
            </c:dLbl>
            <c:dLbl>
              <c:idx val="8"/>
              <c:tx>
                <c:rich>
                  <a:bodyPr/>
                  <a:lstStyle/>
                  <a:p>
                    <a:fld id="{E52FB91A-68D0-4CA6-A7B2-7DAE0C7F94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7C8-4E5F-AF8F-69185498E514}"/>
                </c:ext>
              </c:extLst>
            </c:dLbl>
            <c:dLbl>
              <c:idx val="9"/>
              <c:tx>
                <c:rich>
                  <a:bodyPr/>
                  <a:lstStyle/>
                  <a:p>
                    <a:fld id="{355FF316-7BDE-47A2-B048-67E00398E8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7C8-4E5F-AF8F-69185498E514}"/>
                </c:ext>
              </c:extLst>
            </c:dLbl>
            <c:dLbl>
              <c:idx val="10"/>
              <c:tx>
                <c:rich>
                  <a:bodyPr/>
                  <a:lstStyle/>
                  <a:p>
                    <a:fld id="{6F4D4101-21BE-453A-BF4D-4BEB07B3A41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7C8-4E5F-AF8F-69185498E514}"/>
                </c:ext>
              </c:extLst>
            </c:dLbl>
            <c:dLbl>
              <c:idx val="11"/>
              <c:tx>
                <c:rich>
                  <a:bodyPr/>
                  <a:lstStyle/>
                  <a:p>
                    <a:fld id="{26509739-3DFC-4A28-B37C-32809BF0A7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7C8-4E5F-AF8F-69185498E514}"/>
                </c:ext>
              </c:extLst>
            </c:dLbl>
            <c:dLbl>
              <c:idx val="12"/>
              <c:tx>
                <c:rich>
                  <a:bodyPr/>
                  <a:lstStyle/>
                  <a:p>
                    <a:fld id="{38DA3F63-141A-40D1-83D1-3AF87B96AC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7C8-4E5F-AF8F-69185498E514}"/>
                </c:ext>
              </c:extLst>
            </c:dLbl>
            <c:dLbl>
              <c:idx val="13"/>
              <c:tx>
                <c:rich>
                  <a:bodyPr/>
                  <a:lstStyle/>
                  <a:p>
                    <a:fld id="{757500C4-B0FC-43DF-AF83-40675C6947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7C8-4E5F-AF8F-69185498E514}"/>
                </c:ext>
              </c:extLst>
            </c:dLbl>
            <c:dLbl>
              <c:idx val="14"/>
              <c:tx>
                <c:rich>
                  <a:bodyPr/>
                  <a:lstStyle/>
                  <a:p>
                    <a:fld id="{8BD5C541-39D0-44EB-A3D5-F1A98AF0CA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7C8-4E5F-AF8F-69185498E514}"/>
                </c:ext>
              </c:extLst>
            </c:dLbl>
            <c:dLbl>
              <c:idx val="15"/>
              <c:tx>
                <c:rich>
                  <a:bodyPr/>
                  <a:lstStyle/>
                  <a:p>
                    <a:fld id="{EE7E64C0-062B-4562-B06F-19A75FA498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67C8-4E5F-AF8F-69185498E514}"/>
                </c:ext>
              </c:extLst>
            </c:dLbl>
            <c:dLbl>
              <c:idx val="16"/>
              <c:tx>
                <c:rich>
                  <a:bodyPr/>
                  <a:lstStyle/>
                  <a:p>
                    <a:fld id="{906D11AC-2240-4BED-99DF-4524A2770B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67C8-4E5F-AF8F-69185498E514}"/>
                </c:ext>
              </c:extLst>
            </c:dLbl>
            <c:dLbl>
              <c:idx val="17"/>
              <c:tx>
                <c:rich>
                  <a:bodyPr/>
                  <a:lstStyle/>
                  <a:p>
                    <a:fld id="{8998BF95-BF6A-4AE4-AB8D-B11C1EECC4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67C8-4E5F-AF8F-69185498E514}"/>
                </c:ext>
              </c:extLst>
            </c:dLbl>
            <c:dLbl>
              <c:idx val="18"/>
              <c:tx>
                <c:rich>
                  <a:bodyPr/>
                  <a:lstStyle/>
                  <a:p>
                    <a:fld id="{ADE13491-0F4B-47BC-A6CB-62CAE8BF66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67C8-4E5F-AF8F-69185498E514}"/>
                </c:ext>
              </c:extLst>
            </c:dLbl>
            <c:dLbl>
              <c:idx val="19"/>
              <c:tx>
                <c:rich>
                  <a:bodyPr/>
                  <a:lstStyle/>
                  <a:p>
                    <a:fld id="{67A8CD42-538D-4F95-91C5-2B60F41A95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67C8-4E5F-AF8F-69185498E514}"/>
                </c:ext>
              </c:extLst>
            </c:dLbl>
            <c:dLbl>
              <c:idx val="20"/>
              <c:tx>
                <c:rich>
                  <a:bodyPr/>
                  <a:lstStyle/>
                  <a:p>
                    <a:fld id="{9212AE36-7CC4-4679-9F81-7048F84048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67C8-4E5F-AF8F-69185498E514}"/>
                </c:ext>
              </c:extLst>
            </c:dLbl>
            <c:dLbl>
              <c:idx val="21"/>
              <c:tx>
                <c:rich>
                  <a:bodyPr/>
                  <a:lstStyle/>
                  <a:p>
                    <a:fld id="{90713D43-F8CA-4437-BBDE-F788367EF3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67C8-4E5F-AF8F-69185498E514}"/>
                </c:ext>
              </c:extLst>
            </c:dLbl>
            <c:dLbl>
              <c:idx val="22"/>
              <c:tx>
                <c:rich>
                  <a:bodyPr/>
                  <a:lstStyle/>
                  <a:p>
                    <a:fld id="{BCD117FB-4BD3-40A2-95F6-E6348E5C06B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67C8-4E5F-AF8F-69185498E514}"/>
                </c:ext>
              </c:extLst>
            </c:dLbl>
            <c:dLbl>
              <c:idx val="23"/>
              <c:tx>
                <c:rich>
                  <a:bodyPr/>
                  <a:lstStyle/>
                  <a:p>
                    <a:fld id="{45A227F5-B8AB-4E9A-A3A0-6E4C2B7A7E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67C8-4E5F-AF8F-69185498E514}"/>
                </c:ext>
              </c:extLst>
            </c:dLbl>
            <c:dLbl>
              <c:idx val="24"/>
              <c:tx>
                <c:rich>
                  <a:bodyPr/>
                  <a:lstStyle/>
                  <a:p>
                    <a:fld id="{E6468236-7862-43F5-BAA5-02CA831BEB7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67C8-4E5F-AF8F-69185498E514}"/>
                </c:ext>
              </c:extLst>
            </c:dLbl>
            <c:dLbl>
              <c:idx val="25"/>
              <c:tx>
                <c:rich>
                  <a:bodyPr/>
                  <a:lstStyle/>
                  <a:p>
                    <a:fld id="{B0BF54B6-B30C-4A0B-9A6E-CF30EBC3C6F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67C8-4E5F-AF8F-69185498E514}"/>
                </c:ext>
              </c:extLst>
            </c:dLbl>
            <c:dLbl>
              <c:idx val="26"/>
              <c:tx>
                <c:rich>
                  <a:bodyPr/>
                  <a:lstStyle/>
                  <a:p>
                    <a:fld id="{DABF226A-3679-48BA-88B2-DC046A7B10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67C8-4E5F-AF8F-69185498E514}"/>
                </c:ext>
              </c:extLst>
            </c:dLbl>
            <c:dLbl>
              <c:idx val="27"/>
              <c:tx>
                <c:rich>
                  <a:bodyPr/>
                  <a:lstStyle/>
                  <a:p>
                    <a:fld id="{6AA3DD1E-3173-4305-9FFC-CAC4D7238D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67C8-4E5F-AF8F-69185498E514}"/>
                </c:ext>
              </c:extLst>
            </c:dLbl>
            <c:dLbl>
              <c:idx val="28"/>
              <c:tx>
                <c:rich>
                  <a:bodyPr/>
                  <a:lstStyle/>
                  <a:p>
                    <a:fld id="{DB790131-E1B3-48DA-873D-5D13809D1F4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67C8-4E5F-AF8F-69185498E514}"/>
                </c:ext>
              </c:extLst>
            </c:dLbl>
            <c:dLbl>
              <c:idx val="29"/>
              <c:tx>
                <c:rich>
                  <a:bodyPr/>
                  <a:lstStyle/>
                  <a:p>
                    <a:fld id="{9F08ACB4-9B2D-46E7-B9B7-32D6008485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67C8-4E5F-AF8F-69185498E5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[1]MIDTERM!$M$5:$M$34</c:f>
              <c:numCache>
                <c:formatCode>General</c:formatCode>
                <c:ptCount val="30"/>
                <c:pt idx="0">
                  <c:v>0</c:v>
                </c:pt>
                <c:pt idx="1">
                  <c:v>0</c:v>
                </c:pt>
                <c:pt idx="2">
                  <c:v>0</c:v>
                </c:pt>
                <c:pt idx="3">
                  <c:v>71</c:v>
                </c:pt>
                <c:pt idx="4">
                  <c:v>67</c:v>
                </c:pt>
                <c:pt idx="5">
                  <c:v>62</c:v>
                </c:pt>
                <c:pt idx="6">
                  <c:v>57</c:v>
                </c:pt>
                <c:pt idx="7">
                  <c:v>55</c:v>
                </c:pt>
                <c:pt idx="8">
                  <c:v>53</c:v>
                </c:pt>
                <c:pt idx="9">
                  <c:v>50</c:v>
                </c:pt>
                <c:pt idx="10">
                  <c:v>50</c:v>
                </c:pt>
                <c:pt idx="11">
                  <c:v>48</c:v>
                </c:pt>
                <c:pt idx="12">
                  <c:v>48</c:v>
                </c:pt>
                <c:pt idx="13">
                  <c:v>47</c:v>
                </c:pt>
                <c:pt idx="14">
                  <c:v>44</c:v>
                </c:pt>
                <c:pt idx="15">
                  <c:v>43</c:v>
                </c:pt>
                <c:pt idx="16">
                  <c:v>42</c:v>
                </c:pt>
                <c:pt idx="17">
                  <c:v>42</c:v>
                </c:pt>
                <c:pt idx="18">
                  <c:v>40</c:v>
                </c:pt>
                <c:pt idx="19">
                  <c:v>40</c:v>
                </c:pt>
                <c:pt idx="20">
                  <c:v>37</c:v>
                </c:pt>
                <c:pt idx="21">
                  <c:v>36</c:v>
                </c:pt>
                <c:pt idx="22">
                  <c:v>36</c:v>
                </c:pt>
                <c:pt idx="23">
                  <c:v>35</c:v>
                </c:pt>
                <c:pt idx="24">
                  <c:v>28</c:v>
                </c:pt>
                <c:pt idx="25">
                  <c:v>25</c:v>
                </c:pt>
                <c:pt idx="26">
                  <c:v>24</c:v>
                </c:pt>
                <c:pt idx="27">
                  <c:v>22</c:v>
                </c:pt>
                <c:pt idx="28">
                  <c:v>21</c:v>
                </c:pt>
                <c:pt idx="29">
                  <c:v>17</c:v>
                </c:pt>
              </c:numCache>
            </c:numRef>
          </c:xVal>
          <c:yVal>
            <c:numRef>
              <c:f>[1]MIDTERM!$S$5:$S$34</c:f>
              <c:numCache>
                <c:formatCode>General</c:formatCode>
                <c:ptCount val="30"/>
                <c:pt idx="0">
                  <c:v>2.4428421796479677E-3</c:v>
                </c:pt>
                <c:pt idx="1">
                  <c:v>2.4428421796479677E-3</c:v>
                </c:pt>
                <c:pt idx="2">
                  <c:v>2.4428421796479677E-3</c:v>
                </c:pt>
                <c:pt idx="3">
                  <c:v>4.1940278803414199E-3</c:v>
                </c:pt>
                <c:pt idx="4">
                  <c:v>6.1180895764037227E-3</c:v>
                </c:pt>
                <c:pt idx="5">
                  <c:v>9.1588558478442415E-3</c:v>
                </c:pt>
                <c:pt idx="6">
                  <c:v>1.2705893806020505E-2</c:v>
                </c:pt>
                <c:pt idx="7">
                  <c:v>1.4177956179946404E-2</c:v>
                </c:pt>
                <c:pt idx="8">
                  <c:v>1.5629036846777963E-2</c:v>
                </c:pt>
                <c:pt idx="9">
                  <c:v>1.7680383242776862E-2</c:v>
                </c:pt>
                <c:pt idx="10">
                  <c:v>1.7680383242776862E-2</c:v>
                </c:pt>
                <c:pt idx="11">
                  <c:v>1.8905392662284057E-2</c:v>
                </c:pt>
                <c:pt idx="12">
                  <c:v>1.8905392662284057E-2</c:v>
                </c:pt>
                <c:pt idx="13">
                  <c:v>1.9460277639275211E-2</c:v>
                </c:pt>
                <c:pt idx="14">
                  <c:v>2.0840315400294896E-2</c:v>
                </c:pt>
                <c:pt idx="15">
                  <c:v>2.1192285407833772E-2</c:v>
                </c:pt>
                <c:pt idx="16">
                  <c:v>2.1484677809694316E-2</c:v>
                </c:pt>
                <c:pt idx="17">
                  <c:v>2.1484677809694316E-2</c:v>
                </c:pt>
                <c:pt idx="18">
                  <c:v>2.1880819321820844E-2</c:v>
                </c:pt>
                <c:pt idx="19">
                  <c:v>2.1880819321820844E-2</c:v>
                </c:pt>
                <c:pt idx="20">
                  <c:v>2.1980990760215053E-2</c:v>
                </c:pt>
                <c:pt idx="21">
                  <c:v>2.1880819321820844E-2</c:v>
                </c:pt>
                <c:pt idx="22">
                  <c:v>2.1880819321820844E-2</c:v>
                </c:pt>
                <c:pt idx="23">
                  <c:v>2.1714880340688841E-2</c:v>
                </c:pt>
                <c:pt idx="24">
                  <c:v>1.8905392662284057E-2</c:v>
                </c:pt>
                <c:pt idx="25">
                  <c:v>1.7020055707633003E-2</c:v>
                </c:pt>
                <c:pt idx="26">
                  <c:v>1.6334574426045821E-2</c:v>
                </c:pt>
                <c:pt idx="27">
                  <c:v>1.4908506887514609E-2</c:v>
                </c:pt>
                <c:pt idx="28">
                  <c:v>1.4177956179946404E-2</c:v>
                </c:pt>
                <c:pt idx="29">
                  <c:v>1.1248820574905113E-2</c:v>
                </c:pt>
              </c:numCache>
            </c:numRef>
          </c:yVal>
          <c:smooth val="0"/>
          <c:extLst>
            <c:ext xmlns:c15="http://schemas.microsoft.com/office/drawing/2012/chart" uri="{02D57815-91ED-43cb-92C2-25804820EDAC}">
              <c15:datalabelsRange>
                <c15:f>FINAL!$C$5:$C$34</c15:f>
                <c15:dlblRange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15:dlblRangeCache>
              </c15:datalabelsRange>
            </c:ext>
            <c:ext xmlns:c16="http://schemas.microsoft.com/office/drawing/2014/chart" uri="{C3380CC4-5D6E-409C-BE32-E72D297353CC}">
              <c16:uniqueId val="{0000001E-67C8-4E5F-AF8F-69185498E514}"/>
            </c:ext>
          </c:extLst>
        </c:ser>
        <c:dLbls>
          <c:dLblPos val="t"/>
          <c:showLegendKey val="0"/>
          <c:showVal val="1"/>
          <c:showCatName val="0"/>
          <c:showSerName val="0"/>
          <c:showPercent val="0"/>
          <c:showBubbleSize val="0"/>
        </c:dLbls>
        <c:axId val="367640431"/>
        <c:axId val="367637103"/>
      </c:scatterChart>
      <c:valAx>
        <c:axId val="367640431"/>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Final Grades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637103"/>
        <c:crosses val="autoZero"/>
        <c:crossBetween val="midCat"/>
      </c:valAx>
      <c:valAx>
        <c:axId val="36763710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640431"/>
        <c:crosses val="autoZero"/>
        <c:crossBetween val="midCat"/>
      </c:valAx>
      <c:spPr>
        <a:noFill/>
        <a:ln>
          <a:noFill/>
        </a:ln>
        <a:effectLst>
          <a:glow rad="63500">
            <a:schemeClr val="accent1">
              <a:satMod val="175000"/>
              <a:alpha val="40000"/>
            </a:schemeClr>
          </a:glow>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a:glow rad="127000">
        <a:schemeClr val="bg1"/>
      </a:glo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sz="1800" b="1" i="0" baseline="0">
                <a:effectLst/>
              </a:rPr>
              <a:t>CENG-XXX HOMEWORK CURVE</a:t>
            </a:r>
            <a:endParaRPr lang="en-US">
              <a:effectLst/>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2ED6F635-D4FC-4ADC-AB5B-8C1BF14F9F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05D5-4196-8BA2-60D8AC72E2F2}"/>
                </c:ext>
              </c:extLst>
            </c:dLbl>
            <c:dLbl>
              <c:idx val="1"/>
              <c:tx>
                <c:rich>
                  <a:bodyPr/>
                  <a:lstStyle/>
                  <a:p>
                    <a:fld id="{F894C248-D1C8-4CB2-96BE-FE6B3E677B1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5D5-4196-8BA2-60D8AC72E2F2}"/>
                </c:ext>
              </c:extLst>
            </c:dLbl>
            <c:dLbl>
              <c:idx val="2"/>
              <c:tx>
                <c:rich>
                  <a:bodyPr/>
                  <a:lstStyle/>
                  <a:p>
                    <a:fld id="{F309A48F-0284-4CC7-8F24-2D4826147B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5D5-4196-8BA2-60D8AC72E2F2}"/>
                </c:ext>
              </c:extLst>
            </c:dLbl>
            <c:dLbl>
              <c:idx val="3"/>
              <c:tx>
                <c:rich>
                  <a:bodyPr/>
                  <a:lstStyle/>
                  <a:p>
                    <a:fld id="{C0645D4C-4C5E-48A2-A721-CC9DC87C60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5D5-4196-8BA2-60D8AC72E2F2}"/>
                </c:ext>
              </c:extLst>
            </c:dLbl>
            <c:dLbl>
              <c:idx val="4"/>
              <c:tx>
                <c:rich>
                  <a:bodyPr/>
                  <a:lstStyle/>
                  <a:p>
                    <a:fld id="{74AADB75-D185-4CD6-BDF4-07AB4518FB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5D5-4196-8BA2-60D8AC72E2F2}"/>
                </c:ext>
              </c:extLst>
            </c:dLbl>
            <c:dLbl>
              <c:idx val="5"/>
              <c:tx>
                <c:rich>
                  <a:bodyPr/>
                  <a:lstStyle/>
                  <a:p>
                    <a:fld id="{A9046942-1FA7-42DF-8A30-8040804B54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5D5-4196-8BA2-60D8AC72E2F2}"/>
                </c:ext>
              </c:extLst>
            </c:dLbl>
            <c:dLbl>
              <c:idx val="6"/>
              <c:tx>
                <c:rich>
                  <a:bodyPr/>
                  <a:lstStyle/>
                  <a:p>
                    <a:fld id="{CE849A9B-1CA6-4FE8-92F9-592D5203FF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5D5-4196-8BA2-60D8AC72E2F2}"/>
                </c:ext>
              </c:extLst>
            </c:dLbl>
            <c:dLbl>
              <c:idx val="7"/>
              <c:tx>
                <c:rich>
                  <a:bodyPr/>
                  <a:lstStyle/>
                  <a:p>
                    <a:fld id="{6C7D357F-DBC5-44C6-B351-F81F427A901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5D5-4196-8BA2-60D8AC72E2F2}"/>
                </c:ext>
              </c:extLst>
            </c:dLbl>
            <c:dLbl>
              <c:idx val="8"/>
              <c:tx>
                <c:rich>
                  <a:bodyPr/>
                  <a:lstStyle/>
                  <a:p>
                    <a:fld id="{11BFD5A2-907F-4213-92F1-884F92BC1C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5D5-4196-8BA2-60D8AC72E2F2}"/>
                </c:ext>
              </c:extLst>
            </c:dLbl>
            <c:dLbl>
              <c:idx val="9"/>
              <c:tx>
                <c:rich>
                  <a:bodyPr/>
                  <a:lstStyle/>
                  <a:p>
                    <a:fld id="{20AA85AD-0D3D-4F9C-B997-684CF7AC22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5D5-4196-8BA2-60D8AC72E2F2}"/>
                </c:ext>
              </c:extLst>
            </c:dLbl>
            <c:dLbl>
              <c:idx val="10"/>
              <c:tx>
                <c:rich>
                  <a:bodyPr/>
                  <a:lstStyle/>
                  <a:p>
                    <a:fld id="{31F6592F-146D-44A2-93BB-9AE911D42C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5D5-4196-8BA2-60D8AC72E2F2}"/>
                </c:ext>
              </c:extLst>
            </c:dLbl>
            <c:dLbl>
              <c:idx val="11"/>
              <c:tx>
                <c:rich>
                  <a:bodyPr/>
                  <a:lstStyle/>
                  <a:p>
                    <a:fld id="{376E321A-F920-43BE-869F-619C437230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5D5-4196-8BA2-60D8AC72E2F2}"/>
                </c:ext>
              </c:extLst>
            </c:dLbl>
            <c:dLbl>
              <c:idx val="12"/>
              <c:tx>
                <c:rich>
                  <a:bodyPr/>
                  <a:lstStyle/>
                  <a:p>
                    <a:fld id="{7B12CB46-0EAE-4715-B1AF-D5B8D5E254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5D5-4196-8BA2-60D8AC72E2F2}"/>
                </c:ext>
              </c:extLst>
            </c:dLbl>
            <c:dLbl>
              <c:idx val="13"/>
              <c:tx>
                <c:rich>
                  <a:bodyPr/>
                  <a:lstStyle/>
                  <a:p>
                    <a:fld id="{2C2CF9AB-85A5-4B69-8FA9-417C0D2439B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5D5-4196-8BA2-60D8AC72E2F2}"/>
                </c:ext>
              </c:extLst>
            </c:dLbl>
            <c:dLbl>
              <c:idx val="14"/>
              <c:tx>
                <c:rich>
                  <a:bodyPr/>
                  <a:lstStyle/>
                  <a:p>
                    <a:fld id="{C6968CF0-F50A-4017-B24B-92E1A256DBB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5D5-4196-8BA2-60D8AC72E2F2}"/>
                </c:ext>
              </c:extLst>
            </c:dLbl>
            <c:dLbl>
              <c:idx val="15"/>
              <c:tx>
                <c:rich>
                  <a:bodyPr/>
                  <a:lstStyle/>
                  <a:p>
                    <a:fld id="{D690462B-A304-41D2-AF44-1AB72C3EF6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5D5-4196-8BA2-60D8AC72E2F2}"/>
                </c:ext>
              </c:extLst>
            </c:dLbl>
            <c:dLbl>
              <c:idx val="16"/>
              <c:tx>
                <c:rich>
                  <a:bodyPr/>
                  <a:lstStyle/>
                  <a:p>
                    <a:fld id="{1DFC6A00-0B13-47D3-9012-5E0650A371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5D5-4196-8BA2-60D8AC72E2F2}"/>
                </c:ext>
              </c:extLst>
            </c:dLbl>
            <c:dLbl>
              <c:idx val="17"/>
              <c:tx>
                <c:rich>
                  <a:bodyPr/>
                  <a:lstStyle/>
                  <a:p>
                    <a:fld id="{A83390F5-0FE3-4629-BD31-ABACB264289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5D5-4196-8BA2-60D8AC72E2F2}"/>
                </c:ext>
              </c:extLst>
            </c:dLbl>
            <c:dLbl>
              <c:idx val="18"/>
              <c:tx>
                <c:rich>
                  <a:bodyPr/>
                  <a:lstStyle/>
                  <a:p>
                    <a:fld id="{0F35B525-6F17-4C58-80A0-F0E20A2516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5D5-4196-8BA2-60D8AC72E2F2}"/>
                </c:ext>
              </c:extLst>
            </c:dLbl>
            <c:dLbl>
              <c:idx val="19"/>
              <c:tx>
                <c:rich>
                  <a:bodyPr/>
                  <a:lstStyle/>
                  <a:p>
                    <a:fld id="{EBA9DC86-C4ED-4CEF-8C21-FCEEAA54CC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5D5-4196-8BA2-60D8AC72E2F2}"/>
                </c:ext>
              </c:extLst>
            </c:dLbl>
            <c:dLbl>
              <c:idx val="20"/>
              <c:tx>
                <c:rich>
                  <a:bodyPr/>
                  <a:lstStyle/>
                  <a:p>
                    <a:fld id="{4F16BA48-DB3B-41AF-93A0-3CEB981289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5D5-4196-8BA2-60D8AC72E2F2}"/>
                </c:ext>
              </c:extLst>
            </c:dLbl>
            <c:dLbl>
              <c:idx val="21"/>
              <c:tx>
                <c:rich>
                  <a:bodyPr/>
                  <a:lstStyle/>
                  <a:p>
                    <a:fld id="{30B1FC7F-2882-4C28-9857-7DDD8E7F9E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5D5-4196-8BA2-60D8AC72E2F2}"/>
                </c:ext>
              </c:extLst>
            </c:dLbl>
            <c:dLbl>
              <c:idx val="22"/>
              <c:tx>
                <c:rich>
                  <a:bodyPr/>
                  <a:lstStyle/>
                  <a:p>
                    <a:fld id="{1083C5AD-1B4C-4567-82AF-4588619554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5D5-4196-8BA2-60D8AC72E2F2}"/>
                </c:ext>
              </c:extLst>
            </c:dLbl>
            <c:dLbl>
              <c:idx val="23"/>
              <c:tx>
                <c:rich>
                  <a:bodyPr/>
                  <a:lstStyle/>
                  <a:p>
                    <a:fld id="{9A0BD20E-64B4-4C77-A263-6D7BFFC460F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5D5-4196-8BA2-60D8AC72E2F2}"/>
                </c:ext>
              </c:extLst>
            </c:dLbl>
            <c:dLbl>
              <c:idx val="24"/>
              <c:tx>
                <c:rich>
                  <a:bodyPr/>
                  <a:lstStyle/>
                  <a:p>
                    <a:fld id="{5C0E61DF-9041-4371-9286-D4DDA680E0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05D5-4196-8BA2-60D8AC72E2F2}"/>
                </c:ext>
              </c:extLst>
            </c:dLbl>
            <c:dLbl>
              <c:idx val="25"/>
              <c:tx>
                <c:rich>
                  <a:bodyPr/>
                  <a:lstStyle/>
                  <a:p>
                    <a:fld id="{7BEF465D-EAC8-4270-B746-842A04739A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5D5-4196-8BA2-60D8AC72E2F2}"/>
                </c:ext>
              </c:extLst>
            </c:dLbl>
            <c:dLbl>
              <c:idx val="26"/>
              <c:tx>
                <c:rich>
                  <a:bodyPr/>
                  <a:lstStyle/>
                  <a:p>
                    <a:fld id="{5F72FD68-8747-4FAA-B401-CDA8487469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05D5-4196-8BA2-60D8AC72E2F2}"/>
                </c:ext>
              </c:extLst>
            </c:dLbl>
            <c:dLbl>
              <c:idx val="27"/>
              <c:tx>
                <c:rich>
                  <a:bodyPr/>
                  <a:lstStyle/>
                  <a:p>
                    <a:fld id="{29EF370A-A38C-4359-94E6-C4FB564252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05D5-4196-8BA2-60D8AC72E2F2}"/>
                </c:ext>
              </c:extLst>
            </c:dLbl>
            <c:dLbl>
              <c:idx val="28"/>
              <c:tx>
                <c:rich>
                  <a:bodyPr/>
                  <a:lstStyle/>
                  <a:p>
                    <a:fld id="{C4665AEE-AD76-4620-A1D6-9D99B08F2A8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5D5-4196-8BA2-60D8AC72E2F2}"/>
                </c:ext>
              </c:extLst>
            </c:dLbl>
            <c:dLbl>
              <c:idx val="29"/>
              <c:tx>
                <c:rich>
                  <a:bodyPr/>
                  <a:lstStyle/>
                  <a:p>
                    <a:fld id="{C195FA4B-315F-4EE0-8724-E7DF560739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05D5-4196-8BA2-60D8AC72E2F2}"/>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HOMEWORK!$K$5:$K$34</c:f>
              <c:numCache>
                <c:formatCode>General</c:formatCode>
                <c:ptCount val="30"/>
                <c:pt idx="0">
                  <c:v>5.6</c:v>
                </c:pt>
                <c:pt idx="1">
                  <c:v>6</c:v>
                </c:pt>
                <c:pt idx="2">
                  <c:v>4.2</c:v>
                </c:pt>
                <c:pt idx="3">
                  <c:v>5</c:v>
                </c:pt>
                <c:pt idx="4">
                  <c:v>0</c:v>
                </c:pt>
                <c:pt idx="5">
                  <c:v>0</c:v>
                </c:pt>
                <c:pt idx="6">
                  <c:v>5.4</c:v>
                </c:pt>
                <c:pt idx="7">
                  <c:v>5.4</c:v>
                </c:pt>
                <c:pt idx="8">
                  <c:v>4</c:v>
                </c:pt>
                <c:pt idx="9">
                  <c:v>5.8</c:v>
                </c:pt>
                <c:pt idx="10">
                  <c:v>4.8</c:v>
                </c:pt>
                <c:pt idx="11">
                  <c:v>5</c:v>
                </c:pt>
                <c:pt idx="12">
                  <c:v>4.4000000000000004</c:v>
                </c:pt>
                <c:pt idx="13">
                  <c:v>3.4</c:v>
                </c:pt>
                <c:pt idx="14">
                  <c:v>6.7</c:v>
                </c:pt>
                <c:pt idx="15">
                  <c:v>10</c:v>
                </c:pt>
                <c:pt idx="16">
                  <c:v>5</c:v>
                </c:pt>
                <c:pt idx="17">
                  <c:v>2.8</c:v>
                </c:pt>
                <c:pt idx="18">
                  <c:v>5</c:v>
                </c:pt>
                <c:pt idx="19">
                  <c:v>2</c:v>
                </c:pt>
                <c:pt idx="20">
                  <c:v>6</c:v>
                </c:pt>
                <c:pt idx="21">
                  <c:v>4.4000000000000004</c:v>
                </c:pt>
                <c:pt idx="22">
                  <c:v>6.2</c:v>
                </c:pt>
                <c:pt idx="23">
                  <c:v>5.6</c:v>
                </c:pt>
                <c:pt idx="24">
                  <c:v>2.2000000000000002</c:v>
                </c:pt>
                <c:pt idx="25">
                  <c:v>5.2</c:v>
                </c:pt>
                <c:pt idx="26">
                  <c:v>4</c:v>
                </c:pt>
                <c:pt idx="27">
                  <c:v>5</c:v>
                </c:pt>
                <c:pt idx="28">
                  <c:v>4.2</c:v>
                </c:pt>
                <c:pt idx="29">
                  <c:v>5.8</c:v>
                </c:pt>
              </c:numCache>
            </c:numRef>
          </c:xVal>
          <c:yVal>
            <c:numRef>
              <c:f>HOMEWORK!$Q$5:$Q$34</c:f>
              <c:numCache>
                <c:formatCode>General</c:formatCode>
                <c:ptCount val="30"/>
                <c:pt idx="0">
                  <c:v>0.18482809471308614</c:v>
                </c:pt>
                <c:pt idx="1">
                  <c:v>0.16241884871807255</c:v>
                </c:pt>
                <c:pt idx="2">
                  <c:v>0.20475710386720047</c:v>
                </c:pt>
                <c:pt idx="3">
                  <c:v>0.206432160192831</c:v>
                </c:pt>
                <c:pt idx="4">
                  <c:v>1.0618999877097596E-2</c:v>
                </c:pt>
                <c:pt idx="5">
                  <c:v>1.0618999877097596E-2</c:v>
                </c:pt>
                <c:pt idx="6">
                  <c:v>0.19390819893198236</c:v>
                </c:pt>
                <c:pt idx="7">
                  <c:v>0.19390819893198236</c:v>
                </c:pt>
                <c:pt idx="8">
                  <c:v>0.19874294797332623</c:v>
                </c:pt>
                <c:pt idx="9">
                  <c:v>0.17422671106222606</c:v>
                </c:pt>
                <c:pt idx="10">
                  <c:v>0.20947411102404484</c:v>
                </c:pt>
                <c:pt idx="11">
                  <c:v>0.206432160192831</c:v>
                </c:pt>
                <c:pt idx="12">
                  <c:v>0.2086225101230515</c:v>
                </c:pt>
                <c:pt idx="13">
                  <c:v>0.17001983922354486</c:v>
                </c:pt>
                <c:pt idx="14">
                  <c:v>0.11640321468986572</c:v>
                </c:pt>
                <c:pt idx="15">
                  <c:v>3.870856906647231E-3</c:v>
                </c:pt>
                <c:pt idx="16">
                  <c:v>0.206432160192831</c:v>
                </c:pt>
                <c:pt idx="17">
                  <c:v>0.13160788610670934</c:v>
                </c:pt>
                <c:pt idx="18">
                  <c:v>0.206432160192831</c:v>
                </c:pt>
                <c:pt idx="19">
                  <c:v>8.0064646434437253E-2</c:v>
                </c:pt>
                <c:pt idx="20">
                  <c:v>0.16241884871807255</c:v>
                </c:pt>
                <c:pt idx="21">
                  <c:v>0.2086225101230515</c:v>
                </c:pt>
                <c:pt idx="22">
                  <c:v>0.14973835396183971</c:v>
                </c:pt>
                <c:pt idx="23">
                  <c:v>0.18482809471308614</c:v>
                </c:pt>
                <c:pt idx="24">
                  <c:v>9.2180416175694543E-2</c:v>
                </c:pt>
                <c:pt idx="25">
                  <c:v>0.20118671342007627</c:v>
                </c:pt>
                <c:pt idx="26">
                  <c:v>0.19874294797332623</c:v>
                </c:pt>
                <c:pt idx="27">
                  <c:v>0.206432160192831</c:v>
                </c:pt>
                <c:pt idx="28">
                  <c:v>0.20475710386720047</c:v>
                </c:pt>
                <c:pt idx="29">
                  <c:v>0.17422671106222606</c:v>
                </c:pt>
              </c:numCache>
            </c:numRef>
          </c:yVal>
          <c:smooth val="0"/>
          <c:extLst>
            <c:ext xmlns:c15="http://schemas.microsoft.com/office/drawing/2012/chart" uri="{02D57815-91ED-43cb-92C2-25804820EDAC}">
              <c15:datalabelsRange>
                <c15:f>HOMEWORK!$C$5:$C$34</c15:f>
                <c15:dlblRange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15:dlblRangeCache>
              </c15:datalabelsRange>
            </c:ext>
            <c:ext xmlns:c16="http://schemas.microsoft.com/office/drawing/2014/chart" uri="{C3380CC4-5D6E-409C-BE32-E72D297353CC}">
              <c16:uniqueId val="{0000001E-05D5-4196-8BA2-60D8AC72E2F2}"/>
            </c:ext>
          </c:extLst>
        </c:ser>
        <c:dLbls>
          <c:showLegendKey val="0"/>
          <c:showVal val="0"/>
          <c:showCatName val="0"/>
          <c:showSerName val="0"/>
          <c:showPercent val="0"/>
          <c:showBubbleSize val="0"/>
        </c:dLbls>
        <c:axId val="205927983"/>
        <c:axId val="205922159"/>
      </c:scatterChart>
      <c:valAx>
        <c:axId val="2059279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Homework Grade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922159"/>
        <c:crosses val="autoZero"/>
        <c:crossBetween val="midCat"/>
      </c:valAx>
      <c:valAx>
        <c:axId val="205922159"/>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927983"/>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a:t>CENG-XXX LABWORK CURVE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48ACEF21-AAE4-4B4F-9D00-6F05BADE741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0CF3-49EE-A64A-38F3D8D39C8A}"/>
                </c:ext>
              </c:extLst>
            </c:dLbl>
            <c:dLbl>
              <c:idx val="1"/>
              <c:tx>
                <c:rich>
                  <a:bodyPr/>
                  <a:lstStyle/>
                  <a:p>
                    <a:fld id="{89609F2C-5F45-44ED-8217-403C684EED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CF3-49EE-A64A-38F3D8D39C8A}"/>
                </c:ext>
              </c:extLst>
            </c:dLbl>
            <c:dLbl>
              <c:idx val="2"/>
              <c:tx>
                <c:rich>
                  <a:bodyPr/>
                  <a:lstStyle/>
                  <a:p>
                    <a:fld id="{B1620394-205C-4D53-AC48-CC107224534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CF3-49EE-A64A-38F3D8D39C8A}"/>
                </c:ext>
              </c:extLst>
            </c:dLbl>
            <c:dLbl>
              <c:idx val="3"/>
              <c:tx>
                <c:rich>
                  <a:bodyPr/>
                  <a:lstStyle/>
                  <a:p>
                    <a:fld id="{3CF271F1-214D-4E0D-A386-C040A4DE0F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CF3-49EE-A64A-38F3D8D39C8A}"/>
                </c:ext>
              </c:extLst>
            </c:dLbl>
            <c:dLbl>
              <c:idx val="4"/>
              <c:tx>
                <c:rich>
                  <a:bodyPr/>
                  <a:lstStyle/>
                  <a:p>
                    <a:fld id="{076ABEE1-4CA1-42F0-A8D3-2ADC25D3EE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CF3-49EE-A64A-38F3D8D39C8A}"/>
                </c:ext>
              </c:extLst>
            </c:dLbl>
            <c:dLbl>
              <c:idx val="5"/>
              <c:tx>
                <c:rich>
                  <a:bodyPr/>
                  <a:lstStyle/>
                  <a:p>
                    <a:fld id="{CFA8383C-0BB1-4837-AB30-9C16211D457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CF3-49EE-A64A-38F3D8D39C8A}"/>
                </c:ext>
              </c:extLst>
            </c:dLbl>
            <c:dLbl>
              <c:idx val="6"/>
              <c:tx>
                <c:rich>
                  <a:bodyPr/>
                  <a:lstStyle/>
                  <a:p>
                    <a:fld id="{B2F1BE4D-DD3D-4EBF-A8C1-5A4F3A6EA7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CF3-49EE-A64A-38F3D8D39C8A}"/>
                </c:ext>
              </c:extLst>
            </c:dLbl>
            <c:dLbl>
              <c:idx val="7"/>
              <c:tx>
                <c:rich>
                  <a:bodyPr/>
                  <a:lstStyle/>
                  <a:p>
                    <a:fld id="{5794DACF-BBC0-4843-B809-1998F9D5B4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CF3-49EE-A64A-38F3D8D39C8A}"/>
                </c:ext>
              </c:extLst>
            </c:dLbl>
            <c:dLbl>
              <c:idx val="8"/>
              <c:tx>
                <c:rich>
                  <a:bodyPr/>
                  <a:lstStyle/>
                  <a:p>
                    <a:fld id="{EFE0E5F9-5521-42F2-9D0E-9DE570D772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CF3-49EE-A64A-38F3D8D39C8A}"/>
                </c:ext>
              </c:extLst>
            </c:dLbl>
            <c:dLbl>
              <c:idx val="9"/>
              <c:tx>
                <c:rich>
                  <a:bodyPr/>
                  <a:lstStyle/>
                  <a:p>
                    <a:fld id="{D948B28F-A211-4277-A4C1-86DC4AA86A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CF3-49EE-A64A-38F3D8D39C8A}"/>
                </c:ext>
              </c:extLst>
            </c:dLbl>
            <c:dLbl>
              <c:idx val="10"/>
              <c:tx>
                <c:rich>
                  <a:bodyPr/>
                  <a:lstStyle/>
                  <a:p>
                    <a:fld id="{40A243EB-2C5C-412B-9430-FABC3299154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CF3-49EE-A64A-38F3D8D39C8A}"/>
                </c:ext>
              </c:extLst>
            </c:dLbl>
            <c:dLbl>
              <c:idx val="11"/>
              <c:tx>
                <c:rich>
                  <a:bodyPr/>
                  <a:lstStyle/>
                  <a:p>
                    <a:fld id="{5597BBFC-19ED-4C85-9F48-4AAEED447F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CF3-49EE-A64A-38F3D8D39C8A}"/>
                </c:ext>
              </c:extLst>
            </c:dLbl>
            <c:dLbl>
              <c:idx val="12"/>
              <c:tx>
                <c:rich>
                  <a:bodyPr/>
                  <a:lstStyle/>
                  <a:p>
                    <a:fld id="{23690E5C-18E1-4F30-ABA6-DAAC202BDE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CF3-49EE-A64A-38F3D8D39C8A}"/>
                </c:ext>
              </c:extLst>
            </c:dLbl>
            <c:dLbl>
              <c:idx val="13"/>
              <c:tx>
                <c:rich>
                  <a:bodyPr/>
                  <a:lstStyle/>
                  <a:p>
                    <a:fld id="{C6F37D48-8D99-4475-9ED2-7D942C156E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CF3-49EE-A64A-38F3D8D39C8A}"/>
                </c:ext>
              </c:extLst>
            </c:dLbl>
            <c:dLbl>
              <c:idx val="14"/>
              <c:tx>
                <c:rich>
                  <a:bodyPr/>
                  <a:lstStyle/>
                  <a:p>
                    <a:fld id="{9363B390-26C2-471A-AE3B-86B4A518BFB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CF3-49EE-A64A-38F3D8D39C8A}"/>
                </c:ext>
              </c:extLst>
            </c:dLbl>
            <c:dLbl>
              <c:idx val="15"/>
              <c:tx>
                <c:rich>
                  <a:bodyPr/>
                  <a:lstStyle/>
                  <a:p>
                    <a:fld id="{D6FE2868-326E-4148-A8BF-14DB2B4462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CF3-49EE-A64A-38F3D8D39C8A}"/>
                </c:ext>
              </c:extLst>
            </c:dLbl>
            <c:dLbl>
              <c:idx val="16"/>
              <c:tx>
                <c:rich>
                  <a:bodyPr/>
                  <a:lstStyle/>
                  <a:p>
                    <a:fld id="{9CB385CF-9459-4225-B2E4-5EEDD6A01A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CF3-49EE-A64A-38F3D8D39C8A}"/>
                </c:ext>
              </c:extLst>
            </c:dLbl>
            <c:dLbl>
              <c:idx val="17"/>
              <c:tx>
                <c:rich>
                  <a:bodyPr/>
                  <a:lstStyle/>
                  <a:p>
                    <a:fld id="{58590611-F300-4B0B-9C46-621D5AEB77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CF3-49EE-A64A-38F3D8D39C8A}"/>
                </c:ext>
              </c:extLst>
            </c:dLbl>
            <c:dLbl>
              <c:idx val="18"/>
              <c:tx>
                <c:rich>
                  <a:bodyPr/>
                  <a:lstStyle/>
                  <a:p>
                    <a:fld id="{943BEBC1-1E5A-40C4-903A-4BF0E0CB283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CF3-49EE-A64A-38F3D8D39C8A}"/>
                </c:ext>
              </c:extLst>
            </c:dLbl>
            <c:dLbl>
              <c:idx val="19"/>
              <c:tx>
                <c:rich>
                  <a:bodyPr/>
                  <a:lstStyle/>
                  <a:p>
                    <a:fld id="{465970F1-2DE1-467D-9C63-E727B6FFA5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CF3-49EE-A64A-38F3D8D39C8A}"/>
                </c:ext>
              </c:extLst>
            </c:dLbl>
            <c:dLbl>
              <c:idx val="20"/>
              <c:tx>
                <c:rich>
                  <a:bodyPr/>
                  <a:lstStyle/>
                  <a:p>
                    <a:fld id="{B25B4827-4931-4FEA-8F05-A2FF8C9777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CF3-49EE-A64A-38F3D8D39C8A}"/>
                </c:ext>
              </c:extLst>
            </c:dLbl>
            <c:dLbl>
              <c:idx val="21"/>
              <c:tx>
                <c:rich>
                  <a:bodyPr/>
                  <a:lstStyle/>
                  <a:p>
                    <a:fld id="{3A7DA0D4-64FD-44BB-935F-F3B483B64B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CF3-49EE-A64A-38F3D8D39C8A}"/>
                </c:ext>
              </c:extLst>
            </c:dLbl>
            <c:dLbl>
              <c:idx val="22"/>
              <c:tx>
                <c:rich>
                  <a:bodyPr/>
                  <a:lstStyle/>
                  <a:p>
                    <a:fld id="{EAB7F020-29F2-454C-8C7D-61A1A61E310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CF3-49EE-A64A-38F3D8D39C8A}"/>
                </c:ext>
              </c:extLst>
            </c:dLbl>
            <c:dLbl>
              <c:idx val="23"/>
              <c:tx>
                <c:rich>
                  <a:bodyPr/>
                  <a:lstStyle/>
                  <a:p>
                    <a:fld id="{0822F258-BE58-4E43-A1EF-E610E65E224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CF3-49EE-A64A-38F3D8D39C8A}"/>
                </c:ext>
              </c:extLst>
            </c:dLbl>
            <c:dLbl>
              <c:idx val="24"/>
              <c:tx>
                <c:rich>
                  <a:bodyPr/>
                  <a:lstStyle/>
                  <a:p>
                    <a:fld id="{F4AC58BE-F7FC-4038-80AB-4D0AF7F2434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0CF3-49EE-A64A-38F3D8D39C8A}"/>
                </c:ext>
              </c:extLst>
            </c:dLbl>
            <c:dLbl>
              <c:idx val="25"/>
              <c:tx>
                <c:rich>
                  <a:bodyPr/>
                  <a:lstStyle/>
                  <a:p>
                    <a:fld id="{5194C6EF-9176-47C6-AAE1-424E53CEE3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CF3-49EE-A64A-38F3D8D39C8A}"/>
                </c:ext>
              </c:extLst>
            </c:dLbl>
            <c:dLbl>
              <c:idx val="26"/>
              <c:tx>
                <c:rich>
                  <a:bodyPr/>
                  <a:lstStyle/>
                  <a:p>
                    <a:fld id="{E3B00972-C01B-447A-9ABC-CCA08ED569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0CF3-49EE-A64A-38F3D8D39C8A}"/>
                </c:ext>
              </c:extLst>
            </c:dLbl>
            <c:dLbl>
              <c:idx val="27"/>
              <c:tx>
                <c:rich>
                  <a:bodyPr/>
                  <a:lstStyle/>
                  <a:p>
                    <a:fld id="{F0155EED-1F5A-4175-900C-54BCA47889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0CF3-49EE-A64A-38F3D8D39C8A}"/>
                </c:ext>
              </c:extLst>
            </c:dLbl>
            <c:dLbl>
              <c:idx val="28"/>
              <c:tx>
                <c:rich>
                  <a:bodyPr/>
                  <a:lstStyle/>
                  <a:p>
                    <a:fld id="{EF5E0166-C2D8-4823-BB66-501516F474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CF3-49EE-A64A-38F3D8D39C8A}"/>
                </c:ext>
              </c:extLst>
            </c:dLbl>
            <c:dLbl>
              <c:idx val="29"/>
              <c:tx>
                <c:rich>
                  <a:bodyPr/>
                  <a:lstStyle/>
                  <a:p>
                    <a:fld id="{A37B81A9-5C78-499A-AD7B-742E61878F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0CF3-49EE-A64A-38F3D8D39C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LAB!$T$5:$T$34</c:f>
              <c:numCache>
                <c:formatCode>General</c:formatCode>
                <c:ptCount val="30"/>
                <c:pt idx="0">
                  <c:v>35</c:v>
                </c:pt>
                <c:pt idx="1">
                  <c:v>35</c:v>
                </c:pt>
                <c:pt idx="2">
                  <c:v>40</c:v>
                </c:pt>
                <c:pt idx="3">
                  <c:v>64</c:v>
                </c:pt>
                <c:pt idx="4">
                  <c:v>54</c:v>
                </c:pt>
                <c:pt idx="5">
                  <c:v>49</c:v>
                </c:pt>
                <c:pt idx="6">
                  <c:v>62</c:v>
                </c:pt>
                <c:pt idx="7">
                  <c:v>50</c:v>
                </c:pt>
                <c:pt idx="8">
                  <c:v>49</c:v>
                </c:pt>
                <c:pt idx="9">
                  <c:v>54</c:v>
                </c:pt>
                <c:pt idx="10">
                  <c:v>43</c:v>
                </c:pt>
                <c:pt idx="11">
                  <c:v>36</c:v>
                </c:pt>
                <c:pt idx="12">
                  <c:v>61</c:v>
                </c:pt>
                <c:pt idx="13">
                  <c:v>60</c:v>
                </c:pt>
                <c:pt idx="14">
                  <c:v>62</c:v>
                </c:pt>
                <c:pt idx="15">
                  <c:v>56</c:v>
                </c:pt>
                <c:pt idx="16">
                  <c:v>33</c:v>
                </c:pt>
                <c:pt idx="17">
                  <c:v>49</c:v>
                </c:pt>
                <c:pt idx="18">
                  <c:v>66</c:v>
                </c:pt>
                <c:pt idx="19">
                  <c:v>56</c:v>
                </c:pt>
                <c:pt idx="20">
                  <c:v>53</c:v>
                </c:pt>
                <c:pt idx="21">
                  <c:v>42</c:v>
                </c:pt>
                <c:pt idx="22">
                  <c:v>69</c:v>
                </c:pt>
                <c:pt idx="23">
                  <c:v>57</c:v>
                </c:pt>
                <c:pt idx="24">
                  <c:v>56</c:v>
                </c:pt>
                <c:pt idx="25">
                  <c:v>59</c:v>
                </c:pt>
                <c:pt idx="26">
                  <c:v>55</c:v>
                </c:pt>
                <c:pt idx="27">
                  <c:v>58</c:v>
                </c:pt>
                <c:pt idx="28">
                  <c:v>47</c:v>
                </c:pt>
                <c:pt idx="29">
                  <c:v>45</c:v>
                </c:pt>
              </c:numCache>
            </c:numRef>
          </c:xVal>
          <c:yVal>
            <c:numRef>
              <c:f>LAB!$Z$5:$Z$34</c:f>
              <c:numCache>
                <c:formatCode>General</c:formatCode>
                <c:ptCount val="30"/>
                <c:pt idx="0">
                  <c:v>4.2432936677509877E-3</c:v>
                </c:pt>
                <c:pt idx="1">
                  <c:v>4.2432936677509877E-3</c:v>
                </c:pt>
                <c:pt idx="2">
                  <c:v>4.2790060550299217E-3</c:v>
                </c:pt>
                <c:pt idx="3">
                  <c:v>4.2770049092314341E-3</c:v>
                </c:pt>
                <c:pt idx="4">
                  <c:v>4.3130010168949727E-3</c:v>
                </c:pt>
                <c:pt idx="5">
                  <c:v>4.3121604671926758E-3</c:v>
                </c:pt>
                <c:pt idx="6">
                  <c:v>4.2881899601330403E-3</c:v>
                </c:pt>
                <c:pt idx="7">
                  <c:v>4.313337282650564E-3</c:v>
                </c:pt>
                <c:pt idx="8">
                  <c:v>4.3121604671926758E-3</c:v>
                </c:pt>
                <c:pt idx="9">
                  <c:v>4.3130010168949727E-3</c:v>
                </c:pt>
                <c:pt idx="10">
                  <c:v>4.2945467150302128E-3</c:v>
                </c:pt>
                <c:pt idx="11">
                  <c:v>4.251406456380895E-3</c:v>
                </c:pt>
                <c:pt idx="12">
                  <c:v>4.2930403167287757E-3</c:v>
                </c:pt>
                <c:pt idx="13">
                  <c:v>4.2973935763821261E-3</c:v>
                </c:pt>
                <c:pt idx="14">
                  <c:v>4.2881899601330403E-3</c:v>
                </c:pt>
                <c:pt idx="15">
                  <c:v>4.3098077994072441E-3</c:v>
                </c:pt>
                <c:pt idx="16">
                  <c:v>4.2256317597747228E-3</c:v>
                </c:pt>
                <c:pt idx="17">
                  <c:v>4.3121604671926758E-3</c:v>
                </c:pt>
                <c:pt idx="18">
                  <c:v>4.2638540400225184E-3</c:v>
                </c:pt>
                <c:pt idx="19">
                  <c:v>4.3098077994072441E-3</c:v>
                </c:pt>
                <c:pt idx="20">
                  <c:v>4.3138417304417745E-3</c:v>
                </c:pt>
                <c:pt idx="21">
                  <c:v>4.2898618775489101E-3</c:v>
                </c:pt>
                <c:pt idx="22">
                  <c:v>4.2404826455504779E-3</c:v>
                </c:pt>
                <c:pt idx="23">
                  <c:v>4.3074564152117325E-3</c:v>
                </c:pt>
                <c:pt idx="24">
                  <c:v>4.3098077994072441E-3</c:v>
                </c:pt>
                <c:pt idx="25">
                  <c:v>4.3012482163926596E-3</c:v>
                </c:pt>
                <c:pt idx="26">
                  <c:v>4.311656216003378E-3</c:v>
                </c:pt>
                <c:pt idx="27">
                  <c:v>4.3046028876081843E-3</c:v>
                </c:pt>
                <c:pt idx="28">
                  <c:v>4.3082960479747072E-3</c:v>
                </c:pt>
                <c:pt idx="29">
                  <c:v>4.3024220538293171E-3</c:v>
                </c:pt>
              </c:numCache>
            </c:numRef>
          </c:yVal>
          <c:smooth val="0"/>
          <c:extLst>
            <c:ext xmlns:c15="http://schemas.microsoft.com/office/drawing/2012/chart" uri="{02D57815-91ED-43cb-92C2-25804820EDAC}">
              <c15:datalabelsRange>
                <c15:f>LAB!$C$5:$C$34</c15:f>
                <c15:dlblRange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15:dlblRangeCache>
              </c15:datalabelsRange>
            </c:ext>
            <c:ext xmlns:c16="http://schemas.microsoft.com/office/drawing/2014/chart" uri="{C3380CC4-5D6E-409C-BE32-E72D297353CC}">
              <c16:uniqueId val="{0000001E-0CF3-49EE-A64A-38F3D8D39C8A}"/>
            </c:ext>
          </c:extLst>
        </c:ser>
        <c:dLbls>
          <c:dLblPos val="t"/>
          <c:showLegendKey val="0"/>
          <c:showVal val="1"/>
          <c:showCatName val="0"/>
          <c:showSerName val="0"/>
          <c:showPercent val="0"/>
          <c:showBubbleSize val="0"/>
        </c:dLbls>
        <c:axId val="312124448"/>
        <c:axId val="312125280"/>
      </c:scatterChart>
      <c:valAx>
        <c:axId val="31212444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Labwork Grade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2125280"/>
        <c:crosses val="autoZero"/>
        <c:crossBetween val="midCat"/>
      </c:valAx>
      <c:valAx>
        <c:axId val="312125280"/>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2124448"/>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C$69" lockText="1" noThreeD="1"/>
</file>

<file path=xl/ctrlProps/ctrlProp2.xml><?xml version="1.0" encoding="utf-8"?>
<formControlPr xmlns="http://schemas.microsoft.com/office/spreadsheetml/2009/9/main" objectType="CheckBox" checked="Checked" fmlaLink="$C$70" lockText="1" noThreeD="1"/>
</file>

<file path=xl/ctrlProps/ctrlProp3.xml><?xml version="1.0" encoding="utf-8"?>
<formControlPr xmlns="http://schemas.microsoft.com/office/spreadsheetml/2009/9/main" objectType="CheckBox" fmlaLink="$C$71" lockText="1" noThreeD="1"/>
</file>

<file path=xl/ctrlProps/ctrlProp4.xml><?xml version="1.0" encoding="utf-8"?>
<formControlPr xmlns="http://schemas.microsoft.com/office/spreadsheetml/2009/9/main" objectType="CheckBox" fmlaLink="$C$72" lockText="1" noThreeD="1"/>
</file>

<file path=xl/ctrlProps/ctrlProp5.xml><?xml version="1.0" encoding="utf-8"?>
<formControlPr xmlns="http://schemas.microsoft.com/office/spreadsheetml/2009/9/main" objectType="CheckBox" fmlaLink="$E$69" lockText="1" noThreeD="1"/>
</file>

<file path=xl/ctrlProps/ctrlProp6.xml><?xml version="1.0" encoding="utf-8"?>
<formControlPr xmlns="http://schemas.microsoft.com/office/spreadsheetml/2009/9/main" objectType="CheckBox" fmlaLink="$E$70" lockText="1" noThreeD="1"/>
</file>

<file path=xl/ctrlProps/ctrlProp7.xml><?xml version="1.0" encoding="utf-8"?>
<formControlPr xmlns="http://schemas.microsoft.com/office/spreadsheetml/2009/9/main" objectType="CheckBox" fmlaLink="$E$71" lockText="1" noThreeD="1"/>
</file>

<file path=xl/ctrlProps/ctrlProp8.xml><?xml version="1.0" encoding="utf-8"?>
<formControlPr xmlns="http://schemas.microsoft.com/office/spreadsheetml/2009/9/main" objectType="CheckBox" fmlaLink="$E$72" lockText="1" noThreeD="1"/>
</file>

<file path=xl/ctrlProps/ctrlProp9.xml><?xml version="1.0" encoding="utf-8"?>
<formControlPr xmlns="http://schemas.microsoft.com/office/spreadsheetml/2009/9/main" objectType="CheckBox" checked="Checked" fmlaLink="$G$69" lockText="1" noThreeD="1"/>
</file>

<file path=xl/ctrlProps/ctrlProp10.xml><?xml version="1.0" encoding="utf-8"?>
<formControlPr xmlns="http://schemas.microsoft.com/office/spreadsheetml/2009/9/main" objectType="CheckBox" checked="Checked" fmlaLink="$G$70" lockText="1" noThreeD="1"/>
</file>

<file path=xl/ctrlProps/ctrlProp11.xml><?xml version="1.0" encoding="utf-8"?>
<formControlPr xmlns="http://schemas.microsoft.com/office/spreadsheetml/2009/9/main" objectType="CheckBox" fmlaLink="$G$71" lockText="1" noThreeD="1"/>
</file>

<file path=xl/ctrlProps/ctrlProp12.xml><?xml version="1.0" encoding="utf-8"?>
<formControlPr xmlns="http://schemas.microsoft.com/office/spreadsheetml/2009/9/main" objectType="CheckBox" fmlaLink="$G$72" lockText="1" noThreeD="1"/>
</file>

<file path=xl/ctrlProps/ctrlProp13.xml><?xml version="1.0" encoding="utf-8"?>
<formControlPr xmlns="http://schemas.microsoft.com/office/spreadsheetml/2009/9/main" objectType="CheckBox" fmlaLink="$I$69" lockText="1" noThreeD="1"/>
</file>

<file path=xl/ctrlProps/ctrlProp14.xml><?xml version="1.0" encoding="utf-8"?>
<formControlPr xmlns="http://schemas.microsoft.com/office/spreadsheetml/2009/9/main" objectType="CheckBox" checked="Checked" fmlaLink="$I$70" lockText="1" noThreeD="1"/>
</file>

<file path=xl/ctrlProps/ctrlProp15.xml><?xml version="1.0" encoding="utf-8"?>
<formControlPr xmlns="http://schemas.microsoft.com/office/spreadsheetml/2009/9/main" objectType="CheckBox" fmlaLink="$I$71" lockText="1" noThreeD="1"/>
</file>

<file path=xl/ctrlProps/ctrlProp16.xml><?xml version="1.0" encoding="utf-8"?>
<formControlPr xmlns="http://schemas.microsoft.com/office/spreadsheetml/2009/9/main" objectType="CheckBox" fmlaLink="$I$72" lockText="1" noThreeD="1"/>
</file>

<file path=xl/ctrlProps/ctrlProp17.xml><?xml version="1.0" encoding="utf-8"?>
<formControlPr xmlns="http://schemas.microsoft.com/office/spreadsheetml/2009/9/main" objectType="CheckBox" fmlaLink="$K$69" lockText="1" noThreeD="1"/>
</file>

<file path=xl/ctrlProps/ctrlProp18.xml><?xml version="1.0" encoding="utf-8"?>
<formControlPr xmlns="http://schemas.microsoft.com/office/spreadsheetml/2009/9/main" objectType="CheckBox" fmlaLink="$K$70" lockText="1" noThreeD="1"/>
</file>

<file path=xl/ctrlProps/ctrlProp19.xml><?xml version="1.0" encoding="utf-8"?>
<formControlPr xmlns="http://schemas.microsoft.com/office/spreadsheetml/2009/9/main" objectType="CheckBox" fmlaLink="$K$71" lockText="1" noThreeD="1"/>
</file>

<file path=xl/ctrlProps/ctrlProp20.xml><?xml version="1.0" encoding="utf-8"?>
<formControlPr xmlns="http://schemas.microsoft.com/office/spreadsheetml/2009/9/main" objectType="CheckBox" fmlaLink="$K$72" lockText="1" noThreeD="1"/>
</file>

<file path=xl/ctrlProps/ctrlProp21.xml><?xml version="1.0" encoding="utf-8"?>
<formControlPr xmlns="http://schemas.microsoft.com/office/spreadsheetml/2009/9/main" objectType="CheckBox" fmlaLink="$M$69" lockText="1" noThreeD="1"/>
</file>

<file path=xl/ctrlProps/ctrlProp22.xml><?xml version="1.0" encoding="utf-8"?>
<formControlPr xmlns="http://schemas.microsoft.com/office/spreadsheetml/2009/9/main" objectType="CheckBox" fmlaLink="$M$70" lockText="1" noThreeD="1"/>
</file>

<file path=xl/ctrlProps/ctrlProp23.xml><?xml version="1.0" encoding="utf-8"?>
<formControlPr xmlns="http://schemas.microsoft.com/office/spreadsheetml/2009/9/main" objectType="CheckBox" fmlaLink="$M$71" lockText="1" noThreeD="1"/>
</file>

<file path=xl/ctrlProps/ctrlProp24.xml><?xml version="1.0" encoding="utf-8"?>
<formControlPr xmlns="http://schemas.microsoft.com/office/spreadsheetml/2009/9/main" objectType="CheckBox" fmlaLink="$M$72" lockText="1" noThreeD="1"/>
</file>

<file path=xl/ctrlProps/ctrlProp25.xml><?xml version="1.0" encoding="utf-8"?>
<formControlPr xmlns="http://schemas.microsoft.com/office/spreadsheetml/2009/9/main" objectType="CheckBox" fmlaLink="$O$69" lockText="1" noThreeD="1"/>
</file>

<file path=xl/ctrlProps/ctrlProp26.xml><?xml version="1.0" encoding="utf-8"?>
<formControlPr xmlns="http://schemas.microsoft.com/office/spreadsheetml/2009/9/main" objectType="CheckBox" fmlaLink="$O$70" lockText="1" noThreeD="1"/>
</file>

<file path=xl/ctrlProps/ctrlProp27.xml><?xml version="1.0" encoding="utf-8"?>
<formControlPr xmlns="http://schemas.microsoft.com/office/spreadsheetml/2009/9/main" objectType="CheckBox" fmlaLink="$O$71" lockText="1" noThreeD="1"/>
</file>

<file path=xl/ctrlProps/ctrlProp28.xml><?xml version="1.0" encoding="utf-8"?>
<formControlPr xmlns="http://schemas.microsoft.com/office/spreadsheetml/2009/9/main" objectType="CheckBox" fmlaLink="$O$72" lockText="1" noThreeD="1"/>
</file>

<file path=xl/ctrlProps/ctrlProp29.xml><?xml version="1.0" encoding="utf-8"?>
<formControlPr xmlns="http://schemas.microsoft.com/office/spreadsheetml/2009/9/main" objectType="CheckBox" fmlaLink="$Q$69" lockText="1" noThreeD="1"/>
</file>

<file path=xl/ctrlProps/ctrlProp30.xml><?xml version="1.0" encoding="utf-8"?>
<formControlPr xmlns="http://schemas.microsoft.com/office/spreadsheetml/2009/9/main" objectType="CheckBox" fmlaLink="$Q$70" lockText="1" noThreeD="1"/>
</file>

<file path=xl/ctrlProps/ctrlProp31.xml><?xml version="1.0" encoding="utf-8"?>
<formControlPr xmlns="http://schemas.microsoft.com/office/spreadsheetml/2009/9/main" objectType="CheckBox" fmlaLink="$Q$71" lockText="1" noThreeD="1"/>
</file>

<file path=xl/ctrlProps/ctrlProp32.xml><?xml version="1.0" encoding="utf-8"?>
<formControlPr xmlns="http://schemas.microsoft.com/office/spreadsheetml/2009/9/main" objectType="CheckBox" fmlaLink="$Q$72" lockText="1" noThreeD="1"/>
</file>

<file path=xl/ctrlProps/ctrlProp33.xml><?xml version="1.0" encoding="utf-8"?>
<formControlPr xmlns="http://schemas.microsoft.com/office/spreadsheetml/2009/9/main" objectType="CheckBox" fmlaLink="$S$69" lockText="1" noThreeD="1"/>
</file>

<file path=xl/ctrlProps/ctrlProp34.xml><?xml version="1.0" encoding="utf-8"?>
<formControlPr xmlns="http://schemas.microsoft.com/office/spreadsheetml/2009/9/main" objectType="CheckBox" fmlaLink="$S$70" lockText="1" noThreeD="1"/>
</file>

<file path=xl/ctrlProps/ctrlProp35.xml><?xml version="1.0" encoding="utf-8"?>
<formControlPr xmlns="http://schemas.microsoft.com/office/spreadsheetml/2009/9/main" objectType="CheckBox" fmlaLink="$S$71" lockText="1" noThreeD="1"/>
</file>

<file path=xl/ctrlProps/ctrlProp36.xml><?xml version="1.0" encoding="utf-8"?>
<formControlPr xmlns="http://schemas.microsoft.com/office/spreadsheetml/2009/9/main" objectType="CheckBox" fmlaLink="$S$72" lockText="1" noThreeD="1"/>
</file>

<file path=xl/ctrlProps/ctrlProp37.xml><?xml version="1.0" encoding="utf-8"?>
<formControlPr xmlns="http://schemas.microsoft.com/office/spreadsheetml/2009/9/main" objectType="CheckBox" fmlaLink="$U$69" lockText="1" noThreeD="1"/>
</file>

<file path=xl/ctrlProps/ctrlProp38.xml><?xml version="1.0" encoding="utf-8"?>
<formControlPr xmlns="http://schemas.microsoft.com/office/spreadsheetml/2009/9/main" objectType="CheckBox" fmlaLink="$U$70" lockText="1" noThreeD="1"/>
</file>

<file path=xl/ctrlProps/ctrlProp39.xml><?xml version="1.0" encoding="utf-8"?>
<formControlPr xmlns="http://schemas.microsoft.com/office/spreadsheetml/2009/9/main" objectType="CheckBox" fmlaLink="$U$71" lockText="1" noThreeD="1"/>
</file>

<file path=xl/ctrlProps/ctrlProp40.xml><?xml version="1.0" encoding="utf-8"?>
<formControlPr xmlns="http://schemas.microsoft.com/office/spreadsheetml/2009/9/main" objectType="CheckBox" fmlaLink="$U$72" lockText="1" noThreeD="1"/>
</file>

<file path=xl/ctrlProps/ctrlProp41.xml><?xml version="1.0" encoding="utf-8"?>
<formControlPr xmlns="http://schemas.microsoft.com/office/spreadsheetml/2009/9/main" objectType="CheckBox" fmlaLink="$W$69" lockText="1" noThreeD="1"/>
</file>

<file path=xl/ctrlProps/ctrlProp42.xml><?xml version="1.0" encoding="utf-8"?>
<formControlPr xmlns="http://schemas.microsoft.com/office/spreadsheetml/2009/9/main" objectType="CheckBox" fmlaLink="$W$70" lockText="1" noThreeD="1"/>
</file>

<file path=xl/ctrlProps/ctrlProp43.xml><?xml version="1.0" encoding="utf-8"?>
<formControlPr xmlns="http://schemas.microsoft.com/office/spreadsheetml/2009/9/main" objectType="CheckBox" fmlaLink="$W$71" lockText="1" noThreeD="1"/>
</file>

<file path=xl/ctrlProps/ctrlProp44.xml><?xml version="1.0" encoding="utf-8"?>
<formControlPr xmlns="http://schemas.microsoft.com/office/spreadsheetml/2009/9/main" objectType="CheckBox" fmlaLink="$W$72" lockText="1" noThreeD="1"/>
</file>

<file path=xl/ctrlProps/ctrlProp45.xml><?xml version="1.0" encoding="utf-8"?>
<formControlPr xmlns="http://schemas.microsoft.com/office/spreadsheetml/2009/9/main" objectType="CheckBox" fmlaLink="$Q$72" lockText="1" noThreeD="1"/>
</file>

<file path=xl/ctrlProps/ctrlProp46.xml><?xml version="1.0" encoding="utf-8"?>
<formControlPr xmlns="http://schemas.microsoft.com/office/spreadsheetml/2009/9/main" objectType="CheckBox" fmlaLink="$K$69" lockText="1" noThreeD="1"/>
</file>

<file path=xl/ctrlProps/ctrlProp47.xml><?xml version="1.0" encoding="utf-8"?>
<formControlPr xmlns="http://schemas.microsoft.com/office/spreadsheetml/2009/9/main" objectType="CheckBox" fmlaLink="$C$69" lockText="1" noThreeD="1"/>
</file>

<file path=xl/ctrlProps/ctrlProp48.xml><?xml version="1.0" encoding="utf-8"?>
<formControlPr xmlns="http://schemas.microsoft.com/office/spreadsheetml/2009/9/main" objectType="CheckBox" checked="Checked" fmlaLink="$C$70" lockText="1" noThreeD="1"/>
</file>

<file path=xl/ctrlProps/ctrlProp49.xml><?xml version="1.0" encoding="utf-8"?>
<formControlPr xmlns="http://schemas.microsoft.com/office/spreadsheetml/2009/9/main" objectType="CheckBox" fmlaLink="$C$71" lockText="1" noThreeD="1"/>
</file>

<file path=xl/ctrlProps/ctrlProp50.xml><?xml version="1.0" encoding="utf-8"?>
<formControlPr xmlns="http://schemas.microsoft.com/office/spreadsheetml/2009/9/main" objectType="CheckBox" fmlaLink="$C$72" lockText="1" noThreeD="1"/>
</file>

<file path=xl/ctrlProps/ctrlProp51.xml><?xml version="1.0" encoding="utf-8"?>
<formControlPr xmlns="http://schemas.microsoft.com/office/spreadsheetml/2009/9/main" objectType="CheckBox" fmlaLink="$C$69" lockText="1" noThreeD="1"/>
</file>

<file path=xl/ctrlProps/ctrlProp52.xml><?xml version="1.0" encoding="utf-8"?>
<formControlPr xmlns="http://schemas.microsoft.com/office/spreadsheetml/2009/9/main" objectType="CheckBox" checked="Checked" fmlaLink="$C$70" lockText="1" noThreeD="1"/>
</file>

<file path=xl/ctrlProps/ctrlProp53.xml><?xml version="1.0" encoding="utf-8"?>
<formControlPr xmlns="http://schemas.microsoft.com/office/spreadsheetml/2009/9/main" objectType="CheckBox" fmlaLink="$C$71" lockText="1" noThreeD="1"/>
</file>

<file path=xl/ctrlProps/ctrlProp54.xml><?xml version="1.0" encoding="utf-8"?>
<formControlPr xmlns="http://schemas.microsoft.com/office/spreadsheetml/2009/9/main" objectType="CheckBox" fmlaLink="$C$72" lockText="1" noThreeD="1"/>
</file>

<file path=xl/ctrlProps/ctrlProp55.xml><?xml version="1.0" encoding="utf-8"?>
<formControlPr xmlns="http://schemas.microsoft.com/office/spreadsheetml/2009/9/main" objectType="CheckBox" fmlaLink="$C$69" lockText="1" noThreeD="1"/>
</file>

<file path=xl/ctrlProps/ctrlProp56.xml><?xml version="1.0" encoding="utf-8"?>
<formControlPr xmlns="http://schemas.microsoft.com/office/spreadsheetml/2009/9/main" objectType="CheckBox" checked="Checked" fmlaLink="$C$70" lockText="1" noThreeD="1"/>
</file>

<file path=xl/ctrlProps/ctrlProp57.xml><?xml version="1.0" encoding="utf-8"?>
<formControlPr xmlns="http://schemas.microsoft.com/office/spreadsheetml/2009/9/main" objectType="CheckBox" fmlaLink="$C$71" lockText="1" noThreeD="1"/>
</file>

<file path=xl/ctrlProps/ctrlProp58.xml><?xml version="1.0" encoding="utf-8"?>
<formControlPr xmlns="http://schemas.microsoft.com/office/spreadsheetml/2009/9/main" objectType="CheckBox" fmlaLink="$C$72" lockText="1" noThreeD="1"/>
</file>

<file path=xl/ctrlProps/ctrlProp59.xml><?xml version="1.0" encoding="utf-8"?>
<formControlPr xmlns="http://schemas.microsoft.com/office/spreadsheetml/2009/9/main" objectType="CheckBox" fmlaLink="$C$69" lockText="1" noThreeD="1"/>
</file>

<file path=xl/ctrlProps/ctrlProp60.xml><?xml version="1.0" encoding="utf-8"?>
<formControlPr xmlns="http://schemas.microsoft.com/office/spreadsheetml/2009/9/main" objectType="CheckBox" checked="Checked" fmlaLink="$C$70" lockText="1" noThreeD="1"/>
</file>

<file path=xl/ctrlProps/ctrlProp61.xml><?xml version="1.0" encoding="utf-8"?>
<formControlPr xmlns="http://schemas.microsoft.com/office/spreadsheetml/2009/9/main" objectType="CheckBox" fmlaLink="$C$71" lockText="1" noThreeD="1"/>
</file>

<file path=xl/ctrlProps/ctrlProp62.xml><?xml version="1.0" encoding="utf-8"?>
<formControlPr xmlns="http://schemas.microsoft.com/office/spreadsheetml/2009/9/main" objectType="CheckBox" fmlaLink="$C$72" lockText="1" noThreeD="1"/>
</file>

<file path=xl/ctrlProps/ctrlProp63.xml><?xml version="1.0" encoding="utf-8"?>
<formControlPr xmlns="http://schemas.microsoft.com/office/spreadsheetml/2009/9/main" objectType="CheckBox" fmlaLink="$C$69" lockText="1" noThreeD="1"/>
</file>

<file path=xl/ctrlProps/ctrlProp64.xml><?xml version="1.0" encoding="utf-8"?>
<formControlPr xmlns="http://schemas.microsoft.com/office/spreadsheetml/2009/9/main" objectType="CheckBox" checked="Checked" fmlaLink="$C$70" lockText="1" noThreeD="1"/>
</file>

<file path=xl/ctrlProps/ctrlProp65.xml><?xml version="1.0" encoding="utf-8"?>
<formControlPr xmlns="http://schemas.microsoft.com/office/spreadsheetml/2009/9/main" objectType="CheckBox" fmlaLink="$C$71" lockText="1" noThreeD="1"/>
</file>

<file path=xl/ctrlProps/ctrlProp66.xml><?xml version="1.0" encoding="utf-8"?>
<formControlPr xmlns="http://schemas.microsoft.com/office/spreadsheetml/2009/9/main" objectType="CheckBox" fmlaLink="$C$72" lockText="1" noThreeD="1"/>
</file>

<file path=xl/ctrlProps/ctrlProp67.xml><?xml version="1.0" encoding="utf-8"?>
<formControlPr xmlns="http://schemas.microsoft.com/office/spreadsheetml/2009/9/main" objectType="CheckBox" fmlaLink="$C$69" lockText="1" noThreeD="1"/>
</file>

<file path=xl/ctrlProps/ctrlProp68.xml><?xml version="1.0" encoding="utf-8"?>
<formControlPr xmlns="http://schemas.microsoft.com/office/spreadsheetml/2009/9/main" objectType="CheckBox" checked="Checked" fmlaLink="$C$70" lockText="1" noThreeD="1"/>
</file>

<file path=xl/ctrlProps/ctrlProp69.xml><?xml version="1.0" encoding="utf-8"?>
<formControlPr xmlns="http://schemas.microsoft.com/office/spreadsheetml/2009/9/main" objectType="CheckBox" fmlaLink="$C$71" lockText="1" noThreeD="1"/>
</file>

<file path=xl/ctrlProps/ctrlProp70.xml><?xml version="1.0" encoding="utf-8"?>
<formControlPr xmlns="http://schemas.microsoft.com/office/spreadsheetml/2009/9/main" objectType="CheckBox" fmlaLink="$C$72" lockText="1" noThreeD="1"/>
</file>

<file path=xl/ctrlProps/ctrlProp71.xml><?xml version="1.0" encoding="utf-8"?>
<formControlPr xmlns="http://schemas.microsoft.com/office/spreadsheetml/2009/9/main" objectType="CheckBox" fmlaLink="$C$69" lockText="1" noThreeD="1"/>
</file>

<file path=xl/ctrlProps/ctrlProp72.xml><?xml version="1.0" encoding="utf-8"?>
<formControlPr xmlns="http://schemas.microsoft.com/office/spreadsheetml/2009/9/main" objectType="CheckBox" checked="Checked" fmlaLink="$C$70" lockText="1" noThreeD="1"/>
</file>

<file path=xl/ctrlProps/ctrlProp73.xml><?xml version="1.0" encoding="utf-8"?>
<formControlPr xmlns="http://schemas.microsoft.com/office/spreadsheetml/2009/9/main" objectType="CheckBox" fmlaLink="$C$71" lockText="1" noThreeD="1"/>
</file>

<file path=xl/ctrlProps/ctrlProp74.xml><?xml version="1.0" encoding="utf-8"?>
<formControlPr xmlns="http://schemas.microsoft.com/office/spreadsheetml/2009/9/main" objectType="CheckBox" fmlaLink="$C$72" lockText="1" noThreeD="1"/>
</file>

<file path=xl/ctrlProps/ctrlProp75.xml><?xml version="1.0" encoding="utf-8"?>
<formControlPr xmlns="http://schemas.microsoft.com/office/spreadsheetml/2009/9/main" objectType="CheckBox" fmlaLink="$C$69" lockText="1" noThreeD="1"/>
</file>

<file path=xl/ctrlProps/ctrlProp76.xml><?xml version="1.0" encoding="utf-8"?>
<formControlPr xmlns="http://schemas.microsoft.com/office/spreadsheetml/2009/9/main" objectType="CheckBox" checked="Checked" fmlaLink="$C$70" lockText="1" noThreeD="1"/>
</file>

<file path=xl/ctrlProps/ctrlProp77.xml><?xml version="1.0" encoding="utf-8"?>
<formControlPr xmlns="http://schemas.microsoft.com/office/spreadsheetml/2009/9/main" objectType="CheckBox" fmlaLink="$C$71" lockText="1" noThreeD="1"/>
</file>

<file path=xl/ctrlProps/ctrlProp78.xml><?xml version="1.0" encoding="utf-8"?>
<formControlPr xmlns="http://schemas.microsoft.com/office/spreadsheetml/2009/9/main" objectType="CheckBox" fmlaLink="$C$72" lockText="1" noThreeD="1"/>
</file>

<file path=xl/ctrlProps/ctrlProp79.xml><?xml version="1.0" encoding="utf-8"?>
<formControlPr xmlns="http://schemas.microsoft.com/office/spreadsheetml/2009/9/main" objectType="CheckBox" fmlaLink="$C$69" lockText="1" noThreeD="1"/>
</file>

<file path=xl/ctrlProps/ctrlProp80.xml><?xml version="1.0" encoding="utf-8"?>
<formControlPr xmlns="http://schemas.microsoft.com/office/spreadsheetml/2009/9/main" objectType="CheckBox" checked="Checked" fmlaLink="$C$70" lockText="1" noThreeD="1"/>
</file>

<file path=xl/ctrlProps/ctrlProp81.xml><?xml version="1.0" encoding="utf-8"?>
<formControlPr xmlns="http://schemas.microsoft.com/office/spreadsheetml/2009/9/main" objectType="CheckBox" fmlaLink="$C$71" lockText="1" noThreeD="1"/>
</file>

<file path=xl/ctrlProps/ctrlProp82.xml><?xml version="1.0" encoding="utf-8"?>
<formControlPr xmlns="http://schemas.microsoft.com/office/spreadsheetml/2009/9/main" objectType="CheckBox" fmlaLink="$C$72" lockText="1" noThreeD="1"/>
</file>

<file path=xl/ctrlProps/ctrlProp83.xml><?xml version="1.0" encoding="utf-8"?>
<formControlPr xmlns="http://schemas.microsoft.com/office/spreadsheetml/2009/9/main" objectType="CheckBox" fmlaLink="$C$69" lockText="1" noThreeD="1"/>
</file>

<file path=xl/ctrlProps/ctrlProp84.xml><?xml version="1.0" encoding="utf-8"?>
<formControlPr xmlns="http://schemas.microsoft.com/office/spreadsheetml/2009/9/main" objectType="CheckBox" checked="Checked" fmlaLink="$C$70" lockText="1" noThreeD="1"/>
</file>

<file path=xl/ctrlProps/ctrlProp85.xml><?xml version="1.0" encoding="utf-8"?>
<formControlPr xmlns="http://schemas.microsoft.com/office/spreadsheetml/2009/9/main" objectType="CheckBox" fmlaLink="$C$71" lockText="1" noThreeD="1"/>
</file>

<file path=xl/ctrlProps/ctrlProp86.xml><?xml version="1.0" encoding="utf-8"?>
<formControlPr xmlns="http://schemas.microsoft.com/office/spreadsheetml/2009/9/main" objectType="CheckBox" fmlaLink="$C$72" lockText="1" noThreeD="1"/>
</file>

<file path=xl/ctrlProps/ctrlProp87.xml><?xml version="1.0" encoding="utf-8"?>
<formControlPr xmlns="http://schemas.microsoft.com/office/spreadsheetml/2009/9/main" objectType="CheckBox" fmlaLink="$C$70" lockText="1" noThreeD="1"/>
</file>

<file path=xl/ctrlProps/ctrlProp88.xml><?xml version="1.0" encoding="utf-8"?>
<formControlPr xmlns="http://schemas.microsoft.com/office/spreadsheetml/2009/9/main" objectType="CheckBox" fmlaLink="$C$71" lockText="1" noThreeD="1"/>
</file>

<file path=xl/ctrlProps/ctrlProp89.xml><?xml version="1.0" encoding="utf-8"?>
<formControlPr xmlns="http://schemas.microsoft.com/office/spreadsheetml/2009/9/main" objectType="CheckBox" fmlaLink="$C$72" lockText="1" noThreeD="1"/>
</file>

<file path=xl/ctrlProps/ctrlProp90.xml><?xml version="1.0" encoding="utf-8"?>
<formControlPr xmlns="http://schemas.microsoft.com/office/spreadsheetml/2009/9/main" objectType="CheckBox" fmlaLink="$C$73" lockText="1" noThreeD="1"/>
</file>

<file path=xl/ctrlProps/ctrlProp91.xml><?xml version="1.0" encoding="utf-8"?>
<formControlPr xmlns="http://schemas.microsoft.com/office/spreadsheetml/2009/9/main" objectType="CheckBox" fmlaLink="$E$70" lockText="1" noThreeD="1"/>
</file>

<file path=xl/ctrlProps/ctrlProp92.xml><?xml version="1.0" encoding="utf-8"?>
<formControlPr xmlns="http://schemas.microsoft.com/office/spreadsheetml/2009/9/main" objectType="CheckBox" fmlaLink="$E$71" lockText="1" noThreeD="1"/>
</file>

<file path=xl/ctrlProps/ctrlProp93.xml><?xml version="1.0" encoding="utf-8"?>
<formControlPr xmlns="http://schemas.microsoft.com/office/spreadsheetml/2009/9/main" objectType="CheckBox" fmlaLink="$E$72" lockText="1" noThreeD="1"/>
</file>

<file path=xl/ctrlProps/ctrlProp94.xml><?xml version="1.0" encoding="utf-8"?>
<formControlPr xmlns="http://schemas.microsoft.com/office/spreadsheetml/2009/9/main" objectType="CheckBox" fmlaLink="$E$73" lockText="1" noThreeD="1"/>
</file>

<file path=xl/ctrlProps/ctrlProp95.xml><?xml version="1.0" encoding="utf-8"?>
<formControlPr xmlns="http://schemas.microsoft.com/office/spreadsheetml/2009/9/main" objectType="CheckBox" fmlaLink="$G$70" lockText="1" noThreeD="1"/>
</file>

<file path=xl/ctrlProps/ctrlProp96.xml><?xml version="1.0" encoding="utf-8"?>
<formControlPr xmlns="http://schemas.microsoft.com/office/spreadsheetml/2009/9/main" objectType="CheckBox" fmlaLink="$G$71" lockText="1" noThreeD="1"/>
</file>

<file path=xl/ctrlProps/ctrlProp97.xml><?xml version="1.0" encoding="utf-8"?>
<formControlPr xmlns="http://schemas.microsoft.com/office/spreadsheetml/2009/9/main" objectType="CheckBox" fmlaLink="$G$72" lockText="1" noThreeD="1"/>
</file>

<file path=xl/ctrlProps/ctrlProp98.xml><?xml version="1.0" encoding="utf-8"?>
<formControlPr xmlns="http://schemas.microsoft.com/office/spreadsheetml/2009/9/main" objectType="CheckBox" fmlaLink="$G$73" lockText="1" noThreeD="1"/>
</file>

<file path=xl/ctrlProps/ctrlProp99.xml><?xml version="1.0" encoding="utf-8"?>
<formControlPr xmlns="http://schemas.microsoft.com/office/spreadsheetml/2009/9/main" objectType="CheckBox" fmlaLink="$I$70" lockText="1" noThreeD="1"/>
</file>

<file path=xl/ctrlProps/ctrlProp100.xml><?xml version="1.0" encoding="utf-8"?>
<formControlPr xmlns="http://schemas.microsoft.com/office/spreadsheetml/2009/9/main" objectType="CheckBox" fmlaLink="$I$71" lockText="1" noThreeD="1"/>
</file>

<file path=xl/ctrlProps/ctrlProp101.xml><?xml version="1.0" encoding="utf-8"?>
<formControlPr xmlns="http://schemas.microsoft.com/office/spreadsheetml/2009/9/main" objectType="CheckBox" fmlaLink="$I$72" lockText="1" noThreeD="1"/>
</file>

<file path=xl/ctrlProps/ctrlProp102.xml><?xml version="1.0" encoding="utf-8"?>
<formControlPr xmlns="http://schemas.microsoft.com/office/spreadsheetml/2009/9/main" objectType="CheckBox" fmlaLink="$I$73" lockText="1" noThreeD="1"/>
</file>

<file path=xl/ctrlProps/ctrlProp103.xml><?xml version="1.0" encoding="utf-8"?>
<formControlPr xmlns="http://schemas.microsoft.com/office/spreadsheetml/2009/9/main" objectType="CheckBox" fmlaLink="$K$70" lockText="1" noThreeD="1"/>
</file>

<file path=xl/ctrlProps/ctrlProp104.xml><?xml version="1.0" encoding="utf-8"?>
<formControlPr xmlns="http://schemas.microsoft.com/office/spreadsheetml/2009/9/main" objectType="CheckBox" fmlaLink="$K$71" lockText="1" noThreeD="1"/>
</file>

<file path=xl/ctrlProps/ctrlProp105.xml><?xml version="1.0" encoding="utf-8"?>
<formControlPr xmlns="http://schemas.microsoft.com/office/spreadsheetml/2009/9/main" objectType="CheckBox" fmlaLink="$K$72" lockText="1" noThreeD="1"/>
</file>

<file path=xl/ctrlProps/ctrlProp106.xml><?xml version="1.0" encoding="utf-8"?>
<formControlPr xmlns="http://schemas.microsoft.com/office/spreadsheetml/2009/9/main" objectType="CheckBox" fmlaLink="$K$73" lockText="1" noThreeD="1"/>
</file>

<file path=xl/ctrlProps/ctrlProp107.xml><?xml version="1.0" encoding="utf-8"?>
<formControlPr xmlns="http://schemas.microsoft.com/office/spreadsheetml/2009/9/main" objectType="CheckBox" fmlaLink="$M$70" lockText="1" noThreeD="1"/>
</file>

<file path=xl/ctrlProps/ctrlProp108.xml><?xml version="1.0" encoding="utf-8"?>
<formControlPr xmlns="http://schemas.microsoft.com/office/spreadsheetml/2009/9/main" objectType="CheckBox" fmlaLink="$M$71" lockText="1" noThreeD="1"/>
</file>

<file path=xl/ctrlProps/ctrlProp109.xml><?xml version="1.0" encoding="utf-8"?>
<formControlPr xmlns="http://schemas.microsoft.com/office/spreadsheetml/2009/9/main" objectType="CheckBox" fmlaLink="$M$72" lockText="1" noThreeD="1"/>
</file>

<file path=xl/ctrlProps/ctrlProp110.xml><?xml version="1.0" encoding="utf-8"?>
<formControlPr xmlns="http://schemas.microsoft.com/office/spreadsheetml/2009/9/main" objectType="CheckBox" fmlaLink="$M$73" lockText="1" noThreeD="1"/>
</file>

<file path=xl/ctrlProps/ctrlProp111.xml><?xml version="1.0" encoding="utf-8"?>
<formControlPr xmlns="http://schemas.microsoft.com/office/spreadsheetml/2009/9/main" objectType="CheckBox" fmlaLink="$O$70" lockText="1" noThreeD="1"/>
</file>

<file path=xl/ctrlProps/ctrlProp112.xml><?xml version="1.0" encoding="utf-8"?>
<formControlPr xmlns="http://schemas.microsoft.com/office/spreadsheetml/2009/9/main" objectType="CheckBox" fmlaLink="$O$71" lockText="1" noThreeD="1"/>
</file>

<file path=xl/ctrlProps/ctrlProp113.xml><?xml version="1.0" encoding="utf-8"?>
<formControlPr xmlns="http://schemas.microsoft.com/office/spreadsheetml/2009/9/main" objectType="CheckBox" fmlaLink="$O$72" lockText="1" noThreeD="1"/>
</file>

<file path=xl/ctrlProps/ctrlProp114.xml><?xml version="1.0" encoding="utf-8"?>
<formControlPr xmlns="http://schemas.microsoft.com/office/spreadsheetml/2009/9/main" objectType="CheckBox" fmlaLink="$O$73" lockText="1" noThreeD="1"/>
</file>

<file path=xl/ctrlProps/ctrlProp115.xml><?xml version="1.0" encoding="utf-8"?>
<formControlPr xmlns="http://schemas.microsoft.com/office/spreadsheetml/2009/9/main" objectType="CheckBox" fmlaLink="$Q$70" lockText="1" noThreeD="1"/>
</file>

<file path=xl/ctrlProps/ctrlProp116.xml><?xml version="1.0" encoding="utf-8"?>
<formControlPr xmlns="http://schemas.microsoft.com/office/spreadsheetml/2009/9/main" objectType="CheckBox" fmlaLink="$Q$71" lockText="1" noThreeD="1"/>
</file>

<file path=xl/ctrlProps/ctrlProp117.xml><?xml version="1.0" encoding="utf-8"?>
<formControlPr xmlns="http://schemas.microsoft.com/office/spreadsheetml/2009/9/main" objectType="CheckBox" fmlaLink="$Q$72" lockText="1" noThreeD="1"/>
</file>

<file path=xl/ctrlProps/ctrlProp118.xml><?xml version="1.0" encoding="utf-8"?>
<formControlPr xmlns="http://schemas.microsoft.com/office/spreadsheetml/2009/9/main" objectType="CheckBox" fmlaLink="$Q$73" lockText="1" noThreeD="1"/>
</file>

<file path=xl/ctrlProps/ctrlProp119.xml><?xml version="1.0" encoding="utf-8"?>
<formControlPr xmlns="http://schemas.microsoft.com/office/spreadsheetml/2009/9/main" objectType="CheckBox" fmlaLink="$S$70" lockText="1" noThreeD="1"/>
</file>

<file path=xl/ctrlProps/ctrlProp120.xml><?xml version="1.0" encoding="utf-8"?>
<formControlPr xmlns="http://schemas.microsoft.com/office/spreadsheetml/2009/9/main" objectType="CheckBox" fmlaLink="$S$71" lockText="1" noThreeD="1"/>
</file>

<file path=xl/ctrlProps/ctrlProp121.xml><?xml version="1.0" encoding="utf-8"?>
<formControlPr xmlns="http://schemas.microsoft.com/office/spreadsheetml/2009/9/main" objectType="CheckBox" fmlaLink="$S$72" lockText="1" noThreeD="1"/>
</file>

<file path=xl/ctrlProps/ctrlProp122.xml><?xml version="1.0" encoding="utf-8"?>
<formControlPr xmlns="http://schemas.microsoft.com/office/spreadsheetml/2009/9/main" objectType="CheckBox" fmlaLink="$S$73" lockText="1" noThreeD="1"/>
</file>

<file path=xl/ctrlProps/ctrlProp123.xml><?xml version="1.0" encoding="utf-8"?>
<formControlPr xmlns="http://schemas.microsoft.com/office/spreadsheetml/2009/9/main" objectType="CheckBox" fmlaLink="$U$70" lockText="1" noThreeD="1"/>
</file>

<file path=xl/ctrlProps/ctrlProp124.xml><?xml version="1.0" encoding="utf-8"?>
<formControlPr xmlns="http://schemas.microsoft.com/office/spreadsheetml/2009/9/main" objectType="CheckBox" fmlaLink="$U$71" lockText="1" noThreeD="1"/>
</file>

<file path=xl/ctrlProps/ctrlProp125.xml><?xml version="1.0" encoding="utf-8"?>
<formControlPr xmlns="http://schemas.microsoft.com/office/spreadsheetml/2009/9/main" objectType="CheckBox" fmlaLink="$U$72" lockText="1" noThreeD="1"/>
</file>

<file path=xl/ctrlProps/ctrlProp126.xml><?xml version="1.0" encoding="utf-8"?>
<formControlPr xmlns="http://schemas.microsoft.com/office/spreadsheetml/2009/9/main" objectType="CheckBox" fmlaLink="$U$73" lockText="1" noThreeD="1"/>
</file>

<file path=xl/ctrlProps/ctrlProp127.xml><?xml version="1.0" encoding="utf-8"?>
<formControlPr xmlns="http://schemas.microsoft.com/office/spreadsheetml/2009/9/main" objectType="CheckBox" fmlaLink="$W$70" lockText="1" noThreeD="1"/>
</file>

<file path=xl/ctrlProps/ctrlProp128.xml><?xml version="1.0" encoding="utf-8"?>
<formControlPr xmlns="http://schemas.microsoft.com/office/spreadsheetml/2009/9/main" objectType="CheckBox" fmlaLink="$W$71" lockText="1" noThreeD="1"/>
</file>

<file path=xl/ctrlProps/ctrlProp129.xml><?xml version="1.0" encoding="utf-8"?>
<formControlPr xmlns="http://schemas.microsoft.com/office/spreadsheetml/2009/9/main" objectType="CheckBox" fmlaLink="$W$72" lockText="1" noThreeD="1"/>
</file>

<file path=xl/ctrlProps/ctrlProp130.xml><?xml version="1.0" encoding="utf-8"?>
<formControlPr xmlns="http://schemas.microsoft.com/office/spreadsheetml/2009/9/main" objectType="CheckBox" fmlaLink="$W$73" lockText="1" noThreeD="1"/>
</file>

<file path=xl/ctrlProps/ctrlProp131.xml><?xml version="1.0" encoding="utf-8"?>
<formControlPr xmlns="http://schemas.microsoft.com/office/spreadsheetml/2009/9/main" objectType="CheckBox" fmlaLink="$Q$73"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4.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4.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251460</xdr:colOff>
      <xdr:row>31</xdr:row>
      <xdr:rowOff>91440</xdr:rowOff>
    </xdr:from>
    <xdr:to>
      <xdr:col>7</xdr:col>
      <xdr:colOff>708660</xdr:colOff>
      <xdr:row>33</xdr:row>
      <xdr:rowOff>106680</xdr:rowOff>
    </xdr:to>
    <xdr:cxnSp macro="">
      <xdr:nvCxnSpPr>
        <xdr:cNvPr id="2" name="Düz Ok Bağlayıcısı 1">
          <a:extLst>
            <a:ext uri="{FF2B5EF4-FFF2-40B4-BE49-F238E27FC236}">
              <a16:creationId xmlns:a16="http://schemas.microsoft.com/office/drawing/2014/main" id="{1242C8AC-8F20-46E9-B511-2E84C6C60CC3}"/>
            </a:ext>
          </a:extLst>
        </xdr:cNvPr>
        <xdr:cNvCxnSpPr/>
      </xdr:nvCxnSpPr>
      <xdr:spPr>
        <a:xfrm>
          <a:off x="5204460" y="5913120"/>
          <a:ext cx="3528060"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33</xdr:row>
      <xdr:rowOff>152400</xdr:rowOff>
    </xdr:from>
    <xdr:to>
      <xdr:col>7</xdr:col>
      <xdr:colOff>716280</xdr:colOff>
      <xdr:row>41</xdr:row>
      <xdr:rowOff>160020</xdr:rowOff>
    </xdr:to>
    <xdr:cxnSp macro="">
      <xdr:nvCxnSpPr>
        <xdr:cNvPr id="3" name="Düz Ok Bağlayıcısı 2">
          <a:extLst>
            <a:ext uri="{FF2B5EF4-FFF2-40B4-BE49-F238E27FC236}">
              <a16:creationId xmlns:a16="http://schemas.microsoft.com/office/drawing/2014/main" id="{56A9EB76-8360-4C1B-ADDA-FCB147EC4CAB}"/>
            </a:ext>
          </a:extLst>
        </xdr:cNvPr>
        <xdr:cNvCxnSpPr/>
      </xdr:nvCxnSpPr>
      <xdr:spPr>
        <a:xfrm flipV="1">
          <a:off x="5067300" y="6339840"/>
          <a:ext cx="3672840" cy="1493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xdr:colOff>
      <xdr:row>25</xdr:row>
      <xdr:rowOff>22860</xdr:rowOff>
    </xdr:from>
    <xdr:to>
      <xdr:col>4</xdr:col>
      <xdr:colOff>284415</xdr:colOff>
      <xdr:row>37</xdr:row>
      <xdr:rowOff>2380</xdr:rowOff>
    </xdr:to>
    <xdr:sp macro="" textlink="">
      <xdr:nvSpPr>
        <xdr:cNvPr id="4" name="Serbest Form: Şekil 3">
          <a:extLst>
            <a:ext uri="{FF2B5EF4-FFF2-40B4-BE49-F238E27FC236}">
              <a16:creationId xmlns:a16="http://schemas.microsoft.com/office/drawing/2014/main" id="{EF6087E2-78D0-44FA-A9D4-E9D95C437424}"/>
            </a:ext>
          </a:extLst>
        </xdr:cNvPr>
        <xdr:cNvSpPr/>
      </xdr:nvSpPr>
      <xdr:spPr>
        <a:xfrm>
          <a:off x="4968240" y="4747260"/>
          <a:ext cx="269175" cy="2174080"/>
        </a:xfrm>
        <a:custGeom>
          <a:avLst/>
          <a:gdLst>
            <a:gd name="connsiteX0" fmla="*/ 0 w 269175"/>
            <a:gd name="connsiteY0" fmla="*/ 0 h 2174080"/>
            <a:gd name="connsiteX1" fmla="*/ 106680 w 269175"/>
            <a:gd name="connsiteY1" fmla="*/ 7620 h 2174080"/>
            <a:gd name="connsiteX2" fmla="*/ 236220 w 269175"/>
            <a:gd name="connsiteY2" fmla="*/ 137160 h 2174080"/>
            <a:gd name="connsiteX3" fmla="*/ 236220 w 269175"/>
            <a:gd name="connsiteY3" fmla="*/ 556260 h 2174080"/>
            <a:gd name="connsiteX4" fmla="*/ 198120 w 269175"/>
            <a:gd name="connsiteY4" fmla="*/ 769620 h 2174080"/>
            <a:gd name="connsiteX5" fmla="*/ 190500 w 269175"/>
            <a:gd name="connsiteY5" fmla="*/ 822960 h 2174080"/>
            <a:gd name="connsiteX6" fmla="*/ 160020 w 269175"/>
            <a:gd name="connsiteY6" fmla="*/ 937260 h 2174080"/>
            <a:gd name="connsiteX7" fmla="*/ 198120 w 269175"/>
            <a:gd name="connsiteY7" fmla="*/ 1135380 h 2174080"/>
            <a:gd name="connsiteX8" fmla="*/ 243840 w 269175"/>
            <a:gd name="connsiteY8" fmla="*/ 1150620 h 2174080"/>
            <a:gd name="connsiteX9" fmla="*/ 213360 w 269175"/>
            <a:gd name="connsiteY9" fmla="*/ 1211580 h 2174080"/>
            <a:gd name="connsiteX10" fmla="*/ 198120 w 269175"/>
            <a:gd name="connsiteY10" fmla="*/ 1249680 h 2174080"/>
            <a:gd name="connsiteX11" fmla="*/ 175260 w 269175"/>
            <a:gd name="connsiteY11" fmla="*/ 1287780 h 2174080"/>
            <a:gd name="connsiteX12" fmla="*/ 167640 w 269175"/>
            <a:gd name="connsiteY12" fmla="*/ 1325880 h 2174080"/>
            <a:gd name="connsiteX13" fmla="*/ 160020 w 269175"/>
            <a:gd name="connsiteY13" fmla="*/ 1356360 h 2174080"/>
            <a:gd name="connsiteX14" fmla="*/ 182880 w 269175"/>
            <a:gd name="connsiteY14" fmla="*/ 1775460 h 2174080"/>
            <a:gd name="connsiteX15" fmla="*/ 198120 w 269175"/>
            <a:gd name="connsiteY15" fmla="*/ 1882140 h 2174080"/>
            <a:gd name="connsiteX16" fmla="*/ 190500 w 269175"/>
            <a:gd name="connsiteY16" fmla="*/ 2080260 h 2174080"/>
            <a:gd name="connsiteX17" fmla="*/ 160020 w 269175"/>
            <a:gd name="connsiteY17" fmla="*/ 2095500 h 2174080"/>
            <a:gd name="connsiteX18" fmla="*/ 99060 w 269175"/>
            <a:gd name="connsiteY18" fmla="*/ 2133600 h 2174080"/>
            <a:gd name="connsiteX19" fmla="*/ 83820 w 269175"/>
            <a:gd name="connsiteY19" fmla="*/ 2156460 h 2174080"/>
            <a:gd name="connsiteX20" fmla="*/ 0 w 269175"/>
            <a:gd name="connsiteY20" fmla="*/ 2171700 h 2174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69175" h="2174080">
              <a:moveTo>
                <a:pt x="0" y="0"/>
              </a:moveTo>
              <a:cubicBezTo>
                <a:pt x="35560" y="2540"/>
                <a:pt x="72708" y="-3189"/>
                <a:pt x="106680" y="7620"/>
              </a:cubicBezTo>
              <a:cubicBezTo>
                <a:pt x="153608" y="22552"/>
                <a:pt x="212546" y="108225"/>
                <a:pt x="236220" y="137160"/>
              </a:cubicBezTo>
              <a:cubicBezTo>
                <a:pt x="298027" y="291678"/>
                <a:pt x="257927" y="176393"/>
                <a:pt x="236220" y="556260"/>
              </a:cubicBezTo>
              <a:cubicBezTo>
                <a:pt x="227618" y="706794"/>
                <a:pt x="235166" y="670830"/>
                <a:pt x="198120" y="769620"/>
              </a:cubicBezTo>
              <a:cubicBezTo>
                <a:pt x="195580" y="787400"/>
                <a:pt x="194856" y="805536"/>
                <a:pt x="190500" y="822960"/>
              </a:cubicBezTo>
              <a:cubicBezTo>
                <a:pt x="148881" y="989435"/>
                <a:pt x="180496" y="814401"/>
                <a:pt x="160020" y="937260"/>
              </a:cubicBezTo>
              <a:cubicBezTo>
                <a:pt x="162735" y="994267"/>
                <a:pt x="136011" y="1091903"/>
                <a:pt x="198120" y="1135380"/>
              </a:cubicBezTo>
              <a:cubicBezTo>
                <a:pt x="211280" y="1144592"/>
                <a:pt x="228600" y="1145540"/>
                <a:pt x="243840" y="1150620"/>
              </a:cubicBezTo>
              <a:cubicBezTo>
                <a:pt x="233680" y="1170940"/>
                <a:pt x="221797" y="1190486"/>
                <a:pt x="213360" y="1211580"/>
              </a:cubicBezTo>
              <a:cubicBezTo>
                <a:pt x="208280" y="1224280"/>
                <a:pt x="204237" y="1237446"/>
                <a:pt x="198120" y="1249680"/>
              </a:cubicBezTo>
              <a:cubicBezTo>
                <a:pt x="191496" y="1262927"/>
                <a:pt x="182880" y="1275080"/>
                <a:pt x="175260" y="1287780"/>
              </a:cubicBezTo>
              <a:cubicBezTo>
                <a:pt x="172720" y="1300480"/>
                <a:pt x="170450" y="1313237"/>
                <a:pt x="167640" y="1325880"/>
              </a:cubicBezTo>
              <a:cubicBezTo>
                <a:pt x="165368" y="1336103"/>
                <a:pt x="159819" y="1345889"/>
                <a:pt x="160020" y="1356360"/>
              </a:cubicBezTo>
              <a:cubicBezTo>
                <a:pt x="169675" y="1858421"/>
                <a:pt x="158935" y="1583900"/>
                <a:pt x="182880" y="1775460"/>
              </a:cubicBezTo>
              <a:cubicBezTo>
                <a:pt x="194947" y="1871996"/>
                <a:pt x="184290" y="1812992"/>
                <a:pt x="198120" y="1882140"/>
              </a:cubicBezTo>
              <a:cubicBezTo>
                <a:pt x="202476" y="1943130"/>
                <a:pt x="216338" y="2019972"/>
                <a:pt x="190500" y="2080260"/>
              </a:cubicBezTo>
              <a:cubicBezTo>
                <a:pt x="186025" y="2090701"/>
                <a:pt x="169653" y="2089480"/>
                <a:pt x="160020" y="2095500"/>
              </a:cubicBezTo>
              <a:cubicBezTo>
                <a:pt x="80885" y="2144959"/>
                <a:pt x="176289" y="2094985"/>
                <a:pt x="99060" y="2133600"/>
              </a:cubicBezTo>
              <a:cubicBezTo>
                <a:pt x="93980" y="2141220"/>
                <a:pt x="90296" y="2149984"/>
                <a:pt x="83820" y="2156460"/>
              </a:cubicBezTo>
              <a:cubicBezTo>
                <a:pt x="57308" y="2182972"/>
                <a:pt x="40706" y="2171700"/>
                <a:pt x="0" y="217170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1604682</xdr:colOff>
      <xdr:row>38</xdr:row>
      <xdr:rowOff>30480</xdr:rowOff>
    </xdr:from>
    <xdr:to>
      <xdr:col>4</xdr:col>
      <xdr:colOff>188259</xdr:colOff>
      <xdr:row>44</xdr:row>
      <xdr:rowOff>137160</xdr:rowOff>
    </xdr:to>
    <xdr:sp macro="" textlink="">
      <xdr:nvSpPr>
        <xdr:cNvPr id="5" name="Serbest Form: Şekil 4">
          <a:extLst>
            <a:ext uri="{FF2B5EF4-FFF2-40B4-BE49-F238E27FC236}">
              <a16:creationId xmlns:a16="http://schemas.microsoft.com/office/drawing/2014/main" id="{3205E04C-88CA-460A-83CB-476E13621067}"/>
            </a:ext>
          </a:extLst>
        </xdr:cNvPr>
        <xdr:cNvSpPr/>
      </xdr:nvSpPr>
      <xdr:spPr>
        <a:xfrm>
          <a:off x="4637442" y="7132320"/>
          <a:ext cx="503817" cy="1272540"/>
        </a:xfrm>
        <a:custGeom>
          <a:avLst/>
          <a:gdLst>
            <a:gd name="connsiteX0" fmla="*/ 0 w 220980"/>
            <a:gd name="connsiteY0" fmla="*/ 0 h 1203960"/>
            <a:gd name="connsiteX1" fmla="*/ 160020 w 220980"/>
            <a:gd name="connsiteY1" fmla="*/ 129540 h 1203960"/>
            <a:gd name="connsiteX2" fmla="*/ 198120 w 220980"/>
            <a:gd name="connsiteY2" fmla="*/ 281940 h 1203960"/>
            <a:gd name="connsiteX3" fmla="*/ 152400 w 220980"/>
            <a:gd name="connsiteY3" fmla="*/ 701040 h 1203960"/>
            <a:gd name="connsiteX4" fmla="*/ 175260 w 220980"/>
            <a:gd name="connsiteY4" fmla="*/ 762000 h 1203960"/>
            <a:gd name="connsiteX5" fmla="*/ 198120 w 220980"/>
            <a:gd name="connsiteY5" fmla="*/ 800100 h 1203960"/>
            <a:gd name="connsiteX6" fmla="*/ 220980 w 220980"/>
            <a:gd name="connsiteY6" fmla="*/ 861060 h 1203960"/>
            <a:gd name="connsiteX7" fmla="*/ 213360 w 220980"/>
            <a:gd name="connsiteY7" fmla="*/ 1021080 h 1203960"/>
            <a:gd name="connsiteX8" fmla="*/ 167640 w 220980"/>
            <a:gd name="connsiteY8" fmla="*/ 1104900 h 1203960"/>
            <a:gd name="connsiteX9" fmla="*/ 137160 w 220980"/>
            <a:gd name="connsiteY9" fmla="*/ 1127760 h 1203960"/>
            <a:gd name="connsiteX10" fmla="*/ 106680 w 220980"/>
            <a:gd name="connsiteY10" fmla="*/ 1158240 h 1203960"/>
            <a:gd name="connsiteX11" fmla="*/ 91440 w 220980"/>
            <a:gd name="connsiteY11" fmla="*/ 1181100 h 1203960"/>
            <a:gd name="connsiteX12" fmla="*/ 76200 w 220980"/>
            <a:gd name="connsiteY12" fmla="*/ 1203960 h 12039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220980" h="1203960">
              <a:moveTo>
                <a:pt x="0" y="0"/>
              </a:moveTo>
              <a:cubicBezTo>
                <a:pt x="133251" y="51250"/>
                <a:pt x="79436" y="8664"/>
                <a:pt x="160020" y="129540"/>
              </a:cubicBezTo>
              <a:cubicBezTo>
                <a:pt x="172720" y="180340"/>
                <a:pt x="197315" y="229583"/>
                <a:pt x="198120" y="281940"/>
              </a:cubicBezTo>
              <a:cubicBezTo>
                <a:pt x="201046" y="472143"/>
                <a:pt x="182086" y="552611"/>
                <a:pt x="152400" y="701040"/>
              </a:cubicBezTo>
              <a:cubicBezTo>
                <a:pt x="160020" y="721360"/>
                <a:pt x="166166" y="742296"/>
                <a:pt x="175260" y="762000"/>
              </a:cubicBezTo>
              <a:cubicBezTo>
                <a:pt x="181467" y="775447"/>
                <a:pt x="191913" y="786653"/>
                <a:pt x="198120" y="800100"/>
              </a:cubicBezTo>
              <a:cubicBezTo>
                <a:pt x="207214" y="819804"/>
                <a:pt x="213360" y="840740"/>
                <a:pt x="220980" y="861060"/>
              </a:cubicBezTo>
              <a:cubicBezTo>
                <a:pt x="218440" y="914400"/>
                <a:pt x="221186" y="968256"/>
                <a:pt x="213360" y="1021080"/>
              </a:cubicBezTo>
              <a:cubicBezTo>
                <a:pt x="212252" y="1028559"/>
                <a:pt x="174602" y="1096944"/>
                <a:pt x="167640" y="1104900"/>
              </a:cubicBezTo>
              <a:cubicBezTo>
                <a:pt x="159277" y="1114458"/>
                <a:pt x="146718" y="1119397"/>
                <a:pt x="137160" y="1127760"/>
              </a:cubicBezTo>
              <a:cubicBezTo>
                <a:pt x="126347" y="1137222"/>
                <a:pt x="116031" y="1147331"/>
                <a:pt x="106680" y="1158240"/>
              </a:cubicBezTo>
              <a:cubicBezTo>
                <a:pt x="100720" y="1165193"/>
                <a:pt x="96520" y="1173480"/>
                <a:pt x="91440" y="1181100"/>
              </a:cubicBezTo>
              <a:lnTo>
                <a:pt x="76200" y="1203960"/>
              </a:ln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7620</xdr:colOff>
          <xdr:row>48</xdr:row>
          <xdr:rowOff>7620</xdr:rowOff>
        </xdr:from>
        <xdr:to>
          <xdr:col>2</xdr:col>
          <xdr:colOff>1135380</xdr:colOff>
          <xdr:row>49</xdr:row>
          <xdr:rowOff>30480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32A486A2-E498-440E-978D-B96D4490A6B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49</xdr:row>
          <xdr:rowOff>7620</xdr:rowOff>
        </xdr:from>
        <xdr:to>
          <xdr:col>2</xdr:col>
          <xdr:colOff>1135380</xdr:colOff>
          <xdr:row>50</xdr:row>
          <xdr:rowOff>30480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29AD547C-6100-44D9-8321-BF840653EB8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50</xdr:row>
          <xdr:rowOff>7620</xdr:rowOff>
        </xdr:from>
        <xdr:to>
          <xdr:col>2</xdr:col>
          <xdr:colOff>1135380</xdr:colOff>
          <xdr:row>51</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2124C56B-BE51-4D41-88D5-1B368010D39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51</xdr:row>
          <xdr:rowOff>7620</xdr:rowOff>
        </xdr:from>
        <xdr:to>
          <xdr:col>2</xdr:col>
          <xdr:colOff>1135380</xdr:colOff>
          <xdr:row>52</xdr:row>
          <xdr:rowOff>30480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BB7449D7-BF69-434B-96A0-0387F292E74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48</xdr:row>
          <xdr:rowOff>7620</xdr:rowOff>
        </xdr:from>
        <xdr:to>
          <xdr:col>4</xdr:col>
          <xdr:colOff>1257300</xdr:colOff>
          <xdr:row>49</xdr:row>
          <xdr:rowOff>30480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23E16DA2-6C70-438B-9A03-06ADCBF724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49</xdr:row>
          <xdr:rowOff>7620</xdr:rowOff>
        </xdr:from>
        <xdr:to>
          <xdr:col>4</xdr:col>
          <xdr:colOff>1257300</xdr:colOff>
          <xdr:row>50</xdr:row>
          <xdr:rowOff>30480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C255DB88-9878-4958-B4AF-099B1199D0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50</xdr:row>
          <xdr:rowOff>7620</xdr:rowOff>
        </xdr:from>
        <xdr:to>
          <xdr:col>4</xdr:col>
          <xdr:colOff>1257300</xdr:colOff>
          <xdr:row>51</xdr:row>
          <xdr:rowOff>30480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CADB2002-3B0B-4C4B-9225-6EA94577637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51</xdr:row>
          <xdr:rowOff>7620</xdr:rowOff>
        </xdr:from>
        <xdr:to>
          <xdr:col>4</xdr:col>
          <xdr:colOff>1257300</xdr:colOff>
          <xdr:row>52</xdr:row>
          <xdr:rowOff>30480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9876FA50-89B7-496E-90AF-4F046944BFA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48</xdr:row>
          <xdr:rowOff>7620</xdr:rowOff>
        </xdr:from>
        <xdr:to>
          <xdr:col>7</xdr:col>
          <xdr:colOff>60960</xdr:colOff>
          <xdr:row>49</xdr:row>
          <xdr:rowOff>30480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FD587733-A861-4B17-8658-6540DC8C425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49</xdr:row>
          <xdr:rowOff>7620</xdr:rowOff>
        </xdr:from>
        <xdr:to>
          <xdr:col>7</xdr:col>
          <xdr:colOff>60960</xdr:colOff>
          <xdr:row>50</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32310B6B-750D-4B1A-8454-D9E51D160D8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50</xdr:row>
          <xdr:rowOff>7620</xdr:rowOff>
        </xdr:from>
        <xdr:to>
          <xdr:col>7</xdr:col>
          <xdr:colOff>60960</xdr:colOff>
          <xdr:row>51</xdr:row>
          <xdr:rowOff>30480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76464BFE-12C2-4EC8-9125-B09372232CF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51</xdr:row>
          <xdr:rowOff>7620</xdr:rowOff>
        </xdr:from>
        <xdr:to>
          <xdr:col>7</xdr:col>
          <xdr:colOff>60960</xdr:colOff>
          <xdr:row>52</xdr:row>
          <xdr:rowOff>30480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D2DAE513-114E-47C5-91F0-C5935EBEC43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48</xdr:row>
          <xdr:rowOff>7620</xdr:rowOff>
        </xdr:from>
        <xdr:to>
          <xdr:col>9</xdr:col>
          <xdr:colOff>144780</xdr:colOff>
          <xdr:row>49</xdr:row>
          <xdr:rowOff>30480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E06870F2-47C3-4A8A-9F51-28BAD87E532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49</xdr:row>
          <xdr:rowOff>7620</xdr:rowOff>
        </xdr:from>
        <xdr:to>
          <xdr:col>9</xdr:col>
          <xdr:colOff>144780</xdr:colOff>
          <xdr:row>50</xdr:row>
          <xdr:rowOff>30480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341EDF5-29E6-48F9-99F9-57D2036C374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50</xdr:row>
          <xdr:rowOff>7620</xdr:rowOff>
        </xdr:from>
        <xdr:to>
          <xdr:col>9</xdr:col>
          <xdr:colOff>144780</xdr:colOff>
          <xdr:row>51</xdr:row>
          <xdr:rowOff>30480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D3BFD1B7-0599-4DF5-A21C-97E68685A9C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51</xdr:row>
          <xdr:rowOff>7620</xdr:rowOff>
        </xdr:from>
        <xdr:to>
          <xdr:col>9</xdr:col>
          <xdr:colOff>144780</xdr:colOff>
          <xdr:row>52</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673A914E-5577-4801-9478-62C53D5D1DC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48</xdr:row>
          <xdr:rowOff>7620</xdr:rowOff>
        </xdr:from>
        <xdr:to>
          <xdr:col>11</xdr:col>
          <xdr:colOff>579120</xdr:colOff>
          <xdr:row>49</xdr:row>
          <xdr:rowOff>30480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B531D63A-CE4D-43A5-8D1F-0A892C98942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49</xdr:row>
          <xdr:rowOff>7620</xdr:rowOff>
        </xdr:from>
        <xdr:to>
          <xdr:col>11</xdr:col>
          <xdr:colOff>579120</xdr:colOff>
          <xdr:row>50</xdr:row>
          <xdr:rowOff>30480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698B7454-69ED-49C2-BC11-9A81F4A4A4A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50</xdr:row>
          <xdr:rowOff>7620</xdr:rowOff>
        </xdr:from>
        <xdr:to>
          <xdr:col>11</xdr:col>
          <xdr:colOff>579120</xdr:colOff>
          <xdr:row>51</xdr:row>
          <xdr:rowOff>30480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89E628D0-A1EA-4379-B1F5-164291DC049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51</xdr:row>
          <xdr:rowOff>7620</xdr:rowOff>
        </xdr:from>
        <xdr:to>
          <xdr:col>11</xdr:col>
          <xdr:colOff>579120</xdr:colOff>
          <xdr:row>52</xdr:row>
          <xdr:rowOff>30480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7FADE396-6F07-4D2E-8023-55BC8239074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48</xdr:row>
          <xdr:rowOff>7620</xdr:rowOff>
        </xdr:from>
        <xdr:to>
          <xdr:col>13</xdr:col>
          <xdr:colOff>556260</xdr:colOff>
          <xdr:row>49</xdr:row>
          <xdr:rowOff>30480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BF2441F9-C82F-42EC-9A57-BC3B64B0D90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49</xdr:row>
          <xdr:rowOff>7620</xdr:rowOff>
        </xdr:from>
        <xdr:to>
          <xdr:col>13</xdr:col>
          <xdr:colOff>556260</xdr:colOff>
          <xdr:row>50</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8B694781-8E1B-4E97-A66E-8799907702A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50</xdr:row>
          <xdr:rowOff>7620</xdr:rowOff>
        </xdr:from>
        <xdr:to>
          <xdr:col>13</xdr:col>
          <xdr:colOff>556260</xdr:colOff>
          <xdr:row>51</xdr:row>
          <xdr:rowOff>30480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11B41069-9E05-4BB9-96E9-CD3BA5D50DA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51</xdr:row>
          <xdr:rowOff>7620</xdr:rowOff>
        </xdr:from>
        <xdr:to>
          <xdr:col>13</xdr:col>
          <xdr:colOff>556260</xdr:colOff>
          <xdr:row>52</xdr:row>
          <xdr:rowOff>30480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AC030F6F-D34F-4783-BFD8-60FDE1972E4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48</xdr:row>
          <xdr:rowOff>7620</xdr:rowOff>
        </xdr:from>
        <xdr:to>
          <xdr:col>16</xdr:col>
          <xdr:colOff>38100</xdr:colOff>
          <xdr:row>49</xdr:row>
          <xdr:rowOff>30480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5D09AD7A-E602-4D31-841A-E3D7356BAE9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49</xdr:row>
          <xdr:rowOff>7620</xdr:rowOff>
        </xdr:from>
        <xdr:to>
          <xdr:col>16</xdr:col>
          <xdr:colOff>38100</xdr:colOff>
          <xdr:row>50</xdr:row>
          <xdr:rowOff>30480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8B119C03-97BA-4935-8AC7-62D56DDA978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50</xdr:row>
          <xdr:rowOff>7620</xdr:rowOff>
        </xdr:from>
        <xdr:to>
          <xdr:col>16</xdr:col>
          <xdr:colOff>38100</xdr:colOff>
          <xdr:row>51</xdr:row>
          <xdr:rowOff>30480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45AA92FA-C196-401C-B372-8D37B127D75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51</xdr:row>
          <xdr:rowOff>7620</xdr:rowOff>
        </xdr:from>
        <xdr:to>
          <xdr:col>16</xdr:col>
          <xdr:colOff>38100</xdr:colOff>
          <xdr:row>52</xdr:row>
          <xdr:rowOff>30480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7201C646-3F13-40B5-9614-C4EC6D7938B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48</xdr:row>
          <xdr:rowOff>7620</xdr:rowOff>
        </xdr:from>
        <xdr:to>
          <xdr:col>17</xdr:col>
          <xdr:colOff>449580</xdr:colOff>
          <xdr:row>49</xdr:row>
          <xdr:rowOff>30480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5CB6D80C-AB95-4F40-A402-4F4989EF7B9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49</xdr:row>
          <xdr:rowOff>7620</xdr:rowOff>
        </xdr:from>
        <xdr:to>
          <xdr:col>17</xdr:col>
          <xdr:colOff>449580</xdr:colOff>
          <xdr:row>50</xdr:row>
          <xdr:rowOff>30480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96ACB704-3A82-496E-890B-C34DD7ECE19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50</xdr:row>
          <xdr:rowOff>7620</xdr:rowOff>
        </xdr:from>
        <xdr:to>
          <xdr:col>17</xdr:col>
          <xdr:colOff>449580</xdr:colOff>
          <xdr:row>51</xdr:row>
          <xdr:rowOff>30480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2F84258A-1554-4281-B511-611E1920619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51</xdr:row>
          <xdr:rowOff>7620</xdr:rowOff>
        </xdr:from>
        <xdr:to>
          <xdr:col>17</xdr:col>
          <xdr:colOff>449580</xdr:colOff>
          <xdr:row>52</xdr:row>
          <xdr:rowOff>30480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80709C34-8B1D-45EA-87D2-F9497CE381C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48</xdr:row>
          <xdr:rowOff>7620</xdr:rowOff>
        </xdr:from>
        <xdr:to>
          <xdr:col>20</xdr:col>
          <xdr:colOff>38100</xdr:colOff>
          <xdr:row>49</xdr:row>
          <xdr:rowOff>30480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93EEF490-D95F-4C9C-84AA-C18248D8EE0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49</xdr:row>
          <xdr:rowOff>7620</xdr:rowOff>
        </xdr:from>
        <xdr:to>
          <xdr:col>20</xdr:col>
          <xdr:colOff>38100</xdr:colOff>
          <xdr:row>50</xdr:row>
          <xdr:rowOff>30480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39165581-385E-4275-BA34-B51789237E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50</xdr:row>
          <xdr:rowOff>7620</xdr:rowOff>
        </xdr:from>
        <xdr:to>
          <xdr:col>20</xdr:col>
          <xdr:colOff>38100</xdr:colOff>
          <xdr:row>51</xdr:row>
          <xdr:rowOff>30480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8491B213-C3D2-4DC3-B9D7-68C42D44FF8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51</xdr:row>
          <xdr:rowOff>7620</xdr:rowOff>
        </xdr:from>
        <xdr:to>
          <xdr:col>20</xdr:col>
          <xdr:colOff>38100</xdr:colOff>
          <xdr:row>52</xdr:row>
          <xdr:rowOff>30480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C7BFFC2E-10C3-49FF-AD00-C154C6364F0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48</xdr:row>
          <xdr:rowOff>7620</xdr:rowOff>
        </xdr:from>
        <xdr:to>
          <xdr:col>21</xdr:col>
          <xdr:colOff>419100</xdr:colOff>
          <xdr:row>49</xdr:row>
          <xdr:rowOff>30480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5C3BA38A-64EC-4B79-BD30-790FC414EAC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49</xdr:row>
          <xdr:rowOff>7620</xdr:rowOff>
        </xdr:from>
        <xdr:to>
          <xdr:col>21</xdr:col>
          <xdr:colOff>419100</xdr:colOff>
          <xdr:row>50</xdr:row>
          <xdr:rowOff>30480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3545C7B6-A09C-48F8-98DC-8F0634A04F6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50</xdr:row>
          <xdr:rowOff>7620</xdr:rowOff>
        </xdr:from>
        <xdr:to>
          <xdr:col>21</xdr:col>
          <xdr:colOff>419100</xdr:colOff>
          <xdr:row>51</xdr:row>
          <xdr:rowOff>30480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70D26CCC-E97A-4E95-AA9D-DEFE955DC84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51</xdr:row>
          <xdr:rowOff>7620</xdr:rowOff>
        </xdr:from>
        <xdr:to>
          <xdr:col>21</xdr:col>
          <xdr:colOff>419100</xdr:colOff>
          <xdr:row>52</xdr:row>
          <xdr:rowOff>30480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529EE6C1-F5E2-4026-9C36-229278A04F7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48</xdr:row>
          <xdr:rowOff>7620</xdr:rowOff>
        </xdr:from>
        <xdr:to>
          <xdr:col>22</xdr:col>
          <xdr:colOff>594360</xdr:colOff>
          <xdr:row>49</xdr:row>
          <xdr:rowOff>30480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2E810D58-B7D1-450F-BC10-A22C021A7B7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49</xdr:row>
          <xdr:rowOff>7620</xdr:rowOff>
        </xdr:from>
        <xdr:to>
          <xdr:col>22</xdr:col>
          <xdr:colOff>594360</xdr:colOff>
          <xdr:row>50</xdr:row>
          <xdr:rowOff>30480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297DF028-76AF-4DAE-9E4E-628CE464DFF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50</xdr:row>
          <xdr:rowOff>7620</xdr:rowOff>
        </xdr:from>
        <xdr:to>
          <xdr:col>22</xdr:col>
          <xdr:colOff>594360</xdr:colOff>
          <xdr:row>51</xdr:row>
          <xdr:rowOff>30480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434B468D-E553-4CB6-B922-94D2E298CCD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51</xdr:row>
          <xdr:rowOff>7620</xdr:rowOff>
        </xdr:from>
        <xdr:to>
          <xdr:col>22</xdr:col>
          <xdr:colOff>594360</xdr:colOff>
          <xdr:row>52</xdr:row>
          <xdr:rowOff>30480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F354528F-F43A-4DD7-A46D-2A32517267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15240</xdr:colOff>
          <xdr:row>50</xdr:row>
          <xdr:rowOff>190500</xdr:rowOff>
        </xdr:from>
        <xdr:to>
          <xdr:col>17</xdr:col>
          <xdr:colOff>457200</xdr:colOff>
          <xdr:row>52</xdr:row>
          <xdr:rowOff>22860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8EE5B748-FA82-4C0A-B957-161DBF4CE00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15240</xdr:colOff>
          <xdr:row>48</xdr:row>
          <xdr:rowOff>7620</xdr:rowOff>
        </xdr:from>
        <xdr:to>
          <xdr:col>11</xdr:col>
          <xdr:colOff>586740</xdr:colOff>
          <xdr:row>49</xdr:row>
          <xdr:rowOff>38100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10CE0C80-79DC-4C1B-8DD7-0E1C52225C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48</xdr:row>
          <xdr:rowOff>7620</xdr:rowOff>
        </xdr:from>
        <xdr:to>
          <xdr:col>4</xdr:col>
          <xdr:colOff>1143000</xdr:colOff>
          <xdr:row>49</xdr:row>
          <xdr:rowOff>38100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FF6DCA01-DEB6-4320-AE3E-B371749414B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49</xdr:row>
          <xdr:rowOff>7620</xdr:rowOff>
        </xdr:from>
        <xdr:to>
          <xdr:col>4</xdr:col>
          <xdr:colOff>1143000</xdr:colOff>
          <xdr:row>50</xdr:row>
          <xdr:rowOff>38100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4AE079D5-50BD-4E54-B812-A686845D4D5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50</xdr:row>
          <xdr:rowOff>7620</xdr:rowOff>
        </xdr:from>
        <xdr:to>
          <xdr:col>4</xdr:col>
          <xdr:colOff>1143000</xdr:colOff>
          <xdr:row>51</xdr:row>
          <xdr:rowOff>38100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70B5BAED-3685-4A2B-8164-55C6F8481A8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51</xdr:row>
          <xdr:rowOff>7620</xdr:rowOff>
        </xdr:from>
        <xdr:to>
          <xdr:col>4</xdr:col>
          <xdr:colOff>1143000</xdr:colOff>
          <xdr:row>52</xdr:row>
          <xdr:rowOff>38100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465B6226-BBE7-4DC3-8F84-7BF3668B07C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48</xdr:row>
          <xdr:rowOff>7620</xdr:rowOff>
        </xdr:from>
        <xdr:to>
          <xdr:col>7</xdr:col>
          <xdr:colOff>350520</xdr:colOff>
          <xdr:row>49</xdr:row>
          <xdr:rowOff>38100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BC2D2CA6-F60A-41AF-B398-FA2C1683FFF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49</xdr:row>
          <xdr:rowOff>7620</xdr:rowOff>
        </xdr:from>
        <xdr:to>
          <xdr:col>7</xdr:col>
          <xdr:colOff>350520</xdr:colOff>
          <xdr:row>50</xdr:row>
          <xdr:rowOff>38100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6CA4EE3-7ADB-42DA-81D9-829F438B05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50</xdr:row>
          <xdr:rowOff>7620</xdr:rowOff>
        </xdr:from>
        <xdr:to>
          <xdr:col>7</xdr:col>
          <xdr:colOff>350520</xdr:colOff>
          <xdr:row>51</xdr:row>
          <xdr:rowOff>38100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3B2A328B-B250-4B28-BCFF-F65A3D467E2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51</xdr:row>
          <xdr:rowOff>7620</xdr:rowOff>
        </xdr:from>
        <xdr:to>
          <xdr:col>7</xdr:col>
          <xdr:colOff>350520</xdr:colOff>
          <xdr:row>52</xdr:row>
          <xdr:rowOff>38100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585086B9-9A5E-49D8-BB56-C642D90DA58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48</xdr:row>
          <xdr:rowOff>7620</xdr:rowOff>
        </xdr:from>
        <xdr:to>
          <xdr:col>9</xdr:col>
          <xdr:colOff>15240</xdr:colOff>
          <xdr:row>49</xdr:row>
          <xdr:rowOff>38100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33772327-19C3-4C38-B549-735EB2279C5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49</xdr:row>
          <xdr:rowOff>7620</xdr:rowOff>
        </xdr:from>
        <xdr:to>
          <xdr:col>9</xdr:col>
          <xdr:colOff>15240</xdr:colOff>
          <xdr:row>50</xdr:row>
          <xdr:rowOff>38100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57862FCC-3E9E-445A-A27D-177182A0285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50</xdr:row>
          <xdr:rowOff>7620</xdr:rowOff>
        </xdr:from>
        <xdr:to>
          <xdr:col>9</xdr:col>
          <xdr:colOff>15240</xdr:colOff>
          <xdr:row>51</xdr:row>
          <xdr:rowOff>38100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1B99FA6-2868-4062-999D-D8EA07DF47E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51</xdr:row>
          <xdr:rowOff>7620</xdr:rowOff>
        </xdr:from>
        <xdr:to>
          <xdr:col>9</xdr:col>
          <xdr:colOff>15240</xdr:colOff>
          <xdr:row>52</xdr:row>
          <xdr:rowOff>38100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79B9BBA0-1914-4AA2-BCFC-0E05C22504D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48</xdr:row>
          <xdr:rowOff>7620</xdr:rowOff>
        </xdr:from>
        <xdr:to>
          <xdr:col>11</xdr:col>
          <xdr:colOff>525780</xdr:colOff>
          <xdr:row>49</xdr:row>
          <xdr:rowOff>38100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3D3ACA88-E7EF-4307-A048-25975BFB89C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49</xdr:row>
          <xdr:rowOff>7620</xdr:rowOff>
        </xdr:from>
        <xdr:to>
          <xdr:col>11</xdr:col>
          <xdr:colOff>525780</xdr:colOff>
          <xdr:row>50</xdr:row>
          <xdr:rowOff>38100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592362FB-7933-4F97-B0F7-22D993C2B1A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50</xdr:row>
          <xdr:rowOff>7620</xdr:rowOff>
        </xdr:from>
        <xdr:to>
          <xdr:col>11</xdr:col>
          <xdr:colOff>525780</xdr:colOff>
          <xdr:row>51</xdr:row>
          <xdr:rowOff>38100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6E2B69C8-F72F-4235-8E78-C34D7F9FDCB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51</xdr:row>
          <xdr:rowOff>7620</xdr:rowOff>
        </xdr:from>
        <xdr:to>
          <xdr:col>11</xdr:col>
          <xdr:colOff>525780</xdr:colOff>
          <xdr:row>52</xdr:row>
          <xdr:rowOff>38100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825E35BE-94AC-4BBD-8A27-485DB1ADA49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48</xdr:row>
          <xdr:rowOff>7620</xdr:rowOff>
        </xdr:from>
        <xdr:to>
          <xdr:col>13</xdr:col>
          <xdr:colOff>525780</xdr:colOff>
          <xdr:row>49</xdr:row>
          <xdr:rowOff>38100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79D1D1DB-D57B-4E81-85C3-A93ECCF763C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49</xdr:row>
          <xdr:rowOff>7620</xdr:rowOff>
        </xdr:from>
        <xdr:to>
          <xdr:col>13</xdr:col>
          <xdr:colOff>525780</xdr:colOff>
          <xdr:row>50</xdr:row>
          <xdr:rowOff>38100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2F05155A-DB61-4DF4-9020-E7099154B27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50</xdr:row>
          <xdr:rowOff>7620</xdr:rowOff>
        </xdr:from>
        <xdr:to>
          <xdr:col>13</xdr:col>
          <xdr:colOff>525780</xdr:colOff>
          <xdr:row>51</xdr:row>
          <xdr:rowOff>38100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6B80B2C4-DE25-403C-8758-2C50C1C4590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51</xdr:row>
          <xdr:rowOff>7620</xdr:rowOff>
        </xdr:from>
        <xdr:to>
          <xdr:col>13</xdr:col>
          <xdr:colOff>525780</xdr:colOff>
          <xdr:row>52</xdr:row>
          <xdr:rowOff>38100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211EB7F0-FE3C-4781-8DBD-C02AF5C2F16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48</xdr:row>
          <xdr:rowOff>7620</xdr:rowOff>
        </xdr:from>
        <xdr:to>
          <xdr:col>15</xdr:col>
          <xdr:colOff>525780</xdr:colOff>
          <xdr:row>49</xdr:row>
          <xdr:rowOff>38100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C7960A64-D6CC-48B8-BBEE-743E4B2BEE9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49</xdr:row>
          <xdr:rowOff>7620</xdr:rowOff>
        </xdr:from>
        <xdr:to>
          <xdr:col>15</xdr:col>
          <xdr:colOff>525780</xdr:colOff>
          <xdr:row>50</xdr:row>
          <xdr:rowOff>38100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1E98EEC4-25E1-4E45-9A20-5302B2EBBE0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50</xdr:row>
          <xdr:rowOff>7620</xdr:rowOff>
        </xdr:from>
        <xdr:to>
          <xdr:col>15</xdr:col>
          <xdr:colOff>525780</xdr:colOff>
          <xdr:row>51</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8119A877-7163-4548-9569-3A56AC73CFC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51</xdr:row>
          <xdr:rowOff>7620</xdr:rowOff>
        </xdr:from>
        <xdr:to>
          <xdr:col>15</xdr:col>
          <xdr:colOff>525780</xdr:colOff>
          <xdr:row>52</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B970E16A-AF00-43BF-BB8B-79FFB72A837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48</xdr:row>
          <xdr:rowOff>7620</xdr:rowOff>
        </xdr:from>
        <xdr:to>
          <xdr:col>17</xdr:col>
          <xdr:colOff>525780</xdr:colOff>
          <xdr:row>49</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9DDE50D1-B58F-4C43-9F60-F10DCE3A298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49</xdr:row>
          <xdr:rowOff>7620</xdr:rowOff>
        </xdr:from>
        <xdr:to>
          <xdr:col>17</xdr:col>
          <xdr:colOff>525780</xdr:colOff>
          <xdr:row>50</xdr:row>
          <xdr:rowOff>38100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886A86F7-8CBA-4D28-B2FE-F5C8E732339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50</xdr:row>
          <xdr:rowOff>7620</xdr:rowOff>
        </xdr:from>
        <xdr:to>
          <xdr:col>17</xdr:col>
          <xdr:colOff>525780</xdr:colOff>
          <xdr:row>51</xdr:row>
          <xdr:rowOff>38100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A8274D95-083B-4F26-A436-875576FFC67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51</xdr:row>
          <xdr:rowOff>7620</xdr:rowOff>
        </xdr:from>
        <xdr:to>
          <xdr:col>17</xdr:col>
          <xdr:colOff>525780</xdr:colOff>
          <xdr:row>52</xdr:row>
          <xdr:rowOff>38100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86DB7F36-7C6D-4E77-ADF2-268ECE2D557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48</xdr:row>
          <xdr:rowOff>7620</xdr:rowOff>
        </xdr:from>
        <xdr:to>
          <xdr:col>19</xdr:col>
          <xdr:colOff>525780</xdr:colOff>
          <xdr:row>49</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3D8510FB-D1BB-4FFF-AA75-EB7155018F1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49</xdr:row>
          <xdr:rowOff>7620</xdr:rowOff>
        </xdr:from>
        <xdr:to>
          <xdr:col>19</xdr:col>
          <xdr:colOff>525780</xdr:colOff>
          <xdr:row>50</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2DC36D81-24AF-4C2B-9905-566A44B65CA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50</xdr:row>
          <xdr:rowOff>7620</xdr:rowOff>
        </xdr:from>
        <xdr:to>
          <xdr:col>19</xdr:col>
          <xdr:colOff>525780</xdr:colOff>
          <xdr:row>51</xdr:row>
          <xdr:rowOff>38100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773CDF53-2D3B-475D-8C5A-155672CC156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51</xdr:row>
          <xdr:rowOff>7620</xdr:rowOff>
        </xdr:from>
        <xdr:to>
          <xdr:col>19</xdr:col>
          <xdr:colOff>525780</xdr:colOff>
          <xdr:row>52</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55F8D452-E7B6-4B56-9D03-25F6DECB62A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48</xdr:row>
          <xdr:rowOff>7620</xdr:rowOff>
        </xdr:from>
        <xdr:to>
          <xdr:col>21</xdr:col>
          <xdr:colOff>525780</xdr:colOff>
          <xdr:row>49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B7B3BEB5-2AA8-46BC-A2E4-922CFE8DC04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49</xdr:row>
          <xdr:rowOff>7620</xdr:rowOff>
        </xdr:from>
        <xdr:to>
          <xdr:col>21</xdr:col>
          <xdr:colOff>525780</xdr:colOff>
          <xdr:row>50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A14CAE48-CED4-4A02-88FD-F1D54293A44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50</xdr:row>
          <xdr:rowOff>7620</xdr:rowOff>
        </xdr:from>
        <xdr:to>
          <xdr:col>21</xdr:col>
          <xdr:colOff>525780</xdr:colOff>
          <xdr:row>51</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F654A23D-30A3-41F8-97E1-79FF9AD1AEF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51</xdr:row>
          <xdr:rowOff>7620</xdr:rowOff>
        </xdr:from>
        <xdr:to>
          <xdr:col>21</xdr:col>
          <xdr:colOff>525780</xdr:colOff>
          <xdr:row>52</xdr:row>
          <xdr:rowOff>38100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672C400F-F580-45FA-830B-A804A51E198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48</xdr:row>
          <xdr:rowOff>7620</xdr:rowOff>
        </xdr:from>
        <xdr:to>
          <xdr:col>23</xdr:col>
          <xdr:colOff>525780</xdr:colOff>
          <xdr:row>49</xdr:row>
          <xdr:rowOff>38100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78476E32-6D56-4C59-BEC3-BB6053CDAB0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49</xdr:row>
          <xdr:rowOff>7620</xdr:rowOff>
        </xdr:from>
        <xdr:to>
          <xdr:col>23</xdr:col>
          <xdr:colOff>525780</xdr:colOff>
          <xdr:row>50</xdr:row>
          <xdr:rowOff>38100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D9071762-9826-49A5-9805-495D6C69D50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50</xdr:row>
          <xdr:rowOff>7620</xdr:rowOff>
        </xdr:from>
        <xdr:to>
          <xdr:col>23</xdr:col>
          <xdr:colOff>525780</xdr:colOff>
          <xdr:row>51</xdr:row>
          <xdr:rowOff>38100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EE1B2839-B824-435B-A096-4FD0CEC328D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51</xdr:row>
          <xdr:rowOff>7620</xdr:rowOff>
        </xdr:from>
        <xdr:to>
          <xdr:col>23</xdr:col>
          <xdr:colOff>525780</xdr:colOff>
          <xdr:row>52</xdr:row>
          <xdr:rowOff>38100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E4E8F0EC-EAA4-4678-A43A-66FDE6CD43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twoCellAnchor>
    <xdr:from>
      <xdr:col>1</xdr:col>
      <xdr:colOff>8965</xdr:colOff>
      <xdr:row>63</xdr:row>
      <xdr:rowOff>35858</xdr:rowOff>
    </xdr:from>
    <xdr:to>
      <xdr:col>11</xdr:col>
      <xdr:colOff>537907</xdr:colOff>
      <xdr:row>64</xdr:row>
      <xdr:rowOff>107575</xdr:rowOff>
    </xdr:to>
    <xdr:sp macro="" textlink="">
      <xdr:nvSpPr>
        <xdr:cNvPr id="92" name="Serbest Form: Şekil 91">
          <a:extLst>
            <a:ext uri="{FF2B5EF4-FFF2-40B4-BE49-F238E27FC236}">
              <a16:creationId xmlns:a16="http://schemas.microsoft.com/office/drawing/2014/main" id="{03091EBF-CE0C-4110-A7BA-19638C521223}"/>
            </a:ext>
          </a:extLst>
        </xdr:cNvPr>
        <xdr:cNvSpPr/>
      </xdr:nvSpPr>
      <xdr:spPr>
        <a:xfrm>
          <a:off x="618565" y="11846858"/>
          <a:ext cx="11166462" cy="254597"/>
        </a:xfrm>
        <a:custGeom>
          <a:avLst/>
          <a:gdLst>
            <a:gd name="connsiteX0" fmla="*/ 0 w 11152118"/>
            <a:gd name="connsiteY0" fmla="*/ 517710 h 526674"/>
            <a:gd name="connsiteX1" fmla="*/ 8965 w 11152118"/>
            <a:gd name="connsiteY1" fmla="*/ 463921 h 526674"/>
            <a:gd name="connsiteX2" fmla="*/ 71718 w 11152118"/>
            <a:gd name="connsiteY2" fmla="*/ 401168 h 526674"/>
            <a:gd name="connsiteX3" fmla="*/ 322730 w 11152118"/>
            <a:gd name="connsiteY3" fmla="*/ 311521 h 526674"/>
            <a:gd name="connsiteX4" fmla="*/ 1371600 w 11152118"/>
            <a:gd name="connsiteY4" fmla="*/ 347380 h 526674"/>
            <a:gd name="connsiteX5" fmla="*/ 1532965 w 11152118"/>
            <a:gd name="connsiteY5" fmla="*/ 374274 h 526674"/>
            <a:gd name="connsiteX6" fmla="*/ 1783977 w 11152118"/>
            <a:gd name="connsiteY6" fmla="*/ 401168 h 526674"/>
            <a:gd name="connsiteX7" fmla="*/ 2411506 w 11152118"/>
            <a:gd name="connsiteY7" fmla="*/ 472886 h 526674"/>
            <a:gd name="connsiteX8" fmla="*/ 3218330 w 11152118"/>
            <a:gd name="connsiteY8" fmla="*/ 445992 h 526674"/>
            <a:gd name="connsiteX9" fmla="*/ 3460377 w 11152118"/>
            <a:gd name="connsiteY9" fmla="*/ 392204 h 526674"/>
            <a:gd name="connsiteX10" fmla="*/ 4114800 w 11152118"/>
            <a:gd name="connsiteY10" fmla="*/ 186015 h 526674"/>
            <a:gd name="connsiteX11" fmla="*/ 4231342 w 11152118"/>
            <a:gd name="connsiteY11" fmla="*/ 114298 h 526674"/>
            <a:gd name="connsiteX12" fmla="*/ 4383742 w 11152118"/>
            <a:gd name="connsiteY12" fmla="*/ 6721 h 526674"/>
            <a:gd name="connsiteX13" fmla="*/ 4419600 w 11152118"/>
            <a:gd name="connsiteY13" fmla="*/ 60510 h 526674"/>
            <a:gd name="connsiteX14" fmla="*/ 4455459 w 11152118"/>
            <a:gd name="connsiteY14" fmla="*/ 87404 h 526674"/>
            <a:gd name="connsiteX15" fmla="*/ 4482353 w 11152118"/>
            <a:gd name="connsiteY15" fmla="*/ 123262 h 526674"/>
            <a:gd name="connsiteX16" fmla="*/ 4742330 w 11152118"/>
            <a:gd name="connsiteY16" fmla="*/ 194980 h 526674"/>
            <a:gd name="connsiteX17" fmla="*/ 6615953 w 11152118"/>
            <a:gd name="connsiteY17" fmla="*/ 186015 h 526674"/>
            <a:gd name="connsiteX18" fmla="*/ 6911789 w 11152118"/>
            <a:gd name="connsiteY18" fmla="*/ 177051 h 526674"/>
            <a:gd name="connsiteX19" fmla="*/ 7969624 w 11152118"/>
            <a:gd name="connsiteY19" fmla="*/ 168086 h 526674"/>
            <a:gd name="connsiteX20" fmla="*/ 10560424 w 11152118"/>
            <a:gd name="connsiteY20" fmla="*/ 168086 h 526674"/>
            <a:gd name="connsiteX21" fmla="*/ 10784542 w 11152118"/>
            <a:gd name="connsiteY21" fmla="*/ 239804 h 526674"/>
            <a:gd name="connsiteX22" fmla="*/ 11053483 w 11152118"/>
            <a:gd name="connsiteY22" fmla="*/ 410133 h 526674"/>
            <a:gd name="connsiteX23" fmla="*/ 11152094 w 11152118"/>
            <a:gd name="connsiteY23" fmla="*/ 526674 h 5266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11152118" h="526674">
              <a:moveTo>
                <a:pt x="0" y="517710"/>
              </a:moveTo>
              <a:cubicBezTo>
                <a:pt x="2988" y="499780"/>
                <a:pt x="-562" y="479402"/>
                <a:pt x="8965" y="463921"/>
              </a:cubicBezTo>
              <a:cubicBezTo>
                <a:pt x="24469" y="438727"/>
                <a:pt x="46915" y="417290"/>
                <a:pt x="71718" y="401168"/>
              </a:cubicBezTo>
              <a:cubicBezTo>
                <a:pt x="152375" y="348741"/>
                <a:pt x="231496" y="335850"/>
                <a:pt x="322730" y="311521"/>
              </a:cubicBezTo>
              <a:lnTo>
                <a:pt x="1371600" y="347380"/>
              </a:lnTo>
              <a:cubicBezTo>
                <a:pt x="1426057" y="350204"/>
                <a:pt x="1478893" y="367221"/>
                <a:pt x="1532965" y="374274"/>
              </a:cubicBezTo>
              <a:cubicBezTo>
                <a:pt x="1616408" y="385158"/>
                <a:pt x="1700458" y="390889"/>
                <a:pt x="1783977" y="401168"/>
              </a:cubicBezTo>
              <a:cubicBezTo>
                <a:pt x="2374924" y="473900"/>
                <a:pt x="1861559" y="422891"/>
                <a:pt x="2411506" y="472886"/>
              </a:cubicBezTo>
              <a:cubicBezTo>
                <a:pt x="2680447" y="463921"/>
                <a:pt x="2950032" y="466630"/>
                <a:pt x="3218330" y="445992"/>
              </a:cubicBezTo>
              <a:cubicBezTo>
                <a:pt x="3300737" y="439653"/>
                <a:pt x="3381160" y="415780"/>
                <a:pt x="3460377" y="392204"/>
              </a:cubicBezTo>
              <a:cubicBezTo>
                <a:pt x="4436444" y="101707"/>
                <a:pt x="3682356" y="294127"/>
                <a:pt x="4114800" y="186015"/>
              </a:cubicBezTo>
              <a:cubicBezTo>
                <a:pt x="4153647" y="162109"/>
                <a:pt x="4194325" y="140950"/>
                <a:pt x="4231342" y="114298"/>
              </a:cubicBezTo>
              <a:cubicBezTo>
                <a:pt x="4393763" y="-2645"/>
                <a:pt x="4280933" y="47846"/>
                <a:pt x="4383742" y="6721"/>
              </a:cubicBezTo>
              <a:cubicBezTo>
                <a:pt x="4479794" y="102779"/>
                <a:pt x="4289309" y="-91498"/>
                <a:pt x="4419600" y="60510"/>
              </a:cubicBezTo>
              <a:cubicBezTo>
                <a:pt x="4429324" y="71854"/>
                <a:pt x="4444894" y="76839"/>
                <a:pt x="4455459" y="87404"/>
              </a:cubicBezTo>
              <a:cubicBezTo>
                <a:pt x="4466024" y="97969"/>
                <a:pt x="4469809" y="115145"/>
                <a:pt x="4482353" y="123262"/>
              </a:cubicBezTo>
              <a:cubicBezTo>
                <a:pt x="4606059" y="203306"/>
                <a:pt x="4601509" y="185592"/>
                <a:pt x="4742330" y="194980"/>
              </a:cubicBezTo>
              <a:lnTo>
                <a:pt x="6615953" y="186015"/>
              </a:lnTo>
              <a:cubicBezTo>
                <a:pt x="6714607" y="185200"/>
                <a:pt x="6813140" y="178358"/>
                <a:pt x="6911789" y="177051"/>
              </a:cubicBezTo>
              <a:lnTo>
                <a:pt x="7969624" y="168086"/>
              </a:lnTo>
              <a:cubicBezTo>
                <a:pt x="8872601" y="148873"/>
                <a:pt x="9492964" y="132104"/>
                <a:pt x="10560424" y="168086"/>
              </a:cubicBezTo>
              <a:cubicBezTo>
                <a:pt x="10638817" y="170728"/>
                <a:pt x="10715813" y="202004"/>
                <a:pt x="10784542" y="239804"/>
              </a:cubicBezTo>
              <a:cubicBezTo>
                <a:pt x="10922150" y="315488"/>
                <a:pt x="10952776" y="319016"/>
                <a:pt x="11053483" y="410133"/>
              </a:cubicBezTo>
              <a:cubicBezTo>
                <a:pt x="11156320" y="503177"/>
                <a:pt x="11152094" y="463518"/>
                <a:pt x="11152094" y="52667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0</xdr:colOff>
      <xdr:row>61</xdr:row>
      <xdr:rowOff>17929</xdr:rowOff>
    </xdr:from>
    <xdr:to>
      <xdr:col>4</xdr:col>
      <xdr:colOff>53789</xdr:colOff>
      <xdr:row>63</xdr:row>
      <xdr:rowOff>39061</xdr:rowOff>
    </xdr:to>
    <xdr:cxnSp macro="">
      <xdr:nvCxnSpPr>
        <xdr:cNvPr id="93" name="Düz Ok Bağlayıcısı 92">
          <a:extLst>
            <a:ext uri="{FF2B5EF4-FFF2-40B4-BE49-F238E27FC236}">
              <a16:creationId xmlns:a16="http://schemas.microsoft.com/office/drawing/2014/main" id="{64A21ED3-3DA9-45DD-96E0-B547E031CC07}"/>
            </a:ext>
          </a:extLst>
        </xdr:cNvPr>
        <xdr:cNvCxnSpPr>
          <a:stCxn id="92" idx="12"/>
        </xdr:cNvCxnSpPr>
      </xdr:nvCxnSpPr>
      <xdr:spPr>
        <a:xfrm flipH="1" flipV="1">
          <a:off x="4953000" y="11463169"/>
          <a:ext cx="53789" cy="38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26894</xdr:colOff>
      <xdr:row>70</xdr:row>
      <xdr:rowOff>0</xdr:rowOff>
    </xdr:from>
    <xdr:to>
      <xdr:col>11</xdr:col>
      <xdr:colOff>573742</xdr:colOff>
      <xdr:row>72</xdr:row>
      <xdr:rowOff>17929</xdr:rowOff>
    </xdr:to>
    <xdr:sp macro="" textlink="">
      <xdr:nvSpPr>
        <xdr:cNvPr id="94" name="Serbest Form: Şekil 93">
          <a:extLst>
            <a:ext uri="{FF2B5EF4-FFF2-40B4-BE49-F238E27FC236}">
              <a16:creationId xmlns:a16="http://schemas.microsoft.com/office/drawing/2014/main" id="{3E04425C-F7A0-4534-95BA-7B1B852BE587}"/>
            </a:ext>
          </a:extLst>
        </xdr:cNvPr>
        <xdr:cNvSpPr/>
      </xdr:nvSpPr>
      <xdr:spPr>
        <a:xfrm>
          <a:off x="636494" y="13159740"/>
          <a:ext cx="11184368" cy="391309"/>
        </a:xfrm>
        <a:custGeom>
          <a:avLst/>
          <a:gdLst>
            <a:gd name="connsiteX0" fmla="*/ 0 w 11170024"/>
            <a:gd name="connsiteY0" fmla="*/ 0 h 385482"/>
            <a:gd name="connsiteX1" fmla="*/ 8965 w 11170024"/>
            <a:gd name="connsiteY1" fmla="*/ 44823 h 385482"/>
            <a:gd name="connsiteX2" fmla="*/ 224118 w 11170024"/>
            <a:gd name="connsiteY2" fmla="*/ 161365 h 385482"/>
            <a:gd name="connsiteX3" fmla="*/ 1066800 w 11170024"/>
            <a:gd name="connsiteY3" fmla="*/ 170329 h 385482"/>
            <a:gd name="connsiteX4" fmla="*/ 2268071 w 11170024"/>
            <a:gd name="connsiteY4" fmla="*/ 134471 h 385482"/>
            <a:gd name="connsiteX5" fmla="*/ 2770094 w 11170024"/>
            <a:gd name="connsiteY5" fmla="*/ 98612 h 385482"/>
            <a:gd name="connsiteX6" fmla="*/ 3056965 w 11170024"/>
            <a:gd name="connsiteY6" fmla="*/ 89647 h 385482"/>
            <a:gd name="connsiteX7" fmla="*/ 4347882 w 11170024"/>
            <a:gd name="connsiteY7" fmla="*/ 116541 h 385482"/>
            <a:gd name="connsiteX8" fmla="*/ 5074024 w 11170024"/>
            <a:gd name="connsiteY8" fmla="*/ 233082 h 385482"/>
            <a:gd name="connsiteX9" fmla="*/ 5253318 w 11170024"/>
            <a:gd name="connsiteY9" fmla="*/ 304800 h 385482"/>
            <a:gd name="connsiteX10" fmla="*/ 5316071 w 11170024"/>
            <a:gd name="connsiteY10" fmla="*/ 385482 h 385482"/>
            <a:gd name="connsiteX11" fmla="*/ 5325035 w 11170024"/>
            <a:gd name="connsiteY11" fmla="*/ 304800 h 385482"/>
            <a:gd name="connsiteX12" fmla="*/ 5342965 w 11170024"/>
            <a:gd name="connsiteY12" fmla="*/ 277906 h 385482"/>
            <a:gd name="connsiteX13" fmla="*/ 5468471 w 11170024"/>
            <a:gd name="connsiteY13" fmla="*/ 224118 h 385482"/>
            <a:gd name="connsiteX14" fmla="*/ 6033247 w 11170024"/>
            <a:gd name="connsiteY14" fmla="*/ 233082 h 385482"/>
            <a:gd name="connsiteX15" fmla="*/ 7942730 w 11170024"/>
            <a:gd name="connsiteY15" fmla="*/ 251012 h 385482"/>
            <a:gd name="connsiteX16" fmla="*/ 8211671 w 11170024"/>
            <a:gd name="connsiteY16" fmla="*/ 259976 h 385482"/>
            <a:gd name="connsiteX17" fmla="*/ 8426824 w 11170024"/>
            <a:gd name="connsiteY17" fmla="*/ 268941 h 385482"/>
            <a:gd name="connsiteX18" fmla="*/ 10461812 w 11170024"/>
            <a:gd name="connsiteY18" fmla="*/ 251012 h 385482"/>
            <a:gd name="connsiteX19" fmla="*/ 10793506 w 11170024"/>
            <a:gd name="connsiteY19" fmla="*/ 233082 h 385482"/>
            <a:gd name="connsiteX20" fmla="*/ 10945906 w 11170024"/>
            <a:gd name="connsiteY20" fmla="*/ 206188 h 385482"/>
            <a:gd name="connsiteX21" fmla="*/ 10981765 w 11170024"/>
            <a:gd name="connsiteY21" fmla="*/ 197223 h 385482"/>
            <a:gd name="connsiteX22" fmla="*/ 11017624 w 11170024"/>
            <a:gd name="connsiteY22" fmla="*/ 179294 h 385482"/>
            <a:gd name="connsiteX23" fmla="*/ 11089341 w 11170024"/>
            <a:gd name="connsiteY23" fmla="*/ 125506 h 385482"/>
            <a:gd name="connsiteX24" fmla="*/ 11116235 w 11170024"/>
            <a:gd name="connsiteY24" fmla="*/ 89647 h 385482"/>
            <a:gd name="connsiteX25" fmla="*/ 11143130 w 11170024"/>
            <a:gd name="connsiteY25" fmla="*/ 62753 h 385482"/>
            <a:gd name="connsiteX26" fmla="*/ 11170024 w 11170024"/>
            <a:gd name="connsiteY26" fmla="*/ 26894 h 3854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11170024" h="385482">
              <a:moveTo>
                <a:pt x="0" y="0"/>
              </a:moveTo>
              <a:cubicBezTo>
                <a:pt x="2988" y="14941"/>
                <a:pt x="513" y="32145"/>
                <a:pt x="8965" y="44823"/>
              </a:cubicBezTo>
              <a:cubicBezTo>
                <a:pt x="54748" y="113496"/>
                <a:pt x="144097" y="156319"/>
                <a:pt x="224118" y="161365"/>
              </a:cubicBezTo>
              <a:cubicBezTo>
                <a:pt x="504471" y="179045"/>
                <a:pt x="785906" y="167341"/>
                <a:pt x="1066800" y="170329"/>
              </a:cubicBezTo>
              <a:lnTo>
                <a:pt x="2268071" y="134471"/>
              </a:lnTo>
              <a:cubicBezTo>
                <a:pt x="2435690" y="127413"/>
                <a:pt x="2602597" y="108129"/>
                <a:pt x="2770094" y="98612"/>
              </a:cubicBezTo>
              <a:cubicBezTo>
                <a:pt x="2865610" y="93185"/>
                <a:pt x="2961341" y="92635"/>
                <a:pt x="3056965" y="89647"/>
              </a:cubicBezTo>
              <a:cubicBezTo>
                <a:pt x="3487271" y="98612"/>
                <a:pt x="3917981" y="95851"/>
                <a:pt x="4347882" y="116541"/>
              </a:cubicBezTo>
              <a:cubicBezTo>
                <a:pt x="4511982" y="124439"/>
                <a:pt x="4904569" y="201867"/>
                <a:pt x="5074024" y="233082"/>
              </a:cubicBezTo>
              <a:cubicBezTo>
                <a:pt x="5133789" y="256988"/>
                <a:pt x="5198847" y="270504"/>
                <a:pt x="5253318" y="304800"/>
              </a:cubicBezTo>
              <a:cubicBezTo>
                <a:pt x="5282150" y="322954"/>
                <a:pt x="5282000" y="385482"/>
                <a:pt x="5316071" y="385482"/>
              </a:cubicBezTo>
              <a:cubicBezTo>
                <a:pt x="5343130" y="385482"/>
                <a:pt x="5318472" y="331052"/>
                <a:pt x="5325035" y="304800"/>
              </a:cubicBezTo>
              <a:cubicBezTo>
                <a:pt x="5327648" y="294347"/>
                <a:pt x="5335346" y="285525"/>
                <a:pt x="5342965" y="277906"/>
              </a:cubicBezTo>
              <a:cubicBezTo>
                <a:pt x="5392245" y="228626"/>
                <a:pt x="5393669" y="240740"/>
                <a:pt x="5468471" y="224118"/>
              </a:cubicBezTo>
              <a:lnTo>
                <a:pt x="6033247" y="233082"/>
              </a:lnTo>
              <a:lnTo>
                <a:pt x="7942730" y="251012"/>
              </a:lnTo>
              <a:lnTo>
                <a:pt x="8211671" y="259976"/>
              </a:lnTo>
              <a:cubicBezTo>
                <a:pt x="8283402" y="262633"/>
                <a:pt x="8355045" y="269227"/>
                <a:pt x="8426824" y="268941"/>
              </a:cubicBezTo>
              <a:lnTo>
                <a:pt x="10461812" y="251012"/>
              </a:lnTo>
              <a:cubicBezTo>
                <a:pt x="10495520" y="249546"/>
                <a:pt x="10730083" y="241266"/>
                <a:pt x="10793506" y="233082"/>
              </a:cubicBezTo>
              <a:cubicBezTo>
                <a:pt x="10844667" y="226481"/>
                <a:pt x="10895861" y="218700"/>
                <a:pt x="10945906" y="206188"/>
              </a:cubicBezTo>
              <a:cubicBezTo>
                <a:pt x="10957859" y="203200"/>
                <a:pt x="10970229" y="201549"/>
                <a:pt x="10981765" y="197223"/>
              </a:cubicBezTo>
              <a:cubicBezTo>
                <a:pt x="10994278" y="192531"/>
                <a:pt x="11005942" y="185784"/>
                <a:pt x="11017624" y="179294"/>
              </a:cubicBezTo>
              <a:cubicBezTo>
                <a:pt x="11054568" y="158770"/>
                <a:pt x="11063769" y="155340"/>
                <a:pt x="11089341" y="125506"/>
              </a:cubicBezTo>
              <a:cubicBezTo>
                <a:pt x="11099065" y="114162"/>
                <a:pt x="11106511" y="100991"/>
                <a:pt x="11116235" y="89647"/>
              </a:cubicBezTo>
              <a:cubicBezTo>
                <a:pt x="11124486" y="80021"/>
                <a:pt x="11134879" y="72379"/>
                <a:pt x="11143130" y="62753"/>
              </a:cubicBezTo>
              <a:cubicBezTo>
                <a:pt x="11152854" y="51409"/>
                <a:pt x="11170024" y="26894"/>
                <a:pt x="11170024" y="268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986117</xdr:colOff>
      <xdr:row>72</xdr:row>
      <xdr:rowOff>17929</xdr:rowOff>
    </xdr:from>
    <xdr:to>
      <xdr:col>4</xdr:col>
      <xdr:colOff>1004047</xdr:colOff>
      <xdr:row>73</xdr:row>
      <xdr:rowOff>152400</xdr:rowOff>
    </xdr:to>
    <xdr:cxnSp macro="">
      <xdr:nvCxnSpPr>
        <xdr:cNvPr id="95" name="Düz Ok Bağlayıcısı 94">
          <a:extLst>
            <a:ext uri="{FF2B5EF4-FFF2-40B4-BE49-F238E27FC236}">
              <a16:creationId xmlns:a16="http://schemas.microsoft.com/office/drawing/2014/main" id="{64377B63-549A-4AC7-A849-E4E8616D7EF3}"/>
            </a:ext>
          </a:extLst>
        </xdr:cNvPr>
        <xdr:cNvCxnSpPr>
          <a:stCxn id="94" idx="10"/>
        </xdr:cNvCxnSpPr>
      </xdr:nvCxnSpPr>
      <xdr:spPr>
        <a:xfrm flipH="1">
          <a:off x="5939117" y="13551049"/>
          <a:ext cx="17930" cy="3173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448235</xdr:colOff>
      <xdr:row>83</xdr:row>
      <xdr:rowOff>0</xdr:rowOff>
    </xdr:from>
    <xdr:to>
      <xdr:col>10</xdr:col>
      <xdr:colOff>54611</xdr:colOff>
      <xdr:row>90</xdr:row>
      <xdr:rowOff>116541</xdr:rowOff>
    </xdr:to>
    <xdr:sp macro="" textlink="">
      <xdr:nvSpPr>
        <xdr:cNvPr id="96" name="Serbest Form: Şekil 95">
          <a:extLst>
            <a:ext uri="{FF2B5EF4-FFF2-40B4-BE49-F238E27FC236}">
              <a16:creationId xmlns:a16="http://schemas.microsoft.com/office/drawing/2014/main" id="{88EF468D-E2AD-4CD6-AA31-643367B86805}"/>
            </a:ext>
          </a:extLst>
        </xdr:cNvPr>
        <xdr:cNvSpPr/>
      </xdr:nvSpPr>
      <xdr:spPr>
        <a:xfrm>
          <a:off x="10338995" y="15544800"/>
          <a:ext cx="353136" cy="1541481"/>
        </a:xfrm>
        <a:custGeom>
          <a:avLst/>
          <a:gdLst>
            <a:gd name="connsiteX0" fmla="*/ 322730 w 350446"/>
            <a:gd name="connsiteY0" fmla="*/ 0 h 1524000"/>
            <a:gd name="connsiteX1" fmla="*/ 251012 w 350446"/>
            <a:gd name="connsiteY1" fmla="*/ 17930 h 1524000"/>
            <a:gd name="connsiteX2" fmla="*/ 215153 w 350446"/>
            <a:gd name="connsiteY2" fmla="*/ 152400 h 1524000"/>
            <a:gd name="connsiteX3" fmla="*/ 188259 w 350446"/>
            <a:gd name="connsiteY3" fmla="*/ 708212 h 1524000"/>
            <a:gd name="connsiteX4" fmla="*/ 143435 w 350446"/>
            <a:gd name="connsiteY4" fmla="*/ 762000 h 1524000"/>
            <a:gd name="connsiteX5" fmla="*/ 35859 w 350446"/>
            <a:gd name="connsiteY5" fmla="*/ 779930 h 1524000"/>
            <a:gd name="connsiteX6" fmla="*/ 0 w 350446"/>
            <a:gd name="connsiteY6" fmla="*/ 788894 h 1524000"/>
            <a:gd name="connsiteX7" fmla="*/ 35859 w 350446"/>
            <a:gd name="connsiteY7" fmla="*/ 797859 h 1524000"/>
            <a:gd name="connsiteX8" fmla="*/ 134471 w 350446"/>
            <a:gd name="connsiteY8" fmla="*/ 896471 h 1524000"/>
            <a:gd name="connsiteX9" fmla="*/ 152400 w 350446"/>
            <a:gd name="connsiteY9" fmla="*/ 950259 h 1524000"/>
            <a:gd name="connsiteX10" fmla="*/ 170330 w 350446"/>
            <a:gd name="connsiteY10" fmla="*/ 1013012 h 1524000"/>
            <a:gd name="connsiteX11" fmla="*/ 188259 w 350446"/>
            <a:gd name="connsiteY11" fmla="*/ 1057835 h 1524000"/>
            <a:gd name="connsiteX12" fmla="*/ 197224 w 350446"/>
            <a:gd name="connsiteY12" fmla="*/ 1174377 h 1524000"/>
            <a:gd name="connsiteX13" fmla="*/ 206188 w 350446"/>
            <a:gd name="connsiteY13" fmla="*/ 1353671 h 1524000"/>
            <a:gd name="connsiteX14" fmla="*/ 233083 w 350446"/>
            <a:gd name="connsiteY14" fmla="*/ 1398494 h 1524000"/>
            <a:gd name="connsiteX15" fmla="*/ 286871 w 350446"/>
            <a:gd name="connsiteY15" fmla="*/ 1470212 h 1524000"/>
            <a:gd name="connsiteX16" fmla="*/ 304800 w 350446"/>
            <a:gd name="connsiteY16" fmla="*/ 1497106 h 1524000"/>
            <a:gd name="connsiteX17" fmla="*/ 340659 w 350446"/>
            <a:gd name="connsiteY17" fmla="*/ 1524000 h 1524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350446" h="1524000">
              <a:moveTo>
                <a:pt x="322730" y="0"/>
              </a:moveTo>
              <a:cubicBezTo>
                <a:pt x="298824" y="5977"/>
                <a:pt x="270941" y="3436"/>
                <a:pt x="251012" y="17930"/>
              </a:cubicBezTo>
              <a:cubicBezTo>
                <a:pt x="218016" y="41927"/>
                <a:pt x="218233" y="124681"/>
                <a:pt x="215153" y="152400"/>
              </a:cubicBezTo>
              <a:cubicBezTo>
                <a:pt x="206188" y="337671"/>
                <a:pt x="202271" y="523255"/>
                <a:pt x="188259" y="708212"/>
              </a:cubicBezTo>
              <a:cubicBezTo>
                <a:pt x="186191" y="735511"/>
                <a:pt x="164777" y="751329"/>
                <a:pt x="143435" y="762000"/>
              </a:cubicBezTo>
              <a:cubicBezTo>
                <a:pt x="113396" y="777019"/>
                <a:pt x="61429" y="777089"/>
                <a:pt x="35859" y="779930"/>
              </a:cubicBezTo>
              <a:cubicBezTo>
                <a:pt x="23906" y="782918"/>
                <a:pt x="0" y="776573"/>
                <a:pt x="0" y="788894"/>
              </a:cubicBezTo>
              <a:cubicBezTo>
                <a:pt x="0" y="801215"/>
                <a:pt x="25294" y="791520"/>
                <a:pt x="35859" y="797859"/>
              </a:cubicBezTo>
              <a:cubicBezTo>
                <a:pt x="79685" y="824155"/>
                <a:pt x="102597" y="858223"/>
                <a:pt x="134471" y="896471"/>
              </a:cubicBezTo>
              <a:cubicBezTo>
                <a:pt x="140447" y="914400"/>
                <a:pt x="146842" y="932196"/>
                <a:pt x="152400" y="950259"/>
              </a:cubicBezTo>
              <a:cubicBezTo>
                <a:pt x="158798" y="971052"/>
                <a:pt x="163450" y="992374"/>
                <a:pt x="170330" y="1013012"/>
              </a:cubicBezTo>
              <a:cubicBezTo>
                <a:pt x="175419" y="1028278"/>
                <a:pt x="182283" y="1042894"/>
                <a:pt x="188259" y="1057835"/>
              </a:cubicBezTo>
              <a:cubicBezTo>
                <a:pt x="191247" y="1096682"/>
                <a:pt x="194867" y="1135486"/>
                <a:pt x="197224" y="1174377"/>
              </a:cubicBezTo>
              <a:cubicBezTo>
                <a:pt x="200844" y="1234107"/>
                <a:pt x="196734" y="1294583"/>
                <a:pt x="206188" y="1353671"/>
              </a:cubicBezTo>
              <a:cubicBezTo>
                <a:pt x="208941" y="1370876"/>
                <a:pt x="224621" y="1383263"/>
                <a:pt x="233083" y="1398494"/>
              </a:cubicBezTo>
              <a:cubicBezTo>
                <a:pt x="276051" y="1475836"/>
                <a:pt x="219452" y="1391556"/>
                <a:pt x="286871" y="1470212"/>
              </a:cubicBezTo>
              <a:cubicBezTo>
                <a:pt x="293883" y="1478392"/>
                <a:pt x="296033" y="1490844"/>
                <a:pt x="304800" y="1497106"/>
              </a:cubicBezTo>
              <a:cubicBezTo>
                <a:pt x="344611" y="1525542"/>
                <a:pt x="363350" y="1501309"/>
                <a:pt x="340659" y="152400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35859</xdr:colOff>
      <xdr:row>86</xdr:row>
      <xdr:rowOff>98611</xdr:rowOff>
    </xdr:from>
    <xdr:to>
      <xdr:col>9</xdr:col>
      <xdr:colOff>448235</xdr:colOff>
      <xdr:row>86</xdr:row>
      <xdr:rowOff>98611</xdr:rowOff>
    </xdr:to>
    <xdr:cxnSp macro="">
      <xdr:nvCxnSpPr>
        <xdr:cNvPr id="97" name="Düz Ok Bağlayıcısı 96">
          <a:extLst>
            <a:ext uri="{FF2B5EF4-FFF2-40B4-BE49-F238E27FC236}">
              <a16:creationId xmlns:a16="http://schemas.microsoft.com/office/drawing/2014/main" id="{10D6BBED-1AE2-4802-9FA4-65CDAC6DFD84}"/>
            </a:ext>
          </a:extLst>
        </xdr:cNvPr>
        <xdr:cNvCxnSpPr>
          <a:stCxn id="96" idx="6"/>
        </xdr:cNvCxnSpPr>
      </xdr:nvCxnSpPr>
      <xdr:spPr>
        <a:xfrm flipH="1">
          <a:off x="9926619" y="16336831"/>
          <a:ext cx="41237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0</xdr:colOff>
      <xdr:row>96</xdr:row>
      <xdr:rowOff>0</xdr:rowOff>
    </xdr:from>
    <xdr:to>
      <xdr:col>6</xdr:col>
      <xdr:colOff>267028</xdr:colOff>
      <xdr:row>118</xdr:row>
      <xdr:rowOff>170686</xdr:rowOff>
    </xdr:to>
    <xdr:pic>
      <xdr:nvPicPr>
        <xdr:cNvPr id="98" name="Resim 97">
          <a:extLst>
            <a:ext uri="{FF2B5EF4-FFF2-40B4-BE49-F238E27FC236}">
              <a16:creationId xmlns:a16="http://schemas.microsoft.com/office/drawing/2014/main" id="{784584E0-4C86-4EC9-9CD9-438DBBC6E1EE}"/>
            </a:ext>
          </a:extLst>
        </xdr:cNvPr>
        <xdr:cNvPicPr>
          <a:picLocks noChangeAspect="1"/>
        </xdr:cNvPicPr>
      </xdr:nvPicPr>
      <xdr:blipFill>
        <a:blip xmlns:r="http://schemas.openxmlformats.org/officeDocument/2006/relationships" r:embed="rId1"/>
        <a:stretch>
          <a:fillRect/>
        </a:stretch>
      </xdr:blipFill>
      <xdr:spPr>
        <a:xfrm>
          <a:off x="609600" y="18067020"/>
          <a:ext cx="6888808" cy="4194046"/>
        </a:xfrm>
        <a:prstGeom prst="rect">
          <a:avLst/>
        </a:prstGeom>
      </xdr:spPr>
    </xdr:pic>
    <xdr:clientData/>
  </xdr:twoCellAnchor>
  <xdr:twoCellAnchor>
    <xdr:from>
      <xdr:col>14</xdr:col>
      <xdr:colOff>591073</xdr:colOff>
      <xdr:row>96</xdr:row>
      <xdr:rowOff>156184</xdr:rowOff>
    </xdr:from>
    <xdr:to>
      <xdr:col>15</xdr:col>
      <xdr:colOff>573742</xdr:colOff>
      <xdr:row>103</xdr:row>
      <xdr:rowOff>8965</xdr:rowOff>
    </xdr:to>
    <xdr:sp macro="" textlink="">
      <xdr:nvSpPr>
        <xdr:cNvPr id="99" name="Serbest Form: Şekil 98">
          <a:extLst>
            <a:ext uri="{FF2B5EF4-FFF2-40B4-BE49-F238E27FC236}">
              <a16:creationId xmlns:a16="http://schemas.microsoft.com/office/drawing/2014/main" id="{C0917EC8-853E-4A8E-9520-6BAEB9C544B9}"/>
            </a:ext>
          </a:extLst>
        </xdr:cNvPr>
        <xdr:cNvSpPr/>
      </xdr:nvSpPr>
      <xdr:spPr>
        <a:xfrm>
          <a:off x="13666993" y="18223204"/>
          <a:ext cx="592269" cy="1132941"/>
        </a:xfrm>
        <a:custGeom>
          <a:avLst/>
          <a:gdLst>
            <a:gd name="connsiteX0" fmla="*/ 161963 w 798457"/>
            <a:gd name="connsiteY0" fmla="*/ 14146 h 883804"/>
            <a:gd name="connsiteX1" fmla="*/ 529516 w 798457"/>
            <a:gd name="connsiteY1" fmla="*/ 67934 h 883804"/>
            <a:gd name="connsiteX2" fmla="*/ 565375 w 798457"/>
            <a:gd name="connsiteY2" fmla="*/ 148616 h 883804"/>
            <a:gd name="connsiteX3" fmla="*/ 574340 w 798457"/>
            <a:gd name="connsiteY3" fmla="*/ 462381 h 883804"/>
            <a:gd name="connsiteX4" fmla="*/ 628128 w 798457"/>
            <a:gd name="connsiteY4" fmla="*/ 471346 h 883804"/>
            <a:gd name="connsiteX5" fmla="*/ 798457 w 798457"/>
            <a:gd name="connsiteY5" fmla="*/ 480310 h 883804"/>
            <a:gd name="connsiteX6" fmla="*/ 717775 w 798457"/>
            <a:gd name="connsiteY6" fmla="*/ 543063 h 883804"/>
            <a:gd name="connsiteX7" fmla="*/ 520552 w 798457"/>
            <a:gd name="connsiteY7" fmla="*/ 731322 h 883804"/>
            <a:gd name="connsiteX8" fmla="*/ 278504 w 798457"/>
            <a:gd name="connsiteY8" fmla="*/ 847863 h 883804"/>
            <a:gd name="connsiteX9" fmla="*/ 599 w 798457"/>
            <a:gd name="connsiteY9" fmla="*/ 883722 h 883804"/>
            <a:gd name="connsiteX10" fmla="*/ 9563 w 798457"/>
            <a:gd name="connsiteY10" fmla="*/ 883722 h 883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798457" h="883804">
              <a:moveTo>
                <a:pt x="161963" y="14146"/>
              </a:moveTo>
              <a:cubicBezTo>
                <a:pt x="302105" y="-5875"/>
                <a:pt x="328218" y="-16823"/>
                <a:pt x="529516" y="67934"/>
              </a:cubicBezTo>
              <a:cubicBezTo>
                <a:pt x="556640" y="79355"/>
                <a:pt x="553422" y="121722"/>
                <a:pt x="565375" y="148616"/>
              </a:cubicBezTo>
              <a:cubicBezTo>
                <a:pt x="568363" y="253204"/>
                <a:pt x="554369" y="359674"/>
                <a:pt x="574340" y="462381"/>
              </a:cubicBezTo>
              <a:cubicBezTo>
                <a:pt x="577809" y="480223"/>
                <a:pt x="610009" y="469897"/>
                <a:pt x="628128" y="471346"/>
              </a:cubicBezTo>
              <a:cubicBezTo>
                <a:pt x="684802" y="475880"/>
                <a:pt x="741681" y="477322"/>
                <a:pt x="798457" y="480310"/>
              </a:cubicBezTo>
              <a:cubicBezTo>
                <a:pt x="771563" y="501228"/>
                <a:pt x="742986" y="520144"/>
                <a:pt x="717775" y="543063"/>
              </a:cubicBezTo>
              <a:cubicBezTo>
                <a:pt x="664938" y="591097"/>
                <a:pt x="583905" y="684641"/>
                <a:pt x="520552" y="731322"/>
              </a:cubicBezTo>
              <a:cubicBezTo>
                <a:pt x="454185" y="780224"/>
                <a:pt x="352160" y="824103"/>
                <a:pt x="278504" y="847863"/>
              </a:cubicBezTo>
              <a:cubicBezTo>
                <a:pt x="173900" y="881606"/>
                <a:pt x="111668" y="876780"/>
                <a:pt x="599" y="883722"/>
              </a:cubicBezTo>
              <a:cubicBezTo>
                <a:pt x="-2383" y="883908"/>
                <a:pt x="6575" y="883722"/>
                <a:pt x="9563" y="883722"/>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573742</xdr:colOff>
      <xdr:row>91</xdr:row>
      <xdr:rowOff>35859</xdr:rowOff>
    </xdr:from>
    <xdr:to>
      <xdr:col>17</xdr:col>
      <xdr:colOff>475130</xdr:colOff>
      <xdr:row>100</xdr:row>
      <xdr:rowOff>41072</xdr:rowOff>
    </xdr:to>
    <xdr:cxnSp macro="">
      <xdr:nvCxnSpPr>
        <xdr:cNvPr id="100" name="Düz Ok Bağlayıcısı 99">
          <a:extLst>
            <a:ext uri="{FF2B5EF4-FFF2-40B4-BE49-F238E27FC236}">
              <a16:creationId xmlns:a16="http://schemas.microsoft.com/office/drawing/2014/main" id="{297C74C8-0403-4221-AFCA-FFB89334ED57}"/>
            </a:ext>
          </a:extLst>
        </xdr:cNvPr>
        <xdr:cNvCxnSpPr>
          <a:stCxn id="99" idx="5"/>
        </xdr:cNvCxnSpPr>
      </xdr:nvCxnSpPr>
      <xdr:spPr>
        <a:xfrm flipV="1">
          <a:off x="14259262" y="17188479"/>
          <a:ext cx="1120588" cy="16511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259080</xdr:colOff>
      <xdr:row>26</xdr:row>
      <xdr:rowOff>116541</xdr:rowOff>
    </xdr:from>
    <xdr:to>
      <xdr:col>5</xdr:col>
      <xdr:colOff>546847</xdr:colOff>
      <xdr:row>31</xdr:row>
      <xdr:rowOff>74941</xdr:rowOff>
    </xdr:to>
    <xdr:cxnSp macro="">
      <xdr:nvCxnSpPr>
        <xdr:cNvPr id="101" name="Düz Ok Bağlayıcısı 100">
          <a:extLst>
            <a:ext uri="{FF2B5EF4-FFF2-40B4-BE49-F238E27FC236}">
              <a16:creationId xmlns:a16="http://schemas.microsoft.com/office/drawing/2014/main" id="{489B3745-22E6-4B88-B4C9-F09FC3FC13BE}"/>
            </a:ext>
          </a:extLst>
        </xdr:cNvPr>
        <xdr:cNvCxnSpPr>
          <a:stCxn id="4" idx="8"/>
        </xdr:cNvCxnSpPr>
      </xdr:nvCxnSpPr>
      <xdr:spPr>
        <a:xfrm flipV="1">
          <a:off x="5212080" y="5023821"/>
          <a:ext cx="1971787" cy="872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32458</xdr:colOff>
      <xdr:row>41</xdr:row>
      <xdr:rowOff>98612</xdr:rowOff>
    </xdr:from>
    <xdr:to>
      <xdr:col>8</xdr:col>
      <xdr:colOff>17929</xdr:colOff>
      <xdr:row>42</xdr:row>
      <xdr:rowOff>1816</xdr:rowOff>
    </xdr:to>
    <xdr:cxnSp macro="">
      <xdr:nvCxnSpPr>
        <xdr:cNvPr id="102" name="Düz Ok Bağlayıcısı 101">
          <a:extLst>
            <a:ext uri="{FF2B5EF4-FFF2-40B4-BE49-F238E27FC236}">
              <a16:creationId xmlns:a16="http://schemas.microsoft.com/office/drawing/2014/main" id="{0CCD5B3C-1106-4AD6-8170-088D37BB8B1A}"/>
            </a:ext>
          </a:extLst>
        </xdr:cNvPr>
        <xdr:cNvCxnSpPr>
          <a:stCxn id="5" idx="3"/>
        </xdr:cNvCxnSpPr>
      </xdr:nvCxnSpPr>
      <xdr:spPr>
        <a:xfrm flipV="1">
          <a:off x="4985458" y="7771952"/>
          <a:ext cx="3803091" cy="101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1013011</xdr:colOff>
      <xdr:row>21</xdr:row>
      <xdr:rowOff>95208</xdr:rowOff>
    </xdr:from>
    <xdr:to>
      <xdr:col>18</xdr:col>
      <xdr:colOff>488525</xdr:colOff>
      <xdr:row>46</xdr:row>
      <xdr:rowOff>71718</xdr:rowOff>
    </xdr:to>
    <xdr:sp macro="" textlink="">
      <xdr:nvSpPr>
        <xdr:cNvPr id="103" name="Serbest Form: Şekil 102">
          <a:extLst>
            <a:ext uri="{FF2B5EF4-FFF2-40B4-BE49-F238E27FC236}">
              <a16:creationId xmlns:a16="http://schemas.microsoft.com/office/drawing/2014/main" id="{B96F9D88-5BD5-440E-A6B5-254567F2D4F2}"/>
            </a:ext>
          </a:extLst>
        </xdr:cNvPr>
        <xdr:cNvSpPr/>
      </xdr:nvSpPr>
      <xdr:spPr>
        <a:xfrm>
          <a:off x="9783631" y="4057608"/>
          <a:ext cx="6219214" cy="4670430"/>
        </a:xfrm>
        <a:custGeom>
          <a:avLst/>
          <a:gdLst>
            <a:gd name="connsiteX0" fmla="*/ 385483 w 6216972"/>
            <a:gd name="connsiteY0" fmla="*/ 379921 h 4602298"/>
            <a:gd name="connsiteX1" fmla="*/ 519953 w 6216972"/>
            <a:gd name="connsiteY1" fmla="*/ 397851 h 4602298"/>
            <a:gd name="connsiteX2" fmla="*/ 672353 w 6216972"/>
            <a:gd name="connsiteY2" fmla="*/ 388886 h 4602298"/>
            <a:gd name="connsiteX3" fmla="*/ 815789 w 6216972"/>
            <a:gd name="connsiteY3" fmla="*/ 326133 h 4602298"/>
            <a:gd name="connsiteX4" fmla="*/ 833718 w 6216972"/>
            <a:gd name="connsiteY4" fmla="*/ 290274 h 4602298"/>
            <a:gd name="connsiteX5" fmla="*/ 815789 w 6216972"/>
            <a:gd name="connsiteY5" fmla="*/ 209592 h 4602298"/>
            <a:gd name="connsiteX6" fmla="*/ 681318 w 6216972"/>
            <a:gd name="connsiteY6" fmla="*/ 102015 h 4602298"/>
            <a:gd name="connsiteX7" fmla="*/ 484095 w 6216972"/>
            <a:gd name="connsiteY7" fmla="*/ 21333 h 4602298"/>
            <a:gd name="connsiteX8" fmla="*/ 8965 w 6216972"/>
            <a:gd name="connsiteY8" fmla="*/ 84086 h 4602298"/>
            <a:gd name="connsiteX9" fmla="*/ 0 w 6216972"/>
            <a:gd name="connsiteY9" fmla="*/ 119945 h 4602298"/>
            <a:gd name="connsiteX10" fmla="*/ 44824 w 6216972"/>
            <a:gd name="connsiteY10" fmla="*/ 218556 h 4602298"/>
            <a:gd name="connsiteX11" fmla="*/ 134471 w 6216972"/>
            <a:gd name="connsiteY11" fmla="*/ 281309 h 4602298"/>
            <a:gd name="connsiteX12" fmla="*/ 233083 w 6216972"/>
            <a:gd name="connsiteY12" fmla="*/ 317168 h 4602298"/>
            <a:gd name="connsiteX13" fmla="*/ 331695 w 6216972"/>
            <a:gd name="connsiteY13" fmla="*/ 335098 h 4602298"/>
            <a:gd name="connsiteX14" fmla="*/ 421342 w 6216972"/>
            <a:gd name="connsiteY14" fmla="*/ 361992 h 4602298"/>
            <a:gd name="connsiteX15" fmla="*/ 466165 w 6216972"/>
            <a:gd name="connsiteY15" fmla="*/ 370956 h 4602298"/>
            <a:gd name="connsiteX16" fmla="*/ 502024 w 6216972"/>
            <a:gd name="connsiteY16" fmla="*/ 379921 h 4602298"/>
            <a:gd name="connsiteX17" fmla="*/ 376518 w 6216972"/>
            <a:gd name="connsiteY17" fmla="*/ 433709 h 4602298"/>
            <a:gd name="connsiteX18" fmla="*/ 412377 w 6216972"/>
            <a:gd name="connsiteY18" fmla="*/ 460604 h 4602298"/>
            <a:gd name="connsiteX19" fmla="*/ 475130 w 6216972"/>
            <a:gd name="connsiteY19" fmla="*/ 487498 h 4602298"/>
            <a:gd name="connsiteX20" fmla="*/ 654424 w 6216972"/>
            <a:gd name="connsiteY20" fmla="*/ 523356 h 4602298"/>
            <a:gd name="connsiteX21" fmla="*/ 744071 w 6216972"/>
            <a:gd name="connsiteY21" fmla="*/ 532321 h 4602298"/>
            <a:gd name="connsiteX22" fmla="*/ 2653553 w 6216972"/>
            <a:gd name="connsiteY22" fmla="*/ 541286 h 4602298"/>
            <a:gd name="connsiteX23" fmla="*/ 3200400 w 6216972"/>
            <a:gd name="connsiteY23" fmla="*/ 595074 h 4602298"/>
            <a:gd name="connsiteX24" fmla="*/ 3415553 w 6216972"/>
            <a:gd name="connsiteY24" fmla="*/ 639898 h 4602298"/>
            <a:gd name="connsiteX25" fmla="*/ 3998259 w 6216972"/>
            <a:gd name="connsiteY25" fmla="*/ 765404 h 4602298"/>
            <a:gd name="connsiteX26" fmla="*/ 4177553 w 6216972"/>
            <a:gd name="connsiteY26" fmla="*/ 819192 h 4602298"/>
            <a:gd name="connsiteX27" fmla="*/ 4320989 w 6216972"/>
            <a:gd name="connsiteY27" fmla="*/ 855051 h 4602298"/>
            <a:gd name="connsiteX28" fmla="*/ 4697506 w 6216972"/>
            <a:gd name="connsiteY28" fmla="*/ 989521 h 4602298"/>
            <a:gd name="connsiteX29" fmla="*/ 4966447 w 6216972"/>
            <a:gd name="connsiteY29" fmla="*/ 1115027 h 4602298"/>
            <a:gd name="connsiteX30" fmla="*/ 5163671 w 6216972"/>
            <a:gd name="connsiteY30" fmla="*/ 1231568 h 4602298"/>
            <a:gd name="connsiteX31" fmla="*/ 5253318 w 6216972"/>
            <a:gd name="connsiteY31" fmla="*/ 1294321 h 4602298"/>
            <a:gd name="connsiteX32" fmla="*/ 5522259 w 6216972"/>
            <a:gd name="connsiteY32" fmla="*/ 1482580 h 4602298"/>
            <a:gd name="connsiteX33" fmla="*/ 5674659 w 6216972"/>
            <a:gd name="connsiteY33" fmla="*/ 1634980 h 4602298"/>
            <a:gd name="connsiteX34" fmla="*/ 5746377 w 6216972"/>
            <a:gd name="connsiteY34" fmla="*/ 1706698 h 4602298"/>
            <a:gd name="connsiteX35" fmla="*/ 5827059 w 6216972"/>
            <a:gd name="connsiteY35" fmla="*/ 1814274 h 4602298"/>
            <a:gd name="connsiteX36" fmla="*/ 5898777 w 6216972"/>
            <a:gd name="connsiteY36" fmla="*/ 1885992 h 4602298"/>
            <a:gd name="connsiteX37" fmla="*/ 6024283 w 6216972"/>
            <a:gd name="connsiteY37" fmla="*/ 2074251 h 4602298"/>
            <a:gd name="connsiteX38" fmla="*/ 6122895 w 6216972"/>
            <a:gd name="connsiteY38" fmla="*/ 2361121 h 4602298"/>
            <a:gd name="connsiteX39" fmla="*/ 6140824 w 6216972"/>
            <a:gd name="connsiteY39" fmla="*/ 2477662 h 4602298"/>
            <a:gd name="connsiteX40" fmla="*/ 6203577 w 6216972"/>
            <a:gd name="connsiteY40" fmla="*/ 2791427 h 4602298"/>
            <a:gd name="connsiteX41" fmla="*/ 6185647 w 6216972"/>
            <a:gd name="connsiteY41" fmla="*/ 3374133 h 4602298"/>
            <a:gd name="connsiteX42" fmla="*/ 6149789 w 6216972"/>
            <a:gd name="connsiteY42" fmla="*/ 3445851 h 4602298"/>
            <a:gd name="connsiteX43" fmla="*/ 6104965 w 6216972"/>
            <a:gd name="connsiteY43" fmla="*/ 3562392 h 4602298"/>
            <a:gd name="connsiteX44" fmla="*/ 6006353 w 6216972"/>
            <a:gd name="connsiteY44" fmla="*/ 3759615 h 4602298"/>
            <a:gd name="connsiteX45" fmla="*/ 5889812 w 6216972"/>
            <a:gd name="connsiteY45" fmla="*/ 3938909 h 4602298"/>
            <a:gd name="connsiteX46" fmla="*/ 5746377 w 6216972"/>
            <a:gd name="connsiteY46" fmla="*/ 4073380 h 4602298"/>
            <a:gd name="connsiteX47" fmla="*/ 5504330 w 6216972"/>
            <a:gd name="connsiteY47" fmla="*/ 4225780 h 4602298"/>
            <a:gd name="connsiteX48" fmla="*/ 5127812 w 6216972"/>
            <a:gd name="connsiteY48" fmla="*/ 4414039 h 4602298"/>
            <a:gd name="connsiteX49" fmla="*/ 5002306 w 6216972"/>
            <a:gd name="connsiteY49" fmla="*/ 4467827 h 4602298"/>
            <a:gd name="connsiteX50" fmla="*/ 4715436 w 6216972"/>
            <a:gd name="connsiteY50" fmla="*/ 4512651 h 4602298"/>
            <a:gd name="connsiteX51" fmla="*/ 4616824 w 6216972"/>
            <a:gd name="connsiteY51" fmla="*/ 4530580 h 4602298"/>
            <a:gd name="connsiteX52" fmla="*/ 4365812 w 6216972"/>
            <a:gd name="connsiteY52" fmla="*/ 4566439 h 4602298"/>
            <a:gd name="connsiteX53" fmla="*/ 4258236 w 6216972"/>
            <a:gd name="connsiteY53" fmla="*/ 4575404 h 4602298"/>
            <a:gd name="connsiteX54" fmla="*/ 3684495 w 6216972"/>
            <a:gd name="connsiteY54" fmla="*/ 4602298 h 4602298"/>
            <a:gd name="connsiteX55" fmla="*/ 860612 w 6216972"/>
            <a:gd name="connsiteY55" fmla="*/ 4593333 h 4602298"/>
            <a:gd name="connsiteX56" fmla="*/ 430306 w 6216972"/>
            <a:gd name="connsiteY56" fmla="*/ 4566439 h 4602298"/>
            <a:gd name="connsiteX57" fmla="*/ 188259 w 6216972"/>
            <a:gd name="connsiteY57" fmla="*/ 4539545 h 4602298"/>
            <a:gd name="connsiteX58" fmla="*/ 71718 w 6216972"/>
            <a:gd name="connsiteY58" fmla="*/ 4521615 h 4602298"/>
            <a:gd name="connsiteX59" fmla="*/ 0 w 6216972"/>
            <a:gd name="connsiteY59" fmla="*/ 4512651 h 4602298"/>
            <a:gd name="connsiteX60" fmla="*/ 80683 w 6216972"/>
            <a:gd name="connsiteY60" fmla="*/ 4449898 h 4602298"/>
            <a:gd name="connsiteX61" fmla="*/ 107577 w 6216972"/>
            <a:gd name="connsiteY61" fmla="*/ 4369215 h 4602298"/>
            <a:gd name="connsiteX62" fmla="*/ 116542 w 6216972"/>
            <a:gd name="connsiteY62" fmla="*/ 4342321 h 4602298"/>
            <a:gd name="connsiteX63" fmla="*/ 53789 w 6216972"/>
            <a:gd name="connsiteY63" fmla="*/ 4360251 h 4602298"/>
            <a:gd name="connsiteX64" fmla="*/ 134471 w 6216972"/>
            <a:gd name="connsiteY64" fmla="*/ 4360251 h 4602298"/>
            <a:gd name="connsiteX65" fmla="*/ 152400 w 6216972"/>
            <a:gd name="connsiteY65" fmla="*/ 4342321 h 4602298"/>
            <a:gd name="connsiteX66" fmla="*/ 179295 w 6216972"/>
            <a:gd name="connsiteY66" fmla="*/ 4333356 h 4602298"/>
            <a:gd name="connsiteX67" fmla="*/ 251012 w 6216972"/>
            <a:gd name="connsiteY67" fmla="*/ 4369215 h 4602298"/>
            <a:gd name="connsiteX68" fmla="*/ 268942 w 6216972"/>
            <a:gd name="connsiteY68" fmla="*/ 4396109 h 4602298"/>
            <a:gd name="connsiteX69" fmla="*/ 197224 w 6216972"/>
            <a:gd name="connsiteY69" fmla="*/ 4387145 h 4602298"/>
            <a:gd name="connsiteX70" fmla="*/ 161365 w 6216972"/>
            <a:gd name="connsiteY70" fmla="*/ 4360251 h 4602298"/>
            <a:gd name="connsiteX71" fmla="*/ 152400 w 6216972"/>
            <a:gd name="connsiteY71" fmla="*/ 4324392 h 4602298"/>
            <a:gd name="connsiteX72" fmla="*/ 89647 w 6216972"/>
            <a:gd name="connsiteY72" fmla="*/ 4333356 h 4602298"/>
            <a:gd name="connsiteX73" fmla="*/ 62753 w 6216972"/>
            <a:gd name="connsiteY73" fmla="*/ 4351286 h 4602298"/>
            <a:gd name="connsiteX74" fmla="*/ 53789 w 6216972"/>
            <a:gd name="connsiteY74" fmla="*/ 4378180 h 4602298"/>
            <a:gd name="connsiteX75" fmla="*/ 17930 w 6216972"/>
            <a:gd name="connsiteY75" fmla="*/ 4405074 h 46022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Lst>
          <a:rect l="l" t="t" r="r" b="b"/>
          <a:pathLst>
            <a:path w="6216972" h="4602298">
              <a:moveTo>
                <a:pt x="385483" y="379921"/>
              </a:moveTo>
              <a:cubicBezTo>
                <a:pt x="433166" y="389458"/>
                <a:pt x="467548" y="397851"/>
                <a:pt x="519953" y="397851"/>
              </a:cubicBezTo>
              <a:cubicBezTo>
                <a:pt x="570841" y="397851"/>
                <a:pt x="621553" y="391874"/>
                <a:pt x="672353" y="388886"/>
              </a:cubicBezTo>
              <a:cubicBezTo>
                <a:pt x="727659" y="372294"/>
                <a:pt x="774017" y="367905"/>
                <a:pt x="815789" y="326133"/>
              </a:cubicBezTo>
              <a:cubicBezTo>
                <a:pt x="825239" y="316683"/>
                <a:pt x="827742" y="302227"/>
                <a:pt x="833718" y="290274"/>
              </a:cubicBezTo>
              <a:cubicBezTo>
                <a:pt x="827742" y="263380"/>
                <a:pt x="827440" y="234557"/>
                <a:pt x="815789" y="209592"/>
              </a:cubicBezTo>
              <a:cubicBezTo>
                <a:pt x="790700" y="155830"/>
                <a:pt x="728199" y="127799"/>
                <a:pt x="681318" y="102015"/>
              </a:cubicBezTo>
              <a:cubicBezTo>
                <a:pt x="586357" y="49786"/>
                <a:pt x="591129" y="57011"/>
                <a:pt x="484095" y="21333"/>
              </a:cubicBezTo>
              <a:cubicBezTo>
                <a:pt x="373546" y="25939"/>
                <a:pt x="105129" y="-60160"/>
                <a:pt x="8965" y="84086"/>
              </a:cubicBezTo>
              <a:cubicBezTo>
                <a:pt x="2131" y="94338"/>
                <a:pt x="2988" y="107992"/>
                <a:pt x="0" y="119945"/>
              </a:cubicBezTo>
              <a:cubicBezTo>
                <a:pt x="14941" y="152815"/>
                <a:pt x="21709" y="190818"/>
                <a:pt x="44824" y="218556"/>
              </a:cubicBezTo>
              <a:cubicBezTo>
                <a:pt x="68176" y="246578"/>
                <a:pt x="100604" y="267762"/>
                <a:pt x="134471" y="281309"/>
              </a:cubicBezTo>
              <a:cubicBezTo>
                <a:pt x="168848" y="295060"/>
                <a:pt x="196906" y="307301"/>
                <a:pt x="233083" y="317168"/>
              </a:cubicBezTo>
              <a:cubicBezTo>
                <a:pt x="259527" y="324380"/>
                <a:pt x="306065" y="329972"/>
                <a:pt x="331695" y="335098"/>
              </a:cubicBezTo>
              <a:cubicBezTo>
                <a:pt x="384212" y="345601"/>
                <a:pt x="358436" y="344836"/>
                <a:pt x="421342" y="361992"/>
              </a:cubicBezTo>
              <a:cubicBezTo>
                <a:pt x="436042" y="366001"/>
                <a:pt x="451291" y="367651"/>
                <a:pt x="466165" y="370956"/>
              </a:cubicBezTo>
              <a:cubicBezTo>
                <a:pt x="478193" y="373629"/>
                <a:pt x="490071" y="376933"/>
                <a:pt x="502024" y="379921"/>
              </a:cubicBezTo>
              <a:cubicBezTo>
                <a:pt x="481261" y="483732"/>
                <a:pt x="518880" y="370437"/>
                <a:pt x="376518" y="433709"/>
              </a:cubicBezTo>
              <a:cubicBezTo>
                <a:pt x="362864" y="439777"/>
                <a:pt x="399260" y="453449"/>
                <a:pt x="412377" y="460604"/>
              </a:cubicBezTo>
              <a:cubicBezTo>
                <a:pt x="432356" y="471502"/>
                <a:pt x="453821" y="479507"/>
                <a:pt x="475130" y="487498"/>
              </a:cubicBezTo>
              <a:cubicBezTo>
                <a:pt x="572133" y="523874"/>
                <a:pt x="545034" y="512938"/>
                <a:pt x="654424" y="523356"/>
              </a:cubicBezTo>
              <a:cubicBezTo>
                <a:pt x="684320" y="526203"/>
                <a:pt x="714041" y="532052"/>
                <a:pt x="744071" y="532321"/>
              </a:cubicBezTo>
              <a:lnTo>
                <a:pt x="2653553" y="541286"/>
              </a:lnTo>
              <a:cubicBezTo>
                <a:pt x="2763510" y="550847"/>
                <a:pt x="3138664" y="582212"/>
                <a:pt x="3200400" y="595074"/>
              </a:cubicBezTo>
              <a:lnTo>
                <a:pt x="3415553" y="639898"/>
              </a:lnTo>
              <a:cubicBezTo>
                <a:pt x="3638449" y="683508"/>
                <a:pt x="3753268" y="691907"/>
                <a:pt x="3998259" y="765404"/>
              </a:cubicBezTo>
              <a:cubicBezTo>
                <a:pt x="4058024" y="783333"/>
                <a:pt x="4117433" y="802492"/>
                <a:pt x="4177553" y="819192"/>
              </a:cubicBezTo>
              <a:cubicBezTo>
                <a:pt x="4225039" y="832382"/>
                <a:pt x="4273814" y="840789"/>
                <a:pt x="4320989" y="855051"/>
              </a:cubicBezTo>
              <a:cubicBezTo>
                <a:pt x="4428448" y="887539"/>
                <a:pt x="4586468" y="940171"/>
                <a:pt x="4697506" y="989521"/>
              </a:cubicBezTo>
              <a:cubicBezTo>
                <a:pt x="4787908" y="1029700"/>
                <a:pt x="4881277" y="1064699"/>
                <a:pt x="4966447" y="1115027"/>
              </a:cubicBezTo>
              <a:cubicBezTo>
                <a:pt x="5032188" y="1153874"/>
                <a:pt x="5101114" y="1187778"/>
                <a:pt x="5163671" y="1231568"/>
              </a:cubicBezTo>
              <a:cubicBezTo>
                <a:pt x="5193553" y="1252486"/>
                <a:pt x="5222478" y="1274843"/>
                <a:pt x="5253318" y="1294321"/>
              </a:cubicBezTo>
              <a:cubicBezTo>
                <a:pt x="5380227" y="1374475"/>
                <a:pt x="5367830" y="1328151"/>
                <a:pt x="5522259" y="1482580"/>
              </a:cubicBezTo>
              <a:lnTo>
                <a:pt x="5674659" y="1634980"/>
              </a:lnTo>
              <a:cubicBezTo>
                <a:pt x="5698565" y="1658886"/>
                <a:pt x="5726092" y="1679651"/>
                <a:pt x="5746377" y="1706698"/>
              </a:cubicBezTo>
              <a:cubicBezTo>
                <a:pt x="5773271" y="1742557"/>
                <a:pt x="5798029" y="1780121"/>
                <a:pt x="5827059" y="1814274"/>
              </a:cubicBezTo>
              <a:cubicBezTo>
                <a:pt x="5848955" y="1840034"/>
                <a:pt x="5877505" y="1859715"/>
                <a:pt x="5898777" y="1885992"/>
              </a:cubicBezTo>
              <a:cubicBezTo>
                <a:pt x="5912796" y="1903309"/>
                <a:pt x="6003767" y="2035500"/>
                <a:pt x="6024283" y="2074251"/>
              </a:cubicBezTo>
              <a:cubicBezTo>
                <a:pt x="6063860" y="2149007"/>
                <a:pt x="6113723" y="2301499"/>
                <a:pt x="6122895" y="2361121"/>
              </a:cubicBezTo>
              <a:cubicBezTo>
                <a:pt x="6128871" y="2399968"/>
                <a:pt x="6133116" y="2439121"/>
                <a:pt x="6140824" y="2477662"/>
              </a:cubicBezTo>
              <a:cubicBezTo>
                <a:pt x="6225435" y="2900720"/>
                <a:pt x="6130213" y="2351239"/>
                <a:pt x="6203577" y="2791427"/>
              </a:cubicBezTo>
              <a:cubicBezTo>
                <a:pt x="6221517" y="3024643"/>
                <a:pt x="6226621" y="3022924"/>
                <a:pt x="6185647" y="3374133"/>
              </a:cubicBezTo>
              <a:cubicBezTo>
                <a:pt x="6182550" y="3400681"/>
                <a:pt x="6160317" y="3421284"/>
                <a:pt x="6149789" y="3445851"/>
              </a:cubicBezTo>
              <a:cubicBezTo>
                <a:pt x="6133394" y="3484107"/>
                <a:pt x="6120724" y="3523870"/>
                <a:pt x="6104965" y="3562392"/>
              </a:cubicBezTo>
              <a:cubicBezTo>
                <a:pt x="6077691" y="3629062"/>
                <a:pt x="6043326" y="3698610"/>
                <a:pt x="6006353" y="3759615"/>
              </a:cubicBezTo>
              <a:cubicBezTo>
                <a:pt x="5969408" y="3820574"/>
                <a:pt x="5941814" y="3890157"/>
                <a:pt x="5889812" y="3938909"/>
              </a:cubicBezTo>
              <a:cubicBezTo>
                <a:pt x="5842000" y="3983733"/>
                <a:pt x="5800907" y="4037027"/>
                <a:pt x="5746377" y="4073380"/>
              </a:cubicBezTo>
              <a:cubicBezTo>
                <a:pt x="5367246" y="4326132"/>
                <a:pt x="5732977" y="4088591"/>
                <a:pt x="5504330" y="4225780"/>
              </a:cubicBezTo>
              <a:cubicBezTo>
                <a:pt x="4875700" y="4602959"/>
                <a:pt x="5733770" y="4111060"/>
                <a:pt x="5127812" y="4414039"/>
              </a:cubicBezTo>
              <a:cubicBezTo>
                <a:pt x="5088075" y="4433907"/>
                <a:pt x="5045810" y="4457386"/>
                <a:pt x="5002306" y="4467827"/>
              </a:cubicBezTo>
              <a:cubicBezTo>
                <a:pt x="4900190" y="4492335"/>
                <a:pt x="4817921" y="4496884"/>
                <a:pt x="4715436" y="4512651"/>
              </a:cubicBezTo>
              <a:cubicBezTo>
                <a:pt x="4682415" y="4517731"/>
                <a:pt x="4649779" y="4525088"/>
                <a:pt x="4616824" y="4530580"/>
              </a:cubicBezTo>
              <a:cubicBezTo>
                <a:pt x="4553105" y="4541200"/>
                <a:pt x="4427047" y="4559635"/>
                <a:pt x="4365812" y="4566439"/>
              </a:cubicBezTo>
              <a:cubicBezTo>
                <a:pt x="4330049" y="4570413"/>
                <a:pt x="4294143" y="4573062"/>
                <a:pt x="4258236" y="4575404"/>
              </a:cubicBezTo>
              <a:cubicBezTo>
                <a:pt x="3942991" y="4595963"/>
                <a:pt x="3985446" y="4592266"/>
                <a:pt x="3684495" y="4602298"/>
              </a:cubicBezTo>
              <a:lnTo>
                <a:pt x="860612" y="4593333"/>
              </a:lnTo>
              <a:cubicBezTo>
                <a:pt x="716906" y="4591749"/>
                <a:pt x="430306" y="4566439"/>
                <a:pt x="430306" y="4566439"/>
              </a:cubicBezTo>
              <a:cubicBezTo>
                <a:pt x="184461" y="4525463"/>
                <a:pt x="475109" y="4570279"/>
                <a:pt x="188259" y="4539545"/>
              </a:cubicBezTo>
              <a:cubicBezTo>
                <a:pt x="149179" y="4535358"/>
                <a:pt x="110627" y="4527173"/>
                <a:pt x="71718" y="4521615"/>
              </a:cubicBezTo>
              <a:cubicBezTo>
                <a:pt x="47868" y="4518208"/>
                <a:pt x="23906" y="4515639"/>
                <a:pt x="0" y="4512651"/>
              </a:cubicBezTo>
              <a:cubicBezTo>
                <a:pt x="44489" y="4494855"/>
                <a:pt x="56293" y="4498678"/>
                <a:pt x="80683" y="4449898"/>
              </a:cubicBezTo>
              <a:cubicBezTo>
                <a:pt x="93361" y="4424542"/>
                <a:pt x="98612" y="4396109"/>
                <a:pt x="107577" y="4369215"/>
              </a:cubicBezTo>
              <a:cubicBezTo>
                <a:pt x="110565" y="4360250"/>
                <a:pt x="125628" y="4339725"/>
                <a:pt x="116542" y="4342321"/>
              </a:cubicBezTo>
              <a:lnTo>
                <a:pt x="53789" y="4360251"/>
              </a:lnTo>
              <a:cubicBezTo>
                <a:pt x="7596" y="4391046"/>
                <a:pt x="-20675" y="4404579"/>
                <a:pt x="134471" y="4360251"/>
              </a:cubicBezTo>
              <a:cubicBezTo>
                <a:pt x="142598" y="4357929"/>
                <a:pt x="145152" y="4346670"/>
                <a:pt x="152400" y="4342321"/>
              </a:cubicBezTo>
              <a:cubicBezTo>
                <a:pt x="160503" y="4337459"/>
                <a:pt x="170330" y="4336344"/>
                <a:pt x="179295" y="4333356"/>
              </a:cubicBezTo>
              <a:cubicBezTo>
                <a:pt x="200694" y="4341916"/>
                <a:pt x="233109" y="4351312"/>
                <a:pt x="251012" y="4369215"/>
              </a:cubicBezTo>
              <a:cubicBezTo>
                <a:pt x="258631" y="4376834"/>
                <a:pt x="279163" y="4392702"/>
                <a:pt x="268942" y="4396109"/>
              </a:cubicBezTo>
              <a:cubicBezTo>
                <a:pt x="246086" y="4403728"/>
                <a:pt x="221130" y="4390133"/>
                <a:pt x="197224" y="4387145"/>
              </a:cubicBezTo>
              <a:cubicBezTo>
                <a:pt x="185271" y="4378180"/>
                <a:pt x="170049" y="4372409"/>
                <a:pt x="161365" y="4360251"/>
              </a:cubicBezTo>
              <a:cubicBezTo>
                <a:pt x="154204" y="4350225"/>
                <a:pt x="163936" y="4328718"/>
                <a:pt x="152400" y="4324392"/>
              </a:cubicBezTo>
              <a:cubicBezTo>
                <a:pt x="132615" y="4316973"/>
                <a:pt x="110565" y="4330368"/>
                <a:pt x="89647" y="4333356"/>
              </a:cubicBezTo>
              <a:cubicBezTo>
                <a:pt x="80682" y="4339333"/>
                <a:pt x="69484" y="4342873"/>
                <a:pt x="62753" y="4351286"/>
              </a:cubicBezTo>
              <a:cubicBezTo>
                <a:pt x="56850" y="4358665"/>
                <a:pt x="60471" y="4371498"/>
                <a:pt x="53789" y="4378180"/>
              </a:cubicBezTo>
              <a:cubicBezTo>
                <a:pt x="15257" y="4416712"/>
                <a:pt x="17930" y="4378437"/>
                <a:pt x="17930" y="4405074"/>
              </a:cubicBezTo>
            </a:path>
          </a:pathLst>
        </a:cu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851647</xdr:colOff>
      <xdr:row>42</xdr:row>
      <xdr:rowOff>34016</xdr:rowOff>
    </xdr:from>
    <xdr:to>
      <xdr:col>14</xdr:col>
      <xdr:colOff>457200</xdr:colOff>
      <xdr:row>46</xdr:row>
      <xdr:rowOff>125506</xdr:rowOff>
    </xdr:to>
    <xdr:sp macro="" textlink="">
      <xdr:nvSpPr>
        <xdr:cNvPr id="104" name="Serbest Form: Şekil 103">
          <a:extLst>
            <a:ext uri="{FF2B5EF4-FFF2-40B4-BE49-F238E27FC236}">
              <a16:creationId xmlns:a16="http://schemas.microsoft.com/office/drawing/2014/main" id="{DDB6F257-BC73-4108-A46F-7A50B8547669}"/>
            </a:ext>
          </a:extLst>
        </xdr:cNvPr>
        <xdr:cNvSpPr/>
      </xdr:nvSpPr>
      <xdr:spPr>
        <a:xfrm>
          <a:off x="1461247" y="7905476"/>
          <a:ext cx="12071873" cy="876350"/>
        </a:xfrm>
        <a:custGeom>
          <a:avLst/>
          <a:gdLst>
            <a:gd name="connsiteX0" fmla="*/ 1120588 w 12057529"/>
            <a:gd name="connsiteY0" fmla="*/ 10807 h 871419"/>
            <a:gd name="connsiteX1" fmla="*/ 699247 w 12057529"/>
            <a:gd name="connsiteY1" fmla="*/ 28737 h 871419"/>
            <a:gd name="connsiteX2" fmla="*/ 663388 w 12057529"/>
            <a:gd name="connsiteY2" fmla="*/ 46666 h 871419"/>
            <a:gd name="connsiteX3" fmla="*/ 672353 w 12057529"/>
            <a:gd name="connsiteY3" fmla="*/ 163207 h 871419"/>
            <a:gd name="connsiteX4" fmla="*/ 726141 w 12057529"/>
            <a:gd name="connsiteY4" fmla="*/ 172172 h 871419"/>
            <a:gd name="connsiteX5" fmla="*/ 788894 w 12057529"/>
            <a:gd name="connsiteY5" fmla="*/ 181137 h 871419"/>
            <a:gd name="connsiteX6" fmla="*/ 959224 w 12057529"/>
            <a:gd name="connsiteY6" fmla="*/ 199066 h 871419"/>
            <a:gd name="connsiteX7" fmla="*/ 1210235 w 12057529"/>
            <a:gd name="connsiteY7" fmla="*/ 172172 h 871419"/>
            <a:gd name="connsiteX8" fmla="*/ 1228165 w 12057529"/>
            <a:gd name="connsiteY8" fmla="*/ 136313 h 871419"/>
            <a:gd name="connsiteX9" fmla="*/ 1165412 w 12057529"/>
            <a:gd name="connsiteY9" fmla="*/ 64595 h 871419"/>
            <a:gd name="connsiteX10" fmla="*/ 1138518 w 12057529"/>
            <a:gd name="connsiteY10" fmla="*/ 37701 h 871419"/>
            <a:gd name="connsiteX11" fmla="*/ 1030941 w 12057529"/>
            <a:gd name="connsiteY11" fmla="*/ 19772 h 871419"/>
            <a:gd name="connsiteX12" fmla="*/ 788894 w 12057529"/>
            <a:gd name="connsiteY12" fmla="*/ 28737 h 871419"/>
            <a:gd name="connsiteX13" fmla="*/ 708212 w 12057529"/>
            <a:gd name="connsiteY13" fmla="*/ 46666 h 871419"/>
            <a:gd name="connsiteX14" fmla="*/ 663388 w 12057529"/>
            <a:gd name="connsiteY14" fmla="*/ 55631 h 871419"/>
            <a:gd name="connsiteX15" fmla="*/ 627529 w 12057529"/>
            <a:gd name="connsiteY15" fmla="*/ 73560 h 871419"/>
            <a:gd name="connsiteX16" fmla="*/ 582706 w 12057529"/>
            <a:gd name="connsiteY16" fmla="*/ 82525 h 871419"/>
            <a:gd name="connsiteX17" fmla="*/ 484094 w 12057529"/>
            <a:gd name="connsiteY17" fmla="*/ 100454 h 871419"/>
            <a:gd name="connsiteX18" fmla="*/ 403412 w 12057529"/>
            <a:gd name="connsiteY18" fmla="*/ 127348 h 871419"/>
            <a:gd name="connsiteX19" fmla="*/ 376518 w 12057529"/>
            <a:gd name="connsiteY19" fmla="*/ 145278 h 871419"/>
            <a:gd name="connsiteX20" fmla="*/ 304800 w 12057529"/>
            <a:gd name="connsiteY20" fmla="*/ 163207 h 871419"/>
            <a:gd name="connsiteX21" fmla="*/ 224118 w 12057529"/>
            <a:gd name="connsiteY21" fmla="*/ 208031 h 871419"/>
            <a:gd name="connsiteX22" fmla="*/ 170329 w 12057529"/>
            <a:gd name="connsiteY22" fmla="*/ 243889 h 871419"/>
            <a:gd name="connsiteX23" fmla="*/ 89647 w 12057529"/>
            <a:gd name="connsiteY23" fmla="*/ 306642 h 871419"/>
            <a:gd name="connsiteX24" fmla="*/ 8965 w 12057529"/>
            <a:gd name="connsiteY24" fmla="*/ 459042 h 871419"/>
            <a:gd name="connsiteX25" fmla="*/ 0 w 12057529"/>
            <a:gd name="connsiteY25" fmla="*/ 494901 h 871419"/>
            <a:gd name="connsiteX26" fmla="*/ 8965 w 12057529"/>
            <a:gd name="connsiteY26" fmla="*/ 557654 h 871419"/>
            <a:gd name="connsiteX27" fmla="*/ 26894 w 12057529"/>
            <a:gd name="connsiteY27" fmla="*/ 575584 h 871419"/>
            <a:gd name="connsiteX28" fmla="*/ 44824 w 12057529"/>
            <a:gd name="connsiteY28" fmla="*/ 602478 h 871419"/>
            <a:gd name="connsiteX29" fmla="*/ 107577 w 12057529"/>
            <a:gd name="connsiteY29" fmla="*/ 647301 h 871419"/>
            <a:gd name="connsiteX30" fmla="*/ 161365 w 12057529"/>
            <a:gd name="connsiteY30" fmla="*/ 665231 h 871419"/>
            <a:gd name="connsiteX31" fmla="*/ 206188 w 12057529"/>
            <a:gd name="connsiteY31" fmla="*/ 683160 h 871419"/>
            <a:gd name="connsiteX32" fmla="*/ 286871 w 12057529"/>
            <a:gd name="connsiteY32" fmla="*/ 692125 h 871419"/>
            <a:gd name="connsiteX33" fmla="*/ 430306 w 12057529"/>
            <a:gd name="connsiteY33" fmla="*/ 710054 h 871419"/>
            <a:gd name="connsiteX34" fmla="*/ 582706 w 12057529"/>
            <a:gd name="connsiteY34" fmla="*/ 719019 h 871419"/>
            <a:gd name="connsiteX35" fmla="*/ 2088777 w 12057529"/>
            <a:gd name="connsiteY35" fmla="*/ 727984 h 871419"/>
            <a:gd name="connsiteX36" fmla="*/ 2465294 w 12057529"/>
            <a:gd name="connsiteY36" fmla="*/ 745913 h 871419"/>
            <a:gd name="connsiteX37" fmla="*/ 2572871 w 12057529"/>
            <a:gd name="connsiteY37" fmla="*/ 763842 h 871419"/>
            <a:gd name="connsiteX38" fmla="*/ 2859741 w 12057529"/>
            <a:gd name="connsiteY38" fmla="*/ 781772 h 871419"/>
            <a:gd name="connsiteX39" fmla="*/ 3003177 w 12057529"/>
            <a:gd name="connsiteY39" fmla="*/ 799701 h 871419"/>
            <a:gd name="connsiteX40" fmla="*/ 3370729 w 12057529"/>
            <a:gd name="connsiteY40" fmla="*/ 844525 h 871419"/>
            <a:gd name="connsiteX41" fmla="*/ 3550024 w 12057529"/>
            <a:gd name="connsiteY41" fmla="*/ 853489 h 871419"/>
            <a:gd name="connsiteX42" fmla="*/ 4572000 w 12057529"/>
            <a:gd name="connsiteY42" fmla="*/ 871419 h 871419"/>
            <a:gd name="connsiteX43" fmla="*/ 6221506 w 12057529"/>
            <a:gd name="connsiteY43" fmla="*/ 862454 h 871419"/>
            <a:gd name="connsiteX44" fmla="*/ 6687671 w 12057529"/>
            <a:gd name="connsiteY44" fmla="*/ 844525 h 871419"/>
            <a:gd name="connsiteX45" fmla="*/ 7261412 w 12057529"/>
            <a:gd name="connsiteY45" fmla="*/ 835560 h 871419"/>
            <a:gd name="connsiteX46" fmla="*/ 9861177 w 12057529"/>
            <a:gd name="connsiteY46" fmla="*/ 826595 h 871419"/>
            <a:gd name="connsiteX47" fmla="*/ 9950824 w 12057529"/>
            <a:gd name="connsiteY47" fmla="*/ 817631 h 871419"/>
            <a:gd name="connsiteX48" fmla="*/ 10040471 w 12057529"/>
            <a:gd name="connsiteY48" fmla="*/ 799701 h 871419"/>
            <a:gd name="connsiteX49" fmla="*/ 10255624 w 12057529"/>
            <a:gd name="connsiteY49" fmla="*/ 790737 h 871419"/>
            <a:gd name="connsiteX50" fmla="*/ 10399059 w 12057529"/>
            <a:gd name="connsiteY50" fmla="*/ 781772 h 871419"/>
            <a:gd name="connsiteX51" fmla="*/ 10919012 w 12057529"/>
            <a:gd name="connsiteY51" fmla="*/ 754878 h 871419"/>
            <a:gd name="connsiteX52" fmla="*/ 11071412 w 12057529"/>
            <a:gd name="connsiteY52" fmla="*/ 745913 h 871419"/>
            <a:gd name="connsiteX53" fmla="*/ 11187953 w 12057529"/>
            <a:gd name="connsiteY53" fmla="*/ 736948 h 871419"/>
            <a:gd name="connsiteX54" fmla="*/ 11537577 w 12057529"/>
            <a:gd name="connsiteY54" fmla="*/ 727984 h 871419"/>
            <a:gd name="connsiteX55" fmla="*/ 11761694 w 12057529"/>
            <a:gd name="connsiteY55" fmla="*/ 719019 h 871419"/>
            <a:gd name="connsiteX56" fmla="*/ 11860306 w 12057529"/>
            <a:gd name="connsiteY56" fmla="*/ 710054 h 871419"/>
            <a:gd name="connsiteX57" fmla="*/ 11976847 w 12057529"/>
            <a:gd name="connsiteY57" fmla="*/ 683160 h 871419"/>
            <a:gd name="connsiteX58" fmla="*/ 11887200 w 12057529"/>
            <a:gd name="connsiteY58" fmla="*/ 584548 h 871419"/>
            <a:gd name="connsiteX59" fmla="*/ 11914094 w 12057529"/>
            <a:gd name="connsiteY59" fmla="*/ 539725 h 871419"/>
            <a:gd name="connsiteX60" fmla="*/ 12021671 w 12057529"/>
            <a:gd name="connsiteY60" fmla="*/ 575584 h 871419"/>
            <a:gd name="connsiteX61" fmla="*/ 12057529 w 12057529"/>
            <a:gd name="connsiteY61" fmla="*/ 593513 h 8714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Lst>
          <a:rect l="l" t="t" r="r" b="b"/>
          <a:pathLst>
            <a:path w="12057529" h="871419">
              <a:moveTo>
                <a:pt x="1120588" y="10807"/>
              </a:moveTo>
              <a:cubicBezTo>
                <a:pt x="932474" y="-4870"/>
                <a:pt x="978641" y="-7083"/>
                <a:pt x="699247" y="28737"/>
              </a:cubicBezTo>
              <a:cubicBezTo>
                <a:pt x="685992" y="30436"/>
                <a:pt x="675341" y="40690"/>
                <a:pt x="663388" y="46666"/>
              </a:cubicBezTo>
              <a:cubicBezTo>
                <a:pt x="630238" y="90866"/>
                <a:pt x="607965" y="98819"/>
                <a:pt x="672353" y="163207"/>
              </a:cubicBezTo>
              <a:cubicBezTo>
                <a:pt x="685206" y="176060"/>
                <a:pt x="708176" y="169408"/>
                <a:pt x="726141" y="172172"/>
              </a:cubicBezTo>
              <a:cubicBezTo>
                <a:pt x="747025" y="175385"/>
                <a:pt x="767903" y="178715"/>
                <a:pt x="788894" y="181137"/>
              </a:cubicBezTo>
              <a:cubicBezTo>
                <a:pt x="845608" y="187681"/>
                <a:pt x="959224" y="199066"/>
                <a:pt x="959224" y="199066"/>
              </a:cubicBezTo>
              <a:cubicBezTo>
                <a:pt x="1042894" y="190101"/>
                <a:pt x="1128287" y="191293"/>
                <a:pt x="1210235" y="172172"/>
              </a:cubicBezTo>
              <a:cubicBezTo>
                <a:pt x="1223249" y="169135"/>
                <a:pt x="1233305" y="148649"/>
                <a:pt x="1228165" y="136313"/>
              </a:cubicBezTo>
              <a:cubicBezTo>
                <a:pt x="1215948" y="106991"/>
                <a:pt x="1186780" y="88100"/>
                <a:pt x="1165412" y="64595"/>
              </a:cubicBezTo>
              <a:cubicBezTo>
                <a:pt x="1156884" y="55214"/>
                <a:pt x="1149526" y="43991"/>
                <a:pt x="1138518" y="37701"/>
              </a:cubicBezTo>
              <a:cubicBezTo>
                <a:pt x="1121936" y="28226"/>
                <a:pt x="1031488" y="19840"/>
                <a:pt x="1030941" y="19772"/>
              </a:cubicBezTo>
              <a:cubicBezTo>
                <a:pt x="950259" y="22760"/>
                <a:pt x="869484" y="23853"/>
                <a:pt x="788894" y="28737"/>
              </a:cubicBezTo>
              <a:cubicBezTo>
                <a:pt x="723764" y="32684"/>
                <a:pt x="753400" y="35369"/>
                <a:pt x="708212" y="46666"/>
              </a:cubicBezTo>
              <a:cubicBezTo>
                <a:pt x="693430" y="50362"/>
                <a:pt x="678329" y="52643"/>
                <a:pt x="663388" y="55631"/>
              </a:cubicBezTo>
              <a:cubicBezTo>
                <a:pt x="651435" y="61607"/>
                <a:pt x="640207" y="69334"/>
                <a:pt x="627529" y="73560"/>
              </a:cubicBezTo>
              <a:cubicBezTo>
                <a:pt x="613074" y="78378"/>
                <a:pt x="597697" y="79799"/>
                <a:pt x="582706" y="82525"/>
              </a:cubicBezTo>
              <a:cubicBezTo>
                <a:pt x="456526" y="105466"/>
                <a:pt x="594827" y="78307"/>
                <a:pt x="484094" y="100454"/>
              </a:cubicBezTo>
              <a:cubicBezTo>
                <a:pt x="363478" y="160764"/>
                <a:pt x="542437" y="75213"/>
                <a:pt x="403412" y="127348"/>
              </a:cubicBezTo>
              <a:cubicBezTo>
                <a:pt x="393324" y="131131"/>
                <a:pt x="386644" y="141596"/>
                <a:pt x="376518" y="145278"/>
              </a:cubicBezTo>
              <a:cubicBezTo>
                <a:pt x="353360" y="153699"/>
                <a:pt x="326840" y="152187"/>
                <a:pt x="304800" y="163207"/>
              </a:cubicBezTo>
              <a:cubicBezTo>
                <a:pt x="264865" y="183175"/>
                <a:pt x="265395" y="181764"/>
                <a:pt x="224118" y="208031"/>
              </a:cubicBezTo>
              <a:cubicBezTo>
                <a:pt x="205938" y="219600"/>
                <a:pt x="187706" y="231146"/>
                <a:pt x="170329" y="243889"/>
              </a:cubicBezTo>
              <a:cubicBezTo>
                <a:pt x="142854" y="264037"/>
                <a:pt x="89647" y="306642"/>
                <a:pt x="89647" y="306642"/>
              </a:cubicBezTo>
              <a:cubicBezTo>
                <a:pt x="1263" y="439218"/>
                <a:pt x="29284" y="367603"/>
                <a:pt x="8965" y="459042"/>
              </a:cubicBezTo>
              <a:cubicBezTo>
                <a:pt x="6292" y="471070"/>
                <a:pt x="2988" y="482948"/>
                <a:pt x="0" y="494901"/>
              </a:cubicBezTo>
              <a:cubicBezTo>
                <a:pt x="2988" y="515819"/>
                <a:pt x="2283" y="537608"/>
                <a:pt x="8965" y="557654"/>
              </a:cubicBezTo>
              <a:cubicBezTo>
                <a:pt x="11638" y="565672"/>
                <a:pt x="21614" y="568984"/>
                <a:pt x="26894" y="575584"/>
              </a:cubicBezTo>
              <a:cubicBezTo>
                <a:pt x="33625" y="583997"/>
                <a:pt x="37205" y="594859"/>
                <a:pt x="44824" y="602478"/>
              </a:cubicBezTo>
              <a:cubicBezTo>
                <a:pt x="47477" y="605131"/>
                <a:pt x="98411" y="643227"/>
                <a:pt x="107577" y="647301"/>
              </a:cubicBezTo>
              <a:cubicBezTo>
                <a:pt x="124847" y="654977"/>
                <a:pt x="143604" y="658772"/>
                <a:pt x="161365" y="665231"/>
              </a:cubicBezTo>
              <a:cubicBezTo>
                <a:pt x="176488" y="670730"/>
                <a:pt x="190453" y="679788"/>
                <a:pt x="206188" y="683160"/>
              </a:cubicBezTo>
              <a:cubicBezTo>
                <a:pt x="232647" y="688830"/>
                <a:pt x="260004" y="688901"/>
                <a:pt x="286871" y="692125"/>
              </a:cubicBezTo>
              <a:cubicBezTo>
                <a:pt x="334712" y="697866"/>
                <a:pt x="382320" y="705692"/>
                <a:pt x="430306" y="710054"/>
              </a:cubicBezTo>
              <a:cubicBezTo>
                <a:pt x="480985" y="714661"/>
                <a:pt x="531821" y="718469"/>
                <a:pt x="582706" y="719019"/>
              </a:cubicBezTo>
              <a:lnTo>
                <a:pt x="2088777" y="727984"/>
              </a:lnTo>
              <a:cubicBezTo>
                <a:pt x="2151526" y="730225"/>
                <a:pt x="2371586" y="735101"/>
                <a:pt x="2465294" y="745913"/>
              </a:cubicBezTo>
              <a:cubicBezTo>
                <a:pt x="2501408" y="750080"/>
                <a:pt x="2536740" y="759827"/>
                <a:pt x="2572871" y="763842"/>
              </a:cubicBezTo>
              <a:cubicBezTo>
                <a:pt x="2600661" y="766930"/>
                <a:pt x="2840858" y="780661"/>
                <a:pt x="2859741" y="781772"/>
              </a:cubicBezTo>
              <a:lnTo>
                <a:pt x="3003177" y="799701"/>
              </a:lnTo>
              <a:cubicBezTo>
                <a:pt x="3176351" y="823103"/>
                <a:pt x="3198991" y="831645"/>
                <a:pt x="3370729" y="844525"/>
              </a:cubicBezTo>
              <a:cubicBezTo>
                <a:pt x="3430401" y="849000"/>
                <a:pt x="3490282" y="850075"/>
                <a:pt x="3550024" y="853489"/>
              </a:cubicBezTo>
              <a:cubicBezTo>
                <a:pt x="4066715" y="883013"/>
                <a:pt x="3066444" y="856211"/>
                <a:pt x="4572000" y="871419"/>
              </a:cubicBezTo>
              <a:lnTo>
                <a:pt x="6221506" y="862454"/>
              </a:lnTo>
              <a:cubicBezTo>
                <a:pt x="7118836" y="854221"/>
                <a:pt x="6139317" y="857899"/>
                <a:pt x="6687671" y="844525"/>
              </a:cubicBezTo>
              <a:lnTo>
                <a:pt x="7261412" y="835560"/>
              </a:lnTo>
              <a:lnTo>
                <a:pt x="9861177" y="826595"/>
              </a:lnTo>
              <a:cubicBezTo>
                <a:pt x="9891059" y="823607"/>
                <a:pt x="9921125" y="822086"/>
                <a:pt x="9950824" y="817631"/>
              </a:cubicBezTo>
              <a:cubicBezTo>
                <a:pt x="9980961" y="813110"/>
                <a:pt x="10010115" y="802379"/>
                <a:pt x="10040471" y="799701"/>
              </a:cubicBezTo>
              <a:cubicBezTo>
                <a:pt x="10111973" y="793392"/>
                <a:pt x="10183934" y="794321"/>
                <a:pt x="10255624" y="790737"/>
              </a:cubicBezTo>
              <a:cubicBezTo>
                <a:pt x="10303469" y="788345"/>
                <a:pt x="10351247" y="784760"/>
                <a:pt x="10399059" y="781772"/>
              </a:cubicBezTo>
              <a:cubicBezTo>
                <a:pt x="10676202" y="744818"/>
                <a:pt x="10444916" y="770681"/>
                <a:pt x="10919012" y="754878"/>
              </a:cubicBezTo>
              <a:cubicBezTo>
                <a:pt x="10969872" y="753183"/>
                <a:pt x="11020637" y="749298"/>
                <a:pt x="11071412" y="745913"/>
              </a:cubicBezTo>
              <a:cubicBezTo>
                <a:pt x="11110287" y="743321"/>
                <a:pt x="11149020" y="738445"/>
                <a:pt x="11187953" y="736948"/>
              </a:cubicBezTo>
              <a:cubicBezTo>
                <a:pt x="11304447" y="732468"/>
                <a:pt x="11421054" y="731625"/>
                <a:pt x="11537577" y="727984"/>
              </a:cubicBezTo>
              <a:lnTo>
                <a:pt x="11761694" y="719019"/>
              </a:lnTo>
              <a:cubicBezTo>
                <a:pt x="11794565" y="716031"/>
                <a:pt x="11827555" y="714148"/>
                <a:pt x="11860306" y="710054"/>
              </a:cubicBezTo>
              <a:cubicBezTo>
                <a:pt x="11887894" y="706605"/>
                <a:pt x="11957297" y="688047"/>
                <a:pt x="11976847" y="683160"/>
              </a:cubicBezTo>
              <a:cubicBezTo>
                <a:pt x="11955307" y="532379"/>
                <a:pt x="11998487" y="542816"/>
                <a:pt x="11887200" y="584548"/>
              </a:cubicBezTo>
              <a:cubicBezTo>
                <a:pt x="11905615" y="566135"/>
                <a:pt x="11894275" y="579364"/>
                <a:pt x="11914094" y="539725"/>
              </a:cubicBezTo>
              <a:cubicBezTo>
                <a:pt x="12002317" y="552327"/>
                <a:pt x="11951949" y="536849"/>
                <a:pt x="12021671" y="575584"/>
              </a:cubicBezTo>
              <a:cubicBezTo>
                <a:pt x="12033353" y="582074"/>
                <a:pt x="12057529" y="593513"/>
                <a:pt x="12057529" y="593513"/>
              </a:cubicBezTo>
            </a:path>
          </a:pathLst>
        </a:cu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115646</xdr:colOff>
      <xdr:row>0</xdr:row>
      <xdr:rowOff>27343</xdr:rowOff>
    </xdr:from>
    <xdr:to>
      <xdr:col>0</xdr:col>
      <xdr:colOff>1008357</xdr:colOff>
      <xdr:row>3</xdr:row>
      <xdr:rowOff>37596</xdr:rowOff>
    </xdr:to>
    <xdr:pic>
      <xdr:nvPicPr>
        <xdr:cNvPr id="2" name="Resim 1" descr="Bilgisayar Mühendisliği - Çankaya Üniversitesi">
          <a:extLst>
            <a:ext uri="{FF2B5EF4-FFF2-40B4-BE49-F238E27FC236}">
              <a16:creationId xmlns:a16="http://schemas.microsoft.com/office/drawing/2014/main" id="{169C0BDB-60F0-4A8E-B39F-86F3275FAB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646" y="27343"/>
          <a:ext cx="892711" cy="8865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162070</xdr:colOff>
      <xdr:row>0</xdr:row>
      <xdr:rowOff>57630</xdr:rowOff>
    </xdr:from>
    <xdr:to>
      <xdr:col>26</xdr:col>
      <xdr:colOff>471296</xdr:colOff>
      <xdr:row>3</xdr:row>
      <xdr:rowOff>46594</xdr:rowOff>
    </xdr:to>
    <xdr:pic>
      <xdr:nvPicPr>
        <xdr:cNvPr id="3" name="Resim 2" descr="Çankaya Üniversitesi - Vikipedi">
          <a:extLst>
            <a:ext uri="{FF2B5EF4-FFF2-40B4-BE49-F238E27FC236}">
              <a16:creationId xmlns:a16="http://schemas.microsoft.com/office/drawing/2014/main" id="{7E246EED-9B10-4ED3-97C4-4E2BA9BAE0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91990" y="57630"/>
          <a:ext cx="895966" cy="865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21773</xdr:colOff>
      <xdr:row>5</xdr:row>
      <xdr:rowOff>10886</xdr:rowOff>
    </xdr:from>
    <xdr:to>
      <xdr:col>26</xdr:col>
      <xdr:colOff>10886</xdr:colOff>
      <xdr:row>26</xdr:row>
      <xdr:rowOff>163286</xdr:rowOff>
    </xdr:to>
    <xdr:graphicFrame macro="">
      <xdr:nvGraphicFramePr>
        <xdr:cNvPr id="4" name="Grafik 3">
          <a:extLst>
            <a:ext uri="{FF2B5EF4-FFF2-40B4-BE49-F238E27FC236}">
              <a16:creationId xmlns:a16="http://schemas.microsoft.com/office/drawing/2014/main" id="{A95A53E4-D4E5-47CE-9C50-04C81597C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7620</xdr:colOff>
          <xdr:row>69</xdr:row>
          <xdr:rowOff>7620</xdr:rowOff>
        </xdr:from>
        <xdr:to>
          <xdr:col>3</xdr:col>
          <xdr:colOff>60960</xdr:colOff>
          <xdr:row>70</xdr:row>
          <xdr:rowOff>30480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6E7118B7-B4B3-42DA-8D52-BD3F755CAA7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70</xdr:row>
          <xdr:rowOff>7620</xdr:rowOff>
        </xdr:from>
        <xdr:to>
          <xdr:col>3</xdr:col>
          <xdr:colOff>60960</xdr:colOff>
          <xdr:row>71</xdr:row>
          <xdr:rowOff>30480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2343C3FA-0858-4091-9ECE-F3F6D835CD1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71</xdr:row>
          <xdr:rowOff>7620</xdr:rowOff>
        </xdr:from>
        <xdr:to>
          <xdr:col>3</xdr:col>
          <xdr:colOff>60960</xdr:colOff>
          <xdr:row>72</xdr:row>
          <xdr:rowOff>30480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BDECF885-2BD0-4902-B6A9-23CE7090CC8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72</xdr:row>
          <xdr:rowOff>7620</xdr:rowOff>
        </xdr:from>
        <xdr:to>
          <xdr:col>3</xdr:col>
          <xdr:colOff>60960</xdr:colOff>
          <xdr:row>73</xdr:row>
          <xdr:rowOff>30480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72D58EFD-E51E-42D3-BE04-97294E6244C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69</xdr:row>
          <xdr:rowOff>7620</xdr:rowOff>
        </xdr:from>
        <xdr:to>
          <xdr:col>5</xdr:col>
          <xdr:colOff>205740</xdr:colOff>
          <xdr:row>70</xdr:row>
          <xdr:rowOff>30480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5F10C861-3E1E-4776-87B8-36F2393262A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70</xdr:row>
          <xdr:rowOff>7620</xdr:rowOff>
        </xdr:from>
        <xdr:to>
          <xdr:col>5</xdr:col>
          <xdr:colOff>205740</xdr:colOff>
          <xdr:row>71</xdr:row>
          <xdr:rowOff>30480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2D1A6800-351F-48A3-9CB6-5D6EAE03E67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71</xdr:row>
          <xdr:rowOff>7620</xdr:rowOff>
        </xdr:from>
        <xdr:to>
          <xdr:col>5</xdr:col>
          <xdr:colOff>205740</xdr:colOff>
          <xdr:row>72</xdr:row>
          <xdr:rowOff>30480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2C441219-4609-49F1-9A9E-A7231D0838F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72</xdr:row>
          <xdr:rowOff>7620</xdr:rowOff>
        </xdr:from>
        <xdr:to>
          <xdr:col>5</xdr:col>
          <xdr:colOff>205740</xdr:colOff>
          <xdr:row>73</xdr:row>
          <xdr:rowOff>30480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FD8BA507-2170-40C4-AD5C-A9F518EC537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69</xdr:row>
          <xdr:rowOff>7620</xdr:rowOff>
        </xdr:from>
        <xdr:to>
          <xdr:col>6</xdr:col>
          <xdr:colOff>853440</xdr:colOff>
          <xdr:row>70</xdr:row>
          <xdr:rowOff>30480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4D6D8D7E-AFAF-4296-97EB-172DF3FEEFF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70</xdr:row>
          <xdr:rowOff>7620</xdr:rowOff>
        </xdr:from>
        <xdr:to>
          <xdr:col>6</xdr:col>
          <xdr:colOff>853440</xdr:colOff>
          <xdr:row>71</xdr:row>
          <xdr:rowOff>30480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B73B60E5-C846-4163-B2B2-793F6CBA97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71</xdr:row>
          <xdr:rowOff>7620</xdr:rowOff>
        </xdr:from>
        <xdr:to>
          <xdr:col>6</xdr:col>
          <xdr:colOff>853440</xdr:colOff>
          <xdr:row>72</xdr:row>
          <xdr:rowOff>30480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68B15602-69C8-4A1B-952F-6D178B141B6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72</xdr:row>
          <xdr:rowOff>7620</xdr:rowOff>
        </xdr:from>
        <xdr:to>
          <xdr:col>6</xdr:col>
          <xdr:colOff>853440</xdr:colOff>
          <xdr:row>73</xdr:row>
          <xdr:rowOff>30480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29428795-F067-49FA-9C18-CAE174AFF9A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69</xdr:row>
          <xdr:rowOff>7620</xdr:rowOff>
        </xdr:from>
        <xdr:to>
          <xdr:col>9</xdr:col>
          <xdr:colOff>106680</xdr:colOff>
          <xdr:row>70</xdr:row>
          <xdr:rowOff>30480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27036ED3-7BCF-4CCE-9C9E-47206FBA265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70</xdr:row>
          <xdr:rowOff>7620</xdr:rowOff>
        </xdr:from>
        <xdr:to>
          <xdr:col>9</xdr:col>
          <xdr:colOff>106680</xdr:colOff>
          <xdr:row>71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3DAA36AB-4E6F-4DCF-8A65-FE7EA75C3D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71</xdr:row>
          <xdr:rowOff>7620</xdr:rowOff>
        </xdr:from>
        <xdr:to>
          <xdr:col>9</xdr:col>
          <xdr:colOff>106680</xdr:colOff>
          <xdr:row>72</xdr:row>
          <xdr:rowOff>30480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5F7C6A8E-F5CA-4EF6-AA0C-8446C498B0E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72</xdr:row>
          <xdr:rowOff>7620</xdr:rowOff>
        </xdr:from>
        <xdr:to>
          <xdr:col>9</xdr:col>
          <xdr:colOff>106680</xdr:colOff>
          <xdr:row>73</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FC4458D2-E9A1-4739-8EB2-4D8D2CE928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69</xdr:row>
          <xdr:rowOff>7620</xdr:rowOff>
        </xdr:from>
        <xdr:to>
          <xdr:col>11</xdr:col>
          <xdr:colOff>160020</xdr:colOff>
          <xdr:row>70</xdr:row>
          <xdr:rowOff>30480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8B1B6781-9485-467F-8857-3F6D6303279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70</xdr:row>
          <xdr:rowOff>7620</xdr:rowOff>
        </xdr:from>
        <xdr:to>
          <xdr:col>11</xdr:col>
          <xdr:colOff>160020</xdr:colOff>
          <xdr:row>71</xdr:row>
          <xdr:rowOff>30480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6499C5A1-9C88-4AB9-B713-EE265861165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71</xdr:row>
          <xdr:rowOff>7620</xdr:rowOff>
        </xdr:from>
        <xdr:to>
          <xdr:col>11</xdr:col>
          <xdr:colOff>160020</xdr:colOff>
          <xdr:row>72</xdr:row>
          <xdr:rowOff>30480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D97F96FE-AC38-4BD5-87FC-D974164F66C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72</xdr:row>
          <xdr:rowOff>7620</xdr:rowOff>
        </xdr:from>
        <xdr:to>
          <xdr:col>11</xdr:col>
          <xdr:colOff>160020</xdr:colOff>
          <xdr:row>73</xdr:row>
          <xdr:rowOff>30480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F30F0B0C-31A6-4CB7-86D4-8D6C31C5BA6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69</xdr:row>
          <xdr:rowOff>7620</xdr:rowOff>
        </xdr:from>
        <xdr:to>
          <xdr:col>13</xdr:col>
          <xdr:colOff>7620</xdr:colOff>
          <xdr:row>70</xdr:row>
          <xdr:rowOff>30480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C8E5A69F-3D3E-476A-A220-994E86BB196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70</xdr:row>
          <xdr:rowOff>7620</xdr:rowOff>
        </xdr:from>
        <xdr:to>
          <xdr:col>13</xdr:col>
          <xdr:colOff>7620</xdr:colOff>
          <xdr:row>71</xdr:row>
          <xdr:rowOff>30480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FF76A8ED-8AD1-484C-9E2F-786B86D520E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71</xdr:row>
          <xdr:rowOff>7620</xdr:rowOff>
        </xdr:from>
        <xdr:to>
          <xdr:col>13</xdr:col>
          <xdr:colOff>7620</xdr:colOff>
          <xdr:row>72</xdr:row>
          <xdr:rowOff>30480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97E36A11-2DAD-4A5A-B06C-4F6E5B6C25A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72</xdr:row>
          <xdr:rowOff>7620</xdr:rowOff>
        </xdr:from>
        <xdr:to>
          <xdr:col>13</xdr:col>
          <xdr:colOff>7620</xdr:colOff>
          <xdr:row>73</xdr:row>
          <xdr:rowOff>30480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EB73B971-1AFE-4B68-9B38-AA39B19BD4E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69</xdr:row>
          <xdr:rowOff>7620</xdr:rowOff>
        </xdr:from>
        <xdr:to>
          <xdr:col>15</xdr:col>
          <xdr:colOff>0</xdr:colOff>
          <xdr:row>70</xdr:row>
          <xdr:rowOff>30480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22BA2527-A8FB-4141-86F9-0DB6F863A61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70</xdr:row>
          <xdr:rowOff>7620</xdr:rowOff>
        </xdr:from>
        <xdr:to>
          <xdr:col>15</xdr:col>
          <xdr:colOff>0</xdr:colOff>
          <xdr:row>71</xdr:row>
          <xdr:rowOff>30480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82DBE281-A325-455A-BF78-B810A313922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71</xdr:row>
          <xdr:rowOff>7620</xdr:rowOff>
        </xdr:from>
        <xdr:to>
          <xdr:col>15</xdr:col>
          <xdr:colOff>0</xdr:colOff>
          <xdr:row>72</xdr:row>
          <xdr:rowOff>30480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BBBFC349-9D26-461A-B0F0-3534CABC7BC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72</xdr:row>
          <xdr:rowOff>7620</xdr:rowOff>
        </xdr:from>
        <xdr:to>
          <xdr:col>15</xdr:col>
          <xdr:colOff>0</xdr:colOff>
          <xdr:row>73</xdr:row>
          <xdr:rowOff>30480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F9869AFD-33FD-46DA-87B1-E002A13FD62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69</xdr:row>
          <xdr:rowOff>7620</xdr:rowOff>
        </xdr:from>
        <xdr:to>
          <xdr:col>17</xdr:col>
          <xdr:colOff>7620</xdr:colOff>
          <xdr:row>70</xdr:row>
          <xdr:rowOff>30480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5400D8E5-DC36-459C-B54F-67A3B1A2557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70</xdr:row>
          <xdr:rowOff>7620</xdr:rowOff>
        </xdr:from>
        <xdr:to>
          <xdr:col>17</xdr:col>
          <xdr:colOff>7620</xdr:colOff>
          <xdr:row>71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12162AAF-5235-4B05-8814-E69B873AD7E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71</xdr:row>
          <xdr:rowOff>7620</xdr:rowOff>
        </xdr:from>
        <xdr:to>
          <xdr:col>17</xdr:col>
          <xdr:colOff>7620</xdr:colOff>
          <xdr:row>72</xdr:row>
          <xdr:rowOff>30480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26DA615E-17AD-4A64-8B84-5BCB6B9062E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72</xdr:row>
          <xdr:rowOff>7620</xdr:rowOff>
        </xdr:from>
        <xdr:to>
          <xdr:col>17</xdr:col>
          <xdr:colOff>7620</xdr:colOff>
          <xdr:row>73</xdr:row>
          <xdr:rowOff>30480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8A6193AD-B3CF-4595-B066-C5F674B9D76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69</xdr:row>
          <xdr:rowOff>7620</xdr:rowOff>
        </xdr:from>
        <xdr:to>
          <xdr:col>19</xdr:col>
          <xdr:colOff>0</xdr:colOff>
          <xdr:row>70</xdr:row>
          <xdr:rowOff>30480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A6BD7DE5-7B16-4FBB-A044-9D184A7238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70</xdr:row>
          <xdr:rowOff>7620</xdr:rowOff>
        </xdr:from>
        <xdr:to>
          <xdr:col>19</xdr:col>
          <xdr:colOff>0</xdr:colOff>
          <xdr:row>71</xdr:row>
          <xdr:rowOff>30480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47E08078-E75D-423A-935F-0468AF4524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71</xdr:row>
          <xdr:rowOff>7620</xdr:rowOff>
        </xdr:from>
        <xdr:to>
          <xdr:col>19</xdr:col>
          <xdr:colOff>0</xdr:colOff>
          <xdr:row>72</xdr:row>
          <xdr:rowOff>30480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24FC47E0-BAC6-4DA5-8EC8-1664A9D4D85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72</xdr:row>
          <xdr:rowOff>7620</xdr:rowOff>
        </xdr:from>
        <xdr:to>
          <xdr:col>19</xdr:col>
          <xdr:colOff>0</xdr:colOff>
          <xdr:row>73</xdr:row>
          <xdr:rowOff>30480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6428AA64-51DA-42C8-8535-933586E5FF3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69</xdr:row>
          <xdr:rowOff>7620</xdr:rowOff>
        </xdr:from>
        <xdr:to>
          <xdr:col>21</xdr:col>
          <xdr:colOff>7620</xdr:colOff>
          <xdr:row>70</xdr:row>
          <xdr:rowOff>30480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7B5584C6-4B35-4C03-971A-220C6095226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70</xdr:row>
          <xdr:rowOff>7620</xdr:rowOff>
        </xdr:from>
        <xdr:to>
          <xdr:col>21</xdr:col>
          <xdr:colOff>7620</xdr:colOff>
          <xdr:row>71</xdr:row>
          <xdr:rowOff>30480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330DD06C-CEB0-46A8-A81C-B3FC6123671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71</xdr:row>
          <xdr:rowOff>7620</xdr:rowOff>
        </xdr:from>
        <xdr:to>
          <xdr:col>21</xdr:col>
          <xdr:colOff>7620</xdr:colOff>
          <xdr:row>72</xdr:row>
          <xdr:rowOff>30480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909EA7C9-A7DC-4EED-9D56-1A7FCA3B89B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72</xdr:row>
          <xdr:rowOff>7620</xdr:rowOff>
        </xdr:from>
        <xdr:to>
          <xdr:col>21</xdr:col>
          <xdr:colOff>7620</xdr:colOff>
          <xdr:row>73</xdr:row>
          <xdr:rowOff>30480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FB04B794-0272-4100-8094-AF4E347EFC3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69</xdr:row>
          <xdr:rowOff>7620</xdr:rowOff>
        </xdr:from>
        <xdr:to>
          <xdr:col>22</xdr:col>
          <xdr:colOff>594360</xdr:colOff>
          <xdr:row>70</xdr:row>
          <xdr:rowOff>30480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57776295-5E95-4D05-A57C-84AF528AEE7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70</xdr:row>
          <xdr:rowOff>7620</xdr:rowOff>
        </xdr:from>
        <xdr:to>
          <xdr:col>22</xdr:col>
          <xdr:colOff>594360</xdr:colOff>
          <xdr:row>71</xdr:row>
          <xdr:rowOff>30480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5F5711F8-D2AB-4BC5-B642-445921C2E2C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71</xdr:row>
          <xdr:rowOff>7620</xdr:rowOff>
        </xdr:from>
        <xdr:to>
          <xdr:col>22</xdr:col>
          <xdr:colOff>594360</xdr:colOff>
          <xdr:row>72</xdr:row>
          <xdr:rowOff>30480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33814E58-8368-494F-BE50-5E1DCF558FD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72</xdr:row>
          <xdr:rowOff>7620</xdr:rowOff>
        </xdr:from>
        <xdr:to>
          <xdr:col>22</xdr:col>
          <xdr:colOff>594360</xdr:colOff>
          <xdr:row>73</xdr:row>
          <xdr:rowOff>30480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606E71B9-8CFC-4051-8E17-51EB3CAAEBD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15240</xdr:colOff>
          <xdr:row>71</xdr:row>
          <xdr:rowOff>190500</xdr:rowOff>
        </xdr:from>
        <xdr:to>
          <xdr:col>17</xdr:col>
          <xdr:colOff>15240</xdr:colOff>
          <xdr:row>73</xdr:row>
          <xdr:rowOff>22860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1E755E04-60B3-4580-899A-6E7FA8870FA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1</xdr:colOff>
      <xdr:row>48</xdr:row>
      <xdr:rowOff>178654</xdr:rowOff>
    </xdr:from>
    <xdr:to>
      <xdr:col>12</xdr:col>
      <xdr:colOff>1</xdr:colOff>
      <xdr:row>66</xdr:row>
      <xdr:rowOff>65314</xdr:rowOff>
    </xdr:to>
    <xdr:graphicFrame macro="">
      <xdr:nvGraphicFramePr>
        <xdr:cNvPr id="2" name="Grafik 1">
          <a:extLst>
            <a:ext uri="{FF2B5EF4-FFF2-40B4-BE49-F238E27FC236}">
              <a16:creationId xmlns:a16="http://schemas.microsoft.com/office/drawing/2014/main" id="{843A0AB2-B1D3-48DE-90AC-A7E68028C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892711</xdr:colOff>
      <xdr:row>3</xdr:row>
      <xdr:rowOff>101821</xdr:rowOff>
    </xdr:to>
    <xdr:pic>
      <xdr:nvPicPr>
        <xdr:cNvPr id="3" name="Resim 2" descr="Bilgisayar Mühendisliği - Çankaya Üniversitesi">
          <a:extLst>
            <a:ext uri="{FF2B5EF4-FFF2-40B4-BE49-F238E27FC236}">
              <a16:creationId xmlns:a16="http://schemas.microsoft.com/office/drawing/2014/main" id="{817FE65B-0284-46E0-A2E6-8D1B060F4CF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892711" cy="89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5442</xdr:colOff>
      <xdr:row>0</xdr:row>
      <xdr:rowOff>10885</xdr:rowOff>
    </xdr:from>
    <xdr:to>
      <xdr:col>24</xdr:col>
      <xdr:colOff>211042</xdr:colOff>
      <xdr:row>3</xdr:row>
      <xdr:rowOff>88032</xdr:rowOff>
    </xdr:to>
    <xdr:pic>
      <xdr:nvPicPr>
        <xdr:cNvPr id="4" name="Resim 3">
          <a:extLst>
            <a:ext uri="{FF2B5EF4-FFF2-40B4-BE49-F238E27FC236}">
              <a16:creationId xmlns:a16="http://schemas.microsoft.com/office/drawing/2014/main" id="{243F2378-0DBD-45F2-8721-59872A5B2B25}"/>
            </a:ext>
          </a:extLst>
        </xdr:cNvPr>
        <xdr:cNvPicPr>
          <a:picLocks noChangeAspect="1"/>
        </xdr:cNvPicPr>
      </xdr:nvPicPr>
      <xdr:blipFill>
        <a:blip xmlns:r="http://schemas.openxmlformats.org/officeDocument/2006/relationships" r:embed="rId3"/>
        <a:stretch>
          <a:fillRect/>
        </a:stretch>
      </xdr:blipFill>
      <xdr:spPr>
        <a:xfrm>
          <a:off x="18003882" y="10885"/>
          <a:ext cx="899020" cy="86962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875978</xdr:colOff>
      <xdr:row>50</xdr:row>
      <xdr:rowOff>178654</xdr:rowOff>
    </xdr:from>
    <xdr:to>
      <xdr:col>11</xdr:col>
      <xdr:colOff>1164771</xdr:colOff>
      <xdr:row>68</xdr:row>
      <xdr:rowOff>163286</xdr:rowOff>
    </xdr:to>
    <xdr:graphicFrame macro="">
      <xdr:nvGraphicFramePr>
        <xdr:cNvPr id="2" name="Grafik 1">
          <a:extLst>
            <a:ext uri="{FF2B5EF4-FFF2-40B4-BE49-F238E27FC236}">
              <a16:creationId xmlns:a16="http://schemas.microsoft.com/office/drawing/2014/main" id="{AA379BBC-A485-4F18-9AD6-747E0C34D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0</xdr:row>
      <xdr:rowOff>0</xdr:rowOff>
    </xdr:from>
    <xdr:ext cx="892629" cy="900000"/>
    <xdr:pic>
      <xdr:nvPicPr>
        <xdr:cNvPr id="3" name="Resim 2" descr="Bilgisayar Mühendisliği - Çankaya Üniversitesi">
          <a:extLst>
            <a:ext uri="{FF2B5EF4-FFF2-40B4-BE49-F238E27FC236}">
              <a16:creationId xmlns:a16="http://schemas.microsoft.com/office/drawing/2014/main" id="{253EA7C6-DBFA-405D-BE22-D98B8ACACAF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892629" cy="900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19</xdr:col>
      <xdr:colOff>185057</xdr:colOff>
      <xdr:row>0</xdr:row>
      <xdr:rowOff>0</xdr:rowOff>
    </xdr:from>
    <xdr:ext cx="895604" cy="900000"/>
    <xdr:pic>
      <xdr:nvPicPr>
        <xdr:cNvPr id="4" name="Resim 3">
          <a:extLst>
            <a:ext uri="{FF2B5EF4-FFF2-40B4-BE49-F238E27FC236}">
              <a16:creationId xmlns:a16="http://schemas.microsoft.com/office/drawing/2014/main" id="{9056EF4D-735A-41F3-AC65-31A3A0D7573D}"/>
            </a:ext>
          </a:extLst>
        </xdr:cNvPr>
        <xdr:cNvPicPr>
          <a:picLocks noChangeAspect="1"/>
        </xdr:cNvPicPr>
      </xdr:nvPicPr>
      <xdr:blipFill>
        <a:blip xmlns:r="http://schemas.openxmlformats.org/officeDocument/2006/relationships" r:embed="rId3"/>
        <a:stretch>
          <a:fillRect/>
        </a:stretch>
      </xdr:blipFill>
      <xdr:spPr>
        <a:xfrm>
          <a:off x="11333117" y="0"/>
          <a:ext cx="895604" cy="9000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892711" cy="896478"/>
    <xdr:pic>
      <xdr:nvPicPr>
        <xdr:cNvPr id="2" name="Resim 1" descr="Bilgisayar Mühendisliği - Çankaya Üniversitesi">
          <a:extLst>
            <a:ext uri="{FF2B5EF4-FFF2-40B4-BE49-F238E27FC236}">
              <a16:creationId xmlns:a16="http://schemas.microsoft.com/office/drawing/2014/main" id="{491C5864-D8D0-412C-9342-CB243D03C3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92711" cy="89647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28</xdr:col>
      <xdr:colOff>538842</xdr:colOff>
      <xdr:row>0</xdr:row>
      <xdr:rowOff>10885</xdr:rowOff>
    </xdr:from>
    <xdr:ext cx="902286" cy="871804"/>
    <xdr:pic>
      <xdr:nvPicPr>
        <xdr:cNvPr id="3" name="Resim 2">
          <a:extLst>
            <a:ext uri="{FF2B5EF4-FFF2-40B4-BE49-F238E27FC236}">
              <a16:creationId xmlns:a16="http://schemas.microsoft.com/office/drawing/2014/main" id="{1FD69AF3-1DFC-4EB2-A2B5-E20BE6714CB9}"/>
            </a:ext>
          </a:extLst>
        </xdr:cNvPr>
        <xdr:cNvPicPr>
          <a:picLocks noChangeAspect="1"/>
        </xdr:cNvPicPr>
      </xdr:nvPicPr>
      <xdr:blipFill>
        <a:blip xmlns:r="http://schemas.openxmlformats.org/officeDocument/2006/relationships" r:embed="rId2"/>
        <a:stretch>
          <a:fillRect/>
        </a:stretch>
      </xdr:blipFill>
      <xdr:spPr>
        <a:xfrm>
          <a:off x="17607642" y="10885"/>
          <a:ext cx="902286" cy="871804"/>
        </a:xfrm>
        <a:prstGeom prst="rect">
          <a:avLst/>
        </a:prstGeom>
      </xdr:spPr>
    </xdr:pic>
    <xdr:clientData/>
  </xdr:oneCellAnchor>
  <xdr:twoCellAnchor>
    <xdr:from>
      <xdr:col>17</xdr:col>
      <xdr:colOff>609600</xdr:colOff>
      <xdr:row>4</xdr:row>
      <xdr:rowOff>179613</xdr:rowOff>
    </xdr:from>
    <xdr:to>
      <xdr:col>26</xdr:col>
      <xdr:colOff>10886</xdr:colOff>
      <xdr:row>33</xdr:row>
      <xdr:rowOff>163285</xdr:rowOff>
    </xdr:to>
    <xdr:graphicFrame macro="">
      <xdr:nvGraphicFramePr>
        <xdr:cNvPr id="4" name="Grafik 3">
          <a:extLst>
            <a:ext uri="{FF2B5EF4-FFF2-40B4-BE49-F238E27FC236}">
              <a16:creationId xmlns:a16="http://schemas.microsoft.com/office/drawing/2014/main" id="{682B1DC8-9740-4F55-BD57-531727512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1</xdr:rowOff>
    </xdr:from>
    <xdr:ext cx="892711" cy="859970"/>
    <xdr:pic>
      <xdr:nvPicPr>
        <xdr:cNvPr id="2" name="Resim 1" descr="Bilgisayar Mühendisliği - Çankaya Üniversitesi">
          <a:extLst>
            <a:ext uri="{FF2B5EF4-FFF2-40B4-BE49-F238E27FC236}">
              <a16:creationId xmlns:a16="http://schemas.microsoft.com/office/drawing/2014/main" id="{1C9334AA-DD63-41AA-B2C5-AC92A959C1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892711" cy="8599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31</xdr:col>
      <xdr:colOff>408214</xdr:colOff>
      <xdr:row>0</xdr:row>
      <xdr:rowOff>0</xdr:rowOff>
    </xdr:from>
    <xdr:ext cx="902286" cy="870857"/>
    <xdr:pic>
      <xdr:nvPicPr>
        <xdr:cNvPr id="3" name="Resim 2">
          <a:extLst>
            <a:ext uri="{FF2B5EF4-FFF2-40B4-BE49-F238E27FC236}">
              <a16:creationId xmlns:a16="http://schemas.microsoft.com/office/drawing/2014/main" id="{CCBCC808-825E-4269-9459-5A3E8B3C9D01}"/>
            </a:ext>
          </a:extLst>
        </xdr:cNvPr>
        <xdr:cNvPicPr>
          <a:picLocks noChangeAspect="1"/>
        </xdr:cNvPicPr>
      </xdr:nvPicPr>
      <xdr:blipFill>
        <a:blip xmlns:r="http://schemas.openxmlformats.org/officeDocument/2006/relationships" r:embed="rId2"/>
        <a:stretch>
          <a:fillRect/>
        </a:stretch>
      </xdr:blipFill>
      <xdr:spPr>
        <a:xfrm>
          <a:off x="19305814" y="0"/>
          <a:ext cx="902286" cy="870857"/>
        </a:xfrm>
        <a:prstGeom prst="rect">
          <a:avLst/>
        </a:prstGeom>
      </xdr:spPr>
    </xdr:pic>
    <xdr:clientData/>
  </xdr:oneCellAnchor>
  <xdr:twoCellAnchor>
    <xdr:from>
      <xdr:col>19</xdr:col>
      <xdr:colOff>632360</xdr:colOff>
      <xdr:row>37</xdr:row>
      <xdr:rowOff>41068</xdr:rowOff>
    </xdr:from>
    <xdr:to>
      <xdr:col>32</xdr:col>
      <xdr:colOff>174171</xdr:colOff>
      <xdr:row>64</xdr:row>
      <xdr:rowOff>77188</xdr:rowOff>
    </xdr:to>
    <xdr:graphicFrame macro="">
      <xdr:nvGraphicFramePr>
        <xdr:cNvPr id="4" name="Grafik 3">
          <a:extLst>
            <a:ext uri="{FF2B5EF4-FFF2-40B4-BE49-F238E27FC236}">
              <a16:creationId xmlns:a16="http://schemas.microsoft.com/office/drawing/2014/main" id="{8944C66F-947A-4F72-964F-9D0AC226C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peren/Downloads/DersCiktilari-TaslakExcel%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yfa1"/>
      <sheetName val="Tablo6"/>
      <sheetName val="READ ME"/>
      <sheetName val="MAIN"/>
      <sheetName val="MIDTERM"/>
    </sheetNames>
    <sheetDataSet>
      <sheetData sheetId="0" refreshError="1"/>
      <sheetData sheetId="1" refreshError="1"/>
      <sheetData sheetId="2"/>
      <sheetData sheetId="3">
        <row r="4">
          <cell r="C4">
            <v>1</v>
          </cell>
          <cell r="K4">
            <v>7.56</v>
          </cell>
          <cell r="M4">
            <v>2.5835198658602518E-3</v>
          </cell>
        </row>
        <row r="5">
          <cell r="C5">
            <v>2</v>
          </cell>
          <cell r="K5">
            <v>7.6</v>
          </cell>
          <cell r="M5">
            <v>2.6004063125194665E-3</v>
          </cell>
        </row>
        <row r="6">
          <cell r="C6">
            <v>3</v>
          </cell>
          <cell r="K6">
            <v>8.42</v>
          </cell>
          <cell r="M6">
            <v>2.966255095607051E-3</v>
          </cell>
        </row>
        <row r="7">
          <cell r="C7">
            <v>30</v>
          </cell>
          <cell r="K7">
            <v>21.48</v>
          </cell>
          <cell r="M7">
            <v>1.4720569026309553E-2</v>
          </cell>
        </row>
        <row r="8">
          <cell r="C8">
            <v>29</v>
          </cell>
          <cell r="K8">
            <v>24.52</v>
          </cell>
          <cell r="M8">
            <v>1.8701540010571848E-2</v>
          </cell>
        </row>
        <row r="9">
          <cell r="C9">
            <v>28</v>
          </cell>
          <cell r="K9">
            <v>27.5</v>
          </cell>
          <cell r="M9">
            <v>2.2517649931579547E-2</v>
          </cell>
        </row>
        <row r="10">
          <cell r="C10">
            <v>27</v>
          </cell>
          <cell r="K10">
            <v>28.2</v>
          </cell>
          <cell r="M10">
            <v>2.3356865475674778E-2</v>
          </cell>
        </row>
        <row r="11">
          <cell r="C11">
            <v>26</v>
          </cell>
          <cell r="K11">
            <v>29.82</v>
          </cell>
          <cell r="M11">
            <v>2.5161640685374652E-2</v>
          </cell>
        </row>
        <row r="12">
          <cell r="C12">
            <v>25</v>
          </cell>
          <cell r="K12">
            <v>31.02</v>
          </cell>
          <cell r="M12">
            <v>2.6343500813529274E-2</v>
          </cell>
        </row>
        <row r="13">
          <cell r="C13">
            <v>22</v>
          </cell>
          <cell r="K13">
            <v>34.040000000000006</v>
          </cell>
          <cell r="M13">
            <v>2.855894170296823E-2</v>
          </cell>
        </row>
        <row r="14">
          <cell r="C14">
            <v>24</v>
          </cell>
          <cell r="K14">
            <v>36.46</v>
          </cell>
          <cell r="M14">
            <v>2.9393100692773337E-2</v>
          </cell>
        </row>
        <row r="15">
          <cell r="C15">
            <v>17</v>
          </cell>
          <cell r="K15">
            <v>36.5</v>
          </cell>
          <cell r="M15">
            <v>2.9399197861535199E-2</v>
          </cell>
        </row>
        <row r="16">
          <cell r="C16">
            <v>21</v>
          </cell>
          <cell r="K16">
            <v>37.1</v>
          </cell>
          <cell r="M16">
            <v>2.9459928382259248E-2</v>
          </cell>
        </row>
        <row r="17">
          <cell r="C17">
            <v>20</v>
          </cell>
          <cell r="K17">
            <v>39.4</v>
          </cell>
          <cell r="M17">
            <v>2.9158442590746642E-2</v>
          </cell>
        </row>
        <row r="18">
          <cell r="C18">
            <v>18</v>
          </cell>
          <cell r="K18">
            <v>39.480000000000004</v>
          </cell>
          <cell r="M18">
            <v>2.9132875007177667E-2</v>
          </cell>
        </row>
        <row r="19">
          <cell r="C19">
            <v>23</v>
          </cell>
          <cell r="K19">
            <v>39.620000000000005</v>
          </cell>
          <cell r="M19">
            <v>2.908574155866496E-2</v>
          </cell>
        </row>
        <row r="20">
          <cell r="C20">
            <v>12</v>
          </cell>
          <cell r="K20">
            <v>41.300000000000004</v>
          </cell>
          <cell r="M20">
            <v>2.8289088090760511E-2</v>
          </cell>
        </row>
        <row r="21">
          <cell r="C21">
            <v>19</v>
          </cell>
          <cell r="K21">
            <v>41.7</v>
          </cell>
          <cell r="M21">
            <v>2.8038931309781329E-2</v>
          </cell>
        </row>
        <row r="22">
          <cell r="C22">
            <v>16</v>
          </cell>
          <cell r="K22">
            <v>42.3</v>
          </cell>
          <cell r="M22">
            <v>2.7622585181342061E-2</v>
          </cell>
        </row>
        <row r="23">
          <cell r="C23">
            <v>15</v>
          </cell>
          <cell r="K23">
            <v>43.870000000000005</v>
          </cell>
          <cell r="M23">
            <v>2.631642468448479E-2</v>
          </cell>
        </row>
        <row r="24">
          <cell r="C24">
            <v>11</v>
          </cell>
          <cell r="K24">
            <v>44.08</v>
          </cell>
          <cell r="M24">
            <v>2.6119813534685173E-2</v>
          </cell>
        </row>
        <row r="25">
          <cell r="C25">
            <v>14</v>
          </cell>
          <cell r="K25">
            <v>45.24</v>
          </cell>
          <cell r="M25">
            <v>2.4951526469312774E-2</v>
          </cell>
        </row>
        <row r="26">
          <cell r="C26">
            <v>13</v>
          </cell>
          <cell r="K26">
            <v>46.239999999999995</v>
          </cell>
          <cell r="M26">
            <v>2.384547790320761E-2</v>
          </cell>
        </row>
        <row r="27">
          <cell r="C27">
            <v>10</v>
          </cell>
          <cell r="K27">
            <v>46.379999999999995</v>
          </cell>
          <cell r="M27">
            <v>2.3684279603739766E-2</v>
          </cell>
        </row>
        <row r="28">
          <cell r="C28">
            <v>9</v>
          </cell>
          <cell r="K28">
            <v>47.3</v>
          </cell>
          <cell r="M28">
            <v>2.2591563133072187E-2</v>
          </cell>
        </row>
        <row r="29">
          <cell r="C29">
            <v>8</v>
          </cell>
          <cell r="K29">
            <v>49.04</v>
          </cell>
          <cell r="M29">
            <v>2.0401607494210355E-2</v>
          </cell>
        </row>
        <row r="30">
          <cell r="C30">
            <v>7</v>
          </cell>
          <cell r="K30">
            <v>52.839999999999996</v>
          </cell>
          <cell r="M30">
            <v>1.5417492944803013E-2</v>
          </cell>
        </row>
        <row r="31">
          <cell r="C31">
            <v>6</v>
          </cell>
          <cell r="K31">
            <v>53.2</v>
          </cell>
          <cell r="M31">
            <v>1.4952525787742199E-2</v>
          </cell>
        </row>
        <row r="32">
          <cell r="C32">
            <v>5</v>
          </cell>
          <cell r="K32">
            <v>57.7</v>
          </cell>
          <cell r="M32">
            <v>9.6064371118935454E-3</v>
          </cell>
        </row>
        <row r="33">
          <cell r="C33">
            <v>4</v>
          </cell>
          <cell r="K33">
            <v>63</v>
          </cell>
          <cell r="M33">
            <v>4.9511906617681943E-3</v>
          </cell>
        </row>
        <row r="38">
          <cell r="O38" t="str">
            <v>Çıktı-1</v>
          </cell>
          <cell r="Q38">
            <v>30</v>
          </cell>
          <cell r="R38">
            <v>70</v>
          </cell>
          <cell r="S38">
            <v>45</v>
          </cell>
          <cell r="T38">
            <v>25</v>
          </cell>
        </row>
        <row r="39">
          <cell r="O39" t="str">
            <v>Çıktı-2</v>
          </cell>
          <cell r="Q39">
            <v>10</v>
          </cell>
          <cell r="S39">
            <v>10</v>
          </cell>
          <cell r="T39">
            <v>40</v>
          </cell>
        </row>
        <row r="40">
          <cell r="O40" t="str">
            <v>Çıktı-3</v>
          </cell>
          <cell r="R40">
            <v>40</v>
          </cell>
          <cell r="S40">
            <v>20</v>
          </cell>
          <cell r="T40">
            <v>50</v>
          </cell>
        </row>
        <row r="41">
          <cell r="O41" t="str">
            <v>Çıktı-4</v>
          </cell>
          <cell r="Q41">
            <v>40</v>
          </cell>
          <cell r="R41">
            <v>20</v>
          </cell>
          <cell r="S41">
            <v>10</v>
          </cell>
          <cell r="T41">
            <v>55</v>
          </cell>
        </row>
      </sheetData>
      <sheetData sheetId="4">
        <row r="5">
          <cell r="C5">
            <v>1</v>
          </cell>
          <cell r="M5">
            <v>0</v>
          </cell>
          <cell r="N5">
            <v>0</v>
          </cell>
          <cell r="O5">
            <v>0</v>
          </cell>
          <cell r="P5">
            <v>0</v>
          </cell>
          <cell r="Q5">
            <v>0</v>
          </cell>
          <cell r="S5">
            <v>2.4428421796479677E-3</v>
          </cell>
        </row>
        <row r="6">
          <cell r="C6">
            <v>2</v>
          </cell>
          <cell r="M6">
            <v>0</v>
          </cell>
          <cell r="N6">
            <v>0</v>
          </cell>
          <cell r="O6">
            <v>0</v>
          </cell>
          <cell r="P6">
            <v>0</v>
          </cell>
          <cell r="Q6">
            <v>0</v>
          </cell>
          <cell r="S6">
            <v>2.4428421796479677E-3</v>
          </cell>
        </row>
        <row r="7">
          <cell r="C7">
            <v>3</v>
          </cell>
          <cell r="M7">
            <v>0</v>
          </cell>
          <cell r="N7">
            <v>0</v>
          </cell>
          <cell r="O7">
            <v>0</v>
          </cell>
          <cell r="P7">
            <v>0</v>
          </cell>
          <cell r="Q7">
            <v>0</v>
          </cell>
          <cell r="S7">
            <v>2.4428421796479677E-3</v>
          </cell>
        </row>
        <row r="8">
          <cell r="C8">
            <v>4</v>
          </cell>
          <cell r="M8">
            <v>71</v>
          </cell>
          <cell r="N8">
            <v>13.666666666666666</v>
          </cell>
          <cell r="O8">
            <v>6.5</v>
          </cell>
          <cell r="P8">
            <v>3.6666666666666665</v>
          </cell>
          <cell r="Q8">
            <v>36.166666666666664</v>
          </cell>
          <cell r="S8">
            <v>4.1940278803414199E-3</v>
          </cell>
        </row>
        <row r="9">
          <cell r="C9">
            <v>5</v>
          </cell>
          <cell r="M9">
            <v>67</v>
          </cell>
          <cell r="N9">
            <v>17.75</v>
          </cell>
          <cell r="O9">
            <v>8</v>
          </cell>
          <cell r="P9">
            <v>2</v>
          </cell>
          <cell r="Q9">
            <v>30.666666666666668</v>
          </cell>
          <cell r="S9">
            <v>6.1180895764037227E-3</v>
          </cell>
        </row>
        <row r="10">
          <cell r="C10">
            <v>6</v>
          </cell>
          <cell r="M10">
            <v>62</v>
          </cell>
          <cell r="N10">
            <v>14.666666666666666</v>
          </cell>
          <cell r="O10">
            <v>2.333333333333333</v>
          </cell>
          <cell r="P10">
            <v>3.6666666666666665</v>
          </cell>
          <cell r="Q10">
            <v>31.166666666666668</v>
          </cell>
          <cell r="S10">
            <v>9.1588558478442415E-3</v>
          </cell>
        </row>
        <row r="11">
          <cell r="C11">
            <v>7</v>
          </cell>
          <cell r="M11">
            <v>57</v>
          </cell>
          <cell r="N11">
            <v>14.333333333333334</v>
          </cell>
          <cell r="O11">
            <v>2.6666666666666665</v>
          </cell>
          <cell r="P11">
            <v>4.3333333333333339</v>
          </cell>
          <cell r="Q11">
            <v>31</v>
          </cell>
          <cell r="S11">
            <v>1.2705893806020505E-2</v>
          </cell>
        </row>
        <row r="12">
          <cell r="C12">
            <v>8</v>
          </cell>
          <cell r="M12">
            <v>55</v>
          </cell>
          <cell r="N12">
            <v>11.5</v>
          </cell>
          <cell r="O12">
            <v>5.5</v>
          </cell>
          <cell r="P12">
            <v>2</v>
          </cell>
          <cell r="Q12">
            <v>22.166666666666664</v>
          </cell>
          <cell r="S12">
            <v>1.4177956179946404E-2</v>
          </cell>
        </row>
        <row r="13">
          <cell r="C13">
            <v>9</v>
          </cell>
          <cell r="M13">
            <v>53</v>
          </cell>
          <cell r="N13">
            <v>9.1666666666666661</v>
          </cell>
          <cell r="O13">
            <v>5.5</v>
          </cell>
          <cell r="P13">
            <v>2.6666666666666665</v>
          </cell>
          <cell r="Q13">
            <v>23</v>
          </cell>
          <cell r="S13">
            <v>1.5629036846777963E-2</v>
          </cell>
        </row>
        <row r="14">
          <cell r="C14">
            <v>10</v>
          </cell>
          <cell r="M14">
            <v>50</v>
          </cell>
          <cell r="N14">
            <v>13.833333333333332</v>
          </cell>
          <cell r="O14">
            <v>2</v>
          </cell>
          <cell r="P14">
            <v>3.333333333333333</v>
          </cell>
          <cell r="Q14">
            <v>12.833333333333332</v>
          </cell>
          <cell r="S14">
            <v>1.7680383242776862E-2</v>
          </cell>
        </row>
        <row r="15">
          <cell r="C15">
            <v>11</v>
          </cell>
          <cell r="M15">
            <v>50</v>
          </cell>
          <cell r="N15">
            <v>11.666666666666666</v>
          </cell>
          <cell r="O15">
            <v>3</v>
          </cell>
          <cell r="P15">
            <v>2.6666666666666665</v>
          </cell>
          <cell r="Q15">
            <v>24.833333333333332</v>
          </cell>
          <cell r="S15">
            <v>1.7680383242776862E-2</v>
          </cell>
        </row>
        <row r="16">
          <cell r="C16">
            <v>12</v>
          </cell>
          <cell r="M16">
            <v>48</v>
          </cell>
          <cell r="N16">
            <v>8.5</v>
          </cell>
          <cell r="O16">
            <v>3.833333333333333</v>
          </cell>
          <cell r="P16">
            <v>2</v>
          </cell>
          <cell r="Q16">
            <v>25</v>
          </cell>
          <cell r="S16">
            <v>1.8905392662284057E-2</v>
          </cell>
        </row>
        <row r="17">
          <cell r="C17">
            <v>13</v>
          </cell>
          <cell r="M17">
            <v>48</v>
          </cell>
          <cell r="N17">
            <v>11.666666666666666</v>
          </cell>
          <cell r="O17">
            <v>4.333333333333333</v>
          </cell>
          <cell r="P17">
            <v>3.6666666666666665</v>
          </cell>
          <cell r="Q17">
            <v>25</v>
          </cell>
          <cell r="S17">
            <v>1.8905392662284057E-2</v>
          </cell>
        </row>
        <row r="18">
          <cell r="C18">
            <v>14</v>
          </cell>
          <cell r="M18">
            <v>47</v>
          </cell>
          <cell r="N18">
            <v>7.5</v>
          </cell>
          <cell r="O18">
            <v>4.833333333333333</v>
          </cell>
          <cell r="P18">
            <v>3</v>
          </cell>
          <cell r="Q18">
            <v>25.333333333333332</v>
          </cell>
          <cell r="S18">
            <v>1.9460277639275211E-2</v>
          </cell>
        </row>
        <row r="19">
          <cell r="C19">
            <v>15</v>
          </cell>
          <cell r="M19">
            <v>44</v>
          </cell>
          <cell r="N19">
            <v>12</v>
          </cell>
          <cell r="O19">
            <v>2.6666666666666665</v>
          </cell>
          <cell r="P19">
            <v>2</v>
          </cell>
          <cell r="Q19">
            <v>15</v>
          </cell>
          <cell r="S19">
            <v>2.0840315400294896E-2</v>
          </cell>
        </row>
        <row r="20">
          <cell r="C20">
            <v>16</v>
          </cell>
          <cell r="M20">
            <v>43</v>
          </cell>
          <cell r="N20">
            <v>9.6666666666666661</v>
          </cell>
          <cell r="O20">
            <v>3.6666666666666665</v>
          </cell>
          <cell r="P20">
            <v>1.6666666666666665</v>
          </cell>
          <cell r="Q20">
            <v>18.833333333333332</v>
          </cell>
          <cell r="S20">
            <v>2.1192285407833772E-2</v>
          </cell>
        </row>
        <row r="21">
          <cell r="C21">
            <v>17</v>
          </cell>
          <cell r="M21">
            <v>42</v>
          </cell>
          <cell r="N21">
            <v>14.5</v>
          </cell>
          <cell r="O21">
            <v>2.1666666666666665</v>
          </cell>
          <cell r="P21">
            <v>2</v>
          </cell>
          <cell r="Q21">
            <v>15.666666666666668</v>
          </cell>
          <cell r="S21">
            <v>2.1484677809694316E-2</v>
          </cell>
        </row>
        <row r="22">
          <cell r="C22">
            <v>18</v>
          </cell>
          <cell r="M22">
            <v>42</v>
          </cell>
          <cell r="N22">
            <v>5.5</v>
          </cell>
          <cell r="O22">
            <v>3.333333333333333</v>
          </cell>
          <cell r="P22">
            <v>2</v>
          </cell>
          <cell r="Q22">
            <v>18.166666666666664</v>
          </cell>
          <cell r="S22">
            <v>2.1484677809694316E-2</v>
          </cell>
        </row>
        <row r="23">
          <cell r="C23">
            <v>19</v>
          </cell>
          <cell r="M23">
            <v>40</v>
          </cell>
          <cell r="N23">
            <v>12.666666666666666</v>
          </cell>
          <cell r="O23">
            <v>2.1666666666666665</v>
          </cell>
          <cell r="P23">
            <v>2.6666666666666665</v>
          </cell>
          <cell r="Q23">
            <v>10.666666666666666</v>
          </cell>
          <cell r="S23">
            <v>2.1880819321820844E-2</v>
          </cell>
        </row>
        <row r="24">
          <cell r="C24">
            <v>20</v>
          </cell>
          <cell r="M24">
            <v>40</v>
          </cell>
          <cell r="N24">
            <v>8.5</v>
          </cell>
          <cell r="O24">
            <v>3.833333333333333</v>
          </cell>
          <cell r="P24">
            <v>1</v>
          </cell>
          <cell r="Q24">
            <v>15.499999999999998</v>
          </cell>
          <cell r="S24">
            <v>2.1880819321820844E-2</v>
          </cell>
        </row>
        <row r="25">
          <cell r="C25">
            <v>21</v>
          </cell>
          <cell r="M25">
            <v>37</v>
          </cell>
          <cell r="N25">
            <v>9.1666666666666661</v>
          </cell>
          <cell r="O25">
            <v>1.5</v>
          </cell>
          <cell r="P25">
            <v>1.6666666666666665</v>
          </cell>
          <cell r="Q25">
            <v>22.166666666666664</v>
          </cell>
          <cell r="S25">
            <v>2.1980990760215053E-2</v>
          </cell>
        </row>
        <row r="26">
          <cell r="C26">
            <v>22</v>
          </cell>
          <cell r="M26">
            <v>36</v>
          </cell>
          <cell r="N26">
            <v>11</v>
          </cell>
          <cell r="O26">
            <v>0</v>
          </cell>
          <cell r="P26">
            <v>2</v>
          </cell>
          <cell r="Q26">
            <v>13.166666666666666</v>
          </cell>
          <cell r="S26">
            <v>2.1880819321820844E-2</v>
          </cell>
        </row>
        <row r="27">
          <cell r="C27">
            <v>23</v>
          </cell>
          <cell r="M27">
            <v>36</v>
          </cell>
          <cell r="N27">
            <v>12.5</v>
          </cell>
          <cell r="O27">
            <v>3.5</v>
          </cell>
          <cell r="P27">
            <v>2</v>
          </cell>
          <cell r="Q27">
            <v>10.333333333333334</v>
          </cell>
          <cell r="S27">
            <v>2.1880819321820844E-2</v>
          </cell>
        </row>
        <row r="28">
          <cell r="C28">
            <v>24</v>
          </cell>
          <cell r="M28">
            <v>35</v>
          </cell>
          <cell r="N28">
            <v>14.666666666666666</v>
          </cell>
          <cell r="O28">
            <v>5.6666666666666661</v>
          </cell>
          <cell r="P28">
            <v>0.66666666666666663</v>
          </cell>
          <cell r="Q28">
            <v>12.666666666666668</v>
          </cell>
          <cell r="S28">
            <v>2.1714880340688841E-2</v>
          </cell>
        </row>
        <row r="29">
          <cell r="C29">
            <v>25</v>
          </cell>
          <cell r="M29">
            <v>28</v>
          </cell>
          <cell r="N29">
            <v>8.1666666666666661</v>
          </cell>
          <cell r="O29">
            <v>1</v>
          </cell>
          <cell r="P29">
            <v>2.6666666666666665</v>
          </cell>
          <cell r="Q29">
            <v>7.6666666666666661</v>
          </cell>
          <cell r="S29">
            <v>1.8905392662284057E-2</v>
          </cell>
        </row>
        <row r="30">
          <cell r="C30">
            <v>26</v>
          </cell>
          <cell r="M30">
            <v>25</v>
          </cell>
          <cell r="N30">
            <v>7.6666666666666661</v>
          </cell>
          <cell r="O30">
            <v>1</v>
          </cell>
          <cell r="P30">
            <v>1.6666666666666665</v>
          </cell>
          <cell r="Q30">
            <v>7.8333333333333321</v>
          </cell>
          <cell r="S30">
            <v>1.7020055707633003E-2</v>
          </cell>
        </row>
        <row r="31">
          <cell r="C31">
            <v>27</v>
          </cell>
          <cell r="M31">
            <v>24</v>
          </cell>
          <cell r="N31">
            <v>3.6666666666666665</v>
          </cell>
          <cell r="O31">
            <v>1.6666666666666665</v>
          </cell>
          <cell r="P31">
            <v>0.66666666666666663</v>
          </cell>
          <cell r="Q31">
            <v>12</v>
          </cell>
          <cell r="S31">
            <v>1.6334574426045821E-2</v>
          </cell>
        </row>
        <row r="32">
          <cell r="C32">
            <v>28</v>
          </cell>
          <cell r="M32">
            <v>22</v>
          </cell>
          <cell r="N32">
            <v>7.5</v>
          </cell>
          <cell r="O32">
            <v>0.5</v>
          </cell>
          <cell r="P32">
            <v>2</v>
          </cell>
          <cell r="Q32">
            <v>7.1666666666666661</v>
          </cell>
          <cell r="S32">
            <v>1.4908506887514609E-2</v>
          </cell>
        </row>
        <row r="33">
          <cell r="C33">
            <v>29</v>
          </cell>
          <cell r="M33">
            <v>21</v>
          </cell>
          <cell r="N33">
            <v>4.5</v>
          </cell>
          <cell r="O33">
            <v>1.6666666666666665</v>
          </cell>
          <cell r="P33">
            <v>2</v>
          </cell>
          <cell r="Q33">
            <v>10.333333333333332</v>
          </cell>
          <cell r="S33">
            <v>1.4177956179946404E-2</v>
          </cell>
        </row>
        <row r="34">
          <cell r="C34">
            <v>30</v>
          </cell>
          <cell r="M34">
            <v>17</v>
          </cell>
          <cell r="N34">
            <v>4</v>
          </cell>
          <cell r="O34">
            <v>1.3333333333333333</v>
          </cell>
          <cell r="P34">
            <v>1</v>
          </cell>
          <cell r="Q34">
            <v>11.333333333333334</v>
          </cell>
          <cell r="S34">
            <v>1.1248820574905113E-2</v>
          </cell>
        </row>
        <row r="37">
          <cell r="D37">
            <v>30</v>
          </cell>
        </row>
        <row r="38">
          <cell r="D38">
            <v>10</v>
          </cell>
        </row>
        <row r="39">
          <cell r="D39">
            <v>5</v>
          </cell>
        </row>
        <row r="40">
          <cell r="D40">
            <v>40</v>
          </cell>
        </row>
        <row r="43">
          <cell r="J43">
            <v>30</v>
          </cell>
          <cell r="L43">
            <v>9.3305555555555539</v>
          </cell>
        </row>
        <row r="44">
          <cell r="J44">
            <v>10</v>
          </cell>
          <cell r="L44">
            <v>2.8055555555555554</v>
          </cell>
        </row>
        <row r="45">
          <cell r="J45">
            <v>5</v>
          </cell>
          <cell r="L45">
            <v>2.0222222222222217</v>
          </cell>
        </row>
        <row r="46">
          <cell r="J46">
            <v>40</v>
          </cell>
          <cell r="L46">
            <v>16.522222222222226</v>
          </cell>
        </row>
        <row r="55">
          <cell r="N55" t="str">
            <v>Mean</v>
          </cell>
          <cell r="O55" t="str">
            <v>Variance</v>
          </cell>
        </row>
        <row r="56">
          <cell r="N56">
            <v>38</v>
          </cell>
          <cell r="O56">
            <v>18.121810064118872</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0B0328-4A25-405C-8EF4-4EACF8C4FB68}" name="Tablo23" displayName="Tablo23" ref="B3:I10" totalsRowShown="0">
  <autoFilter ref="B3:I10" xr:uid="{64AD45C8-2718-4B4C-A6BB-40D12800E48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0DD2F0B-1745-47F1-A283-972B6E26240C}" name="-"/>
    <tableColumn id="2" xr3:uid="{68FB82F1-079B-4206-BD7B-735B66BC5B9F}" name="Midterm" dataDxfId="433"/>
    <tableColumn id="3" xr3:uid="{E9740B7C-4EC5-4500-9F69-ABED1F781CD6}" name="FINAL" dataDxfId="432"/>
    <tableColumn id="4" xr3:uid="{0DD6F82C-BF34-45DC-96F7-558CDF74531C}" name="HOMEWORK" dataDxfId="431"/>
    <tableColumn id="5" xr3:uid="{F57FAA35-A293-49BE-8C44-73DBD6C958B8}" name="LAB" dataDxfId="430"/>
    <tableColumn id="6" xr3:uid="{5EE3065B-A438-465B-8F74-892BC0A611A8}" name="BONUS" dataCellStyle="Nötr"/>
    <tableColumn id="7" xr3:uid="{26AB5106-0136-44BF-9B57-FAA7E030E3CA}" name="Total Points" dataDxfId="429"/>
    <tableColumn id="8" xr3:uid="{3C2CE628-445C-45F2-B522-3840174D5A07}" name="Letter Grade" dataDxfId="428"/>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9E5850-4616-4AED-B6A2-488A06C58109}" name="Tablo2331" displayName="Tablo2331" ref="B13:I20" totalsRowShown="0">
  <autoFilter ref="B13:I20" xr:uid="{B41D653D-CBD3-421B-8BD9-5351A7AC0D1C}"/>
  <tableColumns count="8">
    <tableColumn id="1" xr3:uid="{F352E4AC-A3CD-4570-81E9-3AEB4580C08D}" name="-"/>
    <tableColumn id="2" xr3:uid="{A31E081C-5AA1-4461-87F7-0AF6A8978081}" name="Q1" dataDxfId="427"/>
    <tableColumn id="3" xr3:uid="{26D6BE5F-CC97-46A9-926C-600B06322C53}" name="Q2" dataDxfId="426"/>
    <tableColumn id="4" xr3:uid="{272F0264-5A18-4FDF-9A13-CE75E8374C21}" name="Q3" dataDxfId="425"/>
    <tableColumn id="5" xr3:uid="{4F4F6DD2-AA82-4463-B1F1-53369D28F357}" name="Q4" dataDxfId="424"/>
    <tableColumn id="6" xr3:uid="{62237324-D4F5-45ED-B225-EA16050BB717}" name="Q5" dataCellStyle="Normal"/>
    <tableColumn id="7" xr3:uid="{1BB710AB-F751-4B32-AE65-C8B2ACBC8209}" name="Q6" dataCellStyle="İşaretli Hücre"/>
    <tableColumn id="8" xr3:uid="{B230410B-1127-4C0D-9B41-D540142A3F93}" name="Total Points2" dataCellStyle="İşaretli Hücr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A030FF-3D5C-44F4-AD28-F6972F7923A5}" name="Tablo643" displayName="Tablo643" ref="B27:D37" totalsRowShown="0">
  <autoFilter ref="B27:D37" xr:uid="{04A54518-26DB-4A77-A1BA-33435BD5BD10}"/>
  <tableColumns count="3">
    <tableColumn id="1" xr3:uid="{DB7FE250-F6D9-4E33-A985-F822F2D6C70B}" name="Grade"/>
    <tableColumn id="2" xr3:uid="{930854BA-DC50-49B6-B6E4-D570A0D996F7}" name="Min" dataDxfId="423"/>
    <tableColumn id="3" xr3:uid="{B2A3C016-D387-449A-957E-CCD44E490137}" name="Max" dataDxfId="422"/>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BFEC0A-3178-433E-AC4B-1AF1704615A7}" name="Tablo1947" displayName="Tablo1947" ref="B22:J23" totalsRowShown="0" headerRowDxfId="421" dataDxfId="420">
  <autoFilter ref="B22:J23" xr:uid="{F263088E-9F4A-4139-87BF-FD37B9C787AA}"/>
  <tableColumns count="9">
    <tableColumn id="1" xr3:uid="{B6B45146-1D0B-4DAB-9EFE-8B47D41F9446}" name="Sütun1"/>
    <tableColumn id="2" xr3:uid="{BA6B551D-8BBA-4E82-8CB1-D494E11C3805}" name="Q1" dataDxfId="419"/>
    <tableColumn id="3" xr3:uid="{A9F27DC0-1188-4182-B069-7E0F224BCB14}" name="Q2" dataDxfId="418"/>
    <tableColumn id="4" xr3:uid="{D296F19E-D931-4438-AF9E-96AA67709CE7}" name="Q3" dataDxfId="417"/>
    <tableColumn id="5" xr3:uid="{C38A19CA-5DCF-40EB-8C8E-D74D89DA4039}" name="Q4" dataDxfId="416"/>
    <tableColumn id="6" xr3:uid="{5D58A74D-CD98-49C9-9355-FAD782271C36}" name="Q5" dataDxfId="415"/>
    <tableColumn id="7" xr3:uid="{3A1FF6B7-7DF7-42E2-8F83-8724550DE5EB}" name="Q6" dataDxfId="414"/>
    <tableColumn id="8" xr3:uid="{7C04A442-0762-40C7-8532-37364978C9A5}" name="Q7" dataDxfId="413"/>
    <tableColumn id="9" xr3:uid="{4F8F145E-0EFF-4293-B66D-61CF37532048}" name="TOTAL" dataDxfId="412" dataCellStyle="İşaretli Hücre">
      <calculatedColumnFormula>SUM(C23:I23)</calculatedColumnFormula>
    </tableColumn>
  </tableColumns>
  <tableStyleInfo name="TableStyleDark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74BE73-89FE-436C-B344-9344BE719D8D}" name="Tablo849" displayName="Tablo849" ref="B40:D45" totalsRowShown="0">
  <autoFilter ref="B40:D45" xr:uid="{BD708D14-2781-4379-94F6-A5FF0E1DD845}"/>
  <tableColumns count="3">
    <tableColumn id="1" xr3:uid="{8229B6B5-7BAF-4806-B9BC-E36A3F6062DD}" name="Item"/>
    <tableColumn id="2" xr3:uid="{DE5E48B3-912A-4F9E-8F8A-0A8D066BCE60}" name="Multiplier" dataDxfId="411"/>
    <tableColumn id="3" xr3:uid="{2984A3DA-A9DC-4A7B-BD5E-97E4A7205F72}" name="Base Value" dataDxfId="410" dataCellStyle="İşaretli Hücre"/>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BEAF6A-4A80-496A-B51E-A0809E7A068B}" name="Tablo451" displayName="Tablo451" ref="B57:E61" totalsRowShown="0">
  <autoFilter ref="B57:E61" xr:uid="{2774CDC5-1B7B-431D-901B-D7430390CEA9}"/>
  <tableColumns count="4">
    <tableColumn id="1" xr3:uid="{AE8F675B-7ED4-4FE7-A4A2-B7B15C502509}" name="DERS ÇIKTILARI" dataDxfId="409"/>
    <tableColumn id="2" xr3:uid="{1E4D80F0-BF48-4ADA-BFCB-0D82AF6EB417}" name="DERS ÇIKTISI ADI"/>
    <tableColumn id="3" xr3:uid="{45E55DD8-4E03-4588-B15E-568461EC1D3C}" name="DERS ÇIKTISI TABAN PUANI" dataDxfId="408">
      <calculatedColumnFormula>[1]MAIN!Q57</calculatedColumnFormula>
    </tableColumn>
    <tableColumn id="4" xr3:uid="{F4BE8450-D267-49C6-88E6-B743CC487A1D}" name="KULLANILMAMIŞ PUAN" dataDxfId="407">
      <calculatedColumnFormula>Tablo451[[#This Row],[DERS ÇIKTISI TABAN PUANI]]-J64</calculatedColumnFormula>
    </tableColumn>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E6E2230-821D-44CE-A6EF-BE1E5645D4EC}" name="Tablo1653" displayName="Tablo1653" ref="B66:L70" totalsRowShown="0">
  <autoFilter ref="B66:L70" xr:uid="{50F93EB3-93D0-495A-9DF0-531D14167A0B}"/>
  <tableColumns count="11">
    <tableColumn id="1" xr3:uid="{4C17C3CE-2285-42EF-B4F8-D20254E20A1D}" name="Ders Çıktıları" dataDxfId="406"/>
    <tableColumn id="2" xr3:uid="{475369BA-43CA-492F-B950-DB9412A7BCA7}" name="Q1" dataDxfId="405">
      <calculatedColumnFormula>SUM(N29:N58)</calculatedColumnFormula>
    </tableColumn>
    <tableColumn id="3" xr3:uid="{050982C8-B87B-42FE-9869-76A5A760D9A1}" name="Q2" dataDxfId="404"/>
    <tableColumn id="4" xr3:uid="{F82C7CFF-6AFF-49D7-AEC2-B398479F9F90}" name="Q3" dataDxfId="403"/>
    <tableColumn id="5" xr3:uid="{B74B86DE-02D2-4716-AF34-999FED03233B}" name="Q4" dataDxfId="402"/>
    <tableColumn id="6" xr3:uid="{E8157F24-BEA6-4909-A14A-06F456541B12}" name="Q5" dataDxfId="401"/>
    <tableColumn id="7" xr3:uid="{F06BE17B-5BC2-436E-B44F-B75F8813040F}" name="Q6" dataDxfId="400"/>
    <tableColumn id="8" xr3:uid="{A624E896-3145-46F0-95AA-6354AF6D4D19}" name="Q7" dataDxfId="399"/>
    <tableColumn id="9" xr3:uid="{B73B6B22-6D79-4066-B1DE-5C623AFCC0B6}" name="TOPLAM" dataDxfId="398" dataCellStyle="İşaretli Hücre">
      <calculatedColumnFormula>SUM(Tablo1653[[#This Row],[Q1]:[Q7]])</calculatedColumnFormula>
    </tableColumn>
    <tableColumn id="10" xr3:uid="{7F49A61D-B7B2-4FFA-B3BB-DB86E4C095C0}" name="TOTAL DÇ" dataDxfId="397" dataCellStyle="İşaretli Hücre">
      <calculatedColumnFormula>SUM([1]!Tablo17[DÇ1])/(30*D61)</calculatedColumnFormula>
    </tableColumn>
    <tableColumn id="11" xr3:uid="{CDA3A2B7-398F-45D2-9C40-585116F03266}" name="CONTRIBUTION" dataDxfId="396" dataCellStyle="İşaretli Hücre">
      <calculatedColumnFormula>$K67*$D61</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FC9971F-F76D-4BD6-BED4-AFD4238FC99C}" name="Tablo41357" displayName="Tablo41357" ref="B76:H80" totalsRowShown="0" headerRowDxfId="395" dataDxfId="394">
  <autoFilter ref="B76:H80" xr:uid="{6408FF75-656B-4886-A59F-96CA01491BDE}"/>
  <tableColumns count="7">
    <tableColumn id="1" xr3:uid="{E26E649F-62B2-422D-9773-A55914C2CD67}" name="DERS ÇIKTILARI" dataDxfId="393"/>
    <tableColumn id="2" xr3:uid="{AF18BB43-71CB-49E8-9967-4EDF56E47076}" name="DERS ÇIKTISI ADI" dataDxfId="392" dataCellStyle="Nötr"/>
    <tableColumn id="3" xr3:uid="{DC4328C5-6E72-47BA-89A0-4DFFFF14518A}" name="DÇ KATSAYISI" dataDxfId="391"/>
    <tableColumn id="4" xr3:uid="{259745B2-4881-46A9-BBC2-A0A3B102C225}" name="Midterm" dataDxfId="390"/>
    <tableColumn id="5" xr3:uid="{ADA0B4D1-BC74-40AE-9043-1CA35D8FEBB1}" name="FINAL" dataDxfId="389"/>
    <tableColumn id="6" xr3:uid="{B696C93A-85E6-4A04-8831-840C32DCA59F}" name="HOMEWORK" dataDxfId="388"/>
    <tableColumn id="7" xr3:uid="{870C73C7-C515-48D3-9703-877778B24BD5}" name="LAB" dataDxfId="387"/>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FB1A58D-C639-4BAF-98D7-A0E39D3700B0}" name="Tablo9" displayName="Tablo9" ref="M3:M33" totalsRowShown="0" headerRowDxfId="386" dataDxfId="385">
  <autoFilter ref="M3:M33" xr:uid="{EA17154D-6873-489E-8F36-2FB4EBBABD47}"/>
  <tableColumns count="1">
    <tableColumn id="1" xr3:uid="{06090519-6D4E-4F8E-BFE4-1E07C27AFB85}" name="Normal Dist." dataDxfId="384">
      <calculatedColumnFormula>_xlfn.NORM.DIST(K4,$T$32,$U$32,FALSE)</calculatedColumnFormula>
    </tableColumn>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DD2B7D-B99E-4702-A823-34ACBBE69075}" name="Tablo2" displayName="Tablo2" ref="C36:I66" totalsRowShown="0" headerRowDxfId="383" dataDxfId="382">
  <autoFilter ref="C36:I66" xr:uid="{DEDDCB13-C9D9-4AA3-8F71-86DB1041A886}"/>
  <tableColumns count="7">
    <tableColumn id="1" xr3:uid="{EFA2E165-783B-4540-8544-03EFE330BFF7}" name="Student No" dataDxfId="381"/>
    <tableColumn id="2" xr3:uid="{C0536AF4-0CBC-4243-B850-3B95116E6E67}" name="Student Name" dataDxfId="380">
      <calculatedColumnFormula>VLOOKUP(Tablo2[[#This Row],[Student No]],Tablo1[[Student No]:[Surname]],2,FALSE)</calculatedColumnFormula>
    </tableColumn>
    <tableColumn id="3" xr3:uid="{61D4994A-05CF-4EE2-88DE-D66E17587887}" name="Student Surname" dataDxfId="379">
      <calculatedColumnFormula>VLOOKUP(Tablo2[[#This Row],[Student No]],Tablo1[[Student No]:[Surname]],3,FALSE)</calculatedColumnFormula>
    </tableColumn>
    <tableColumn id="4" xr3:uid="{B5B60C9D-BC3D-46EB-A8ED-7B4E932183F3}" name="DÇ-1" dataDxfId="378">
      <calculatedColumnFormula>([1]MIDTERM!N5/[1]MIDTERM!$D$37+FINAL!N5/FINAL!$D$37+HOMEWORK!L5/HOMEWORK!$O$38+LAB!U5/LAB!$D$46)/4</calculatedColumnFormula>
    </tableColumn>
    <tableColumn id="5" xr3:uid="{10A7111E-2DE8-481D-8F9B-512F4DEF9AFC}" name="DÇ-2" dataDxfId="377">
      <calculatedColumnFormula>([1]MIDTERM!O5/[1]MIDTERM!$D$38+FINAL!O5/FINAL!$D$38+HOMEWORK!M5/HOMEWORK!$O$39+LAB!V5/LAB!$D$47)/4</calculatedColumnFormula>
    </tableColumn>
    <tableColumn id="6" xr3:uid="{F1D3A795-9695-415B-951C-D8083ED02E22}" name="DÇ-3" dataDxfId="376">
      <calculatedColumnFormula>([1]MIDTERM!P5/[1]MIDTERM!$D$39+FINAL!P5/FINAL!$D$39+HOMEWORK!N5/HOMEWORK!$O$40+LAB!W5/LAB!$D$48)/4</calculatedColumnFormula>
    </tableColumn>
    <tableColumn id="7" xr3:uid="{1580BDC0-2F5B-443F-BFC1-8F20CA6FBD03}" name="DÇ-4" dataDxfId="375">
      <calculatedColumnFormula>([1]MIDTERM!Q5/[1]MIDTERM!$D$40+FINAL!Q5/FINAL!$D$40+HOMEWORK!O5/HOMEWORK!$O$41+LAB!X5/LAB!$D$49)/4</calculatedColumnFormula>
    </tableColumn>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D76AB33-47E5-4B21-81ED-CD475A8BD48D}" name="Tablo413" displayName="Tablo413" ref="N37:T41" totalsRowShown="0" headerRowDxfId="374" dataDxfId="373">
  <autoFilter ref="N37:T41" xr:uid="{41641738-48B6-4143-B9C3-7BB111516182}"/>
  <tableColumns count="7">
    <tableColumn id="1" xr3:uid="{439A6C9B-3090-4E7D-BF44-20729A5738A8}" name="DERS ÇIKTILARI" dataDxfId="372"/>
    <tableColumn id="2" xr3:uid="{91CFB2A4-5CC3-4179-B4C9-1BB44FBBA76B}" name="DERS ÇIKTISI ADI" dataDxfId="371" dataCellStyle="Nötr"/>
    <tableColumn id="3" xr3:uid="{23905483-6689-41D2-BED2-413BB13CBE1A}" name="DÇ KATSAYISI" dataDxfId="370">
      <calculatedColumnFormula>Tablo413[[#This Row],[Midterm]]+Tablo413[[#This Row],[FINAL]]+Tablo413[[#This Row],[HOMEWORK]]+Tablo413[[#This Row],[LAB]]</calculatedColumnFormula>
    </tableColumn>
    <tableColumn id="4" xr3:uid="{09130BBF-606E-46C7-A109-C9A7D338B736}" name="Midterm" dataDxfId="369">
      <calculatedColumnFormula>[1]MIDTERM!J43</calculatedColumnFormula>
    </tableColumn>
    <tableColumn id="5" xr3:uid="{19CC25FE-23CC-4679-9B17-EFC18BD203C2}" name="FINAL" dataDxfId="368">
      <calculatedColumnFormula>FINAL!J43</calculatedColumnFormula>
    </tableColumn>
    <tableColumn id="6" xr3:uid="{57300922-4F07-4064-A1F3-8216CA193DD4}" name="HOMEWORK" dataDxfId="367">
      <calculatedColumnFormula>HOMEWORK!I38</calculatedColumnFormula>
    </tableColumn>
    <tableColumn id="7" xr3:uid="{E70201AB-D649-4ABD-A10B-26FCD8ACF92E}" name="LAB" dataDxfId="366">
      <calculatedColumnFormula>LAB!Q37</calculatedColumnFormula>
    </tableColumn>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7910B3-67A3-4A4D-AB05-AF4EFBDF219A}" name="Tablo41342" displayName="Tablo41342" ref="N45:T49" totalsRowShown="0" headerRowDxfId="365" dataDxfId="364">
  <autoFilter ref="N45:T49" xr:uid="{C5AA04C5-DD01-4DCA-AC46-04658F661912}"/>
  <tableColumns count="7">
    <tableColumn id="1" xr3:uid="{4FA4B07F-778F-4BE0-A744-665C24472904}" name="DERS ÇIKTILARI" dataDxfId="363"/>
    <tableColumn id="2" xr3:uid="{C54C7E43-D162-4FA3-9926-2638A9E7B80F}" name="DERS ÇIKTISI ADI" dataDxfId="362"/>
    <tableColumn id="3" xr3:uid="{06018063-2687-4D8D-8ACA-ED0CE4EBF50F}" name="LAB" dataDxfId="361">
      <calculatedColumnFormula>LAB!S37</calculatedColumnFormula>
    </tableColumn>
    <tableColumn id="4" xr3:uid="{A3376C07-6C72-41CA-9EA7-2FC955D99708}" name="Midterm" dataDxfId="360">
      <calculatedColumnFormula>[1]MIDTERM!L43</calculatedColumnFormula>
    </tableColumn>
    <tableColumn id="5" xr3:uid="{4431D04A-90F2-4EED-B95B-DE166932C13A}" name="FINAL" dataDxfId="359">
      <calculatedColumnFormula>FINAL!L43</calculatedColumnFormula>
    </tableColumn>
    <tableColumn id="6" xr3:uid="{F7D1B257-27F2-4272-80D2-48F26FD16EB5}" name="HOMEWORK" dataDxfId="358">
      <calculatedColumnFormula>HOMEWORK!K38</calculatedColumnFormula>
    </tableColumn>
    <tableColumn id="7" xr3:uid="{91689B1C-AD4B-4A1D-87A7-44D30B6966BF}" name="Toplam Katkı" dataDxfId="357">
      <calculatedColumnFormula>SUM(Tablo41342[[#This Row],[LAB]:[HOMEWORK]])/P38</calculatedColumnFormula>
    </tableColumn>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AB97972-B214-4911-90DB-A3CFFB9B0629}" name="Tablo6" displayName="Tablo6" ref="O6:Q16" totalsRowShown="0">
  <autoFilter ref="O6:Q16" xr:uid="{EC0E0B44-7234-4F1F-88FB-1DED5C02D3D4}"/>
  <tableColumns count="3">
    <tableColumn id="1" xr3:uid="{97347585-B52E-45C3-8C1A-9A08DF8DE7D7}" name="Grade"/>
    <tableColumn id="2" xr3:uid="{F7B2DCE4-A872-4566-8BC0-0824189BB800}" name="Min" dataDxfId="356"/>
    <tableColumn id="3" xr3:uid="{02D31D05-BC83-4039-BD80-E8C2BBE9066D}" name="Max" dataDxfId="355"/>
  </tableColumns>
  <tableStyleInfo name="TableStyleMedium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5D1C32C-A89D-4F06-BA04-146D2B444498}" name="Tablo8" displayName="Tablo8" ref="O19:Q24" totalsRowShown="0">
  <autoFilter ref="O19:Q24" xr:uid="{8139BC6B-F648-4220-AF63-57FDFB2CC3E4}"/>
  <tableColumns count="3">
    <tableColumn id="1" xr3:uid="{371E7B6E-80FA-457D-A0FE-33E191EA4CF7}" name="Item"/>
    <tableColumn id="2" xr3:uid="{4F82386C-7185-4A13-982F-F49482D35C8A}" name="Multiplier" dataDxfId="354"/>
    <tableColumn id="3" xr3:uid="{6752D0E2-8E7D-49C9-B6E7-E383024DD7A6}" name="Base Value" dataDxfId="353" dataCellStyle="İşaretli Hücre"/>
  </tableColumns>
  <tableStyleInfo name="TableStyleMedium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87DF6B0-AD4C-466B-AC6C-60300F172624}" name="Tablo10" displayName="Tablo10" ref="T31:U32" totalsRowShown="0" headerRowDxfId="352" dataDxfId="351">
  <autoFilter ref="T31:U32" xr:uid="{BA65856D-8288-4CD4-BBED-CDDC7BAC08B9}"/>
  <tableColumns count="2">
    <tableColumn id="1" xr3:uid="{F74C5147-0FF6-45BA-B2B9-FA9A78D6D171}" name="Mean" dataDxfId="350">
      <calculatedColumnFormula>AVERAGE(Tablo1[Total Points])</calculatedColumnFormula>
    </tableColumn>
    <tableColumn id="2" xr3:uid="{DE41A4D5-22E5-4C7A-8291-819D2DA5531F}" name="Variance" dataDxfId="349">
      <calculatedColumnFormula>_xlfn.STDEV.P(Tablo1[Total Points])</calculatedColumnFormula>
    </tableColumn>
  </tableColumns>
  <tableStyleInfo name="TableStyleMedium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056E86-6E8C-470B-B27F-7651CC43355B}" name="Tablo1" displayName="Tablo1" ref="C3:L33" totalsRowShown="0" headerRowDxfId="348" dataDxfId="347">
  <autoFilter ref="C3:L33" xr:uid="{003B8D3F-61E0-4F2B-BDC4-0D84F48031F7}"/>
  <sortState xmlns:xlrd2="http://schemas.microsoft.com/office/spreadsheetml/2017/richdata2" ref="C4:L33">
    <sortCondition ref="K3:K33"/>
  </sortState>
  <tableColumns count="10">
    <tableColumn id="1" xr3:uid="{3CBDEC77-748B-486F-88E6-BE9C6C58BF6E}" name="Student No" dataDxfId="346">
      <calculatedColumnFormula>C3+1</calculatedColumnFormula>
    </tableColumn>
    <tableColumn id="2" xr3:uid="{37177DEA-8E3B-4023-8B6F-B0FC319DFFCC}" name="Name" dataDxfId="345"/>
    <tableColumn id="3" xr3:uid="{82F38DEA-7429-4E50-9990-3256F6F9D2E8}" name="Surname" dataDxfId="344"/>
    <tableColumn id="4" xr3:uid="{03E4E87F-E274-461D-B1DE-AA22D26BA099}" name="Midterm" dataDxfId="343">
      <calculatedColumnFormula>VLOOKUP(Tablo1[[#This Row],[Student No]],[1]!Tablo17[[STUDENT ID]:[TOTAL GRADE]],11,FALSE)</calculatedColumnFormula>
    </tableColumn>
    <tableColumn id="5" xr3:uid="{F13DCFED-149F-4223-B373-FFA3EE8138B6}" name="FINAL" dataDxfId="342">
      <calculatedColumnFormula>VLOOKUP(Tablo1[[#This Row],[Student No]],Tablo1738[[STUDENT ID]:[TOTAL GRADE]],11,FALSE)</calculatedColumnFormula>
    </tableColumn>
    <tableColumn id="6" xr3:uid="{1DABDFD1-3B9D-425D-AA57-A71EC086FF10}" name="HOMEWORK" dataDxfId="341">
      <calculatedColumnFormula>VLOOKUP(Tablo1[[#This Row],[Student No]],Tablo3[[Student No]:[TOTAL]],9,FALSE)</calculatedColumnFormula>
    </tableColumn>
    <tableColumn id="7" xr3:uid="{781725B7-B8BB-403A-8D96-B5ED467EB71A}" name="LAB" dataDxfId="340">
      <calculatedColumnFormula>VLOOKUP(Tablo1[[#This Row],[Student No]],Tablo314[[Student No]:[TOTAL]],18,FALSE)</calculatedColumnFormula>
    </tableColumn>
    <tableColumn id="8" xr3:uid="{95A04B59-7999-4284-B74A-40DB6E992848}" name="BONUS" dataDxfId="339" dataCellStyle="Nötr"/>
    <tableColumn id="9" xr3:uid="{8FEAF490-5360-40CB-9615-FAA6FDBFD384}" name="Total Points" dataDxfId="338">
      <calculatedColumnFormula>(F4*$P$22%*100/$Q$22+G4*$P$23%*100/$Q$23+H4*$P$20%*100/$Q$20+I4*$P$21%*100/$Q$21)+Tablo1[[#This Row],[BONUS]]</calculatedColumnFormula>
    </tableColumn>
    <tableColumn id="10" xr3:uid="{8F1CF06A-3A89-4627-B63E-7EBC31F9F5B8}" name="Letter Grade" dataDxfId="337">
      <calculatedColumnFormula array="1">_xlfn.IFS(AND(K4&gt;=$P$7,K4&lt;$Q$7),"AA",AND(K4&gt;=$P$8,K4&lt;$Q$8),"AB",AND(K4&gt;=$P$9,K4&lt;$Q$9),"BB",AND(K4&gt;=$P$10,K4&lt;$Q$10),"CB",AND(K4&gt;=$P$11,K4&lt;$Q$11),"CC",AND(K4&gt;=$P$12,K4&lt;$Q$12),"DC",AND(K4&gt;=$P$13,K4&lt;$Q$13),"DD",AND(K4&gt;=$P$14,K4&lt;$Q$14),"FD",AND(K4&gt;=$P$15,K4&lt;$Q$15),"FF")</calculatedColumnFormula>
    </tableColumn>
  </tableColumns>
  <tableStyleInfo name="TableStyleMedium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BDE01A-5D1E-4D63-99FB-EE7E5294D68D}" name="Tablo4" displayName="Tablo4" ref="B36:E40" totalsRowShown="0">
  <autoFilter ref="B36:E40" xr:uid="{6D21FA25-FDF7-4DA4-A79D-25DD4AF9FF07}">
    <filterColumn colId="0" hiddenButton="1"/>
    <filterColumn colId="1" hiddenButton="1"/>
    <filterColumn colId="2" hiddenButton="1"/>
    <filterColumn colId="3" hiddenButton="1"/>
  </autoFilter>
  <tableColumns count="4">
    <tableColumn id="1" xr3:uid="{C0CD75B7-464B-41A9-973F-330D7C05A129}" name="DERS ÇIKTILARI" dataDxfId="336"/>
    <tableColumn id="2" xr3:uid="{1EE423FE-D7AC-410F-95AB-031D41B82218}" name="DERS ÇIKTISI ADI" dataDxfId="335">
      <calculatedColumnFormula>[1]MAIN!$O38</calculatedColumnFormula>
    </tableColumn>
    <tableColumn id="3" xr3:uid="{07CD995D-F3FB-465E-A864-1B6A2DB98227}" name="DERS ÇIKTISI KATSAYISI" dataDxfId="334">
      <calculatedColumnFormula>[1]MAIN!Q38</calculatedColumnFormula>
    </tableColumn>
    <tableColumn id="4" xr3:uid="{4BA7C2E3-A31F-4C43-93C6-9FD206F18C62}" name="KALAN KATSAYI" dataCellStyle="Normal">
      <calculatedColumnFormula>Tablo4[[#This Row],[DERS ÇIKTISI KATSAYISI]]-J43</calculatedColumnFormula>
    </tableColumn>
  </tableColumns>
  <tableStyleInfo name="TableStyleMedium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2658AA4-0CF0-4C5F-9F87-4FFB80E0D2AB}" name="Tablo16" displayName="Tablo16" ref="B42:L46" totalsRowShown="0">
  <autoFilter ref="B42:L46" xr:uid="{4F67F6BB-2F57-4582-8889-85F254035DE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DBA4DCF-AE65-4466-9319-FD93F1CBA84E}" name="Ders Çıktıları" dataDxfId="333"/>
    <tableColumn id="2" xr3:uid="{94CE6DDD-38A2-47AD-A0DD-498F8273F5C2}" name="Q1" dataDxfId="332">
      <calculatedColumnFormula>SUM(N5:N34)</calculatedColumnFormula>
    </tableColumn>
    <tableColumn id="3" xr3:uid="{39C4D9D8-B04D-40AC-8AA5-516C04802A4C}" name="Q2" dataDxfId="331"/>
    <tableColumn id="4" xr3:uid="{F9888C2F-DBA2-4B2F-82A0-264D8151F738}" name="Q3" dataDxfId="330"/>
    <tableColumn id="5" xr3:uid="{F498D0E9-1532-4755-8478-5F58D6D2504F}" name="Q4" dataDxfId="329"/>
    <tableColumn id="6" xr3:uid="{A08BE901-5432-4121-A1E9-6B03F698EBF8}" name="Q5" dataDxfId="328"/>
    <tableColumn id="7" xr3:uid="{220CCB04-3E36-4725-92F3-0475130ADE3F}" name="Q6" dataDxfId="327"/>
    <tableColumn id="8" xr3:uid="{FC85A7B3-22DB-49E4-9B60-DA97AAA6D4F7}" name="Q7" dataDxfId="326"/>
    <tableColumn id="9" xr3:uid="{34236004-B565-46B8-B3A5-63E92A6DF649}" name="TOPLAM" dataDxfId="325" dataCellStyle="İşaretli Hücre">
      <calculatedColumnFormula>SUM(Tablo16[[#This Row],[Q1]:[Q7]])</calculatedColumnFormula>
    </tableColumn>
    <tableColumn id="10" xr3:uid="{D8C214E2-054A-4D34-9923-B8743CB1C0B4}" name="TOTAL DÇ" dataDxfId="324" dataCellStyle="İşaretli Hücre">
      <calculatedColumnFormula>SUM(Tablo17[DÇ1])/(30*D37)</calculatedColumnFormula>
    </tableColumn>
    <tableColumn id="11" xr3:uid="{21C1BEA0-F71B-46D1-9714-B8B12EA20FD1}" name="CONTRIBUTION" dataDxfId="323" dataCellStyle="İşaretli Hücre">
      <calculatedColumnFormula>$K43*$D37</calculatedColumnFormula>
    </tableColumn>
  </tableColumns>
  <tableStyleInfo name="TableStyleMedium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AC909DE-4ACB-42A7-B547-DB5DD8B921B7}" name="Tablo17" displayName="Tablo17" ref="C4:R34" headerRowDxfId="322" dataDxfId="321" totalsRowDxfId="320">
  <autoFilter ref="C4:R34" xr:uid="{1D47A4E7-FFBD-4986-ADC6-27B2471D3E4F}"/>
  <sortState xmlns:xlrd2="http://schemas.microsoft.com/office/spreadsheetml/2017/richdata2" ref="C5:R34">
    <sortCondition ref="C4:C34"/>
  </sortState>
  <tableColumns count="16">
    <tableColumn id="1" xr3:uid="{6D89A353-F84F-4BF0-B342-20040BF711D3}" name="STUDENT ID" totalsRowLabel="Toplam" dataDxfId="319"/>
    <tableColumn id="16" xr3:uid="{9C0CFA0C-A113-4007-9D69-F3C7F24980F0}" name="Name" dataDxfId="318"/>
    <tableColumn id="2" xr3:uid="{E18D0827-2B0D-451D-9EC5-DBA0E2B24C5D}" name="Surname" dataDxfId="317"/>
    <tableColumn id="3" xr3:uid="{0B1229E5-938E-4798-9FDE-D8AAE5F27108}" name="Q1" dataDxfId="315" totalsRowDxfId="316"/>
    <tableColumn id="4" xr3:uid="{4A3100E5-C21B-47F1-B571-2AF847E66316}" name="Q2" dataDxfId="313" totalsRowDxfId="314"/>
    <tableColumn id="5" xr3:uid="{DA6AE55A-91C9-4411-9A1B-9EAB409ED2DD}" name="Q3" dataDxfId="311" totalsRowDxfId="312"/>
    <tableColumn id="6" xr3:uid="{364F3E3A-AA06-455B-9DFE-DDCFCD09F990}" name="Q4" dataDxfId="309" totalsRowDxfId="310"/>
    <tableColumn id="7" xr3:uid="{B84F3990-0405-4EF6-A755-F8D8F5C19DF2}" name="Q5" dataDxfId="307" totalsRowDxfId="308"/>
    <tableColumn id="8" xr3:uid="{EE1B2262-EE4F-462E-BA74-2AA9C2B282A5}" name="Q6" dataDxfId="305" totalsRowDxfId="306"/>
    <tableColumn id="9" xr3:uid="{83522EF4-C05B-4E96-B67B-91825219A880}" name="Q7" totalsRowFunction="sum" dataDxfId="303" totalsRowDxfId="304"/>
    <tableColumn id="10" xr3:uid="{8B66A2E4-9F01-43E8-AB0E-7740273B4D1A}" name="TOTAL GRADE" dataDxfId="302" dataCellStyle="İşaretli Hücre">
      <calculatedColumnFormula>SUM(F5:L5)</calculatedColumnFormula>
    </tableColumn>
    <tableColumn id="11" xr3:uid="{6F261614-97CC-4509-9577-01E9E0BD7625}" name="DÇ1" dataDxfId="300" totalsRowDxfId="301" dataCellStyle="İşaretli Hücre">
      <calculatedColumnFormula array="1">Tablo17[[#This Row],[Q1]]/Tablo19[Q1]*$C$43+G5/Tablo19[Q2]*$D$43+H5/Tablo19[Q3]*$E$43+I5/Tablo19[Q4]*$F$43+J5/Tablo19[Q5]*$G$43+K5/Tablo19[Q6]*$H$43+L5/Tablo19[Q7]*$I$43</calculatedColumnFormula>
    </tableColumn>
    <tableColumn id="12" xr3:uid="{A799A336-4CFC-4039-ACA6-1A29D41D4008}" name="DÇ2" dataDxfId="299" dataCellStyle="İşaretli Hücre">
      <calculatedColumnFormula array="1">Tablo17[[#This Row],[Q1]]/Tablo19[Q1]*$C$44+G5/Tablo19[Q2]*$D$44+H5/Tablo19[Q3]*$E$44+I5/Tablo19[Q4]*$F$44+J5/Tablo19[Q5]*$G$44+K5/Tablo19[Q6]*$H$44+L5/Tablo19[Q7]*$I$44</calculatedColumnFormula>
    </tableColumn>
    <tableColumn id="13" xr3:uid="{8851BA2E-B08F-4D6D-A63E-97715C7ADB06}" name="DÇ3" dataDxfId="297" totalsRowDxfId="298" dataCellStyle="İşaretli Hücre">
      <calculatedColumnFormula array="1">Tablo17[[#This Row],[Q1]]/Tablo19[Q1]*$C$45+G5/Tablo19[Q2]*$D$45+H5/Tablo19[Q3]*$E$45+I5/Tablo19[Q4]*$F$45+J5/Tablo19[Q5]*$G$45+K5/Tablo19[Q6]*$H$45+L5/Tablo19[Q7]*$I$45</calculatedColumnFormula>
    </tableColumn>
    <tableColumn id="14" xr3:uid="{C45AEEC7-09AA-4D2B-8A46-95DFB4376DDB}" name="DÇ4" dataDxfId="295" totalsRowDxfId="296" dataCellStyle="İşaretli Hücre">
      <calculatedColumnFormula array="1">Tablo17[[#This Row],[Q1]]/Tablo19[Q1]*$C$46+G5/Tablo19[Q2]*$D$46+H5/Tablo19[Q3]*$E$46+I5/Tablo19[Q4]*$F$46+J5/Tablo19[Q5]*$G$46+K5/Tablo19[Q6]*$H$46+L5/Tablo19[Q7]*$I$46</calculatedColumnFormula>
    </tableColumn>
    <tableColumn id="15" xr3:uid="{AAAC7F1A-3E04-4FE6-A852-945642433BD8}" name="TOT" dataDxfId="293" totalsRowDxfId="294" dataCellStyle="İşaretli Hücre">
      <calculatedColumnFormula>SUM(N5:Q5)</calculatedColumnFormula>
    </tableColumn>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AB033B8-B9C2-4ED0-8342-70792F4114A5}" name="Tablo19" displayName="Tablo19" ref="G36:O37" totalsRowShown="0" headerRowDxfId="292" dataDxfId="291">
  <autoFilter ref="G36:O37" xr:uid="{A67FE10B-DC8C-4119-87C3-07629A08B2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E6394A3-BB59-4808-ACB8-C71C13FD272C}" name="Sütun1"/>
    <tableColumn id="2" xr3:uid="{7D247B5D-B7A9-4F75-8D3F-AE54B7A3A080}" name="Q1" dataDxfId="290"/>
    <tableColumn id="3" xr3:uid="{8EF116F9-8547-4CDF-AC20-D45371E8EF51}" name="Q2" dataDxfId="289"/>
    <tableColumn id="4" xr3:uid="{BB7005FD-F0E1-4038-AB45-F322C56A5752}" name="Q3" dataDxfId="288"/>
    <tableColumn id="5" xr3:uid="{8165C4AD-34CD-4B32-A8D7-D609605B843B}" name="Q4" dataDxfId="287"/>
    <tableColumn id="6" xr3:uid="{403D439C-8666-4F12-B318-2814111B8831}" name="Q5" dataDxfId="286"/>
    <tableColumn id="7" xr3:uid="{57858887-3BE5-4E91-954B-AC465DD38B09}" name="Q6" dataDxfId="285"/>
    <tableColumn id="8" xr3:uid="{60BD9F1B-828F-4111-A0C5-39256D632772}" name="Q7" dataDxfId="284"/>
    <tableColumn id="9" xr3:uid="{E5D0B6B5-42F0-4F75-A996-A194805BD8D6}" name="TOTAL" dataDxfId="283">
      <calculatedColumnFormula>SUM(H37:N37)</calculatedColumnFormula>
    </tableColumn>
  </tableColumns>
  <tableStyleInfo name="TableStyleDark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6AB4CCF-C41D-4474-9736-F39268E651D6}" name="Tablo20" displayName="Tablo20" ref="N55:O56" totalsRowShown="0" headerRowDxfId="282" dataDxfId="281">
  <autoFilter ref="N55:O56" xr:uid="{C969751D-E417-49AC-84A5-5CA00045EC12}">
    <filterColumn colId="0" hiddenButton="1"/>
    <filterColumn colId="1" hiddenButton="1"/>
  </autoFilter>
  <tableColumns count="2">
    <tableColumn id="1" xr3:uid="{E8388F98-B121-417D-8C2B-2667530AEF69}" name="Mean" dataDxfId="280">
      <calculatedColumnFormula>AVERAGE(Tablo17[TOTAL GRADE])</calculatedColumnFormula>
    </tableColumn>
    <tableColumn id="2" xr3:uid="{0126C625-38AD-4069-AF94-9344D0FD3D42}" name="Variance" dataDxfId="279">
      <calculatedColumnFormula>_xlfn.STDEV.P(Tablo17[TOTAL GRADE])</calculatedColumnFormula>
    </tableColumn>
  </tableColumns>
  <tableStyleInfo name="TableStyleMedium3"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3855F86-CE15-4171-8616-08735AE56C92}" name="Tablo21" displayName="Tablo21" ref="S4:S34" totalsRowShown="0" headerRowDxfId="278" dataCellStyle="İşaretli Hücre">
  <autoFilter ref="S4:S34" xr:uid="{D15F6FE7-C47D-42B5-B026-DE07E448DED7}">
    <filterColumn colId="0" hiddenButton="1"/>
  </autoFilter>
  <tableColumns count="1">
    <tableColumn id="1" xr3:uid="{5709A4BC-A82B-486D-8764-2F9550DF53CA}" name="Normal Dist" dataCellStyle="İşaretli Hücre">
      <calculatedColumnFormula>_xlfn.NORM.DIST(Tablo17[[#This Row],[TOTAL GRADE]],$N$56,$O$56,FALSE)</calculatedColumnFormula>
    </tableColumn>
  </tableColumns>
  <tableStyleInfo name="TableStyleMedium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BBFC864-EE4C-40A1-BA1D-E07E242E06CF}" name="Tablo436" displayName="Tablo436" ref="B36:E40" totalsRowShown="0">
  <autoFilter ref="B36:E40" xr:uid="{607B75E6-4E48-4262-AB0D-0E8CA21242AC}">
    <filterColumn colId="0" hiddenButton="1"/>
    <filterColumn colId="1" hiddenButton="1"/>
    <filterColumn colId="2" hiddenButton="1"/>
    <filterColumn colId="3" hiddenButton="1"/>
  </autoFilter>
  <tableColumns count="4">
    <tableColumn id="1" xr3:uid="{AB5879B6-C1AA-491F-94CA-F0910C862B84}" name="DERS ÇIKTILARI" dataDxfId="277"/>
    <tableColumn id="2" xr3:uid="{49A84A8B-6FD6-42CD-9D91-AC183329D581}" name="DERS ÇIKTISI ADI" dataDxfId="276">
      <calculatedColumnFormula>[1]MAIN!$O38</calculatedColumnFormula>
    </tableColumn>
    <tableColumn id="3" xr3:uid="{8B038A52-900F-4324-98A7-44258DC4225F}" name="DERS ÇIKTISI KATSAYISI" dataDxfId="275">
      <calculatedColumnFormula>[1]MAIN!R38</calculatedColumnFormula>
    </tableColumn>
    <tableColumn id="4" xr3:uid="{45507662-1759-4470-9C99-7A8659C944B3}" name="KALAN KATSAYI" dataDxfId="274">
      <calculatedColumnFormula>Tablo436[[#This Row],[DERS ÇIKTISI KATSAYISI]]-J43</calculatedColumnFormula>
    </tableColumn>
  </tableColumns>
  <tableStyleInfo name="TableStyleMedium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462C1C5-9E40-4FC4-82B1-3F694197CF67}" name="Tablo1637" displayName="Tablo1637" ref="B42:L46" totalsRowShown="0">
  <autoFilter ref="B42:L46" xr:uid="{10ED5F68-3C25-4D8E-A7B6-C61D51D81891}"/>
  <tableColumns count="11">
    <tableColumn id="1" xr3:uid="{8ACA01C7-8840-4C4C-AA0D-E62F5C88D2FC}" name="Ders Çıktıları" dataDxfId="273"/>
    <tableColumn id="2" xr3:uid="{7937D88B-239D-47C5-962D-8726DEAF30E9}" name="Q1" dataDxfId="272">
      <calculatedColumnFormula>SUM(N5:N34)</calculatedColumnFormula>
    </tableColumn>
    <tableColumn id="3" xr3:uid="{95CB6CC2-0709-43FE-9A2F-D0FC13D6DA4C}" name="Q2" dataDxfId="271"/>
    <tableColumn id="4" xr3:uid="{FE0BEA03-3B1A-4F56-BDF1-8B67771B39DC}" name="Q3" dataDxfId="270"/>
    <tableColumn id="5" xr3:uid="{9C5FD473-1B9B-4462-9701-B54F575DCC7E}" name="Q4" dataDxfId="269"/>
    <tableColumn id="6" xr3:uid="{13B2953F-E39F-4F88-B951-516DE08593BB}" name="Q5" dataDxfId="268"/>
    <tableColumn id="7" xr3:uid="{5D42DB33-BE2B-4F46-8D73-3F472BCB0603}" name="Q6" dataDxfId="267"/>
    <tableColumn id="8" xr3:uid="{0F2E1BD1-2CFE-4A73-A5FA-C26ACAB8A3D1}" name="Q7" dataDxfId="266"/>
    <tableColumn id="9" xr3:uid="{F27C99FC-BFCD-496D-A88A-2B8DB4100EC9}" name="TOPLAM" dataDxfId="265" dataCellStyle="İşaretli Hücre">
      <calculatedColumnFormula>SUM(Tablo1637[[#This Row],[Q1]:[Q7]])</calculatedColumnFormula>
    </tableColumn>
    <tableColumn id="10" xr3:uid="{4362DC68-99D1-4ABE-8262-D7C20526433E}" name="TOTAL DÇ" dataDxfId="264" dataCellStyle="İşaretli Hücre">
      <calculatedColumnFormula>SUM([1]!Tablo17[DÇ1])/(30*D37)</calculatedColumnFormula>
    </tableColumn>
    <tableColumn id="11" xr3:uid="{0EF723FA-6707-4F95-BFC6-A91AB3C69E4F}" name="CONTRIBUTION" dataDxfId="263" dataCellStyle="İşaretli Hücre">
      <calculatedColumnFormula>$K43*$D37</calculatedColumnFormula>
    </tableColumn>
  </tableColumns>
  <tableStyleInfo name="TableStyleMedium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4726CD3-E07E-4103-9A7E-E1086422B623}" name="Tablo1738" displayName="Tablo1738" ref="C4:R34" headerRowDxfId="262" dataDxfId="261" totalsRowDxfId="260">
  <autoFilter ref="C4:R34" xr:uid="{D7B6876A-FBD5-42C2-BF21-0E0EC28E7295}"/>
  <sortState xmlns:xlrd2="http://schemas.microsoft.com/office/spreadsheetml/2017/richdata2" ref="C5:R34">
    <sortCondition ref="C4:C34"/>
  </sortState>
  <tableColumns count="16">
    <tableColumn id="1" xr3:uid="{8F2E64B1-0585-4AE7-B111-8A2F5F2A4650}" name="STUDENT ID" totalsRowLabel="Toplam" dataDxfId="259"/>
    <tableColumn id="16" xr3:uid="{5DA391A2-5432-4B4D-A895-1ACEE93CFB24}" name="Name" dataDxfId="258"/>
    <tableColumn id="2" xr3:uid="{2E511A5F-9A5B-4DFE-9964-F34300F2DD4F}" name="Surname" dataDxfId="257"/>
    <tableColumn id="3" xr3:uid="{041AB4ED-30B9-4E37-B114-624781885723}" name="Q1" dataDxfId="255" totalsRowDxfId="256"/>
    <tableColumn id="4" xr3:uid="{85590171-A5FF-4428-8742-DC8CCF3E8D86}" name="Q2" dataDxfId="253" totalsRowDxfId="254"/>
    <tableColumn id="5" xr3:uid="{68D0C6DD-A3F4-447E-BD04-0CAC01FA7C1F}" name="Q3" dataDxfId="251" totalsRowDxfId="252"/>
    <tableColumn id="6" xr3:uid="{A67B242D-E876-4980-9C7D-C8C9E05CE098}" name="Q4" dataDxfId="249" totalsRowDxfId="250"/>
    <tableColumn id="7" xr3:uid="{E806D8A3-F360-42F5-AEA2-7CE2B34A3453}" name="Q5" dataDxfId="247" totalsRowDxfId="248"/>
    <tableColumn id="8" xr3:uid="{B37156C8-120A-49E5-8489-C7C15400EDF3}" name="Q6" dataDxfId="245" totalsRowDxfId="246"/>
    <tableColumn id="9" xr3:uid="{659BA307-4E0B-4DDC-95B4-C5D7688A86F1}" name="Q7" totalsRowFunction="sum" dataDxfId="243" totalsRowDxfId="244"/>
    <tableColumn id="10" xr3:uid="{2CAB2158-55C3-4850-BC0B-5CA22B78B966}" name="TOTAL GRADE" dataDxfId="242" dataCellStyle="İşaretli Hücre">
      <calculatedColumnFormula>SUM(F5:L5)</calculatedColumnFormula>
    </tableColumn>
    <tableColumn id="11" xr3:uid="{E43BCC56-C728-4AA8-AC81-4082E37BAC17}" name="DÇ1" dataDxfId="240" totalsRowDxfId="241" dataCellStyle="İşaretli Hücre">
      <calculatedColumnFormula array="1">Tablo1738[[#This Row],[Q1]]/Tablo1939[Q1]*$C$43+G5/Tablo1939[Q2]*$D$43+H5/Tablo1939[Q3]*$E$43+I5/Tablo1939[Q4]*$F$43+J5/Tablo1939[Q5]*$G$43+K5/Tablo1939[Q6]*$H$43+L5/Tablo1939[Q7]*$I$43</calculatedColumnFormula>
    </tableColumn>
    <tableColumn id="12" xr3:uid="{3A7E98FD-9557-45A2-9F47-B4306BE5FE2E}" name="DÇ2" dataDxfId="239" dataCellStyle="İşaretli Hücre">
      <calculatedColumnFormula array="1">Tablo1738[[#This Row],[Q1]]/Tablo1939[Q1]*$C$44+G5/Tablo1939[Q2]*$D$44+H5/Tablo1939[Q3]*$E$44+I5/Tablo1939[Q4]*$F$44+J5/Tablo1939[Q5]*$G$44+K5/Tablo1939[Q6]*$H$44+L5/Tablo1939[Q7]*$I$44</calculatedColumnFormula>
    </tableColumn>
    <tableColumn id="13" xr3:uid="{8D92BBDF-94AC-4047-985F-E6175FF95C98}" name="DÇ3" dataDxfId="237" totalsRowDxfId="238" dataCellStyle="İşaretli Hücre">
      <calculatedColumnFormula array="1">Tablo1738[[#This Row],[Q1]]/Tablo1939[Q1]*$C$45+G5/Tablo1939[Q2]*$D$45+H5/Tablo1939[Q3]*$E$45+I5/Tablo1939[Q4]*$F$45+J5/Tablo1939[Q5]*$G$45+K5/Tablo1939[Q6]*$H$45+L5/Tablo1939[Q7]*$I$45</calculatedColumnFormula>
    </tableColumn>
    <tableColumn id="14" xr3:uid="{6EB50E4C-9944-4D86-A69B-8A45E9FCDF16}" name="DÇ4" dataDxfId="235" totalsRowDxfId="236" dataCellStyle="İşaretli Hücre">
      <calculatedColumnFormula array="1">Tablo1738[[#This Row],[Q1]]/Tablo1939[Q1]*$C$46+G5/Tablo1939[Q2]*$D$46+H5/Tablo1939[Q3]*$E$46+I5/Tablo1939[Q4]*$F$46+J5/Tablo1939[Q5]*$G$46+K5/Tablo1939[Q6]*$H$46+L5/Tablo1939[Q7]*$I$46</calculatedColumnFormula>
    </tableColumn>
    <tableColumn id="15" xr3:uid="{862F0A28-AAE5-44B1-8014-FA35FEBEB2AD}" name="TOT" dataDxfId="233" totalsRowDxfId="234" dataCellStyle="İşaretli Hücre">
      <calculatedColumnFormula>SUM(N5:Q5)</calculatedColumnFormula>
    </tableColumn>
  </tableColumns>
  <tableStyleInfo name="TableStyleMedium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857BC5A-D3E0-4286-B74E-AE2A8348B010}" name="Tablo1939" displayName="Tablo1939" ref="G36:O37" totalsRowShown="0" headerRowDxfId="232" dataDxfId="231">
  <autoFilter ref="G36:O37" xr:uid="{C8DB74EE-95F5-4CB9-B054-21FC77C8A3E7}"/>
  <tableColumns count="9">
    <tableColumn id="1" xr3:uid="{6A7928F5-2C10-4454-8D51-8B352903085B}" name="Sütun1"/>
    <tableColumn id="2" xr3:uid="{3B09C039-C5BB-49DA-9AAB-0A360FB1BCB1}" name="Q1" dataDxfId="230"/>
    <tableColumn id="3" xr3:uid="{52DA48BC-B7DE-43EE-8A9A-8ADA99F18640}" name="Q2" dataDxfId="229"/>
    <tableColumn id="4" xr3:uid="{449CE7A3-4482-4E06-9F1E-EFBF6632059F}" name="Q3" dataDxfId="228"/>
    <tableColumn id="5" xr3:uid="{3681A14E-526D-41D4-AC1E-BCB53DDA43B5}" name="Q4" dataDxfId="227"/>
    <tableColumn id="6" xr3:uid="{80CCDAAC-AB83-4E3D-8BCB-5CAF2E7C21BE}" name="Q5" dataDxfId="226"/>
    <tableColumn id="7" xr3:uid="{26CE27C3-4232-4F6E-B3CE-1DAB009425F0}" name="Q6" dataDxfId="225"/>
    <tableColumn id="8" xr3:uid="{76D5873A-EB9C-4FA4-9A7B-D61E44A76A8D}" name="Q7" dataDxfId="224"/>
    <tableColumn id="9" xr3:uid="{5023F30A-9783-4D02-A07C-B74A3F78115D}" name="TOTAL" dataDxfId="223">
      <calculatedColumnFormula>SUM(H37:N37)</calculatedColumnFormula>
    </tableColumn>
  </tableColumns>
  <tableStyleInfo name="TableStyleDark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1EAA39F-3250-4576-80A9-477EEC235C13}" name="Tablo2040" displayName="Tablo2040" ref="N55:O56" totalsRowShown="0" headerRowDxfId="222" dataDxfId="221">
  <autoFilter ref="N55:O56" xr:uid="{D3CE9768-4064-42B8-9A6C-5EEBC7B68549}"/>
  <tableColumns count="2">
    <tableColumn id="1" xr3:uid="{07B4F2DF-0D87-4636-A408-762990B72B5E}" name="Mean" dataDxfId="220">
      <calculatedColumnFormula>AVERAGE(Tablo1738[TOTAL GRADE])</calculatedColumnFormula>
    </tableColumn>
    <tableColumn id="2" xr3:uid="{F60245A1-06E7-44B8-87AA-935F6BBAE961}" name="Variance" dataDxfId="219">
      <calculatedColumnFormula>_xlfn.STDEV.P(Tablo1738[TOTAL GRADE])</calculatedColumnFormula>
    </tableColumn>
  </tableColumns>
  <tableStyleInfo name="TableStyleMedium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96F4296-25C1-4FCC-958E-C8B3EA5AA130}" name="Tablo2141" displayName="Tablo2141" ref="S4:S34" totalsRowShown="0" headerRowDxfId="218" dataCellStyle="İşaretli Hücre">
  <autoFilter ref="S4:S34" xr:uid="{9DF85829-5DB2-4C32-AE9A-9091B669958C}"/>
  <tableColumns count="1">
    <tableColumn id="1" xr3:uid="{0330DF93-6919-4745-A529-E8BC40E56504}" name="Normal Dist" dataCellStyle="İşaretli Hücre">
      <calculatedColumnFormula>_xlfn.NORM.DIST(Tablo1738[[#This Row],[TOTAL GRADE]],$N$56,$O$56,FALSE)</calculatedColumnFormula>
    </tableColumn>
  </tableColumns>
  <tableStyleInfo name="TableStyleMedium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B01AC4AD-D248-4B5C-93BA-1E612B210BFD}" name="Tablo3" displayName="Tablo3" ref="C4:P34" totalsRowShown="0" headerRowDxfId="217" tableBorderDxfId="216">
  <autoFilter ref="C4:P34" xr:uid="{5F48C87D-7E2D-4EBF-9C66-2787BCE67361}"/>
  <sortState xmlns:xlrd2="http://schemas.microsoft.com/office/spreadsheetml/2017/richdata2" ref="C5:P34">
    <sortCondition ref="C4:C34"/>
  </sortState>
  <tableColumns count="14">
    <tableColumn id="1" xr3:uid="{A4B5492B-FE5E-403C-8C94-7EF1E8D7CDE7}" name="Student No" dataDxfId="215"/>
    <tableColumn id="2" xr3:uid="{E40F2A96-F304-42E4-B267-161172C1F1CB}" name="Name" dataDxfId="214"/>
    <tableColumn id="3" xr3:uid="{DD2CD3B1-B93A-4D49-A79C-5F13A1A10698}" name="Surname" dataDxfId="213"/>
    <tableColumn id="4" xr3:uid="{F35CF862-F05D-42B9-8A42-89EDAF40E798}" name="HW1"/>
    <tableColumn id="5" xr3:uid="{09FD7D55-7205-42AD-9707-D3B271DFC9B6}" name="HW2"/>
    <tableColumn id="6" xr3:uid="{CCC17F7D-6F6B-442A-B96D-0FFD26A1BBEB}" name="HW3"/>
    <tableColumn id="7" xr3:uid="{C79D2668-120A-4B59-B3A6-3153F80BDC68}" name="HW4"/>
    <tableColumn id="8" xr3:uid="{EC667678-E4FC-48E6-9A90-3EDE63C70A6B}" name="HW5"/>
    <tableColumn id="9" xr3:uid="{2176DA47-1858-4C6F-B1BB-4489E2340085}" name="TOTAL" dataDxfId="212" dataCellStyle="İşaretli Hücre">
      <calculatedColumnFormula>(Tablo3[[#This Row],[HW1]]+Tablo3[[#This Row],[HW2]]+Tablo3[[#This Row],[HW3]]+Tablo3[[#This Row],[HW4]]+Tablo3[[#This Row],[HW5]])/5</calculatedColumnFormula>
    </tableColumn>
    <tableColumn id="10" xr3:uid="{A5034BFB-3334-40EC-8F74-DF48766DA08F}" name="DÇ1" dataDxfId="211" dataCellStyle="İşaretli Hücre">
      <calculatedColumnFormula array="1">Tablo3[[#This Row],[HW1]]*$D$38/Tablo11[HW1]+Tablo3[[#This Row],[HW2]]*$E$38/Tablo11[HW2]+Tablo3[[#This Row],[HW3]]*$F$38/Tablo11[HW3]+Tablo3[[#This Row],[HW4]]*$G$38/Tablo11[HW4]+Tablo3[[#This Row],[HW5]]*$H$38/Tablo11[HW5]</calculatedColumnFormula>
    </tableColumn>
    <tableColumn id="11" xr3:uid="{F40A75CD-0E94-479E-A395-52AB0E27CD08}" name="DÇ2" dataDxfId="210" dataCellStyle="İşaretli Hücre">
      <calculatedColumnFormula array="1">Tablo3[[#This Row],[HW1]]*$D$39/Tablo11[HW1]+Tablo3[[#This Row],[HW2]]*$E$39/Tablo11[HW2]+Tablo3[[#This Row],[HW3]]*$F$39/Tablo11[HW3]+Tablo3[[#This Row],[HW4]]*$G$39/Tablo11[HW4]+Tablo3[[#This Row],[HW5]]*$H$39/Tablo11[HW5]</calculatedColumnFormula>
    </tableColumn>
    <tableColumn id="12" xr3:uid="{A60DB152-8042-4D88-8C19-1A1CFD1E26C6}" name="DÇ3" dataDxfId="209" dataCellStyle="İşaretli Hücre">
      <calculatedColumnFormula array="1">Tablo3[[#This Row],[HW1]]*$D$40/Tablo11[HW1]+Tablo3[[#This Row],[HW2]]*$E$40/Tablo11[HW2]+Tablo3[[#This Row],[HW3]]*$F$40/Tablo11[HW3]+Tablo3[[#This Row],[HW4]]*$G$40/Tablo11[HW4]+Tablo3[[#This Row],[HW5]]*$H$40/Tablo11[HW5]</calculatedColumnFormula>
    </tableColumn>
    <tableColumn id="13" xr3:uid="{DF145C1A-8D30-415D-951A-72C302F1450E}" name="DÇ4" dataDxfId="208" dataCellStyle="İşaretli Hücre">
      <calculatedColumnFormula array="1">Tablo3[[#This Row],[HW1]]*$D$41/Tablo11[HW1]+Tablo3[[#This Row],[HW2]]*$E$41/Tablo11[HW2]+Tablo3[[#This Row],[HW3]]*$F$41/Tablo11[HW3]+Tablo3[[#This Row],[HW4]]*$G$41/Tablo11[HW4]+Tablo3[[#This Row],[HW5]]*$H$41/Tablo11[HW5]</calculatedColumnFormula>
    </tableColumn>
    <tableColumn id="14" xr3:uid="{0D38C1A8-4ACA-4082-90EB-0A9898E2D38B}" name="TOT" dataDxfId="207" dataCellStyle="İşaretli Hücre">
      <calculatedColumnFormula>SUM(L5,M5,N5,O5)</calculatedColumnFormula>
    </tableColumn>
  </tableColumns>
  <tableStyleInfo name="TableStyleMedium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1E78E46-8A84-4593-9D51-3AE5E06D23C1}" name="Tablo415" displayName="Tablo415" ref="M37:P41" totalsRowShown="0">
  <autoFilter ref="M37:P41" xr:uid="{6A1B2EA3-82E5-4319-AAFF-D9FCD741E90D}">
    <filterColumn colId="0" hiddenButton="1"/>
    <filterColumn colId="1" hiddenButton="1"/>
    <filterColumn colId="2" hiddenButton="1"/>
    <filterColumn colId="3" hiddenButton="1"/>
  </autoFilter>
  <tableColumns count="4">
    <tableColumn id="1" xr3:uid="{E5ECD5F1-2DE9-4809-9A89-DC009D0892B3}" name="DERS ÇIKTILARI" dataDxfId="206"/>
    <tableColumn id="2" xr3:uid="{1B29D2B6-B969-4A11-A707-8E595AF1D2E5}" name="DERS ÇIKTISI ADI" dataDxfId="205">
      <calculatedColumnFormula>[1]MAIN!$O38</calculatedColumnFormula>
    </tableColumn>
    <tableColumn id="3" xr3:uid="{D78B8F3B-1B05-484B-A1C7-E157B5EA67D0}" name="DERS ÇIKTISI KATSAYISI" dataDxfId="204">
      <calculatedColumnFormula>[1]MAIN!S38</calculatedColumnFormula>
    </tableColumn>
    <tableColumn id="4" xr3:uid="{DDF9C8B8-F14C-4FD5-8F26-4E11366DBA84}" name="KALAN KATSAYI" dataDxfId="203">
      <calculatedColumnFormula>Tablo415[[#This Row],[DERS ÇIKTISI KATSAYISI]]-Tablo163719[[#This Row],[TOPLAM]]</calculatedColumnFormula>
    </tableColumn>
  </tableColumns>
  <tableStyleInfo name="TableStyleMedium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326FC38-8036-450D-AA60-348370081F49}" name="Tablo15" displayName="Tablo15" ref="Q4:Q34" totalsRowShown="0" headerRowDxfId="202" dataCellStyle="İşaretli Hücre">
  <autoFilter ref="Q4:Q34" xr:uid="{C692B30A-24DB-48A3-A891-000932C144AE}">
    <filterColumn colId="0" hiddenButton="1"/>
  </autoFilter>
  <tableColumns count="1">
    <tableColumn id="1" xr3:uid="{6568C19B-3B1B-4524-AE12-77C5846EB6AF}" name="Normal Dist." dataCellStyle="İşaretli Hücre">
      <calculatedColumnFormula>_xlfn.NORM.DIST(Tablo3[[#This Row],[TOTAL]],$T$4,$U$4,FALSE)</calculatedColumnFormula>
    </tableColumn>
  </tableColumns>
  <tableStyleInfo name="TableStyleMedium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7DB5C01-4B9C-4AE4-ADEF-CBD91EC7B197}" name="Tablo5" displayName="Tablo5" ref="T3:U4" totalsRowShown="0" headerRowDxfId="201" dataDxfId="200">
  <autoFilter ref="T3:U4" xr:uid="{4CEC3AA9-BB35-4FDD-9D0A-3D3FB432F4CC}">
    <filterColumn colId="0" hiddenButton="1"/>
    <filterColumn colId="1" hiddenButton="1"/>
  </autoFilter>
  <tableColumns count="2">
    <tableColumn id="1" xr3:uid="{BCC1D7EC-008C-4F4F-80B8-7FE9D17FDBAA}" name="MEAN" dataDxfId="199">
      <calculatedColumnFormula>AVERAGE(Tablo3[TOTAL])</calculatedColumnFormula>
    </tableColumn>
    <tableColumn id="2" xr3:uid="{36E50C98-D4F9-4CE2-AD36-1DFAAD83DCC2}" name="VARIANCE" dataDxfId="198">
      <calculatedColumnFormula>_xlfn.STDEV.P(Tablo3[TOTAL])</calculatedColumnFormula>
    </tableColumn>
  </tableColumns>
  <tableStyleInfo name="TableStyleMedium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E6E1F8A-2E28-41C4-A5DB-73FD67528BFD}" name="Tablo163719" displayName="Tablo163719" ref="C37:K41" totalsRowShown="0">
  <autoFilter ref="C37:K41" xr:uid="{BD66FC37-911E-4F42-B3EB-5F56AC417542}"/>
  <tableColumns count="9">
    <tableColumn id="1" xr3:uid="{FCD4C747-021E-4FEE-BD16-AC0802743CE9}" name="Ders Çıktıları" dataDxfId="197"/>
    <tableColumn id="2" xr3:uid="{060F2552-49CD-499A-947C-742828EB974B}" name="HW1" dataDxfId="196">
      <calculatedColumnFormula>SUM(#REF!)</calculatedColumnFormula>
    </tableColumn>
    <tableColumn id="3" xr3:uid="{C94D907A-A474-40C5-927D-5E4E0B639F0D}" name="HW2" dataDxfId="195"/>
    <tableColumn id="4" xr3:uid="{8AC85DE9-003D-4F81-AA89-62C244128D29}" name="HW3" dataDxfId="194"/>
    <tableColumn id="5" xr3:uid="{058B4400-DF47-4089-894F-2BC437AE113B}" name="HW4" dataDxfId="193"/>
    <tableColumn id="6" xr3:uid="{6961AF7F-D34C-4445-8CA7-F0C35F3CA57A}" name="HW5" dataDxfId="192"/>
    <tableColumn id="9" xr3:uid="{C17E9B53-DD72-4BAB-A539-299411D932E1}" name="TOPLAM" dataDxfId="191" dataCellStyle="İşaretli Hücre">
      <calculatedColumnFormula>SUM(Tablo163719[[#This Row],[HW1]:[HW5]])</calculatedColumnFormula>
    </tableColumn>
    <tableColumn id="10" xr3:uid="{B1158110-9EA8-4073-BDF5-BA02344412A4}" name="TOTAL DÇ" dataDxfId="190" dataCellStyle="İşaretli Hücre">
      <calculatedColumnFormula>SUM([1]!Tablo17[DÇ1])/(30*E32)</calculatedColumnFormula>
    </tableColumn>
    <tableColumn id="11" xr3:uid="{17BF8FEE-6E98-4B34-BFF2-F2F7A8372023}" name="CONTRIBUTION" dataDxfId="189" dataCellStyle="İşaretli Hücre">
      <calculatedColumnFormula>$J38*Tablo415[[#This Row],[DERS ÇIKTISI KATSAYISI]]</calculatedColumnFormula>
    </tableColumn>
  </tableColumns>
  <tableStyleInfo name="TableStyleMedium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0BFABE2-5E1B-4E44-98F0-4DF0A77E8ACF}" name="Tablo11" displayName="Tablo11" ref="C44:H45" totalsRowShown="0" headerRowDxfId="188" dataDxfId="187">
  <autoFilter ref="C44:H45" xr:uid="{30DDF577-6D29-4192-BD1D-A1605310E746}">
    <filterColumn colId="0" hiddenButton="1"/>
    <filterColumn colId="1" hiddenButton="1"/>
    <filterColumn colId="2" hiddenButton="1"/>
    <filterColumn colId="3" hiddenButton="1"/>
    <filterColumn colId="4" hiddenButton="1"/>
    <filterColumn colId="5" hiddenButton="1"/>
  </autoFilter>
  <tableColumns count="6">
    <tableColumn id="1" xr3:uid="{FD09BBE9-4EA9-40CD-A321-48C818C999F0}" name="HW1" dataDxfId="186"/>
    <tableColumn id="2" xr3:uid="{824C4C47-BEE3-4884-809B-ECD151CFEB1F}" name="HW2" dataDxfId="185"/>
    <tableColumn id="3" xr3:uid="{C60644D0-F8AD-43BB-B2B7-39FF393773DA}" name="HW3" dataDxfId="184"/>
    <tableColumn id="4" xr3:uid="{5A7B4C08-28FD-4FC1-B8ED-811EB5909400}" name="HW4" dataDxfId="183"/>
    <tableColumn id="5" xr3:uid="{ACFAA918-534E-46C2-B2C8-1A40A2159D4C}" name="HW5" dataDxfId="182"/>
    <tableColumn id="6" xr3:uid="{7E8A9DD1-706C-49A5-85DE-C2B4A90A901D}" name="TOTAL" dataDxfId="181">
      <calculatedColumnFormula>SUM(C45,D45,E45,F45,G45)</calculatedColumnFormula>
    </tableColumn>
  </tableColumns>
  <tableStyleInfo name="TableStyleDark6"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CF5EE97-A4CF-4F44-B4CF-9E8323225C07}" name="Tablo314" displayName="Tablo314" ref="C4:Y34" totalsRowShown="0" headerRowDxfId="180" tableBorderDxfId="179">
  <autoFilter ref="C4:Y34" xr:uid="{0F5C66F6-7459-4C10-9C64-C8DA4D698F11}"/>
  <sortState xmlns:xlrd2="http://schemas.microsoft.com/office/spreadsheetml/2017/richdata2" ref="C5:Y34">
    <sortCondition ref="C4:C34"/>
  </sortState>
  <tableColumns count="23">
    <tableColumn id="1" xr3:uid="{8120C5A4-2E95-4764-9CB0-39554C50DC15}" name="Student No" dataDxfId="178"/>
    <tableColumn id="2" xr3:uid="{5626EBC3-B94C-442F-A47D-22CF374DD55F}" name="Name" dataDxfId="177"/>
    <tableColumn id="3" xr3:uid="{2A7AF50E-1BA1-40E7-BD97-723A2D608BA1}" name="Surname" dataDxfId="176"/>
    <tableColumn id="4" xr3:uid="{EC461BAC-80BD-4181-8CE2-C376F21589E5}" name="LW1"/>
    <tableColumn id="5" xr3:uid="{D05D6E0B-7E62-448C-ADC5-D1103C445139}" name="LW2"/>
    <tableColumn id="6" xr3:uid="{D8C17BB3-29BD-45DB-AD07-27E72AA8D7C6}" name="LW3"/>
    <tableColumn id="7" xr3:uid="{7B1DE58B-B95E-4008-9584-5A8BD435C65B}" name="LW4"/>
    <tableColumn id="8" xr3:uid="{88ECFBE1-FBD0-4CFB-8610-489C561CC26F}" name="LW5"/>
    <tableColumn id="9" xr3:uid="{3D5B50C6-781B-4FE1-96DD-C76374F40204}" name="LW6"/>
    <tableColumn id="10" xr3:uid="{ADD06F1F-953E-4F89-B58F-E596F71DD028}" name="LW7"/>
    <tableColumn id="11" xr3:uid="{EA2EE125-3918-4E80-8B09-1C4AA2B59789}" name="LW8"/>
    <tableColumn id="12" xr3:uid="{CF223368-AEB9-436F-BE8E-9FBA3E0652CB}" name="LW9"/>
    <tableColumn id="13" xr3:uid="{5C9B5D4E-CB81-4EFB-86DF-6678ECEF4BD1}" name="LW10"/>
    <tableColumn id="14" xr3:uid="{D02D94D3-D76A-4F42-9CED-6737AB92F06F}" name="LW11"/>
    <tableColumn id="15" xr3:uid="{92CA4A4B-D53F-4BBB-9326-044C8386C4CB}" name="LW12"/>
    <tableColumn id="16" xr3:uid="{D379F611-8C8E-4A63-8F83-E305BB55200E}" name="LW13"/>
    <tableColumn id="17" xr3:uid="{5FDB416A-90BB-4D15-A0BD-6350CEB579FA}" name="LW14"/>
    <tableColumn id="18" xr3:uid="{23416A46-5B2C-4456-BFBF-FCF2B42CF4BE}" name="TOTAL" dataDxfId="175" dataCellStyle="İşaretli Hücre">
      <calculatedColumnFormula>SUM(Tablo314[[#This Row],[LW1]:[LW14]])</calculatedColumnFormula>
    </tableColumn>
    <tableColumn id="19" xr3:uid="{4BE7C2D7-604C-4756-87C2-78C6CC515C72}" name="DÇ1" dataDxfId="174" dataCellStyle="İşaretli Hücre">
      <calculatedColumnFormula array="1">F5/Tablo27[LW1]*$C$37+Tablo314[[#This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calculatedColumnFormula>
    </tableColumn>
    <tableColumn id="20" xr3:uid="{935B279A-1565-46CC-A87D-7B9CFB60D6EC}" name="DÇ2" dataDxfId="173" dataCellStyle="İşaretli Hücre">
      <calculatedColumnFormula array="1">F5/Tablo27[LW1]*$C$38+Tablo314[[#This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calculatedColumnFormula>
    </tableColumn>
    <tableColumn id="21" xr3:uid="{375F4B4B-ACFB-4E1D-B60A-9BE4E3027314}" name="DÇ3" dataDxfId="172" dataCellStyle="İşaretli Hücre">
      <calculatedColumnFormula array="1">F5/Tablo27[LW1]*$C$39+Tablo314[[#This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calculatedColumnFormula>
    </tableColumn>
    <tableColumn id="22" xr3:uid="{E1B84BD6-32F0-475E-A4AF-8FDDDE500C12}" name="DÇ4" dataDxfId="171" dataCellStyle="İşaretli Hücre">
      <calculatedColumnFormula array="1">F5/Tablo27[LW1]*$C$40+Tablo314[[#This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calculatedColumnFormula>
    </tableColumn>
    <tableColumn id="23" xr3:uid="{90ACCCD3-E773-4D82-B6D8-C9D6B8AD9604}" name="TOTAL2" dataDxfId="170" dataCellStyle="İşaretli Hücre">
      <calculatedColumnFormula>SUM(Tablo314[[#This Row],[DÇ1]],Tablo314[[#This Row],[DÇ2]],Tablo314[[#This Row],[DÇ3]],Tablo314[[#This Row],[DÇ4]])</calculatedColumnFormula>
    </tableColumn>
  </tableColumns>
  <tableStyleInfo name="TableStyleMedium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B400F1B-A5BF-4C8B-AA36-C730B311605D}" name="Tablo41525" displayName="Tablo41525" ref="B45:E49" totalsRowShown="0">
  <autoFilter ref="B45:E49" xr:uid="{46882393-E710-4AC0-87C9-509A90594C80}">
    <filterColumn colId="0" hiddenButton="1"/>
    <filterColumn colId="1" hiddenButton="1"/>
    <filterColumn colId="2" hiddenButton="1"/>
    <filterColumn colId="3" hiddenButton="1"/>
  </autoFilter>
  <tableColumns count="4">
    <tableColumn id="1" xr3:uid="{30F85C75-CB22-4FE5-9657-50C06DF27BF0}" name="DERS ÇIKTILARI" dataDxfId="169"/>
    <tableColumn id="2" xr3:uid="{A9B90061-F313-447A-9A9D-6F9A2DC9C9F1}" name="DERS ÇIKTISI ADI" dataDxfId="168">
      <calculatedColumnFormula>[1]MAIN!$O38</calculatedColumnFormula>
    </tableColumn>
    <tableColumn id="3" xr3:uid="{28606BF4-DDDD-4C43-AA74-9A2912CABA57}" name="DERS ÇIKTISI KATSAYISI" dataDxfId="167">
      <calculatedColumnFormula>[1]MAIN!T38</calculatedColumnFormula>
    </tableColumn>
    <tableColumn id="4" xr3:uid="{23EBF13C-91B5-48A9-B8C4-72D8BABDD343}" name="KALAN KATSAYI" dataDxfId="166">
      <calculatedColumnFormula>Tablo41525[[#This Row],[DERS ÇIKTISI KATSAYISI]]-Q37</calculatedColumnFormula>
    </tableColumn>
  </tableColumns>
  <tableStyleInfo name="TableStyleMedium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E66D079-D9CC-4D72-844F-D3D21656FDA8}" name="Tablo26" displayName="Tablo26" ref="B36:S40" totalsRowShown="0" headerRowDxfId="165">
  <autoFilter ref="B36:S40" xr:uid="{2AFA98F5-E4D6-4F77-9978-F40AED7179CB}"/>
  <tableColumns count="18">
    <tableColumn id="1" xr3:uid="{1DB0006A-E5F7-4B17-A287-D56B86465311}" name="Ders Çıktıları"/>
    <tableColumn id="2" xr3:uid="{18484132-9274-4235-BBB7-AD977591ACBE}" name="LW1"/>
    <tableColumn id="3" xr3:uid="{F2E4FF2F-6404-433A-85AB-F9D5ADD8CA40}" name="LW2"/>
    <tableColumn id="4" xr3:uid="{7F6345E1-96CA-42FC-BCF8-98E74C0F5644}" name="LW3"/>
    <tableColumn id="5" xr3:uid="{ECCF8600-33E5-47DB-8807-F1E9FE6613CF}" name="LW4"/>
    <tableColumn id="6" xr3:uid="{B5D3BD26-3004-447A-BA8B-61CCD34103C4}" name="LW5"/>
    <tableColumn id="7" xr3:uid="{30D1DDE1-306F-4C98-A724-8F6D95A36B5D}" name="LW6"/>
    <tableColumn id="8" xr3:uid="{D4EFDF94-618F-4CBE-8460-63F5A85C8357}" name="LW7"/>
    <tableColumn id="9" xr3:uid="{5290DD9E-93BE-4104-BC48-D412A4EA0B9C}" name="LW8"/>
    <tableColumn id="10" xr3:uid="{07735D4B-A740-47FF-8DC2-319079FD10B8}" name="LW9"/>
    <tableColumn id="11" xr3:uid="{CDE4E196-33AC-43B1-9C86-1A782994BF93}" name="LW10"/>
    <tableColumn id="12" xr3:uid="{78305853-479C-4CC8-B4A4-8F3E0487283D}" name="LW11"/>
    <tableColumn id="13" xr3:uid="{345C44AE-D74B-4A95-AFAF-DBD7D9C2859C}" name="LW12"/>
    <tableColumn id="14" xr3:uid="{BD8E71AC-C0AB-49DD-B5A7-7D328ACEC18F}" name="LW13"/>
    <tableColumn id="15" xr3:uid="{5D183C4A-149A-4937-8968-C2E5FB2FDB7A}" name="LW14"/>
    <tableColumn id="16" xr3:uid="{E0661ACE-1E96-4BF2-BE49-21F29B73ED40}" name="TOPLAM" dataDxfId="164" dataCellStyle="İşaretli Hücre">
      <calculatedColumnFormula>SUM(Tablo26[[#This Row],[LW1]:[LW14]])</calculatedColumnFormula>
    </tableColumn>
    <tableColumn id="17" xr3:uid="{05D553A9-1A8E-4EE7-95A8-5EB0DFFB3FFD}" name="TOTAL DÇ" dataDxfId="163" dataCellStyle="İşaretli Hücre">
      <calculatedColumnFormula>IF(Q37=0,"0",SUM(Tablo314[DÇ1])/(30*D46))</calculatedColumnFormula>
    </tableColumn>
    <tableColumn id="18" xr3:uid="{2287AF1B-68D9-41D4-8FC6-206F05F16547}" name="CONTRIBUTION" dataDxfId="162" dataCellStyle="İşaretli Hücre">
      <calculatedColumnFormula>Tablo26[[#This Row],[TOTAL DÇ]]*D46</calculatedColumnFormula>
    </tableColumn>
  </tableColumns>
  <tableStyleInfo name="TableStyleMedium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EC42B7F-8A8F-4186-90D5-3BC30399403E}" name="Tablo27" displayName="Tablo27" ref="B42:Q43" totalsRowShown="0">
  <autoFilter ref="B42:Q43" xr:uid="{65AFC5A6-CAFA-419E-A2AA-A843B6D3758F}"/>
  <tableColumns count="16">
    <tableColumn id="1" xr3:uid="{F5EEEF16-9248-46BD-B0A6-DBC2B4B31E16}" name="-"/>
    <tableColumn id="2" xr3:uid="{71FC1762-72A3-45C4-A130-2CC1B10FCAA6}" name="LW1"/>
    <tableColumn id="3" xr3:uid="{D55C43CE-CDF6-4515-A95C-0D6C1AE0690C}" name="LW2"/>
    <tableColumn id="4" xr3:uid="{8D6F8EB8-94B6-4E17-9510-4E2114E85A52}" name="LW3"/>
    <tableColumn id="5" xr3:uid="{85327AE2-DCCC-482E-9686-EC3EE3113F4B}" name="LW4"/>
    <tableColumn id="6" xr3:uid="{54C752A0-0D1E-416C-9A1C-EA18FB075F84}" name="LW5" dataDxfId="161"/>
    <tableColumn id="7" xr3:uid="{AEC10F4B-2E1C-4A51-8C26-72A30FF8D054}" name="LW6" dataDxfId="160"/>
    <tableColumn id="8" xr3:uid="{A3689F0C-17A8-4FCB-82E1-F423F51596FD}" name="LW7" dataDxfId="159"/>
    <tableColumn id="9" xr3:uid="{D6DDEB18-A96E-4B81-AB64-19B9CAF596CB}" name="LW8" dataDxfId="158"/>
    <tableColumn id="10" xr3:uid="{2FF81ED9-B986-486A-A8C6-440B38386D4E}" name="LW9" dataDxfId="157"/>
    <tableColumn id="11" xr3:uid="{EA5EF21D-95B5-4D7B-BD12-D03CC118EDDF}" name="LW10" dataDxfId="156"/>
    <tableColumn id="12" xr3:uid="{6998393E-62A8-4338-BEF8-4C259DDA59BF}" name="LW11" dataDxfId="155"/>
    <tableColumn id="13" xr3:uid="{E4177717-336C-460F-A8EE-81B0E9489B73}" name="LW12" dataDxfId="154"/>
    <tableColumn id="14" xr3:uid="{D3C7B6DF-07CC-46F6-86CE-5CA031801086}" name="LW13" dataDxfId="153"/>
    <tableColumn id="15" xr3:uid="{B161BEA2-143E-48E5-B7FA-47A22FD4677F}" name="LW14"/>
    <tableColumn id="16" xr3:uid="{044C47EC-BC5F-467C-98F1-4B8589B4F9EB}" name="TOPLAM">
      <calculatedColumnFormula>SUM(Tablo27[[#This Row],[LW1]:[LW14]])</calculatedColumnFormula>
    </tableColumn>
  </tableColumns>
  <tableStyleInfo name="TableStyleDark6"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5C7DB10-31E5-4DA0-85D3-3F9F7177889E}" name="Tablo28" displayName="Tablo28" ref="Z4:Z34" totalsRowShown="0" headerRowDxfId="152" dataDxfId="151" dataCellStyle="İşaretli Hücre">
  <autoFilter ref="Z4:Z34" xr:uid="{DEF6F60C-97C6-4D42-B9FD-C3AFFB79406B}"/>
  <tableColumns count="1">
    <tableColumn id="1" xr3:uid="{C7EC52C5-A9A5-44C6-A444-9EAA882E2059}" name="Normal Dist." dataDxfId="150" dataCellStyle="İşaretli Hücre">
      <calculatedColumnFormula array="1">_xlfn.NORM.DIST(Tablo314[[#This Row],[TOTAL]],Tablo29[Mean],Tablo29[Variance],FALSE)</calculatedColumnFormula>
    </tableColumn>
  </tableColumns>
  <tableStyleInfo name="TableStyleMedium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CF2C406B-D08C-4557-981F-65AC449246AC}" name="Tablo29" displayName="Tablo29" ref="X36:Y37" totalsRowShown="0" headerRowDxfId="149">
  <autoFilter ref="X36:Y37" xr:uid="{B7F0D9B6-9D3E-40C9-A264-2DCE8B24F58A}">
    <filterColumn colId="0" hiddenButton="1"/>
    <filterColumn colId="1" hiddenButton="1"/>
  </autoFilter>
  <tableColumns count="2">
    <tableColumn id="1" xr3:uid="{B201CBD6-D254-4387-9A83-E43219BA82B1}" name="Mean">
      <calculatedColumnFormula>AVERAGE(Tablo314[TOTAL])</calculatedColumnFormula>
    </tableColumn>
    <tableColumn id="2" xr3:uid="{40B08320-4892-4A84-B167-EE75945845FA}" name="Variance">
      <calculatedColumnFormula>_xlfn.VAR.P(Tablo314[TOTAL])</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table" Target="../tables/table1.xml"/><Relationship Id="rId16" Type="http://schemas.openxmlformats.org/officeDocument/2006/relationships/ctrlProp" Target="../ctrlProps/ctrlProp14.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5" Type="http://schemas.openxmlformats.org/officeDocument/2006/relationships/ctrlProp" Target="../ctrlProps/ctrlProp3.xml"/><Relationship Id="rId90" Type="http://schemas.openxmlformats.org/officeDocument/2006/relationships/table" Target="../tables/table2.xml"/><Relationship Id="rId95" Type="http://schemas.openxmlformats.org/officeDocument/2006/relationships/table" Target="../tables/table7.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80" Type="http://schemas.openxmlformats.org/officeDocument/2006/relationships/ctrlProp" Target="../ctrlProps/ctrlProp78.xml"/><Relationship Id="rId85" Type="http://schemas.openxmlformats.org/officeDocument/2006/relationships/ctrlProp" Target="../ctrlProps/ctrlProp83.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75" Type="http://schemas.openxmlformats.org/officeDocument/2006/relationships/ctrlProp" Target="../ctrlProps/ctrlProp73.xml"/><Relationship Id="rId83" Type="http://schemas.openxmlformats.org/officeDocument/2006/relationships/ctrlProp" Target="../ctrlProps/ctrlProp81.xml"/><Relationship Id="rId88" Type="http://schemas.openxmlformats.org/officeDocument/2006/relationships/ctrlProp" Target="../ctrlProps/ctrlProp86.xml"/><Relationship Id="rId91" Type="http://schemas.openxmlformats.org/officeDocument/2006/relationships/table" Target="../tables/table3.xml"/><Relationship Id="rId96" Type="http://schemas.openxmlformats.org/officeDocument/2006/relationships/table" Target="../tables/table8.xml"/><Relationship Id="rId1" Type="http://schemas.openxmlformats.org/officeDocument/2006/relationships/drawing" Target="../drawings/drawing1.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78" Type="http://schemas.openxmlformats.org/officeDocument/2006/relationships/ctrlProp" Target="../ctrlProps/ctrlProp76.xml"/><Relationship Id="rId81" Type="http://schemas.openxmlformats.org/officeDocument/2006/relationships/ctrlProp" Target="../ctrlProps/ctrlProp79.xml"/><Relationship Id="rId86" Type="http://schemas.openxmlformats.org/officeDocument/2006/relationships/ctrlProp" Target="../ctrlProps/ctrlProp84.xml"/><Relationship Id="rId94" Type="http://schemas.openxmlformats.org/officeDocument/2006/relationships/table" Target="../tables/table6.xml"/><Relationship Id="rId4" Type="http://schemas.openxmlformats.org/officeDocument/2006/relationships/ctrlProp" Target="../ctrlProps/ctrlProp2.xml"/><Relationship Id="rId9" Type="http://schemas.openxmlformats.org/officeDocument/2006/relationships/ctrlProp" Target="../ctrlProps/ctrlProp7.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omments" Target="../comments1.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table" Target="../tables/table4.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61" Type="http://schemas.openxmlformats.org/officeDocument/2006/relationships/ctrlProp" Target="../ctrlProps/ctrlProp59.xml"/><Relationship Id="rId82" Type="http://schemas.openxmlformats.org/officeDocument/2006/relationships/ctrlProp" Target="../ctrlProps/ctrlProp80.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table" Target="../tables/table5.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96.xml"/><Relationship Id="rId18" Type="http://schemas.openxmlformats.org/officeDocument/2006/relationships/ctrlProp" Target="../ctrlProps/ctrlProp101.xml"/><Relationship Id="rId26" Type="http://schemas.openxmlformats.org/officeDocument/2006/relationships/ctrlProp" Target="../ctrlProps/ctrlProp109.xml"/><Relationship Id="rId39" Type="http://schemas.openxmlformats.org/officeDocument/2006/relationships/ctrlProp" Target="../ctrlProps/ctrlProp122.xml"/><Relationship Id="rId21" Type="http://schemas.openxmlformats.org/officeDocument/2006/relationships/ctrlProp" Target="../ctrlProps/ctrlProp104.xml"/><Relationship Id="rId34" Type="http://schemas.openxmlformats.org/officeDocument/2006/relationships/ctrlProp" Target="../ctrlProps/ctrlProp117.xml"/><Relationship Id="rId42" Type="http://schemas.openxmlformats.org/officeDocument/2006/relationships/ctrlProp" Target="../ctrlProps/ctrlProp125.xml"/><Relationship Id="rId47" Type="http://schemas.openxmlformats.org/officeDocument/2006/relationships/ctrlProp" Target="../ctrlProps/ctrlProp130.xml"/><Relationship Id="rId50" Type="http://schemas.openxmlformats.org/officeDocument/2006/relationships/table" Target="../tables/table10.xml"/><Relationship Id="rId55" Type="http://schemas.openxmlformats.org/officeDocument/2006/relationships/table" Target="../tables/table15.xml"/><Relationship Id="rId7" Type="http://schemas.openxmlformats.org/officeDocument/2006/relationships/ctrlProp" Target="../ctrlProps/ctrlProp90.xml"/><Relationship Id="rId2" Type="http://schemas.openxmlformats.org/officeDocument/2006/relationships/drawing" Target="../drawings/drawing2.xml"/><Relationship Id="rId16" Type="http://schemas.openxmlformats.org/officeDocument/2006/relationships/ctrlProp" Target="../ctrlProps/ctrlProp99.xml"/><Relationship Id="rId29" Type="http://schemas.openxmlformats.org/officeDocument/2006/relationships/ctrlProp" Target="../ctrlProps/ctrlProp112.xml"/><Relationship Id="rId11" Type="http://schemas.openxmlformats.org/officeDocument/2006/relationships/ctrlProp" Target="../ctrlProps/ctrlProp94.xml"/><Relationship Id="rId24" Type="http://schemas.openxmlformats.org/officeDocument/2006/relationships/ctrlProp" Target="../ctrlProps/ctrlProp107.xml"/><Relationship Id="rId32" Type="http://schemas.openxmlformats.org/officeDocument/2006/relationships/ctrlProp" Target="../ctrlProps/ctrlProp115.xml"/><Relationship Id="rId37" Type="http://schemas.openxmlformats.org/officeDocument/2006/relationships/ctrlProp" Target="../ctrlProps/ctrlProp120.xml"/><Relationship Id="rId40" Type="http://schemas.openxmlformats.org/officeDocument/2006/relationships/ctrlProp" Target="../ctrlProps/ctrlProp123.xml"/><Relationship Id="rId45" Type="http://schemas.openxmlformats.org/officeDocument/2006/relationships/ctrlProp" Target="../ctrlProps/ctrlProp128.xml"/><Relationship Id="rId53" Type="http://schemas.openxmlformats.org/officeDocument/2006/relationships/table" Target="../tables/table13.xml"/><Relationship Id="rId5" Type="http://schemas.openxmlformats.org/officeDocument/2006/relationships/ctrlProp" Target="../ctrlProps/ctrlProp88.xml"/><Relationship Id="rId10" Type="http://schemas.openxmlformats.org/officeDocument/2006/relationships/ctrlProp" Target="../ctrlProps/ctrlProp93.xml"/><Relationship Id="rId19" Type="http://schemas.openxmlformats.org/officeDocument/2006/relationships/ctrlProp" Target="../ctrlProps/ctrlProp102.xml"/><Relationship Id="rId31" Type="http://schemas.openxmlformats.org/officeDocument/2006/relationships/ctrlProp" Target="../ctrlProps/ctrlProp114.xml"/><Relationship Id="rId44" Type="http://schemas.openxmlformats.org/officeDocument/2006/relationships/ctrlProp" Target="../ctrlProps/ctrlProp127.xml"/><Relationship Id="rId52" Type="http://schemas.openxmlformats.org/officeDocument/2006/relationships/table" Target="../tables/table12.xml"/><Relationship Id="rId4" Type="http://schemas.openxmlformats.org/officeDocument/2006/relationships/ctrlProp" Target="../ctrlProps/ctrlProp87.xml"/><Relationship Id="rId9" Type="http://schemas.openxmlformats.org/officeDocument/2006/relationships/ctrlProp" Target="../ctrlProps/ctrlProp92.xml"/><Relationship Id="rId14" Type="http://schemas.openxmlformats.org/officeDocument/2006/relationships/ctrlProp" Target="../ctrlProps/ctrlProp97.xml"/><Relationship Id="rId22" Type="http://schemas.openxmlformats.org/officeDocument/2006/relationships/ctrlProp" Target="../ctrlProps/ctrlProp105.xml"/><Relationship Id="rId27" Type="http://schemas.openxmlformats.org/officeDocument/2006/relationships/ctrlProp" Target="../ctrlProps/ctrlProp110.xml"/><Relationship Id="rId30" Type="http://schemas.openxmlformats.org/officeDocument/2006/relationships/ctrlProp" Target="../ctrlProps/ctrlProp113.xml"/><Relationship Id="rId35" Type="http://schemas.openxmlformats.org/officeDocument/2006/relationships/ctrlProp" Target="../ctrlProps/ctrlProp118.xml"/><Relationship Id="rId43" Type="http://schemas.openxmlformats.org/officeDocument/2006/relationships/ctrlProp" Target="../ctrlProps/ctrlProp126.xml"/><Relationship Id="rId48" Type="http://schemas.openxmlformats.org/officeDocument/2006/relationships/ctrlProp" Target="../ctrlProps/ctrlProp131.xml"/><Relationship Id="rId56" Type="http://schemas.openxmlformats.org/officeDocument/2006/relationships/table" Target="../tables/table16.xml"/><Relationship Id="rId8" Type="http://schemas.openxmlformats.org/officeDocument/2006/relationships/ctrlProp" Target="../ctrlProps/ctrlProp91.xml"/><Relationship Id="rId51" Type="http://schemas.openxmlformats.org/officeDocument/2006/relationships/table" Target="../tables/table11.xml"/><Relationship Id="rId3" Type="http://schemas.openxmlformats.org/officeDocument/2006/relationships/vmlDrawing" Target="../drawings/vmlDrawing2.vml"/><Relationship Id="rId12" Type="http://schemas.openxmlformats.org/officeDocument/2006/relationships/ctrlProp" Target="../ctrlProps/ctrlProp95.xml"/><Relationship Id="rId17" Type="http://schemas.openxmlformats.org/officeDocument/2006/relationships/ctrlProp" Target="../ctrlProps/ctrlProp100.xml"/><Relationship Id="rId25" Type="http://schemas.openxmlformats.org/officeDocument/2006/relationships/ctrlProp" Target="../ctrlProps/ctrlProp108.xml"/><Relationship Id="rId33" Type="http://schemas.openxmlformats.org/officeDocument/2006/relationships/ctrlProp" Target="../ctrlProps/ctrlProp116.xml"/><Relationship Id="rId38" Type="http://schemas.openxmlformats.org/officeDocument/2006/relationships/ctrlProp" Target="../ctrlProps/ctrlProp121.xml"/><Relationship Id="rId46" Type="http://schemas.openxmlformats.org/officeDocument/2006/relationships/ctrlProp" Target="../ctrlProps/ctrlProp129.xml"/><Relationship Id="rId20" Type="http://schemas.openxmlformats.org/officeDocument/2006/relationships/ctrlProp" Target="../ctrlProps/ctrlProp103.xml"/><Relationship Id="rId41" Type="http://schemas.openxmlformats.org/officeDocument/2006/relationships/ctrlProp" Target="../ctrlProps/ctrlProp124.xml"/><Relationship Id="rId54" Type="http://schemas.openxmlformats.org/officeDocument/2006/relationships/table" Target="../tables/table14.xml"/><Relationship Id="rId1" Type="http://schemas.openxmlformats.org/officeDocument/2006/relationships/printerSettings" Target="../printerSettings/printerSettings1.bin"/><Relationship Id="rId6" Type="http://schemas.openxmlformats.org/officeDocument/2006/relationships/ctrlProp" Target="../ctrlProps/ctrlProp89.xml"/><Relationship Id="rId15" Type="http://schemas.openxmlformats.org/officeDocument/2006/relationships/ctrlProp" Target="../ctrlProps/ctrlProp98.xml"/><Relationship Id="rId23" Type="http://schemas.openxmlformats.org/officeDocument/2006/relationships/ctrlProp" Target="../ctrlProps/ctrlProp106.xml"/><Relationship Id="rId28" Type="http://schemas.openxmlformats.org/officeDocument/2006/relationships/ctrlProp" Target="../ctrlProps/ctrlProp111.xml"/><Relationship Id="rId36" Type="http://schemas.openxmlformats.org/officeDocument/2006/relationships/ctrlProp" Target="../ctrlProps/ctrlProp119.xml"/><Relationship Id="rId4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1.xml"/><Relationship Id="rId3" Type="http://schemas.openxmlformats.org/officeDocument/2006/relationships/vmlDrawing" Target="../drawings/vmlDrawing3.vml"/><Relationship Id="rId7" Type="http://schemas.openxmlformats.org/officeDocument/2006/relationships/table" Target="../tables/table20.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table" Target="../tables/table19.xml"/><Relationship Id="rId5" Type="http://schemas.openxmlformats.org/officeDocument/2006/relationships/table" Target="../tables/table18.xml"/><Relationship Id="rId10" Type="http://schemas.openxmlformats.org/officeDocument/2006/relationships/comments" Target="../comments2.xml"/><Relationship Id="rId4" Type="http://schemas.openxmlformats.org/officeDocument/2006/relationships/table" Target="../tables/table17.xml"/><Relationship Id="rId9" Type="http://schemas.openxmlformats.org/officeDocument/2006/relationships/table" Target="../tables/table2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7.xml"/><Relationship Id="rId3" Type="http://schemas.openxmlformats.org/officeDocument/2006/relationships/vmlDrawing" Target="../drawings/vmlDrawing4.vml"/><Relationship Id="rId7" Type="http://schemas.openxmlformats.org/officeDocument/2006/relationships/table" Target="../tables/table26.x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table" Target="../tables/table25.xml"/><Relationship Id="rId5" Type="http://schemas.openxmlformats.org/officeDocument/2006/relationships/table" Target="../tables/table24.xml"/><Relationship Id="rId10" Type="http://schemas.openxmlformats.org/officeDocument/2006/relationships/comments" Target="../comments3.xml"/><Relationship Id="rId4" Type="http://schemas.openxmlformats.org/officeDocument/2006/relationships/table" Target="../tables/table23.xml"/><Relationship Id="rId9" Type="http://schemas.openxmlformats.org/officeDocument/2006/relationships/table" Target="../tables/table28.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3.xml"/><Relationship Id="rId3" Type="http://schemas.openxmlformats.org/officeDocument/2006/relationships/vmlDrawing" Target="../drawings/vmlDrawing5.vml"/><Relationship Id="rId7" Type="http://schemas.openxmlformats.org/officeDocument/2006/relationships/table" Target="../tables/table32.x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31.xml"/><Relationship Id="rId5" Type="http://schemas.openxmlformats.org/officeDocument/2006/relationships/table" Target="../tables/table30.xml"/><Relationship Id="rId10" Type="http://schemas.openxmlformats.org/officeDocument/2006/relationships/comments" Target="../comments4.xml"/><Relationship Id="rId4" Type="http://schemas.openxmlformats.org/officeDocument/2006/relationships/table" Target="../tables/table29.xml"/><Relationship Id="rId9" Type="http://schemas.openxmlformats.org/officeDocument/2006/relationships/table" Target="../tables/table34.xml"/></Relationships>
</file>

<file path=xl/worksheets/_rels/sheet6.xml.rels><?xml version="1.0" encoding="UTF-8" standalone="yes"?>
<Relationships xmlns="http://schemas.openxmlformats.org/package/2006/relationships"><Relationship Id="rId8" Type="http://schemas.openxmlformats.org/officeDocument/2006/relationships/table" Target="../tables/table39.xml"/><Relationship Id="rId3" Type="http://schemas.openxmlformats.org/officeDocument/2006/relationships/vmlDrawing" Target="../drawings/vmlDrawing6.vml"/><Relationship Id="rId7" Type="http://schemas.openxmlformats.org/officeDocument/2006/relationships/table" Target="../tables/table38.xml"/><Relationship Id="rId2" Type="http://schemas.openxmlformats.org/officeDocument/2006/relationships/drawing" Target="../drawings/drawing6.xml"/><Relationship Id="rId1" Type="http://schemas.openxmlformats.org/officeDocument/2006/relationships/printerSettings" Target="../printerSettings/printerSettings5.bin"/><Relationship Id="rId6" Type="http://schemas.openxmlformats.org/officeDocument/2006/relationships/table" Target="../tables/table37.xml"/><Relationship Id="rId5" Type="http://schemas.openxmlformats.org/officeDocument/2006/relationships/table" Target="../tables/table36.xml"/><Relationship Id="rId10" Type="http://schemas.openxmlformats.org/officeDocument/2006/relationships/comments" Target="../comments5.xml"/><Relationship Id="rId4" Type="http://schemas.openxmlformats.org/officeDocument/2006/relationships/table" Target="../tables/table35.xml"/><Relationship Id="rId9"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112A-BDC8-418B-817F-05B6BAAAE0B4}">
  <dimension ref="B3:Y106"/>
  <sheetViews>
    <sheetView topLeftCell="A91" zoomScale="85" zoomScaleNormal="85" workbookViewId="0">
      <selection activeCell="P61" sqref="P61"/>
    </sheetView>
  </sheetViews>
  <sheetFormatPr defaultRowHeight="14.4" x14ac:dyDescent="0.3"/>
  <cols>
    <col min="1" max="1" width="8.88671875" style="5"/>
    <col min="2" max="2" width="17" style="5" bestFit="1" customWidth="1"/>
    <col min="3" max="3" width="18.33203125" style="5" bestFit="1" customWidth="1"/>
    <col min="4" max="4" width="28" style="5" bestFit="1" customWidth="1"/>
    <col min="5" max="5" width="24.5546875" style="5" bestFit="1" customWidth="1"/>
    <col min="6" max="6" width="8.6640625" style="5" bestFit="1" customWidth="1"/>
    <col min="7" max="7" width="11.5546875" style="5" bestFit="1" customWidth="1"/>
    <col min="8" max="8" width="10.88671875" style="5" bestFit="1" customWidth="1"/>
    <col min="9" max="9" width="16.33203125" style="5" bestFit="1" customWidth="1"/>
    <col min="10" max="10" width="10.88671875" style="5" bestFit="1" customWidth="1"/>
    <col min="11" max="16384" width="8.88671875" style="5"/>
  </cols>
  <sheetData>
    <row r="3" spans="2:19" ht="14.4" customHeight="1" x14ac:dyDescent="0.3">
      <c r="B3" s="1" t="s">
        <v>0</v>
      </c>
      <c r="C3" s="2" t="s">
        <v>1</v>
      </c>
      <c r="D3" s="2" t="s">
        <v>2</v>
      </c>
      <c r="E3" s="2" t="s">
        <v>3</v>
      </c>
      <c r="F3" s="2" t="s">
        <v>4</v>
      </c>
      <c r="G3" s="2" t="s">
        <v>5</v>
      </c>
      <c r="H3" s="3" t="s">
        <v>6</v>
      </c>
      <c r="I3" s="2" t="s">
        <v>7</v>
      </c>
      <c r="J3" s="4" t="s">
        <v>8</v>
      </c>
      <c r="K3" s="4"/>
      <c r="L3" s="4"/>
      <c r="M3" s="4"/>
      <c r="N3" s="4"/>
      <c r="O3" s="4"/>
      <c r="P3" s="4"/>
      <c r="Q3" s="4"/>
      <c r="R3" s="4"/>
      <c r="S3" s="4"/>
    </row>
    <row r="4" spans="2:19" x14ac:dyDescent="0.3">
      <c r="B4" s="5" t="s">
        <v>9</v>
      </c>
      <c r="C4" s="6" t="s">
        <v>10</v>
      </c>
      <c r="D4" s="6" t="s">
        <v>10</v>
      </c>
      <c r="E4" s="6" t="s">
        <v>10</v>
      </c>
      <c r="F4" s="6" t="s">
        <v>10</v>
      </c>
      <c r="G4" s="7">
        <v>0</v>
      </c>
      <c r="H4" s="6" t="s">
        <v>10</v>
      </c>
      <c r="I4" s="6" t="s">
        <v>10</v>
      </c>
      <c r="J4" s="4"/>
      <c r="K4" s="4"/>
      <c r="L4" s="4"/>
      <c r="M4" s="4"/>
      <c r="N4" s="4"/>
      <c r="O4" s="4"/>
      <c r="P4" s="4"/>
      <c r="Q4" s="4"/>
      <c r="R4" s="4"/>
      <c r="S4" s="4"/>
    </row>
    <row r="5" spans="2:19" x14ac:dyDescent="0.3">
      <c r="B5" s="5" t="s">
        <v>11</v>
      </c>
      <c r="C5" s="6" t="s">
        <v>10</v>
      </c>
      <c r="D5" s="6" t="s">
        <v>10</v>
      </c>
      <c r="E5" s="6" t="s">
        <v>10</v>
      </c>
      <c r="F5" s="6" t="s">
        <v>10</v>
      </c>
      <c r="G5" s="7">
        <v>0</v>
      </c>
      <c r="H5" s="6" t="s">
        <v>10</v>
      </c>
      <c r="I5" s="6" t="s">
        <v>10</v>
      </c>
      <c r="J5" s="8" t="s">
        <v>12</v>
      </c>
      <c r="K5" s="8"/>
      <c r="L5" s="8"/>
      <c r="M5" s="8"/>
      <c r="N5" s="8"/>
      <c r="O5" s="8"/>
      <c r="P5" s="8"/>
      <c r="Q5" s="8"/>
      <c r="R5" s="8"/>
      <c r="S5" s="8"/>
    </row>
    <row r="6" spans="2:19" x14ac:dyDescent="0.3">
      <c r="B6" s="5" t="s">
        <v>13</v>
      </c>
      <c r="C6" s="6" t="s">
        <v>10</v>
      </c>
      <c r="D6" s="6" t="s">
        <v>10</v>
      </c>
      <c r="E6" s="6" t="s">
        <v>10</v>
      </c>
      <c r="F6" s="6" t="s">
        <v>10</v>
      </c>
      <c r="G6" s="7">
        <v>0</v>
      </c>
      <c r="H6" s="6" t="s">
        <v>10</v>
      </c>
      <c r="I6" s="6" t="s">
        <v>10</v>
      </c>
      <c r="J6" s="8"/>
      <c r="K6" s="8"/>
      <c r="L6" s="8"/>
      <c r="M6" s="8"/>
      <c r="N6" s="8"/>
      <c r="O6" s="8"/>
      <c r="P6" s="8"/>
      <c r="Q6" s="8"/>
      <c r="R6" s="8"/>
      <c r="S6" s="8"/>
    </row>
    <row r="7" spans="2:19" x14ac:dyDescent="0.3">
      <c r="B7" s="5" t="s">
        <v>14</v>
      </c>
      <c r="C7" s="6" t="s">
        <v>10</v>
      </c>
      <c r="D7" s="6" t="s">
        <v>10</v>
      </c>
      <c r="E7" s="6" t="s">
        <v>10</v>
      </c>
      <c r="F7" s="6" t="s">
        <v>10</v>
      </c>
      <c r="G7" s="7">
        <v>0</v>
      </c>
      <c r="H7" s="6" t="s">
        <v>10</v>
      </c>
      <c r="I7" s="6" t="s">
        <v>10</v>
      </c>
      <c r="J7" s="4" t="s">
        <v>15</v>
      </c>
      <c r="K7" s="4"/>
      <c r="L7" s="4"/>
      <c r="M7" s="4"/>
      <c r="N7" s="4"/>
      <c r="O7" s="4"/>
      <c r="P7" s="4"/>
      <c r="Q7" s="4"/>
      <c r="R7" s="4"/>
      <c r="S7" s="4"/>
    </row>
    <row r="8" spans="2:19" x14ac:dyDescent="0.3">
      <c r="B8" s="5" t="s">
        <v>16</v>
      </c>
      <c r="C8" s="6" t="s">
        <v>10</v>
      </c>
      <c r="D8" s="6" t="s">
        <v>10</v>
      </c>
      <c r="E8" s="6" t="s">
        <v>10</v>
      </c>
      <c r="F8" s="6" t="s">
        <v>10</v>
      </c>
      <c r="G8" s="7">
        <v>0</v>
      </c>
      <c r="H8" s="6" t="s">
        <v>10</v>
      </c>
      <c r="I8" s="6" t="s">
        <v>10</v>
      </c>
      <c r="J8" s="4"/>
      <c r="K8" s="4"/>
      <c r="L8" s="4"/>
      <c r="M8" s="4"/>
      <c r="N8" s="4"/>
      <c r="O8" s="4"/>
      <c r="P8" s="4"/>
      <c r="Q8" s="4"/>
      <c r="R8" s="4"/>
      <c r="S8" s="4"/>
    </row>
    <row r="9" spans="2:19" x14ac:dyDescent="0.3">
      <c r="B9" s="5" t="s">
        <v>17</v>
      </c>
      <c r="C9" s="6" t="s">
        <v>10</v>
      </c>
      <c r="D9" s="6" t="s">
        <v>10</v>
      </c>
      <c r="E9" s="6" t="s">
        <v>10</v>
      </c>
      <c r="F9" s="6" t="s">
        <v>10</v>
      </c>
      <c r="G9" s="7">
        <v>0</v>
      </c>
      <c r="H9" s="6" t="s">
        <v>10</v>
      </c>
      <c r="I9" s="6" t="s">
        <v>10</v>
      </c>
    </row>
    <row r="10" spans="2:19" x14ac:dyDescent="0.3">
      <c r="B10" s="5" t="s">
        <v>18</v>
      </c>
      <c r="C10" s="6" t="s">
        <v>10</v>
      </c>
      <c r="D10" s="6" t="s">
        <v>10</v>
      </c>
      <c r="E10" s="6" t="s">
        <v>10</v>
      </c>
      <c r="F10" s="6" t="s">
        <v>10</v>
      </c>
      <c r="G10" s="7">
        <v>0</v>
      </c>
      <c r="H10" s="6" t="s">
        <v>10</v>
      </c>
      <c r="I10" s="6" t="s">
        <v>10</v>
      </c>
    </row>
    <row r="13" spans="2:19" ht="15" thickBot="1" x14ac:dyDescent="0.35">
      <c r="B13" s="1" t="s">
        <v>0</v>
      </c>
      <c r="C13" s="2" t="s">
        <v>19</v>
      </c>
      <c r="D13" s="2" t="s">
        <v>20</v>
      </c>
      <c r="E13" s="2" t="s">
        <v>21</v>
      </c>
      <c r="F13" s="2" t="s">
        <v>22</v>
      </c>
      <c r="G13" s="2" t="s">
        <v>23</v>
      </c>
      <c r="H13" s="3" t="s">
        <v>24</v>
      </c>
      <c r="I13" s="3" t="s">
        <v>25</v>
      </c>
      <c r="J13" s="4" t="s">
        <v>26</v>
      </c>
      <c r="K13" s="9"/>
      <c r="L13" s="9"/>
      <c r="M13" s="9"/>
      <c r="N13" s="9"/>
      <c r="O13" s="9"/>
      <c r="P13" s="9"/>
      <c r="Q13" s="9"/>
      <c r="R13" s="9"/>
      <c r="S13" s="9"/>
    </row>
    <row r="14" spans="2:19" ht="15.6" thickTop="1" thickBot="1" x14ac:dyDescent="0.35">
      <c r="B14" s="5" t="s">
        <v>9</v>
      </c>
      <c r="C14" s="6" t="s">
        <v>10</v>
      </c>
      <c r="D14" s="6" t="s">
        <v>10</v>
      </c>
      <c r="E14" s="6" t="s">
        <v>10</v>
      </c>
      <c r="F14" s="6" t="s">
        <v>10</v>
      </c>
      <c r="G14" s="5">
        <v>0</v>
      </c>
      <c r="H14" s="10" t="s">
        <v>10</v>
      </c>
      <c r="I14" s="10" t="s">
        <v>10</v>
      </c>
      <c r="J14" s="9"/>
      <c r="K14" s="9"/>
      <c r="L14" s="9"/>
      <c r="M14" s="9"/>
      <c r="N14" s="9"/>
      <c r="O14" s="9"/>
      <c r="P14" s="9"/>
      <c r="Q14" s="9"/>
      <c r="R14" s="9"/>
      <c r="S14" s="9"/>
    </row>
    <row r="15" spans="2:19" ht="15.6" thickTop="1" thickBot="1" x14ac:dyDescent="0.35">
      <c r="B15" s="5" t="s">
        <v>11</v>
      </c>
      <c r="C15" s="6" t="s">
        <v>10</v>
      </c>
      <c r="D15" s="6" t="s">
        <v>10</v>
      </c>
      <c r="E15" s="6" t="s">
        <v>10</v>
      </c>
      <c r="F15" s="6" t="s">
        <v>10</v>
      </c>
      <c r="G15" s="5">
        <v>0</v>
      </c>
      <c r="H15" s="10" t="s">
        <v>10</v>
      </c>
      <c r="I15" s="10" t="s">
        <v>10</v>
      </c>
      <c r="J15" s="11" t="s">
        <v>27</v>
      </c>
      <c r="K15" s="11"/>
      <c r="L15" s="11"/>
      <c r="M15" s="11"/>
      <c r="N15" s="11"/>
      <c r="O15" s="11"/>
      <c r="P15" s="11"/>
      <c r="Q15" s="11"/>
      <c r="R15" s="11"/>
      <c r="S15" s="11"/>
    </row>
    <row r="16" spans="2:19" ht="15.6" thickTop="1" thickBot="1" x14ac:dyDescent="0.35">
      <c r="B16" s="5" t="s">
        <v>13</v>
      </c>
      <c r="C16" s="6" t="s">
        <v>10</v>
      </c>
      <c r="D16" s="6" t="s">
        <v>10</v>
      </c>
      <c r="E16" s="6" t="s">
        <v>10</v>
      </c>
      <c r="F16" s="6" t="s">
        <v>10</v>
      </c>
      <c r="G16" s="5">
        <v>0</v>
      </c>
      <c r="H16" s="10" t="s">
        <v>10</v>
      </c>
      <c r="I16" s="10" t="s">
        <v>10</v>
      </c>
      <c r="J16" s="11"/>
      <c r="K16" s="11"/>
      <c r="L16" s="11"/>
      <c r="M16" s="11"/>
      <c r="N16" s="11"/>
      <c r="O16" s="11"/>
      <c r="P16" s="11"/>
      <c r="Q16" s="11"/>
      <c r="R16" s="11"/>
      <c r="S16" s="11"/>
    </row>
    <row r="17" spans="2:19" ht="15.6" thickTop="1" thickBot="1" x14ac:dyDescent="0.35">
      <c r="B17" s="5" t="s">
        <v>14</v>
      </c>
      <c r="C17" s="6" t="s">
        <v>10</v>
      </c>
      <c r="D17" s="6" t="s">
        <v>10</v>
      </c>
      <c r="E17" s="6" t="s">
        <v>10</v>
      </c>
      <c r="F17" s="6" t="s">
        <v>10</v>
      </c>
      <c r="G17" s="5">
        <v>0</v>
      </c>
      <c r="H17" s="10" t="s">
        <v>10</v>
      </c>
      <c r="I17" s="10" t="s">
        <v>10</v>
      </c>
    </row>
    <row r="18" spans="2:19" ht="15.6" thickTop="1" thickBot="1" x14ac:dyDescent="0.35">
      <c r="B18" s="5" t="s">
        <v>16</v>
      </c>
      <c r="C18" s="6" t="s">
        <v>10</v>
      </c>
      <c r="D18" s="6" t="s">
        <v>10</v>
      </c>
      <c r="E18" s="6" t="s">
        <v>10</v>
      </c>
      <c r="F18" s="6" t="s">
        <v>10</v>
      </c>
      <c r="G18" s="5">
        <v>0</v>
      </c>
      <c r="H18" s="10" t="s">
        <v>10</v>
      </c>
      <c r="I18" s="10" t="s">
        <v>10</v>
      </c>
    </row>
    <row r="19" spans="2:19" ht="15.6" thickTop="1" thickBot="1" x14ac:dyDescent="0.35">
      <c r="B19" s="5" t="s">
        <v>17</v>
      </c>
      <c r="C19" s="6" t="s">
        <v>10</v>
      </c>
      <c r="D19" s="6" t="s">
        <v>10</v>
      </c>
      <c r="E19" s="6" t="s">
        <v>10</v>
      </c>
      <c r="F19" s="6" t="s">
        <v>10</v>
      </c>
      <c r="G19" s="5">
        <v>0</v>
      </c>
      <c r="H19" s="10" t="s">
        <v>10</v>
      </c>
      <c r="I19" s="10" t="s">
        <v>10</v>
      </c>
    </row>
    <row r="20" spans="2:19" ht="15.6" thickTop="1" thickBot="1" x14ac:dyDescent="0.35">
      <c r="B20" s="5" t="s">
        <v>18</v>
      </c>
      <c r="C20" s="6" t="s">
        <v>10</v>
      </c>
      <c r="D20" s="6" t="s">
        <v>10</v>
      </c>
      <c r="E20" s="6" t="s">
        <v>10</v>
      </c>
      <c r="F20" s="6" t="s">
        <v>10</v>
      </c>
      <c r="G20" s="5">
        <v>0</v>
      </c>
      <c r="H20" s="10" t="s">
        <v>10</v>
      </c>
      <c r="I20" s="10" t="s">
        <v>10</v>
      </c>
    </row>
    <row r="21" spans="2:19" ht="15" thickTop="1" x14ac:dyDescent="0.3"/>
    <row r="22" spans="2:19" ht="15" thickBot="1" x14ac:dyDescent="0.35">
      <c r="B22" s="5" t="s">
        <v>28</v>
      </c>
      <c r="C22" s="12" t="s">
        <v>19</v>
      </c>
      <c r="D22" s="12" t="s">
        <v>20</v>
      </c>
      <c r="E22" s="12" t="s">
        <v>21</v>
      </c>
      <c r="F22" s="12" t="s">
        <v>22</v>
      </c>
      <c r="G22" s="12" t="s">
        <v>23</v>
      </c>
      <c r="H22" s="12" t="s">
        <v>24</v>
      </c>
      <c r="I22" s="12" t="s">
        <v>29</v>
      </c>
      <c r="J22" s="13" t="s">
        <v>30</v>
      </c>
      <c r="K22" s="4" t="s">
        <v>31</v>
      </c>
      <c r="L22" s="4"/>
      <c r="M22" s="4"/>
      <c r="N22" s="4"/>
      <c r="O22" s="4"/>
      <c r="P22" s="4"/>
      <c r="Q22" s="4"/>
      <c r="R22" s="4"/>
      <c r="S22" s="4"/>
    </row>
    <row r="23" spans="2:19" ht="15.6" thickTop="1" thickBot="1" x14ac:dyDescent="0.35">
      <c r="B23" s="6" t="s">
        <v>32</v>
      </c>
      <c r="C23" s="1">
        <v>10</v>
      </c>
      <c r="D23" s="1">
        <v>5</v>
      </c>
      <c r="E23" s="1">
        <v>20</v>
      </c>
      <c r="F23" s="1">
        <v>20</v>
      </c>
      <c r="G23" s="1">
        <v>15</v>
      </c>
      <c r="H23" s="1">
        <v>15</v>
      </c>
      <c r="I23" s="1">
        <v>15</v>
      </c>
      <c r="J23" s="14">
        <f>SUM(C23:I23)</f>
        <v>100</v>
      </c>
      <c r="K23" s="4"/>
      <c r="L23" s="4"/>
      <c r="M23" s="4"/>
      <c r="N23" s="4"/>
      <c r="O23" s="4"/>
      <c r="P23" s="4"/>
      <c r="Q23" s="4"/>
      <c r="R23" s="4"/>
      <c r="S23" s="4"/>
    </row>
    <row r="24" spans="2:19" ht="15" thickTop="1" x14ac:dyDescent="0.3"/>
    <row r="26" spans="2:19" x14ac:dyDescent="0.3">
      <c r="B26" s="15" t="s">
        <v>33</v>
      </c>
      <c r="C26" s="15"/>
      <c r="D26" s="15"/>
    </row>
    <row r="27" spans="2:19" x14ac:dyDescent="0.3">
      <c r="B27" s="5" t="s">
        <v>34</v>
      </c>
      <c r="C27" s="5" t="s">
        <v>35</v>
      </c>
      <c r="D27" s="5" t="s">
        <v>36</v>
      </c>
      <c r="G27" s="4" t="s">
        <v>37</v>
      </c>
      <c r="H27" s="4"/>
      <c r="I27" s="4"/>
      <c r="J27" s="4"/>
      <c r="K27" s="4"/>
      <c r="L27" s="4"/>
      <c r="M27" s="4"/>
      <c r="N27" s="4"/>
    </row>
    <row r="28" spans="2:19" x14ac:dyDescent="0.3">
      <c r="B28" s="5" t="s">
        <v>38</v>
      </c>
      <c r="C28" s="16">
        <v>90</v>
      </c>
      <c r="D28" s="16">
        <v>100</v>
      </c>
      <c r="G28" s="4"/>
      <c r="H28" s="4"/>
      <c r="I28" s="4"/>
      <c r="J28" s="4"/>
      <c r="K28" s="4"/>
      <c r="L28" s="4"/>
      <c r="M28" s="4"/>
      <c r="N28" s="4"/>
    </row>
    <row r="29" spans="2:19" x14ac:dyDescent="0.3">
      <c r="B29" s="5" t="s">
        <v>39</v>
      </c>
      <c r="C29" s="16">
        <v>85</v>
      </c>
      <c r="D29" s="16">
        <v>90</v>
      </c>
    </row>
    <row r="30" spans="2:19" x14ac:dyDescent="0.3">
      <c r="B30" s="5" t="s">
        <v>40</v>
      </c>
      <c r="C30" s="16">
        <v>80</v>
      </c>
      <c r="D30" s="16">
        <v>85</v>
      </c>
      <c r="O30" s="17"/>
    </row>
    <row r="31" spans="2:19" x14ac:dyDescent="0.3">
      <c r="B31" s="5" t="s">
        <v>41</v>
      </c>
      <c r="C31" s="16">
        <v>75</v>
      </c>
      <c r="D31" s="16">
        <v>80</v>
      </c>
    </row>
    <row r="32" spans="2:19" x14ac:dyDescent="0.3">
      <c r="B32" s="5" t="s">
        <v>42</v>
      </c>
      <c r="C32" s="16">
        <v>70</v>
      </c>
      <c r="D32" s="16">
        <v>75</v>
      </c>
    </row>
    <row r="33" spans="2:24" x14ac:dyDescent="0.3">
      <c r="B33" s="5" t="s">
        <v>43</v>
      </c>
      <c r="C33" s="16">
        <v>65</v>
      </c>
      <c r="D33" s="16">
        <v>70</v>
      </c>
    </row>
    <row r="34" spans="2:24" x14ac:dyDescent="0.3">
      <c r="B34" s="5" t="s">
        <v>44</v>
      </c>
      <c r="C34" s="16">
        <v>60</v>
      </c>
      <c r="D34" s="16">
        <v>65</v>
      </c>
      <c r="I34" s="18" t="s">
        <v>45</v>
      </c>
      <c r="J34" s="18"/>
      <c r="K34" s="18"/>
      <c r="L34" s="18"/>
      <c r="M34" s="18"/>
      <c r="N34" s="18"/>
      <c r="O34" s="18"/>
      <c r="P34" s="18"/>
      <c r="Q34" s="18"/>
      <c r="R34" s="18"/>
    </row>
    <row r="35" spans="2:24" x14ac:dyDescent="0.3">
      <c r="B35" s="5" t="s">
        <v>46</v>
      </c>
      <c r="C35" s="16">
        <v>50</v>
      </c>
      <c r="D35" s="16">
        <v>60</v>
      </c>
      <c r="I35" s="18"/>
      <c r="J35" s="18"/>
      <c r="K35" s="18"/>
      <c r="L35" s="18"/>
      <c r="M35" s="18"/>
      <c r="N35" s="18"/>
      <c r="O35" s="18"/>
      <c r="P35" s="18"/>
      <c r="Q35" s="18"/>
      <c r="R35" s="18"/>
    </row>
    <row r="36" spans="2:24" x14ac:dyDescent="0.3">
      <c r="B36" s="5" t="s">
        <v>47</v>
      </c>
      <c r="C36" s="16">
        <v>0</v>
      </c>
      <c r="D36" s="16">
        <v>50</v>
      </c>
      <c r="I36" s="19" t="s">
        <v>48</v>
      </c>
      <c r="J36" s="20"/>
      <c r="K36" s="20"/>
      <c r="L36" s="20"/>
      <c r="M36" s="20"/>
      <c r="N36" s="20"/>
      <c r="O36" s="20"/>
      <c r="P36" s="20"/>
      <c r="Q36" s="20"/>
      <c r="R36" s="20"/>
    </row>
    <row r="37" spans="2:24" x14ac:dyDescent="0.3">
      <c r="B37" s="5" t="s">
        <v>49</v>
      </c>
      <c r="C37" s="1" t="s">
        <v>50</v>
      </c>
      <c r="D37" s="1" t="s">
        <v>50</v>
      </c>
    </row>
    <row r="39" spans="2:24" x14ac:dyDescent="0.3">
      <c r="B39" s="21" t="s">
        <v>51</v>
      </c>
      <c r="C39" s="22"/>
      <c r="D39" s="23"/>
    </row>
    <row r="40" spans="2:24" ht="15" thickBot="1" x14ac:dyDescent="0.35">
      <c r="B40" s="5" t="s">
        <v>52</v>
      </c>
      <c r="C40" s="5" t="s">
        <v>53</v>
      </c>
      <c r="D40" s="6" t="s">
        <v>54</v>
      </c>
    </row>
    <row r="41" spans="2:24" ht="15.6" thickTop="1" thickBot="1" x14ac:dyDescent="0.35">
      <c r="B41" s="5" t="s">
        <v>55</v>
      </c>
      <c r="C41" s="17">
        <v>10</v>
      </c>
      <c r="D41" s="24" cm="1">
        <f t="array" ref="D41">Tablo11[TOTAL]</f>
        <v>100</v>
      </c>
    </row>
    <row r="42" spans="2:24" ht="15.6" thickTop="1" thickBot="1" x14ac:dyDescent="0.35">
      <c r="B42" s="5" t="s">
        <v>56</v>
      </c>
      <c r="C42" s="17">
        <v>20</v>
      </c>
      <c r="D42" s="24" cm="1">
        <f t="array" ref="D42">Tablo27[TOPLAM]</f>
        <v>100</v>
      </c>
      <c r="I42" s="25" t="s">
        <v>57</v>
      </c>
      <c r="J42" s="25"/>
      <c r="K42" s="25"/>
      <c r="L42" s="25"/>
      <c r="M42" s="25"/>
      <c r="N42" s="25"/>
      <c r="O42" s="25"/>
    </row>
    <row r="43" spans="2:24" ht="15.6" thickTop="1" thickBot="1" x14ac:dyDescent="0.35">
      <c r="B43" s="5" t="s">
        <v>1</v>
      </c>
      <c r="C43" s="17">
        <v>30</v>
      </c>
      <c r="D43" s="24" cm="1">
        <f t="array" ref="D43">[1]!Tablo19[TOTAL]</f>
        <v>100</v>
      </c>
      <c r="I43" s="25"/>
      <c r="J43" s="25"/>
      <c r="K43" s="25"/>
      <c r="L43" s="25"/>
      <c r="M43" s="25"/>
      <c r="N43" s="25"/>
      <c r="O43" s="25"/>
    </row>
    <row r="44" spans="2:24" ht="15.6" customHeight="1" thickTop="1" thickBot="1" x14ac:dyDescent="0.35">
      <c r="B44" s="5" t="s">
        <v>58</v>
      </c>
      <c r="C44" s="17">
        <v>40</v>
      </c>
      <c r="D44" s="24" cm="1">
        <f t="array" ref="D44">Tablo1939[TOTAL]</f>
        <v>100</v>
      </c>
      <c r="I44" s="18" t="s">
        <v>59</v>
      </c>
      <c r="J44" s="18"/>
      <c r="K44" s="18"/>
      <c r="L44" s="18"/>
      <c r="M44" s="18"/>
      <c r="N44" s="18"/>
      <c r="O44" s="18"/>
      <c r="P44" s="18"/>
    </row>
    <row r="45" spans="2:24" ht="15.6" thickTop="1" thickBot="1" x14ac:dyDescent="0.35">
      <c r="B45" s="5" t="s">
        <v>60</v>
      </c>
      <c r="C45" s="26">
        <f>SUM(C41,C42,C43,C44)</f>
        <v>100</v>
      </c>
      <c r="D45" s="24" t="s">
        <v>0</v>
      </c>
      <c r="I45" s="18"/>
      <c r="J45" s="18"/>
      <c r="K45" s="18"/>
      <c r="L45" s="18"/>
      <c r="M45" s="18"/>
      <c r="N45" s="18"/>
      <c r="O45" s="18"/>
      <c r="P45" s="18"/>
    </row>
    <row r="46" spans="2:24" ht="15" thickTop="1" x14ac:dyDescent="0.3"/>
    <row r="48" spans="2:24" ht="15" x14ac:dyDescent="0.3">
      <c r="B48" s="27"/>
      <c r="C48" s="28" t="s">
        <v>61</v>
      </c>
      <c r="D48" s="28"/>
      <c r="E48" s="28" t="s">
        <v>62</v>
      </c>
      <c r="F48" s="28"/>
      <c r="G48" s="29" t="s">
        <v>63</v>
      </c>
      <c r="H48" s="29"/>
      <c r="I48" s="28" t="s">
        <v>64</v>
      </c>
      <c r="J48" s="28"/>
      <c r="K48" s="28" t="s">
        <v>65</v>
      </c>
      <c r="L48" s="28"/>
      <c r="M48" s="28" t="s">
        <v>66</v>
      </c>
      <c r="N48" s="28"/>
      <c r="O48" s="28" t="s">
        <v>67</v>
      </c>
      <c r="P48" s="28"/>
      <c r="Q48" s="30" t="s">
        <v>68</v>
      </c>
      <c r="R48" s="30"/>
      <c r="S48" s="30" t="s">
        <v>69</v>
      </c>
      <c r="T48" s="30"/>
      <c r="U48" s="30" t="s">
        <v>70</v>
      </c>
      <c r="V48" s="30"/>
      <c r="W48" s="30" t="s">
        <v>71</v>
      </c>
      <c r="X48" s="31"/>
    </row>
    <row r="49" spans="2:24" ht="15" x14ac:dyDescent="0.3">
      <c r="B49" s="32" t="s">
        <v>72</v>
      </c>
      <c r="C49" s="33" t="b">
        <v>0</v>
      </c>
      <c r="D49" s="34" t="s">
        <v>10</v>
      </c>
      <c r="E49" s="35" t="b">
        <v>0</v>
      </c>
      <c r="F49" s="34" t="s">
        <v>10</v>
      </c>
      <c r="G49" s="36" t="b">
        <v>0</v>
      </c>
      <c r="H49" s="34" t="s">
        <v>10</v>
      </c>
      <c r="I49" s="35" t="b">
        <v>0</v>
      </c>
      <c r="J49" s="34" t="s">
        <v>10</v>
      </c>
      <c r="K49" s="33" t="b">
        <v>0</v>
      </c>
      <c r="L49" s="34" t="s">
        <v>10</v>
      </c>
      <c r="M49" s="33" t="b">
        <v>0</v>
      </c>
      <c r="N49" s="34" t="s">
        <v>10</v>
      </c>
      <c r="O49" s="33" t="b">
        <v>0</v>
      </c>
      <c r="P49" s="34" t="s">
        <v>10</v>
      </c>
      <c r="Q49" s="33" t="b">
        <v>0</v>
      </c>
      <c r="R49" s="34" t="s">
        <v>10</v>
      </c>
      <c r="S49" s="33" t="b">
        <v>0</v>
      </c>
      <c r="T49" s="34" t="s">
        <v>10</v>
      </c>
      <c r="U49" s="33" t="b">
        <v>0</v>
      </c>
      <c r="V49" s="34" t="s">
        <v>10</v>
      </c>
      <c r="W49" s="33" t="b">
        <v>0</v>
      </c>
      <c r="X49" s="34" t="s">
        <v>10</v>
      </c>
    </row>
    <row r="50" spans="2:24" ht="15" x14ac:dyDescent="0.3">
      <c r="B50" s="27" t="s">
        <v>73</v>
      </c>
      <c r="C50" s="37" t="b">
        <v>0</v>
      </c>
      <c r="D50" s="38" t="s">
        <v>10</v>
      </c>
      <c r="E50" s="39" t="b">
        <v>0</v>
      </c>
      <c r="F50" s="38" t="s">
        <v>10</v>
      </c>
      <c r="G50" s="40" t="b">
        <v>0</v>
      </c>
      <c r="H50" s="38" t="s">
        <v>10</v>
      </c>
      <c r="I50" s="39" t="b">
        <v>0</v>
      </c>
      <c r="J50" s="38" t="s">
        <v>10</v>
      </c>
      <c r="K50" s="37" t="b">
        <v>0</v>
      </c>
      <c r="L50" s="38" t="s">
        <v>10</v>
      </c>
      <c r="M50" s="37" t="b">
        <v>0</v>
      </c>
      <c r="N50" s="38" t="s">
        <v>10</v>
      </c>
      <c r="O50" s="37" t="b">
        <v>0</v>
      </c>
      <c r="P50" s="38" t="s">
        <v>10</v>
      </c>
      <c r="Q50" s="37" t="b">
        <v>0</v>
      </c>
      <c r="R50" s="38" t="s">
        <v>10</v>
      </c>
      <c r="S50" s="37" t="b">
        <v>0</v>
      </c>
      <c r="T50" s="38" t="s">
        <v>10</v>
      </c>
      <c r="U50" s="37" t="b">
        <v>0</v>
      </c>
      <c r="V50" s="38" t="s">
        <v>10</v>
      </c>
      <c r="W50" s="37" t="b">
        <v>0</v>
      </c>
      <c r="X50" s="38" t="s">
        <v>10</v>
      </c>
    </row>
    <row r="51" spans="2:24" ht="15" x14ac:dyDescent="0.3">
      <c r="B51" s="27" t="s">
        <v>74</v>
      </c>
      <c r="C51" s="37" t="b">
        <v>0</v>
      </c>
      <c r="D51" s="38" t="s">
        <v>10</v>
      </c>
      <c r="E51" s="39" t="b">
        <v>0</v>
      </c>
      <c r="F51" s="38" t="s">
        <v>10</v>
      </c>
      <c r="G51" s="40" t="b">
        <v>0</v>
      </c>
      <c r="H51" s="38" t="s">
        <v>10</v>
      </c>
      <c r="I51" s="39" t="b">
        <v>0</v>
      </c>
      <c r="J51" s="38" t="s">
        <v>10</v>
      </c>
      <c r="K51" s="37" t="b">
        <v>0</v>
      </c>
      <c r="L51" s="38" t="s">
        <v>10</v>
      </c>
      <c r="M51" s="37" t="b">
        <v>0</v>
      </c>
      <c r="N51" s="38" t="s">
        <v>10</v>
      </c>
      <c r="O51" s="37" t="b">
        <v>0</v>
      </c>
      <c r="P51" s="38" t="s">
        <v>10</v>
      </c>
      <c r="Q51" s="37" t="b">
        <v>0</v>
      </c>
      <c r="R51" s="38" t="s">
        <v>10</v>
      </c>
      <c r="S51" s="37" t="b">
        <v>0</v>
      </c>
      <c r="T51" s="38" t="s">
        <v>10</v>
      </c>
      <c r="U51" s="37" t="b">
        <v>0</v>
      </c>
      <c r="V51" s="38" t="s">
        <v>10</v>
      </c>
      <c r="W51" s="37" t="b">
        <v>0</v>
      </c>
      <c r="X51" s="38" t="s">
        <v>10</v>
      </c>
    </row>
    <row r="52" spans="2:24" ht="15" x14ac:dyDescent="0.3">
      <c r="B52" s="32" t="s">
        <v>75</v>
      </c>
      <c r="C52" s="33" t="b">
        <v>0</v>
      </c>
      <c r="D52" s="34" t="s">
        <v>10</v>
      </c>
      <c r="E52" s="35" t="b">
        <v>0</v>
      </c>
      <c r="F52" s="34" t="s">
        <v>10</v>
      </c>
      <c r="G52" s="36" t="b">
        <v>0</v>
      </c>
      <c r="H52" s="34" t="s">
        <v>10</v>
      </c>
      <c r="I52" s="35" t="b">
        <v>0</v>
      </c>
      <c r="J52" s="34" t="s">
        <v>10</v>
      </c>
      <c r="K52" s="33" t="b">
        <v>0</v>
      </c>
      <c r="L52" s="34" t="s">
        <v>10</v>
      </c>
      <c r="M52" s="33" t="b">
        <v>0</v>
      </c>
      <c r="N52" s="34" t="s">
        <v>10</v>
      </c>
      <c r="O52" s="33" t="b">
        <v>0</v>
      </c>
      <c r="P52" s="34" t="s">
        <v>10</v>
      </c>
      <c r="Q52" s="33" t="b">
        <v>0</v>
      </c>
      <c r="R52" s="34" t="s">
        <v>10</v>
      </c>
      <c r="S52" s="33" t="b">
        <v>0</v>
      </c>
      <c r="T52" s="34" t="s">
        <v>10</v>
      </c>
      <c r="U52" s="33" t="b">
        <v>0</v>
      </c>
      <c r="V52" s="34" t="s">
        <v>10</v>
      </c>
      <c r="W52" s="33" t="b">
        <v>0</v>
      </c>
      <c r="X52" s="34" t="s">
        <v>10</v>
      </c>
    </row>
    <row r="53" spans="2:24" ht="15" x14ac:dyDescent="0.3">
      <c r="B53" s="41"/>
      <c r="C53" s="33"/>
      <c r="D53" s="34" t="s">
        <v>10</v>
      </c>
      <c r="E53" s="35"/>
      <c r="F53" s="34" t="s">
        <v>10</v>
      </c>
      <c r="G53" s="36"/>
      <c r="H53" s="34" t="s">
        <v>10</v>
      </c>
      <c r="I53" s="35"/>
      <c r="J53" s="34" t="s">
        <v>10</v>
      </c>
      <c r="K53" s="33"/>
      <c r="L53" s="34" t="s">
        <v>10</v>
      </c>
      <c r="M53" s="33"/>
      <c r="N53" s="34" t="s">
        <v>10</v>
      </c>
      <c r="O53" s="33"/>
      <c r="P53" s="34" t="s">
        <v>10</v>
      </c>
      <c r="Q53" s="33"/>
      <c r="R53" s="34" t="s">
        <v>10</v>
      </c>
      <c r="S53" s="33"/>
      <c r="T53" s="34" t="s">
        <v>10</v>
      </c>
      <c r="U53" s="33"/>
      <c r="V53" s="34" t="s">
        <v>10</v>
      </c>
      <c r="W53" s="33"/>
      <c r="X53" s="34" t="s">
        <v>10</v>
      </c>
    </row>
    <row r="54" spans="2:24" x14ac:dyDescent="0.3">
      <c r="B54" s="42" t="s">
        <v>76</v>
      </c>
      <c r="C54" s="42"/>
      <c r="D54" s="42"/>
      <c r="E54" s="42"/>
      <c r="F54" s="42"/>
      <c r="G54" s="42"/>
      <c r="H54" s="42"/>
      <c r="I54" s="42"/>
      <c r="J54" s="42"/>
      <c r="K54" s="42"/>
      <c r="L54" s="42"/>
      <c r="M54" s="42"/>
      <c r="N54" s="42"/>
      <c r="O54" s="42"/>
      <c r="P54" s="42"/>
      <c r="Q54" s="42"/>
      <c r="R54" s="42"/>
      <c r="S54" s="42"/>
      <c r="T54" s="42"/>
      <c r="U54" s="42"/>
      <c r="V54" s="42"/>
      <c r="W54" s="42"/>
      <c r="X54" s="42"/>
    </row>
    <row r="57" spans="2:24" x14ac:dyDescent="0.3">
      <c r="B57" s="43" t="s">
        <v>77</v>
      </c>
      <c r="C57" s="43" t="s">
        <v>78</v>
      </c>
      <c r="D57" s="6" t="s">
        <v>79</v>
      </c>
      <c r="E57" s="6" t="s">
        <v>80</v>
      </c>
      <c r="F57" s="44" t="s">
        <v>81</v>
      </c>
      <c r="G57" s="44"/>
      <c r="H57" s="44"/>
      <c r="I57" s="44"/>
      <c r="J57" s="44"/>
      <c r="K57" s="44"/>
      <c r="L57" s="44"/>
      <c r="M57" s="44"/>
    </row>
    <row r="58" spans="2:24" ht="14.4" customHeight="1" x14ac:dyDescent="0.3">
      <c r="B58" s="45">
        <v>1</v>
      </c>
      <c r="C58" s="5" t="s">
        <v>82</v>
      </c>
      <c r="D58" s="5">
        <f>[1]MAIN!Q57</f>
        <v>0</v>
      </c>
      <c r="E58" s="46">
        <f>Tablo451[[#This Row],[DERS ÇIKTISI TABAN PUANI]]-J64</f>
        <v>0</v>
      </c>
      <c r="F58" s="4" t="s">
        <v>83</v>
      </c>
      <c r="G58" s="4"/>
      <c r="H58" s="4"/>
      <c r="I58" s="4"/>
      <c r="J58" s="4"/>
      <c r="K58" s="4"/>
      <c r="L58" s="4"/>
      <c r="M58" s="4"/>
    </row>
    <row r="59" spans="2:24" x14ac:dyDescent="0.3">
      <c r="B59" s="45">
        <v>2</v>
      </c>
      <c r="C59" s="5" t="s">
        <v>84</v>
      </c>
      <c r="D59" s="5">
        <f>[1]MAIN!Q58</f>
        <v>0</v>
      </c>
      <c r="E59" s="46">
        <f>Tablo451[[#This Row],[DERS ÇIKTISI TABAN PUANI]]-J65</f>
        <v>0</v>
      </c>
      <c r="F59" s="4"/>
      <c r="G59" s="4"/>
      <c r="H59" s="4"/>
      <c r="I59" s="4"/>
      <c r="J59" s="4"/>
      <c r="K59" s="4"/>
      <c r="L59" s="4"/>
      <c r="M59" s="4"/>
    </row>
    <row r="60" spans="2:24" x14ac:dyDescent="0.3">
      <c r="B60" s="45">
        <v>3</v>
      </c>
      <c r="C60" s="5" t="s">
        <v>85</v>
      </c>
      <c r="D60" s="5">
        <v>0</v>
      </c>
      <c r="E60" s="46" t="e">
        <f>Tablo451[[#This Row],[DERS ÇIKTISI TABAN PUANI]]-J66</f>
        <v>#VALUE!</v>
      </c>
      <c r="F60" s="4"/>
      <c r="G60" s="4"/>
      <c r="H60" s="4"/>
      <c r="I60" s="4"/>
      <c r="J60" s="4"/>
      <c r="K60" s="4"/>
      <c r="L60" s="4"/>
      <c r="M60" s="4"/>
    </row>
    <row r="61" spans="2:24" x14ac:dyDescent="0.3">
      <c r="B61" s="1">
        <v>4</v>
      </c>
      <c r="C61" s="5" t="s">
        <v>86</v>
      </c>
      <c r="D61" s="5">
        <f>[1]MAIN!Q60</f>
        <v>0</v>
      </c>
      <c r="E61" s="46">
        <f>Tablo451[[#This Row],[DERS ÇIKTISI TABAN PUANI]]-J67</f>
        <v>-30</v>
      </c>
    </row>
    <row r="62" spans="2:24" x14ac:dyDescent="0.3">
      <c r="F62" s="47" t="s">
        <v>87</v>
      </c>
      <c r="G62" s="47"/>
      <c r="H62" s="47"/>
      <c r="I62" s="47"/>
      <c r="J62" s="47"/>
      <c r="K62" s="47"/>
      <c r="L62" s="47"/>
      <c r="M62" s="47"/>
      <c r="N62" s="47"/>
      <c r="O62" s="47"/>
    </row>
    <row r="63" spans="2:24" x14ac:dyDescent="0.3">
      <c r="F63" s="47"/>
      <c r="G63" s="47"/>
      <c r="H63" s="47"/>
      <c r="I63" s="47"/>
      <c r="J63" s="47"/>
      <c r="K63" s="47"/>
      <c r="L63" s="47"/>
      <c r="M63" s="47"/>
      <c r="N63" s="47"/>
      <c r="O63" s="47"/>
    </row>
    <row r="65" spans="2:12" x14ac:dyDescent="0.3">
      <c r="E65" s="48" t="s">
        <v>88</v>
      </c>
      <c r="F65" s="48"/>
    </row>
    <row r="66" spans="2:12" ht="15" thickBot="1" x14ac:dyDescent="0.35">
      <c r="B66" s="6" t="s">
        <v>89</v>
      </c>
      <c r="C66" s="12" t="s">
        <v>19</v>
      </c>
      <c r="D66" s="12" t="s">
        <v>20</v>
      </c>
      <c r="E66" s="12" t="s">
        <v>21</v>
      </c>
      <c r="F66" s="12" t="s">
        <v>22</v>
      </c>
      <c r="G66" s="12" t="s">
        <v>23</v>
      </c>
      <c r="H66" s="12" t="s">
        <v>24</v>
      </c>
      <c r="I66" s="12" t="s">
        <v>29</v>
      </c>
      <c r="J66" s="49" t="s">
        <v>90</v>
      </c>
      <c r="K66" s="13" t="s">
        <v>91</v>
      </c>
      <c r="L66" s="6" t="s">
        <v>92</v>
      </c>
    </row>
    <row r="67" spans="2:12" ht="15.6" thickTop="1" thickBot="1" x14ac:dyDescent="0.35">
      <c r="B67" s="50">
        <v>1</v>
      </c>
      <c r="C67" s="51">
        <v>10</v>
      </c>
      <c r="D67" s="51">
        <v>5</v>
      </c>
      <c r="E67" s="51">
        <v>10</v>
      </c>
      <c r="F67" s="51">
        <v>0</v>
      </c>
      <c r="G67" s="51">
        <v>5</v>
      </c>
      <c r="H67" s="51">
        <v>0</v>
      </c>
      <c r="I67" s="51">
        <v>0</v>
      </c>
      <c r="J67" s="52">
        <f>SUM(Tablo1653[[#This Row],[Q1]:[Q7]])</f>
        <v>30</v>
      </c>
      <c r="K67" s="53" t="e">
        <f>IF($J67=0,"0",SUM([1]!Tablo17[DÇ1])/(30*D61))</f>
        <v>#DIV/0!</v>
      </c>
      <c r="L67" s="52" t="e">
        <f>$K67*$D61</f>
        <v>#DIV/0!</v>
      </c>
    </row>
    <row r="68" spans="2:12" ht="15.6" thickTop="1" thickBot="1" x14ac:dyDescent="0.35">
      <c r="B68" s="17">
        <v>2</v>
      </c>
      <c r="C68" s="54">
        <v>5</v>
      </c>
      <c r="D68" s="54">
        <v>0</v>
      </c>
      <c r="E68" s="54">
        <v>0</v>
      </c>
      <c r="F68" s="54">
        <v>0</v>
      </c>
      <c r="G68" s="54">
        <v>0</v>
      </c>
      <c r="H68" s="54">
        <v>5</v>
      </c>
      <c r="I68" s="54">
        <v>0</v>
      </c>
      <c r="J68" s="52">
        <f>SUM(Tablo1653[[#This Row],[Q1]:[Q7]])</f>
        <v>10</v>
      </c>
      <c r="K68" s="53" t="e">
        <f>IF($J68=0,"0",SUM([1]!Tablo17[DÇ2])/(30*D62))</f>
        <v>#DIV/0!</v>
      </c>
      <c r="L68" s="52" t="e">
        <f>$K68*$D62</f>
        <v>#DIV/0!</v>
      </c>
    </row>
    <row r="69" spans="2:12" ht="15.6" thickTop="1" thickBot="1" x14ac:dyDescent="0.35">
      <c r="B69" s="17">
        <v>3</v>
      </c>
      <c r="C69" s="54">
        <v>0</v>
      </c>
      <c r="D69" s="54">
        <v>0</v>
      </c>
      <c r="E69" s="54">
        <v>0</v>
      </c>
      <c r="F69" s="54">
        <v>0</v>
      </c>
      <c r="G69" s="54">
        <v>5</v>
      </c>
      <c r="H69" s="54">
        <v>0</v>
      </c>
      <c r="I69" s="54">
        <v>0</v>
      </c>
      <c r="J69" s="52">
        <f>SUM(Tablo1653[[#This Row],[Q1]:[Q7]])</f>
        <v>5</v>
      </c>
      <c r="K69" s="53" t="e">
        <f>IF($J69=0,"0",SUM([1]!Tablo17[DÇ3])/(30*D63))</f>
        <v>#DIV/0!</v>
      </c>
      <c r="L69" s="52" t="e">
        <f>$K69*$D63</f>
        <v>#DIV/0!</v>
      </c>
    </row>
    <row r="70" spans="2:12" ht="15.6" thickTop="1" thickBot="1" x14ac:dyDescent="0.35">
      <c r="B70" s="17">
        <v>4</v>
      </c>
      <c r="C70" s="54" t="b">
        <v>1</v>
      </c>
      <c r="D70" s="54">
        <v>0</v>
      </c>
      <c r="E70" s="54">
        <v>0</v>
      </c>
      <c r="F70" s="54">
        <v>10</v>
      </c>
      <c r="G70" s="54">
        <v>5</v>
      </c>
      <c r="H70" s="54">
        <v>5</v>
      </c>
      <c r="I70" s="54">
        <v>20</v>
      </c>
      <c r="J70" s="52">
        <f>SUM(Tablo1653[[#This Row],[Q1]:[Q7]])</f>
        <v>40</v>
      </c>
      <c r="K70" s="53" t="e">
        <f>IF($J70=0,"0",SUM([1]!Tablo17[DÇ4])/(30*D64))</f>
        <v>#DIV/0!</v>
      </c>
      <c r="L70" s="52" t="e">
        <f>$K70*$D64</f>
        <v>#DIV/0!</v>
      </c>
    </row>
    <row r="71" spans="2:12" ht="15" thickTop="1" x14ac:dyDescent="0.3"/>
    <row r="73" spans="2:12" x14ac:dyDescent="0.3">
      <c r="F73" s="55" t="s">
        <v>93</v>
      </c>
      <c r="G73" s="55"/>
      <c r="H73" s="55"/>
      <c r="I73" s="55"/>
    </row>
    <row r="75" spans="2:12" x14ac:dyDescent="0.3">
      <c r="B75" s="56" t="s">
        <v>94</v>
      </c>
      <c r="C75" s="57"/>
      <c r="D75" s="57"/>
      <c r="E75" s="57"/>
      <c r="F75" s="57"/>
      <c r="G75" s="57"/>
      <c r="H75" s="57"/>
    </row>
    <row r="76" spans="2:12" x14ac:dyDescent="0.3">
      <c r="B76" s="13" t="s">
        <v>77</v>
      </c>
      <c r="C76" s="13" t="s">
        <v>78</v>
      </c>
      <c r="D76" s="50" t="s">
        <v>95</v>
      </c>
      <c r="E76" s="2" t="s">
        <v>1</v>
      </c>
      <c r="F76" s="2" t="s">
        <v>2</v>
      </c>
      <c r="G76" s="2" t="s">
        <v>3</v>
      </c>
      <c r="H76" s="2" t="s">
        <v>4</v>
      </c>
    </row>
    <row r="77" spans="2:12" x14ac:dyDescent="0.3">
      <c r="B77" s="45">
        <v>1</v>
      </c>
      <c r="C77" s="58" t="s">
        <v>82</v>
      </c>
      <c r="D77" s="17" t="s">
        <v>10</v>
      </c>
      <c r="E77" s="59">
        <v>30</v>
      </c>
      <c r="F77" s="54" t="s">
        <v>10</v>
      </c>
      <c r="G77" s="54" t="s">
        <v>10</v>
      </c>
      <c r="H77" s="54" t="s">
        <v>10</v>
      </c>
    </row>
    <row r="78" spans="2:12" x14ac:dyDescent="0.3">
      <c r="B78" s="45">
        <v>2</v>
      </c>
      <c r="C78" s="58" t="s">
        <v>84</v>
      </c>
      <c r="D78" s="17" t="s">
        <v>10</v>
      </c>
      <c r="E78" s="59">
        <v>10</v>
      </c>
      <c r="F78" s="54" t="s">
        <v>10</v>
      </c>
      <c r="G78" s="54" t="s">
        <v>10</v>
      </c>
      <c r="H78" s="54" t="s">
        <v>10</v>
      </c>
    </row>
    <row r="79" spans="2:12" x14ac:dyDescent="0.3">
      <c r="B79" s="45">
        <v>3</v>
      </c>
      <c r="C79" s="58" t="s">
        <v>85</v>
      </c>
      <c r="D79" s="17" t="s">
        <v>10</v>
      </c>
      <c r="E79" s="59">
        <v>5</v>
      </c>
      <c r="F79" s="54" t="s">
        <v>10</v>
      </c>
      <c r="G79" s="54" t="s">
        <v>10</v>
      </c>
      <c r="H79" s="54" t="s">
        <v>10</v>
      </c>
    </row>
    <row r="80" spans="2:12" x14ac:dyDescent="0.3">
      <c r="B80" s="1">
        <v>4</v>
      </c>
      <c r="C80" s="58" t="s">
        <v>86</v>
      </c>
      <c r="D80" s="17" t="s">
        <v>10</v>
      </c>
      <c r="E80" s="59">
        <v>40</v>
      </c>
      <c r="F80" s="54" t="s">
        <v>10</v>
      </c>
      <c r="G80" s="54" t="s">
        <v>10</v>
      </c>
      <c r="H80" s="54" t="s">
        <v>10</v>
      </c>
    </row>
    <row r="84" spans="2:25" ht="25.8" x14ac:dyDescent="0.5">
      <c r="B84" s="60" t="s">
        <v>96</v>
      </c>
      <c r="C84" s="60"/>
      <c r="D84" s="60"/>
      <c r="E84" s="60"/>
      <c r="F84" s="60"/>
      <c r="G84" s="60"/>
      <c r="H84" s="60"/>
      <c r="I84" s="60"/>
      <c r="K84" s="61" t="s">
        <v>97</v>
      </c>
      <c r="L84" s="61"/>
      <c r="M84" s="61"/>
      <c r="N84" s="61"/>
      <c r="O84" s="61"/>
      <c r="P84" s="61"/>
      <c r="Q84" s="61"/>
      <c r="R84" s="61"/>
      <c r="S84" s="61"/>
      <c r="T84" s="61"/>
      <c r="U84" s="61"/>
      <c r="V84" s="61"/>
      <c r="W84" s="61"/>
      <c r="X84" s="61"/>
      <c r="Y84" s="61"/>
    </row>
    <row r="85" spans="2:25" x14ac:dyDescent="0.3">
      <c r="B85" s="62" t="s">
        <v>98</v>
      </c>
      <c r="C85" s="62" t="s">
        <v>99</v>
      </c>
      <c r="D85" s="62" t="s">
        <v>100</v>
      </c>
      <c r="E85" s="62" t="s">
        <v>101</v>
      </c>
      <c r="F85" s="62" t="s">
        <v>102</v>
      </c>
      <c r="G85" s="62" t="s">
        <v>103</v>
      </c>
      <c r="H85" s="62" t="s">
        <v>104</v>
      </c>
      <c r="I85" s="62" t="s">
        <v>105</v>
      </c>
      <c r="K85" s="61"/>
      <c r="L85" s="61"/>
      <c r="M85" s="61"/>
      <c r="N85" s="61"/>
      <c r="O85" s="61"/>
      <c r="P85" s="61"/>
      <c r="Q85" s="61"/>
      <c r="R85" s="61"/>
      <c r="S85" s="61"/>
      <c r="T85" s="61"/>
      <c r="U85" s="61"/>
      <c r="V85" s="61"/>
      <c r="W85" s="61"/>
      <c r="X85" s="61"/>
      <c r="Y85" s="61"/>
    </row>
    <row r="86" spans="2:25" x14ac:dyDescent="0.3">
      <c r="B86" s="63">
        <v>1</v>
      </c>
      <c r="C86" s="63">
        <v>1</v>
      </c>
      <c r="D86" s="63" t="e">
        <f>VLOOKUP([1]!Tablo2[[#This Row],[Student No]],[1]!Tablo1[[Student No]:[Surname]],2,FALSE)</f>
        <v>#VALUE!</v>
      </c>
      <c r="E86" s="63" t="e">
        <f>VLOOKUP([1]!Tablo2[[#This Row],[Student No]],[1]!Tablo1[[Student No]:[Surname]],3,FALSE)</f>
        <v>#VALUE!</v>
      </c>
      <c r="F86" s="63">
        <f>([1]MIDTERM!N54/[1]MIDTERM!$D$37+FINAL!N54/FINAL!$D$37+HOMEWORK!L54/HOMEWORK!$O$38+LAB!U54/LAB!$D$46)/4</f>
        <v>0</v>
      </c>
      <c r="G86" s="63">
        <f>([1]MIDTERM!O54/[1]MIDTERM!$D$38+FINAL!O54/FINAL!$D$38+HOMEWORK!M54/HOMEWORK!$O$39+LAB!V54/LAB!$D$47)/4</f>
        <v>0</v>
      </c>
      <c r="H86" s="63">
        <f>([1]MIDTERM!P54/[1]MIDTERM!$D$39+FINAL!P54/FINAL!$D$39+HOMEWORK!N54/HOMEWORK!$O$40+LAB!W54/LAB!$D$48)/4</f>
        <v>0</v>
      </c>
      <c r="I86" s="63">
        <f>([1]MIDTERM!Q54/[1]MIDTERM!$D$40+FINAL!Q54/FINAL!$D$40+HOMEWORK!O54/HOMEWORK!$O$41+LAB!X54/LAB!$D$49)/4</f>
        <v>0</v>
      </c>
      <c r="K86" s="61"/>
      <c r="L86" s="61"/>
      <c r="M86" s="61"/>
      <c r="N86" s="61"/>
      <c r="O86" s="61"/>
      <c r="P86" s="61"/>
      <c r="Q86" s="61"/>
      <c r="R86" s="61"/>
      <c r="S86" s="61"/>
      <c r="T86" s="61"/>
      <c r="U86" s="61"/>
      <c r="V86" s="61"/>
      <c r="W86" s="61"/>
      <c r="X86" s="61"/>
      <c r="Y86" s="61"/>
    </row>
    <row r="87" spans="2:25" x14ac:dyDescent="0.3">
      <c r="B87" s="64">
        <v>2</v>
      </c>
      <c r="C87" s="64">
        <v>2</v>
      </c>
      <c r="D87" s="64" t="e">
        <f>VLOOKUP([1]!Tablo2[[#This Row],[Student No]],[1]!Tablo1[[Student No]:[Surname]],2,FALSE)</f>
        <v>#VALUE!</v>
      </c>
      <c r="E87" s="64" t="e">
        <f>VLOOKUP([1]!Tablo2[[#This Row],[Student No]],[1]!Tablo1[[Student No]:[Surname]],3,FALSE)</f>
        <v>#VALUE!</v>
      </c>
      <c r="F87" s="64" t="e">
        <f>([1]MIDTERM!N55/[1]MIDTERM!$D$37+FINAL!N55/FINAL!$D$37+HOMEWORK!L55/HOMEWORK!$O$38+LAB!U55/LAB!$D$46)/4</f>
        <v>#VALUE!</v>
      </c>
      <c r="G87" s="64" t="e">
        <f>([1]MIDTERM!O55/[1]MIDTERM!$D$38+FINAL!O55/FINAL!$D$38+HOMEWORK!M55/HOMEWORK!$O$39+LAB!V55/LAB!$D$47)/4</f>
        <v>#VALUE!</v>
      </c>
      <c r="H87" s="64">
        <f>([1]MIDTERM!P55/[1]MIDTERM!$D$39+FINAL!P55/FINAL!$D$39+HOMEWORK!N55/HOMEWORK!$O$40+LAB!W55/LAB!$D$48)/4</f>
        <v>0</v>
      </c>
      <c r="I87" s="64">
        <f>([1]MIDTERM!Q55/[1]MIDTERM!$D$40+FINAL!Q55/FINAL!$D$40+HOMEWORK!O55/HOMEWORK!$O$41+LAB!X55/LAB!$D$49)/4</f>
        <v>0</v>
      </c>
      <c r="K87" s="61"/>
      <c r="L87" s="61"/>
      <c r="M87" s="61"/>
      <c r="N87" s="61"/>
      <c r="O87" s="61"/>
      <c r="P87" s="61"/>
      <c r="Q87" s="61"/>
      <c r="R87" s="61"/>
      <c r="S87" s="61"/>
      <c r="T87" s="61"/>
      <c r="U87" s="61"/>
      <c r="V87" s="61"/>
      <c r="W87" s="61"/>
      <c r="X87" s="61"/>
      <c r="Y87" s="61"/>
    </row>
    <row r="88" spans="2:25" x14ac:dyDescent="0.3">
      <c r="B88" s="63">
        <v>3</v>
      </c>
      <c r="C88" s="63">
        <v>3</v>
      </c>
      <c r="D88" s="63" t="e">
        <f>VLOOKUP([1]!Tablo2[[#This Row],[Student No]],[1]!Tablo1[[Student No]:[Surname]],2,FALSE)</f>
        <v>#VALUE!</v>
      </c>
      <c r="E88" s="63" t="e">
        <f>VLOOKUP([1]!Tablo2[[#This Row],[Student No]],[1]!Tablo1[[Student No]:[Surname]],3,FALSE)</f>
        <v>#VALUE!</v>
      </c>
      <c r="F88" s="63">
        <f>([1]MIDTERM!N56/[1]MIDTERM!$D$37+FINAL!N56/FINAL!$D$37+HOMEWORK!L56/HOMEWORK!$O$38+LAB!U56/LAB!$D$46)/4</f>
        <v>0.45238095238095233</v>
      </c>
      <c r="G88" s="63">
        <f>([1]MIDTERM!O56/[1]MIDTERM!$D$38+FINAL!O56/FINAL!$D$38+HOMEWORK!M56/HOMEWORK!$O$39+LAB!V56/LAB!$D$47)/4</f>
        <v>1.3591357548089156</v>
      </c>
      <c r="H88" s="63">
        <f>([1]MIDTERM!P56/[1]MIDTERM!$D$39+FINAL!P56/FINAL!$D$39+HOMEWORK!N56/HOMEWORK!$O$40+LAB!W56/LAB!$D$48)/4</f>
        <v>0</v>
      </c>
      <c r="I88" s="63">
        <f>([1]MIDTERM!Q56/[1]MIDTERM!$D$40+FINAL!Q56/FINAL!$D$40+HOMEWORK!O56/HOMEWORK!$O$41+LAB!X56/LAB!$D$49)/4</f>
        <v>0</v>
      </c>
      <c r="K88" s="61"/>
      <c r="L88" s="61"/>
      <c r="M88" s="61"/>
      <c r="N88" s="61"/>
      <c r="O88" s="61"/>
      <c r="P88" s="61"/>
      <c r="Q88" s="61"/>
      <c r="R88" s="61"/>
      <c r="S88" s="61"/>
      <c r="T88" s="61"/>
      <c r="U88" s="61"/>
      <c r="V88" s="61"/>
      <c r="W88" s="61"/>
      <c r="X88" s="61"/>
      <c r="Y88" s="61"/>
    </row>
    <row r="89" spans="2:25" x14ac:dyDescent="0.3">
      <c r="B89" s="64">
        <v>4</v>
      </c>
      <c r="C89" s="64">
        <v>4</v>
      </c>
      <c r="D89" s="64" t="e">
        <f>VLOOKUP([1]!Tablo2[[#This Row],[Student No]],[1]!Tablo1[[Student No]:[Surname]],2,FALSE)</f>
        <v>#VALUE!</v>
      </c>
      <c r="E89" s="64" t="e">
        <f>VLOOKUP([1]!Tablo2[[#This Row],[Student No]],[1]!Tablo1[[Student No]:[Surname]],3,FALSE)</f>
        <v>#VALUE!</v>
      </c>
      <c r="F89" s="64">
        <f>([1]MIDTERM!N57/[1]MIDTERM!$D$37+FINAL!N57/FINAL!$D$37+HOMEWORK!L57/HOMEWORK!$O$38+LAB!U57/LAB!$D$46)/4</f>
        <v>0</v>
      </c>
      <c r="G89" s="64">
        <f>([1]MIDTERM!O57/[1]MIDTERM!$D$38+FINAL!O57/FINAL!$D$38+HOMEWORK!M57/HOMEWORK!$O$39+LAB!V57/LAB!$D$47)/4</f>
        <v>0</v>
      </c>
      <c r="H89" s="64">
        <f>([1]MIDTERM!P57/[1]MIDTERM!$D$39+FINAL!P57/FINAL!$D$39+HOMEWORK!N57/HOMEWORK!$O$40+LAB!W57/LAB!$D$48)/4</f>
        <v>0</v>
      </c>
      <c r="I89" s="64">
        <f>([1]MIDTERM!Q57/[1]MIDTERM!$D$40+FINAL!Q57/FINAL!$D$40+HOMEWORK!O57/HOMEWORK!$O$41+LAB!X57/LAB!$D$49)/4</f>
        <v>0</v>
      </c>
      <c r="K89" s="61"/>
      <c r="L89" s="61"/>
      <c r="M89" s="61"/>
      <c r="N89" s="61"/>
      <c r="O89" s="61"/>
      <c r="P89" s="61"/>
      <c r="Q89" s="61"/>
      <c r="R89" s="61"/>
      <c r="S89" s="61"/>
      <c r="T89" s="61"/>
      <c r="U89" s="61"/>
      <c r="V89" s="61"/>
      <c r="W89" s="61"/>
      <c r="X89" s="61"/>
      <c r="Y89" s="61"/>
    </row>
    <row r="90" spans="2:25" x14ac:dyDescent="0.3">
      <c r="B90" s="63">
        <v>5</v>
      </c>
      <c r="C90" s="63">
        <v>5</v>
      </c>
      <c r="D90" s="63" t="e">
        <f>VLOOKUP([1]!Tablo2[[#This Row],[Student No]],[1]!Tablo1[[Student No]:[Surname]],2,FALSE)</f>
        <v>#VALUE!</v>
      </c>
      <c r="E90" s="63" t="e">
        <f>VLOOKUP([1]!Tablo2[[#This Row],[Student No]],[1]!Tablo1[[Student No]:[Surname]],3,FALSE)</f>
        <v>#VALUE!</v>
      </c>
      <c r="F90" s="63">
        <f>([1]MIDTERM!N58/[1]MIDTERM!$D$37+FINAL!N58/FINAL!$D$37+HOMEWORK!L58/HOMEWORK!$O$38+LAB!U58/LAB!$D$46)/4</f>
        <v>0</v>
      </c>
      <c r="G90" s="63">
        <f>([1]MIDTERM!O58/[1]MIDTERM!$D$38+FINAL!O58/FINAL!$D$38+HOMEWORK!M58/HOMEWORK!$O$39+LAB!V58/LAB!$D$47)/4</f>
        <v>0</v>
      </c>
      <c r="H90" s="63">
        <f>([1]MIDTERM!P58/[1]MIDTERM!$D$39+FINAL!P58/FINAL!$D$39+HOMEWORK!N58/HOMEWORK!$O$40+LAB!W58/LAB!$D$48)/4</f>
        <v>0</v>
      </c>
      <c r="I90" s="63">
        <f>([1]MIDTERM!Q58/[1]MIDTERM!$D$40+FINAL!Q58/FINAL!$D$40+HOMEWORK!O58/HOMEWORK!$O$41+LAB!X58/LAB!$D$49)/4</f>
        <v>0</v>
      </c>
      <c r="K90" s="61"/>
      <c r="L90" s="61"/>
      <c r="M90" s="61"/>
      <c r="N90" s="61"/>
      <c r="O90" s="61"/>
      <c r="P90" s="61"/>
      <c r="Q90" s="61"/>
      <c r="R90" s="61"/>
      <c r="S90" s="61"/>
      <c r="T90" s="61"/>
      <c r="U90" s="61"/>
      <c r="V90" s="61"/>
      <c r="W90" s="61"/>
      <c r="X90" s="61"/>
      <c r="Y90" s="61"/>
    </row>
    <row r="91" spans="2:25" x14ac:dyDescent="0.3">
      <c r="B91" s="64">
        <v>6</v>
      </c>
      <c r="C91" s="64">
        <v>6</v>
      </c>
      <c r="D91" s="64" t="e">
        <f>VLOOKUP([1]!Tablo2[[#This Row],[Student No]],[1]!Tablo1[[Student No]:[Surname]],2,FALSE)</f>
        <v>#VALUE!</v>
      </c>
      <c r="E91" s="64" t="e">
        <f>VLOOKUP([1]!Tablo2[[#This Row],[Student No]],[1]!Tablo1[[Student No]:[Surname]],3,FALSE)</f>
        <v>#VALUE!</v>
      </c>
      <c r="F91" s="64">
        <f>([1]MIDTERM!N59/[1]MIDTERM!$D$37+FINAL!N59/FINAL!$D$37+HOMEWORK!L59/HOMEWORK!$O$38+LAB!U59/LAB!$D$46)/4</f>
        <v>0</v>
      </c>
      <c r="G91" s="64">
        <f>([1]MIDTERM!O59/[1]MIDTERM!$D$38+FINAL!O59/FINAL!$D$38+HOMEWORK!M59/HOMEWORK!$O$39+LAB!V59/LAB!$D$47)/4</f>
        <v>0</v>
      </c>
      <c r="H91" s="64">
        <f>([1]MIDTERM!P59/[1]MIDTERM!$D$39+FINAL!P59/FINAL!$D$39+HOMEWORK!N59/HOMEWORK!$O$40+LAB!W59/LAB!$D$48)/4</f>
        <v>0</v>
      </c>
      <c r="I91" s="64">
        <f>([1]MIDTERM!Q59/[1]MIDTERM!$D$40+FINAL!Q59/FINAL!$D$40+HOMEWORK!O59/HOMEWORK!$O$41+LAB!X59/LAB!$D$49)/4</f>
        <v>0</v>
      </c>
      <c r="K91" s="61"/>
      <c r="L91" s="61"/>
      <c r="M91" s="61"/>
      <c r="N91" s="61"/>
      <c r="O91" s="61"/>
      <c r="P91" s="61"/>
      <c r="Q91" s="61"/>
      <c r="R91" s="61"/>
      <c r="S91" s="61"/>
      <c r="T91" s="61"/>
      <c r="U91" s="61"/>
      <c r="V91" s="61"/>
      <c r="W91" s="61"/>
      <c r="X91" s="61"/>
      <c r="Y91" s="61"/>
    </row>
    <row r="98" spans="8:15" x14ac:dyDescent="0.3">
      <c r="H98" s="65" t="s">
        <v>106</v>
      </c>
      <c r="I98" s="65"/>
      <c r="J98" s="65"/>
      <c r="K98" s="65"/>
      <c r="L98" s="65"/>
      <c r="M98" s="65"/>
      <c r="N98" s="65"/>
      <c r="O98" s="65"/>
    </row>
    <row r="99" spans="8:15" x14ac:dyDescent="0.3">
      <c r="H99" s="65"/>
      <c r="I99" s="65"/>
      <c r="J99" s="65"/>
      <c r="K99" s="65"/>
      <c r="L99" s="65"/>
      <c r="M99" s="65"/>
      <c r="N99" s="65"/>
      <c r="O99" s="65"/>
    </row>
    <row r="100" spans="8:15" x14ac:dyDescent="0.3">
      <c r="H100" s="65"/>
      <c r="I100" s="65"/>
      <c r="J100" s="65"/>
      <c r="K100" s="65"/>
      <c r="L100" s="65"/>
      <c r="M100" s="65"/>
      <c r="N100" s="65"/>
      <c r="O100" s="65"/>
    </row>
    <row r="101" spans="8:15" x14ac:dyDescent="0.3">
      <c r="H101" s="65"/>
      <c r="I101" s="65"/>
      <c r="J101" s="65"/>
      <c r="K101" s="65"/>
      <c r="L101" s="65"/>
      <c r="M101" s="65"/>
      <c r="N101" s="65"/>
      <c r="O101" s="65"/>
    </row>
    <row r="102" spans="8:15" x14ac:dyDescent="0.3">
      <c r="H102" s="65"/>
      <c r="I102" s="65"/>
      <c r="J102" s="65"/>
      <c r="K102" s="65"/>
      <c r="L102" s="65"/>
      <c r="M102" s="65"/>
      <c r="N102" s="65"/>
      <c r="O102" s="65"/>
    </row>
    <row r="103" spans="8:15" x14ac:dyDescent="0.3">
      <c r="H103" s="65"/>
      <c r="I103" s="65"/>
      <c r="J103" s="65"/>
      <c r="K103" s="65"/>
      <c r="L103" s="65"/>
      <c r="M103" s="65"/>
      <c r="N103" s="65"/>
      <c r="O103" s="65"/>
    </row>
    <row r="106" spans="8:15" x14ac:dyDescent="0.3">
      <c r="H106" s="66" t="s">
        <v>107</v>
      </c>
      <c r="I106" s="66"/>
      <c r="J106" s="66"/>
      <c r="K106" s="66"/>
      <c r="L106" s="66"/>
      <c r="M106" s="66"/>
      <c r="N106" s="66"/>
    </row>
  </sheetData>
  <mergeCells count="35">
    <mergeCell ref="H98:O103"/>
    <mergeCell ref="H106:N106"/>
    <mergeCell ref="F58:M60"/>
    <mergeCell ref="F62:O63"/>
    <mergeCell ref="E65:F65"/>
    <mergeCell ref="F73:I73"/>
    <mergeCell ref="B75:H75"/>
    <mergeCell ref="B84:I84"/>
    <mergeCell ref="K84:Y91"/>
    <mergeCell ref="Q48:R48"/>
    <mergeCell ref="S48:T48"/>
    <mergeCell ref="U48:V48"/>
    <mergeCell ref="W48:X48"/>
    <mergeCell ref="B54:X54"/>
    <mergeCell ref="F57:M57"/>
    <mergeCell ref="I44:P45"/>
    <mergeCell ref="C48:D48"/>
    <mergeCell ref="E48:F48"/>
    <mergeCell ref="G48:H48"/>
    <mergeCell ref="I48:J48"/>
    <mergeCell ref="K48:L48"/>
    <mergeCell ref="M48:N48"/>
    <mergeCell ref="O48:P48"/>
    <mergeCell ref="B26:D26"/>
    <mergeCell ref="G27:N28"/>
    <mergeCell ref="I34:R35"/>
    <mergeCell ref="I36:R36"/>
    <mergeCell ref="B39:D39"/>
    <mergeCell ref="I42:O43"/>
    <mergeCell ref="J3:S4"/>
    <mergeCell ref="J5:S6"/>
    <mergeCell ref="J7:S8"/>
    <mergeCell ref="J13:S14"/>
    <mergeCell ref="J15:S16"/>
    <mergeCell ref="K22:S23"/>
  </mergeCells>
  <conditionalFormatting sqref="C45">
    <cfRule type="cellIs" dxfId="148" priority="19" operator="equal">
      <formula>100</formula>
    </cfRule>
  </conditionalFormatting>
  <conditionalFormatting sqref="E61">
    <cfRule type="cellIs" dxfId="147" priority="13" operator="greaterThan">
      <formula>$D$40</formula>
    </cfRule>
  </conditionalFormatting>
  <conditionalFormatting sqref="E58:E61">
    <cfRule type="cellIs" dxfId="146" priority="17" operator="equal">
      <formula>0</formula>
    </cfRule>
    <cfRule type="cellIs" dxfId="145" priority="18" operator="lessThan">
      <formula>0</formula>
    </cfRule>
  </conditionalFormatting>
  <conditionalFormatting sqref="E58">
    <cfRule type="cellIs" dxfId="144" priority="16" operator="greaterThan">
      <formula>$D$37</formula>
    </cfRule>
  </conditionalFormatting>
  <conditionalFormatting sqref="E59">
    <cfRule type="cellIs" dxfId="143" priority="15" operator="greaterThan">
      <formula>$D$38</formula>
    </cfRule>
  </conditionalFormatting>
  <conditionalFormatting sqref="E60">
    <cfRule type="cellIs" dxfId="142" priority="14" operator="greaterThan">
      <formula>$D$39</formula>
    </cfRule>
  </conditionalFormatting>
  <conditionalFormatting sqref="J67">
    <cfRule type="cellIs" dxfId="141" priority="4" operator="greaterThan">
      <formula>$D$37</formula>
    </cfRule>
    <cfRule type="cellIs" dxfId="140" priority="8" operator="lessThan">
      <formula>$D$37</formula>
    </cfRule>
    <cfRule type="cellIs" dxfId="139" priority="12" operator="equal">
      <formula>$D$37</formula>
    </cfRule>
  </conditionalFormatting>
  <conditionalFormatting sqref="J68">
    <cfRule type="cellIs" dxfId="138" priority="3" operator="greaterThan">
      <formula>$D$38</formula>
    </cfRule>
    <cfRule type="cellIs" dxfId="137" priority="7" operator="lessThan">
      <formula>$D$38</formula>
    </cfRule>
    <cfRule type="cellIs" dxfId="136" priority="11" operator="equal">
      <formula>$D$38</formula>
    </cfRule>
  </conditionalFormatting>
  <conditionalFormatting sqref="J69">
    <cfRule type="cellIs" dxfId="135" priority="2" operator="greaterThan">
      <formula>$D$39</formula>
    </cfRule>
    <cfRule type="cellIs" dxfId="134" priority="6" operator="lessThan">
      <formula>$D$39</formula>
    </cfRule>
    <cfRule type="cellIs" dxfId="133" priority="10" operator="equal">
      <formula>$D$39</formula>
    </cfRule>
  </conditionalFormatting>
  <conditionalFormatting sqref="J70">
    <cfRule type="cellIs" dxfId="132" priority="1" operator="greaterThan">
      <formula>$D$40</formula>
    </cfRule>
    <cfRule type="cellIs" dxfId="131" priority="5" operator="lessThan">
      <formula>$D$40</formula>
    </cfRule>
    <cfRule type="cellIs" dxfId="130" priority="9" operator="equal">
      <formula>$D$40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2</xdr:col>
                    <xdr:colOff>7620</xdr:colOff>
                    <xdr:row>48</xdr:row>
                    <xdr:rowOff>7620</xdr:rowOff>
                  </from>
                  <to>
                    <xdr:col>2</xdr:col>
                    <xdr:colOff>1135380</xdr:colOff>
                    <xdr:row>49</xdr:row>
                    <xdr:rowOff>30480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2</xdr:col>
                    <xdr:colOff>7620</xdr:colOff>
                    <xdr:row>49</xdr:row>
                    <xdr:rowOff>7620</xdr:rowOff>
                  </from>
                  <to>
                    <xdr:col>2</xdr:col>
                    <xdr:colOff>1135380</xdr:colOff>
                    <xdr:row>50</xdr:row>
                    <xdr:rowOff>30480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7620</xdr:colOff>
                    <xdr:row>50</xdr:row>
                    <xdr:rowOff>7620</xdr:rowOff>
                  </from>
                  <to>
                    <xdr:col>2</xdr:col>
                    <xdr:colOff>1135380</xdr:colOff>
                    <xdr:row>51</xdr:row>
                    <xdr:rowOff>30480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7620</xdr:colOff>
                    <xdr:row>51</xdr:row>
                    <xdr:rowOff>7620</xdr:rowOff>
                  </from>
                  <to>
                    <xdr:col>2</xdr:col>
                    <xdr:colOff>1135380</xdr:colOff>
                    <xdr:row>52</xdr:row>
                    <xdr:rowOff>30480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4</xdr:col>
                    <xdr:colOff>7620</xdr:colOff>
                    <xdr:row>48</xdr:row>
                    <xdr:rowOff>7620</xdr:rowOff>
                  </from>
                  <to>
                    <xdr:col>4</xdr:col>
                    <xdr:colOff>1257300</xdr:colOff>
                    <xdr:row>49</xdr:row>
                    <xdr:rowOff>30480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4</xdr:col>
                    <xdr:colOff>7620</xdr:colOff>
                    <xdr:row>49</xdr:row>
                    <xdr:rowOff>7620</xdr:rowOff>
                  </from>
                  <to>
                    <xdr:col>4</xdr:col>
                    <xdr:colOff>1257300</xdr:colOff>
                    <xdr:row>50</xdr:row>
                    <xdr:rowOff>30480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4</xdr:col>
                    <xdr:colOff>7620</xdr:colOff>
                    <xdr:row>50</xdr:row>
                    <xdr:rowOff>7620</xdr:rowOff>
                  </from>
                  <to>
                    <xdr:col>4</xdr:col>
                    <xdr:colOff>1257300</xdr:colOff>
                    <xdr:row>51</xdr:row>
                    <xdr:rowOff>30480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4</xdr:col>
                    <xdr:colOff>7620</xdr:colOff>
                    <xdr:row>51</xdr:row>
                    <xdr:rowOff>7620</xdr:rowOff>
                  </from>
                  <to>
                    <xdr:col>4</xdr:col>
                    <xdr:colOff>1257300</xdr:colOff>
                    <xdr:row>52</xdr:row>
                    <xdr:rowOff>30480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6</xdr:col>
                    <xdr:colOff>7620</xdr:colOff>
                    <xdr:row>48</xdr:row>
                    <xdr:rowOff>7620</xdr:rowOff>
                  </from>
                  <to>
                    <xdr:col>7</xdr:col>
                    <xdr:colOff>60960</xdr:colOff>
                    <xdr:row>49</xdr:row>
                    <xdr:rowOff>30480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6</xdr:col>
                    <xdr:colOff>7620</xdr:colOff>
                    <xdr:row>49</xdr:row>
                    <xdr:rowOff>7620</xdr:rowOff>
                  </from>
                  <to>
                    <xdr:col>7</xdr:col>
                    <xdr:colOff>60960</xdr:colOff>
                    <xdr:row>50</xdr:row>
                    <xdr:rowOff>30480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6</xdr:col>
                    <xdr:colOff>7620</xdr:colOff>
                    <xdr:row>50</xdr:row>
                    <xdr:rowOff>7620</xdr:rowOff>
                  </from>
                  <to>
                    <xdr:col>7</xdr:col>
                    <xdr:colOff>60960</xdr:colOff>
                    <xdr:row>51</xdr:row>
                    <xdr:rowOff>30480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6</xdr:col>
                    <xdr:colOff>7620</xdr:colOff>
                    <xdr:row>51</xdr:row>
                    <xdr:rowOff>7620</xdr:rowOff>
                  </from>
                  <to>
                    <xdr:col>7</xdr:col>
                    <xdr:colOff>60960</xdr:colOff>
                    <xdr:row>52</xdr:row>
                    <xdr:rowOff>30480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8</xdr:col>
                    <xdr:colOff>7620</xdr:colOff>
                    <xdr:row>48</xdr:row>
                    <xdr:rowOff>7620</xdr:rowOff>
                  </from>
                  <to>
                    <xdr:col>9</xdr:col>
                    <xdr:colOff>144780</xdr:colOff>
                    <xdr:row>49</xdr:row>
                    <xdr:rowOff>30480</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8</xdr:col>
                    <xdr:colOff>7620</xdr:colOff>
                    <xdr:row>49</xdr:row>
                    <xdr:rowOff>7620</xdr:rowOff>
                  </from>
                  <to>
                    <xdr:col>9</xdr:col>
                    <xdr:colOff>144780</xdr:colOff>
                    <xdr:row>50</xdr:row>
                    <xdr:rowOff>30480</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8</xdr:col>
                    <xdr:colOff>7620</xdr:colOff>
                    <xdr:row>50</xdr:row>
                    <xdr:rowOff>7620</xdr:rowOff>
                  </from>
                  <to>
                    <xdr:col>9</xdr:col>
                    <xdr:colOff>144780</xdr:colOff>
                    <xdr:row>51</xdr:row>
                    <xdr:rowOff>30480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8</xdr:col>
                    <xdr:colOff>7620</xdr:colOff>
                    <xdr:row>51</xdr:row>
                    <xdr:rowOff>7620</xdr:rowOff>
                  </from>
                  <to>
                    <xdr:col>9</xdr:col>
                    <xdr:colOff>144780</xdr:colOff>
                    <xdr:row>52</xdr:row>
                    <xdr:rowOff>30480</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10</xdr:col>
                    <xdr:colOff>7620</xdr:colOff>
                    <xdr:row>48</xdr:row>
                    <xdr:rowOff>7620</xdr:rowOff>
                  </from>
                  <to>
                    <xdr:col>11</xdr:col>
                    <xdr:colOff>579120</xdr:colOff>
                    <xdr:row>49</xdr:row>
                    <xdr:rowOff>30480</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10</xdr:col>
                    <xdr:colOff>7620</xdr:colOff>
                    <xdr:row>49</xdr:row>
                    <xdr:rowOff>7620</xdr:rowOff>
                  </from>
                  <to>
                    <xdr:col>11</xdr:col>
                    <xdr:colOff>579120</xdr:colOff>
                    <xdr:row>50</xdr:row>
                    <xdr:rowOff>30480</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10</xdr:col>
                    <xdr:colOff>7620</xdr:colOff>
                    <xdr:row>50</xdr:row>
                    <xdr:rowOff>7620</xdr:rowOff>
                  </from>
                  <to>
                    <xdr:col>11</xdr:col>
                    <xdr:colOff>579120</xdr:colOff>
                    <xdr:row>51</xdr:row>
                    <xdr:rowOff>30480</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10</xdr:col>
                    <xdr:colOff>7620</xdr:colOff>
                    <xdr:row>51</xdr:row>
                    <xdr:rowOff>7620</xdr:rowOff>
                  </from>
                  <to>
                    <xdr:col>11</xdr:col>
                    <xdr:colOff>579120</xdr:colOff>
                    <xdr:row>52</xdr:row>
                    <xdr:rowOff>30480</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12</xdr:col>
                    <xdr:colOff>7620</xdr:colOff>
                    <xdr:row>48</xdr:row>
                    <xdr:rowOff>7620</xdr:rowOff>
                  </from>
                  <to>
                    <xdr:col>13</xdr:col>
                    <xdr:colOff>556260</xdr:colOff>
                    <xdr:row>49</xdr:row>
                    <xdr:rowOff>30480</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12</xdr:col>
                    <xdr:colOff>7620</xdr:colOff>
                    <xdr:row>49</xdr:row>
                    <xdr:rowOff>7620</xdr:rowOff>
                  </from>
                  <to>
                    <xdr:col>13</xdr:col>
                    <xdr:colOff>556260</xdr:colOff>
                    <xdr:row>50</xdr:row>
                    <xdr:rowOff>30480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12</xdr:col>
                    <xdr:colOff>7620</xdr:colOff>
                    <xdr:row>50</xdr:row>
                    <xdr:rowOff>7620</xdr:rowOff>
                  </from>
                  <to>
                    <xdr:col>13</xdr:col>
                    <xdr:colOff>556260</xdr:colOff>
                    <xdr:row>51</xdr:row>
                    <xdr:rowOff>30480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12</xdr:col>
                    <xdr:colOff>7620</xdr:colOff>
                    <xdr:row>51</xdr:row>
                    <xdr:rowOff>7620</xdr:rowOff>
                  </from>
                  <to>
                    <xdr:col>13</xdr:col>
                    <xdr:colOff>556260</xdr:colOff>
                    <xdr:row>52</xdr:row>
                    <xdr:rowOff>30480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14</xdr:col>
                    <xdr:colOff>7620</xdr:colOff>
                    <xdr:row>48</xdr:row>
                    <xdr:rowOff>7620</xdr:rowOff>
                  </from>
                  <to>
                    <xdr:col>16</xdr:col>
                    <xdr:colOff>38100</xdr:colOff>
                    <xdr:row>49</xdr:row>
                    <xdr:rowOff>30480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14</xdr:col>
                    <xdr:colOff>7620</xdr:colOff>
                    <xdr:row>49</xdr:row>
                    <xdr:rowOff>7620</xdr:rowOff>
                  </from>
                  <to>
                    <xdr:col>16</xdr:col>
                    <xdr:colOff>38100</xdr:colOff>
                    <xdr:row>50</xdr:row>
                    <xdr:rowOff>30480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14</xdr:col>
                    <xdr:colOff>7620</xdr:colOff>
                    <xdr:row>50</xdr:row>
                    <xdr:rowOff>7620</xdr:rowOff>
                  </from>
                  <to>
                    <xdr:col>16</xdr:col>
                    <xdr:colOff>38100</xdr:colOff>
                    <xdr:row>51</xdr:row>
                    <xdr:rowOff>30480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14</xdr:col>
                    <xdr:colOff>7620</xdr:colOff>
                    <xdr:row>51</xdr:row>
                    <xdr:rowOff>7620</xdr:rowOff>
                  </from>
                  <to>
                    <xdr:col>16</xdr:col>
                    <xdr:colOff>38100</xdr:colOff>
                    <xdr:row>52</xdr:row>
                    <xdr:rowOff>30480</xdr:rowOff>
                  </to>
                </anchor>
              </controlPr>
            </control>
          </mc:Choice>
        </mc:AlternateContent>
        <mc:AlternateContent xmlns:mc="http://schemas.openxmlformats.org/markup-compatibility/2006">
          <mc:Choice Requires="x14">
            <control shapeId="1053" r:id="rId31" name="Check Box 29">
              <controlPr defaultSize="0" autoFill="0" autoLine="0" autoPict="0">
                <anchor moveWithCells="1">
                  <from>
                    <xdr:col>16</xdr:col>
                    <xdr:colOff>7620</xdr:colOff>
                    <xdr:row>48</xdr:row>
                    <xdr:rowOff>7620</xdr:rowOff>
                  </from>
                  <to>
                    <xdr:col>17</xdr:col>
                    <xdr:colOff>449580</xdr:colOff>
                    <xdr:row>49</xdr:row>
                    <xdr:rowOff>30480</xdr:rowOff>
                  </to>
                </anchor>
              </controlPr>
            </control>
          </mc:Choice>
        </mc:AlternateContent>
        <mc:AlternateContent xmlns:mc="http://schemas.openxmlformats.org/markup-compatibility/2006">
          <mc:Choice Requires="x14">
            <control shapeId="1054" r:id="rId32" name="Check Box 30">
              <controlPr defaultSize="0" autoFill="0" autoLine="0" autoPict="0">
                <anchor moveWithCells="1">
                  <from>
                    <xdr:col>16</xdr:col>
                    <xdr:colOff>7620</xdr:colOff>
                    <xdr:row>49</xdr:row>
                    <xdr:rowOff>7620</xdr:rowOff>
                  </from>
                  <to>
                    <xdr:col>17</xdr:col>
                    <xdr:colOff>449580</xdr:colOff>
                    <xdr:row>50</xdr:row>
                    <xdr:rowOff>30480</xdr:rowOff>
                  </to>
                </anchor>
              </controlPr>
            </control>
          </mc:Choice>
        </mc:AlternateContent>
        <mc:AlternateContent xmlns:mc="http://schemas.openxmlformats.org/markup-compatibility/2006">
          <mc:Choice Requires="x14">
            <control shapeId="1055" r:id="rId33" name="Check Box 31">
              <controlPr defaultSize="0" autoFill="0" autoLine="0" autoPict="0">
                <anchor moveWithCells="1">
                  <from>
                    <xdr:col>16</xdr:col>
                    <xdr:colOff>7620</xdr:colOff>
                    <xdr:row>50</xdr:row>
                    <xdr:rowOff>7620</xdr:rowOff>
                  </from>
                  <to>
                    <xdr:col>17</xdr:col>
                    <xdr:colOff>449580</xdr:colOff>
                    <xdr:row>51</xdr:row>
                    <xdr:rowOff>30480</xdr:rowOff>
                  </to>
                </anchor>
              </controlPr>
            </control>
          </mc:Choice>
        </mc:AlternateContent>
        <mc:AlternateContent xmlns:mc="http://schemas.openxmlformats.org/markup-compatibility/2006">
          <mc:Choice Requires="x14">
            <control shapeId="1056" r:id="rId34" name="Check Box 32">
              <controlPr defaultSize="0" autoFill="0" autoLine="0" autoPict="0">
                <anchor moveWithCells="1">
                  <from>
                    <xdr:col>16</xdr:col>
                    <xdr:colOff>7620</xdr:colOff>
                    <xdr:row>51</xdr:row>
                    <xdr:rowOff>7620</xdr:rowOff>
                  </from>
                  <to>
                    <xdr:col>17</xdr:col>
                    <xdr:colOff>449580</xdr:colOff>
                    <xdr:row>52</xdr:row>
                    <xdr:rowOff>30480</xdr:rowOff>
                  </to>
                </anchor>
              </controlPr>
            </control>
          </mc:Choice>
        </mc:AlternateContent>
        <mc:AlternateContent xmlns:mc="http://schemas.openxmlformats.org/markup-compatibility/2006">
          <mc:Choice Requires="x14">
            <control shapeId="1057" r:id="rId35" name="Check Box 33">
              <controlPr defaultSize="0" autoFill="0" autoLine="0" autoPict="0">
                <anchor moveWithCells="1">
                  <from>
                    <xdr:col>18</xdr:col>
                    <xdr:colOff>7620</xdr:colOff>
                    <xdr:row>48</xdr:row>
                    <xdr:rowOff>7620</xdr:rowOff>
                  </from>
                  <to>
                    <xdr:col>20</xdr:col>
                    <xdr:colOff>38100</xdr:colOff>
                    <xdr:row>49</xdr:row>
                    <xdr:rowOff>30480</xdr:rowOff>
                  </to>
                </anchor>
              </controlPr>
            </control>
          </mc:Choice>
        </mc:AlternateContent>
        <mc:AlternateContent xmlns:mc="http://schemas.openxmlformats.org/markup-compatibility/2006">
          <mc:Choice Requires="x14">
            <control shapeId="1058" r:id="rId36" name="Check Box 34">
              <controlPr defaultSize="0" autoFill="0" autoLine="0" autoPict="0">
                <anchor moveWithCells="1">
                  <from>
                    <xdr:col>18</xdr:col>
                    <xdr:colOff>7620</xdr:colOff>
                    <xdr:row>49</xdr:row>
                    <xdr:rowOff>7620</xdr:rowOff>
                  </from>
                  <to>
                    <xdr:col>20</xdr:col>
                    <xdr:colOff>38100</xdr:colOff>
                    <xdr:row>50</xdr:row>
                    <xdr:rowOff>30480</xdr:rowOff>
                  </to>
                </anchor>
              </controlPr>
            </control>
          </mc:Choice>
        </mc:AlternateContent>
        <mc:AlternateContent xmlns:mc="http://schemas.openxmlformats.org/markup-compatibility/2006">
          <mc:Choice Requires="x14">
            <control shapeId="1059" r:id="rId37" name="Check Box 35">
              <controlPr defaultSize="0" autoFill="0" autoLine="0" autoPict="0">
                <anchor moveWithCells="1">
                  <from>
                    <xdr:col>18</xdr:col>
                    <xdr:colOff>7620</xdr:colOff>
                    <xdr:row>50</xdr:row>
                    <xdr:rowOff>7620</xdr:rowOff>
                  </from>
                  <to>
                    <xdr:col>20</xdr:col>
                    <xdr:colOff>38100</xdr:colOff>
                    <xdr:row>51</xdr:row>
                    <xdr:rowOff>30480</xdr:rowOff>
                  </to>
                </anchor>
              </controlPr>
            </control>
          </mc:Choice>
        </mc:AlternateContent>
        <mc:AlternateContent xmlns:mc="http://schemas.openxmlformats.org/markup-compatibility/2006">
          <mc:Choice Requires="x14">
            <control shapeId="1060" r:id="rId38" name="Check Box 36">
              <controlPr defaultSize="0" autoFill="0" autoLine="0" autoPict="0">
                <anchor moveWithCells="1">
                  <from>
                    <xdr:col>18</xdr:col>
                    <xdr:colOff>7620</xdr:colOff>
                    <xdr:row>51</xdr:row>
                    <xdr:rowOff>7620</xdr:rowOff>
                  </from>
                  <to>
                    <xdr:col>20</xdr:col>
                    <xdr:colOff>38100</xdr:colOff>
                    <xdr:row>52</xdr:row>
                    <xdr:rowOff>30480</xdr:rowOff>
                  </to>
                </anchor>
              </controlPr>
            </control>
          </mc:Choice>
        </mc:AlternateContent>
        <mc:AlternateContent xmlns:mc="http://schemas.openxmlformats.org/markup-compatibility/2006">
          <mc:Choice Requires="x14">
            <control shapeId="1061" r:id="rId39" name="Check Box 37">
              <controlPr defaultSize="0" autoFill="0" autoLine="0" autoPict="0">
                <anchor moveWithCells="1">
                  <from>
                    <xdr:col>20</xdr:col>
                    <xdr:colOff>7620</xdr:colOff>
                    <xdr:row>48</xdr:row>
                    <xdr:rowOff>7620</xdr:rowOff>
                  </from>
                  <to>
                    <xdr:col>21</xdr:col>
                    <xdr:colOff>419100</xdr:colOff>
                    <xdr:row>49</xdr:row>
                    <xdr:rowOff>30480</xdr:rowOff>
                  </to>
                </anchor>
              </controlPr>
            </control>
          </mc:Choice>
        </mc:AlternateContent>
        <mc:AlternateContent xmlns:mc="http://schemas.openxmlformats.org/markup-compatibility/2006">
          <mc:Choice Requires="x14">
            <control shapeId="1062" r:id="rId40" name="Check Box 38">
              <controlPr defaultSize="0" autoFill="0" autoLine="0" autoPict="0">
                <anchor moveWithCells="1">
                  <from>
                    <xdr:col>20</xdr:col>
                    <xdr:colOff>7620</xdr:colOff>
                    <xdr:row>49</xdr:row>
                    <xdr:rowOff>7620</xdr:rowOff>
                  </from>
                  <to>
                    <xdr:col>21</xdr:col>
                    <xdr:colOff>419100</xdr:colOff>
                    <xdr:row>50</xdr:row>
                    <xdr:rowOff>30480</xdr:rowOff>
                  </to>
                </anchor>
              </controlPr>
            </control>
          </mc:Choice>
        </mc:AlternateContent>
        <mc:AlternateContent xmlns:mc="http://schemas.openxmlformats.org/markup-compatibility/2006">
          <mc:Choice Requires="x14">
            <control shapeId="1063" r:id="rId41" name="Check Box 39">
              <controlPr defaultSize="0" autoFill="0" autoLine="0" autoPict="0">
                <anchor moveWithCells="1">
                  <from>
                    <xdr:col>20</xdr:col>
                    <xdr:colOff>7620</xdr:colOff>
                    <xdr:row>50</xdr:row>
                    <xdr:rowOff>7620</xdr:rowOff>
                  </from>
                  <to>
                    <xdr:col>21</xdr:col>
                    <xdr:colOff>419100</xdr:colOff>
                    <xdr:row>51</xdr:row>
                    <xdr:rowOff>30480</xdr:rowOff>
                  </to>
                </anchor>
              </controlPr>
            </control>
          </mc:Choice>
        </mc:AlternateContent>
        <mc:AlternateContent xmlns:mc="http://schemas.openxmlformats.org/markup-compatibility/2006">
          <mc:Choice Requires="x14">
            <control shapeId="1064" r:id="rId42" name="Check Box 40">
              <controlPr defaultSize="0" autoFill="0" autoLine="0" autoPict="0">
                <anchor moveWithCells="1">
                  <from>
                    <xdr:col>20</xdr:col>
                    <xdr:colOff>7620</xdr:colOff>
                    <xdr:row>51</xdr:row>
                    <xdr:rowOff>7620</xdr:rowOff>
                  </from>
                  <to>
                    <xdr:col>21</xdr:col>
                    <xdr:colOff>419100</xdr:colOff>
                    <xdr:row>52</xdr:row>
                    <xdr:rowOff>30480</xdr:rowOff>
                  </to>
                </anchor>
              </controlPr>
            </control>
          </mc:Choice>
        </mc:AlternateContent>
        <mc:AlternateContent xmlns:mc="http://schemas.openxmlformats.org/markup-compatibility/2006">
          <mc:Choice Requires="x14">
            <control shapeId="1065" r:id="rId43" name="Check Box 41">
              <controlPr defaultSize="0" autoFill="0" autoLine="0" autoPict="0">
                <anchor moveWithCells="1">
                  <from>
                    <xdr:col>22</xdr:col>
                    <xdr:colOff>7620</xdr:colOff>
                    <xdr:row>48</xdr:row>
                    <xdr:rowOff>7620</xdr:rowOff>
                  </from>
                  <to>
                    <xdr:col>22</xdr:col>
                    <xdr:colOff>594360</xdr:colOff>
                    <xdr:row>49</xdr:row>
                    <xdr:rowOff>30480</xdr:rowOff>
                  </to>
                </anchor>
              </controlPr>
            </control>
          </mc:Choice>
        </mc:AlternateContent>
        <mc:AlternateContent xmlns:mc="http://schemas.openxmlformats.org/markup-compatibility/2006">
          <mc:Choice Requires="x14">
            <control shapeId="1066" r:id="rId44" name="Check Box 42">
              <controlPr defaultSize="0" autoFill="0" autoLine="0" autoPict="0">
                <anchor moveWithCells="1">
                  <from>
                    <xdr:col>22</xdr:col>
                    <xdr:colOff>7620</xdr:colOff>
                    <xdr:row>49</xdr:row>
                    <xdr:rowOff>7620</xdr:rowOff>
                  </from>
                  <to>
                    <xdr:col>22</xdr:col>
                    <xdr:colOff>594360</xdr:colOff>
                    <xdr:row>50</xdr:row>
                    <xdr:rowOff>30480</xdr:rowOff>
                  </to>
                </anchor>
              </controlPr>
            </control>
          </mc:Choice>
        </mc:AlternateContent>
        <mc:AlternateContent xmlns:mc="http://schemas.openxmlformats.org/markup-compatibility/2006">
          <mc:Choice Requires="x14">
            <control shapeId="1067" r:id="rId45" name="Check Box 43">
              <controlPr defaultSize="0" autoFill="0" autoLine="0" autoPict="0">
                <anchor moveWithCells="1">
                  <from>
                    <xdr:col>22</xdr:col>
                    <xdr:colOff>7620</xdr:colOff>
                    <xdr:row>50</xdr:row>
                    <xdr:rowOff>7620</xdr:rowOff>
                  </from>
                  <to>
                    <xdr:col>22</xdr:col>
                    <xdr:colOff>594360</xdr:colOff>
                    <xdr:row>51</xdr:row>
                    <xdr:rowOff>30480</xdr:rowOff>
                  </to>
                </anchor>
              </controlPr>
            </control>
          </mc:Choice>
        </mc:AlternateContent>
        <mc:AlternateContent xmlns:mc="http://schemas.openxmlformats.org/markup-compatibility/2006">
          <mc:Choice Requires="x14">
            <control shapeId="1068" r:id="rId46" name="Check Box 44">
              <controlPr defaultSize="0" autoFill="0" autoLine="0" autoPict="0">
                <anchor moveWithCells="1">
                  <from>
                    <xdr:col>22</xdr:col>
                    <xdr:colOff>7620</xdr:colOff>
                    <xdr:row>51</xdr:row>
                    <xdr:rowOff>7620</xdr:rowOff>
                  </from>
                  <to>
                    <xdr:col>22</xdr:col>
                    <xdr:colOff>594360</xdr:colOff>
                    <xdr:row>52</xdr:row>
                    <xdr:rowOff>30480</xdr:rowOff>
                  </to>
                </anchor>
              </controlPr>
            </control>
          </mc:Choice>
        </mc:AlternateContent>
        <mc:AlternateContent xmlns:mc="http://schemas.openxmlformats.org/markup-compatibility/2006">
          <mc:Choice Requires="x14">
            <control shapeId="1069" r:id="rId47" name="Check Box 45">
              <controlPr defaultSize="0" autoFill="0" autoLine="0" autoPict="0">
                <anchor moveWithCells="1">
                  <from>
                    <xdr:col>16</xdr:col>
                    <xdr:colOff>15240</xdr:colOff>
                    <xdr:row>50</xdr:row>
                    <xdr:rowOff>190500</xdr:rowOff>
                  </from>
                  <to>
                    <xdr:col>17</xdr:col>
                    <xdr:colOff>457200</xdr:colOff>
                    <xdr:row>52</xdr:row>
                    <xdr:rowOff>30480</xdr:rowOff>
                  </to>
                </anchor>
              </controlPr>
            </control>
          </mc:Choice>
        </mc:AlternateContent>
        <mc:AlternateContent xmlns:mc="http://schemas.openxmlformats.org/markup-compatibility/2006">
          <mc:Choice Requires="x14">
            <control shapeId="1070" r:id="rId48" name="Check Box 46">
              <controlPr defaultSize="0" autoFill="0" autoLine="0" autoPict="0">
                <anchor moveWithCells="1">
                  <from>
                    <xdr:col>10</xdr:col>
                    <xdr:colOff>15240</xdr:colOff>
                    <xdr:row>48</xdr:row>
                    <xdr:rowOff>7620</xdr:rowOff>
                  </from>
                  <to>
                    <xdr:col>11</xdr:col>
                    <xdr:colOff>579120</xdr:colOff>
                    <xdr:row>49</xdr:row>
                    <xdr:rowOff>38100</xdr:rowOff>
                  </to>
                </anchor>
              </controlPr>
            </control>
          </mc:Choice>
        </mc:AlternateContent>
        <mc:AlternateContent xmlns:mc="http://schemas.openxmlformats.org/markup-compatibility/2006">
          <mc:Choice Requires="x14">
            <control shapeId="1071" r:id="rId49" name="Check Box 47">
              <controlPr defaultSize="0" autoFill="0" autoLine="0" autoPict="0">
                <anchor moveWithCells="1">
                  <from>
                    <xdr:col>4</xdr:col>
                    <xdr:colOff>7620</xdr:colOff>
                    <xdr:row>48</xdr:row>
                    <xdr:rowOff>7620</xdr:rowOff>
                  </from>
                  <to>
                    <xdr:col>4</xdr:col>
                    <xdr:colOff>1150620</xdr:colOff>
                    <xdr:row>49</xdr:row>
                    <xdr:rowOff>38100</xdr:rowOff>
                  </to>
                </anchor>
              </controlPr>
            </control>
          </mc:Choice>
        </mc:AlternateContent>
        <mc:AlternateContent xmlns:mc="http://schemas.openxmlformats.org/markup-compatibility/2006">
          <mc:Choice Requires="x14">
            <control shapeId="1072" r:id="rId50" name="Check Box 48">
              <controlPr defaultSize="0" autoFill="0" autoLine="0" autoPict="0">
                <anchor moveWithCells="1">
                  <from>
                    <xdr:col>4</xdr:col>
                    <xdr:colOff>7620</xdr:colOff>
                    <xdr:row>49</xdr:row>
                    <xdr:rowOff>7620</xdr:rowOff>
                  </from>
                  <to>
                    <xdr:col>4</xdr:col>
                    <xdr:colOff>1150620</xdr:colOff>
                    <xdr:row>50</xdr:row>
                    <xdr:rowOff>38100</xdr:rowOff>
                  </to>
                </anchor>
              </controlPr>
            </control>
          </mc:Choice>
        </mc:AlternateContent>
        <mc:AlternateContent xmlns:mc="http://schemas.openxmlformats.org/markup-compatibility/2006">
          <mc:Choice Requires="x14">
            <control shapeId="1073" r:id="rId51" name="Check Box 49">
              <controlPr defaultSize="0" autoFill="0" autoLine="0" autoPict="0">
                <anchor moveWithCells="1">
                  <from>
                    <xdr:col>4</xdr:col>
                    <xdr:colOff>7620</xdr:colOff>
                    <xdr:row>50</xdr:row>
                    <xdr:rowOff>7620</xdr:rowOff>
                  </from>
                  <to>
                    <xdr:col>4</xdr:col>
                    <xdr:colOff>1150620</xdr:colOff>
                    <xdr:row>51</xdr:row>
                    <xdr:rowOff>38100</xdr:rowOff>
                  </to>
                </anchor>
              </controlPr>
            </control>
          </mc:Choice>
        </mc:AlternateContent>
        <mc:AlternateContent xmlns:mc="http://schemas.openxmlformats.org/markup-compatibility/2006">
          <mc:Choice Requires="x14">
            <control shapeId="1074" r:id="rId52" name="Check Box 50">
              <controlPr defaultSize="0" autoFill="0" autoLine="0" autoPict="0">
                <anchor moveWithCells="1">
                  <from>
                    <xdr:col>4</xdr:col>
                    <xdr:colOff>7620</xdr:colOff>
                    <xdr:row>51</xdr:row>
                    <xdr:rowOff>7620</xdr:rowOff>
                  </from>
                  <to>
                    <xdr:col>4</xdr:col>
                    <xdr:colOff>1150620</xdr:colOff>
                    <xdr:row>52</xdr:row>
                    <xdr:rowOff>38100</xdr:rowOff>
                  </to>
                </anchor>
              </controlPr>
            </control>
          </mc:Choice>
        </mc:AlternateContent>
        <mc:AlternateContent xmlns:mc="http://schemas.openxmlformats.org/markup-compatibility/2006">
          <mc:Choice Requires="x14">
            <control shapeId="1075" r:id="rId53" name="Check Box 51">
              <controlPr defaultSize="0" autoFill="0" autoLine="0" autoPict="0">
                <anchor moveWithCells="1">
                  <from>
                    <xdr:col>6</xdr:col>
                    <xdr:colOff>7620</xdr:colOff>
                    <xdr:row>48</xdr:row>
                    <xdr:rowOff>7620</xdr:rowOff>
                  </from>
                  <to>
                    <xdr:col>7</xdr:col>
                    <xdr:colOff>350520</xdr:colOff>
                    <xdr:row>49</xdr:row>
                    <xdr:rowOff>38100</xdr:rowOff>
                  </to>
                </anchor>
              </controlPr>
            </control>
          </mc:Choice>
        </mc:AlternateContent>
        <mc:AlternateContent xmlns:mc="http://schemas.openxmlformats.org/markup-compatibility/2006">
          <mc:Choice Requires="x14">
            <control shapeId="1076" r:id="rId54" name="Check Box 52">
              <controlPr defaultSize="0" autoFill="0" autoLine="0" autoPict="0">
                <anchor moveWithCells="1">
                  <from>
                    <xdr:col>6</xdr:col>
                    <xdr:colOff>7620</xdr:colOff>
                    <xdr:row>49</xdr:row>
                    <xdr:rowOff>7620</xdr:rowOff>
                  </from>
                  <to>
                    <xdr:col>7</xdr:col>
                    <xdr:colOff>350520</xdr:colOff>
                    <xdr:row>50</xdr:row>
                    <xdr:rowOff>38100</xdr:rowOff>
                  </to>
                </anchor>
              </controlPr>
            </control>
          </mc:Choice>
        </mc:AlternateContent>
        <mc:AlternateContent xmlns:mc="http://schemas.openxmlformats.org/markup-compatibility/2006">
          <mc:Choice Requires="x14">
            <control shapeId="1077" r:id="rId55" name="Check Box 53">
              <controlPr defaultSize="0" autoFill="0" autoLine="0" autoPict="0">
                <anchor moveWithCells="1">
                  <from>
                    <xdr:col>6</xdr:col>
                    <xdr:colOff>7620</xdr:colOff>
                    <xdr:row>50</xdr:row>
                    <xdr:rowOff>7620</xdr:rowOff>
                  </from>
                  <to>
                    <xdr:col>7</xdr:col>
                    <xdr:colOff>350520</xdr:colOff>
                    <xdr:row>51</xdr:row>
                    <xdr:rowOff>38100</xdr:rowOff>
                  </to>
                </anchor>
              </controlPr>
            </control>
          </mc:Choice>
        </mc:AlternateContent>
        <mc:AlternateContent xmlns:mc="http://schemas.openxmlformats.org/markup-compatibility/2006">
          <mc:Choice Requires="x14">
            <control shapeId="1078" r:id="rId56" name="Check Box 54">
              <controlPr defaultSize="0" autoFill="0" autoLine="0" autoPict="0">
                <anchor moveWithCells="1">
                  <from>
                    <xdr:col>6</xdr:col>
                    <xdr:colOff>7620</xdr:colOff>
                    <xdr:row>51</xdr:row>
                    <xdr:rowOff>7620</xdr:rowOff>
                  </from>
                  <to>
                    <xdr:col>7</xdr:col>
                    <xdr:colOff>350520</xdr:colOff>
                    <xdr:row>52</xdr:row>
                    <xdr:rowOff>38100</xdr:rowOff>
                  </to>
                </anchor>
              </controlPr>
            </control>
          </mc:Choice>
        </mc:AlternateContent>
        <mc:AlternateContent xmlns:mc="http://schemas.openxmlformats.org/markup-compatibility/2006">
          <mc:Choice Requires="x14">
            <control shapeId="1079" r:id="rId57" name="Check Box 55">
              <controlPr defaultSize="0" autoFill="0" autoLine="0" autoPict="0">
                <anchor moveWithCells="1">
                  <from>
                    <xdr:col>8</xdr:col>
                    <xdr:colOff>7620</xdr:colOff>
                    <xdr:row>48</xdr:row>
                    <xdr:rowOff>7620</xdr:rowOff>
                  </from>
                  <to>
                    <xdr:col>9</xdr:col>
                    <xdr:colOff>15240</xdr:colOff>
                    <xdr:row>49</xdr:row>
                    <xdr:rowOff>38100</xdr:rowOff>
                  </to>
                </anchor>
              </controlPr>
            </control>
          </mc:Choice>
        </mc:AlternateContent>
        <mc:AlternateContent xmlns:mc="http://schemas.openxmlformats.org/markup-compatibility/2006">
          <mc:Choice Requires="x14">
            <control shapeId="1080" r:id="rId58" name="Check Box 56">
              <controlPr defaultSize="0" autoFill="0" autoLine="0" autoPict="0">
                <anchor moveWithCells="1">
                  <from>
                    <xdr:col>8</xdr:col>
                    <xdr:colOff>7620</xdr:colOff>
                    <xdr:row>49</xdr:row>
                    <xdr:rowOff>7620</xdr:rowOff>
                  </from>
                  <to>
                    <xdr:col>9</xdr:col>
                    <xdr:colOff>15240</xdr:colOff>
                    <xdr:row>50</xdr:row>
                    <xdr:rowOff>38100</xdr:rowOff>
                  </to>
                </anchor>
              </controlPr>
            </control>
          </mc:Choice>
        </mc:AlternateContent>
        <mc:AlternateContent xmlns:mc="http://schemas.openxmlformats.org/markup-compatibility/2006">
          <mc:Choice Requires="x14">
            <control shapeId="1081" r:id="rId59" name="Check Box 57">
              <controlPr defaultSize="0" autoFill="0" autoLine="0" autoPict="0">
                <anchor moveWithCells="1">
                  <from>
                    <xdr:col>8</xdr:col>
                    <xdr:colOff>7620</xdr:colOff>
                    <xdr:row>50</xdr:row>
                    <xdr:rowOff>7620</xdr:rowOff>
                  </from>
                  <to>
                    <xdr:col>9</xdr:col>
                    <xdr:colOff>15240</xdr:colOff>
                    <xdr:row>51</xdr:row>
                    <xdr:rowOff>38100</xdr:rowOff>
                  </to>
                </anchor>
              </controlPr>
            </control>
          </mc:Choice>
        </mc:AlternateContent>
        <mc:AlternateContent xmlns:mc="http://schemas.openxmlformats.org/markup-compatibility/2006">
          <mc:Choice Requires="x14">
            <control shapeId="1082" r:id="rId60" name="Check Box 58">
              <controlPr defaultSize="0" autoFill="0" autoLine="0" autoPict="0">
                <anchor moveWithCells="1">
                  <from>
                    <xdr:col>8</xdr:col>
                    <xdr:colOff>7620</xdr:colOff>
                    <xdr:row>51</xdr:row>
                    <xdr:rowOff>7620</xdr:rowOff>
                  </from>
                  <to>
                    <xdr:col>9</xdr:col>
                    <xdr:colOff>15240</xdr:colOff>
                    <xdr:row>52</xdr:row>
                    <xdr:rowOff>38100</xdr:rowOff>
                  </to>
                </anchor>
              </controlPr>
            </control>
          </mc:Choice>
        </mc:AlternateContent>
        <mc:AlternateContent xmlns:mc="http://schemas.openxmlformats.org/markup-compatibility/2006">
          <mc:Choice Requires="x14">
            <control shapeId="1083" r:id="rId61" name="Check Box 59">
              <controlPr defaultSize="0" autoFill="0" autoLine="0" autoPict="0">
                <anchor moveWithCells="1">
                  <from>
                    <xdr:col>10</xdr:col>
                    <xdr:colOff>7620</xdr:colOff>
                    <xdr:row>48</xdr:row>
                    <xdr:rowOff>7620</xdr:rowOff>
                  </from>
                  <to>
                    <xdr:col>11</xdr:col>
                    <xdr:colOff>525780</xdr:colOff>
                    <xdr:row>49</xdr:row>
                    <xdr:rowOff>38100</xdr:rowOff>
                  </to>
                </anchor>
              </controlPr>
            </control>
          </mc:Choice>
        </mc:AlternateContent>
        <mc:AlternateContent xmlns:mc="http://schemas.openxmlformats.org/markup-compatibility/2006">
          <mc:Choice Requires="x14">
            <control shapeId="1084" r:id="rId62" name="Check Box 60">
              <controlPr defaultSize="0" autoFill="0" autoLine="0" autoPict="0">
                <anchor moveWithCells="1">
                  <from>
                    <xdr:col>10</xdr:col>
                    <xdr:colOff>7620</xdr:colOff>
                    <xdr:row>49</xdr:row>
                    <xdr:rowOff>7620</xdr:rowOff>
                  </from>
                  <to>
                    <xdr:col>11</xdr:col>
                    <xdr:colOff>525780</xdr:colOff>
                    <xdr:row>50</xdr:row>
                    <xdr:rowOff>38100</xdr:rowOff>
                  </to>
                </anchor>
              </controlPr>
            </control>
          </mc:Choice>
        </mc:AlternateContent>
        <mc:AlternateContent xmlns:mc="http://schemas.openxmlformats.org/markup-compatibility/2006">
          <mc:Choice Requires="x14">
            <control shapeId="1085" r:id="rId63" name="Check Box 61">
              <controlPr defaultSize="0" autoFill="0" autoLine="0" autoPict="0">
                <anchor moveWithCells="1">
                  <from>
                    <xdr:col>10</xdr:col>
                    <xdr:colOff>7620</xdr:colOff>
                    <xdr:row>50</xdr:row>
                    <xdr:rowOff>7620</xdr:rowOff>
                  </from>
                  <to>
                    <xdr:col>11</xdr:col>
                    <xdr:colOff>525780</xdr:colOff>
                    <xdr:row>51</xdr:row>
                    <xdr:rowOff>38100</xdr:rowOff>
                  </to>
                </anchor>
              </controlPr>
            </control>
          </mc:Choice>
        </mc:AlternateContent>
        <mc:AlternateContent xmlns:mc="http://schemas.openxmlformats.org/markup-compatibility/2006">
          <mc:Choice Requires="x14">
            <control shapeId="1086" r:id="rId64" name="Check Box 62">
              <controlPr defaultSize="0" autoFill="0" autoLine="0" autoPict="0">
                <anchor moveWithCells="1">
                  <from>
                    <xdr:col>10</xdr:col>
                    <xdr:colOff>7620</xdr:colOff>
                    <xdr:row>51</xdr:row>
                    <xdr:rowOff>7620</xdr:rowOff>
                  </from>
                  <to>
                    <xdr:col>11</xdr:col>
                    <xdr:colOff>525780</xdr:colOff>
                    <xdr:row>52</xdr:row>
                    <xdr:rowOff>38100</xdr:rowOff>
                  </to>
                </anchor>
              </controlPr>
            </control>
          </mc:Choice>
        </mc:AlternateContent>
        <mc:AlternateContent xmlns:mc="http://schemas.openxmlformats.org/markup-compatibility/2006">
          <mc:Choice Requires="x14">
            <control shapeId="1087" r:id="rId65" name="Check Box 63">
              <controlPr defaultSize="0" autoFill="0" autoLine="0" autoPict="0">
                <anchor moveWithCells="1">
                  <from>
                    <xdr:col>12</xdr:col>
                    <xdr:colOff>7620</xdr:colOff>
                    <xdr:row>48</xdr:row>
                    <xdr:rowOff>7620</xdr:rowOff>
                  </from>
                  <to>
                    <xdr:col>13</xdr:col>
                    <xdr:colOff>525780</xdr:colOff>
                    <xdr:row>49</xdr:row>
                    <xdr:rowOff>38100</xdr:rowOff>
                  </to>
                </anchor>
              </controlPr>
            </control>
          </mc:Choice>
        </mc:AlternateContent>
        <mc:AlternateContent xmlns:mc="http://schemas.openxmlformats.org/markup-compatibility/2006">
          <mc:Choice Requires="x14">
            <control shapeId="1088" r:id="rId66" name="Check Box 64">
              <controlPr defaultSize="0" autoFill="0" autoLine="0" autoPict="0">
                <anchor moveWithCells="1">
                  <from>
                    <xdr:col>12</xdr:col>
                    <xdr:colOff>7620</xdr:colOff>
                    <xdr:row>49</xdr:row>
                    <xdr:rowOff>7620</xdr:rowOff>
                  </from>
                  <to>
                    <xdr:col>13</xdr:col>
                    <xdr:colOff>525780</xdr:colOff>
                    <xdr:row>50</xdr:row>
                    <xdr:rowOff>38100</xdr:rowOff>
                  </to>
                </anchor>
              </controlPr>
            </control>
          </mc:Choice>
        </mc:AlternateContent>
        <mc:AlternateContent xmlns:mc="http://schemas.openxmlformats.org/markup-compatibility/2006">
          <mc:Choice Requires="x14">
            <control shapeId="1089" r:id="rId67" name="Check Box 65">
              <controlPr defaultSize="0" autoFill="0" autoLine="0" autoPict="0">
                <anchor moveWithCells="1">
                  <from>
                    <xdr:col>12</xdr:col>
                    <xdr:colOff>7620</xdr:colOff>
                    <xdr:row>50</xdr:row>
                    <xdr:rowOff>7620</xdr:rowOff>
                  </from>
                  <to>
                    <xdr:col>13</xdr:col>
                    <xdr:colOff>525780</xdr:colOff>
                    <xdr:row>51</xdr:row>
                    <xdr:rowOff>38100</xdr:rowOff>
                  </to>
                </anchor>
              </controlPr>
            </control>
          </mc:Choice>
        </mc:AlternateContent>
        <mc:AlternateContent xmlns:mc="http://schemas.openxmlformats.org/markup-compatibility/2006">
          <mc:Choice Requires="x14">
            <control shapeId="1090" r:id="rId68" name="Check Box 66">
              <controlPr defaultSize="0" autoFill="0" autoLine="0" autoPict="0">
                <anchor moveWithCells="1">
                  <from>
                    <xdr:col>12</xdr:col>
                    <xdr:colOff>7620</xdr:colOff>
                    <xdr:row>51</xdr:row>
                    <xdr:rowOff>7620</xdr:rowOff>
                  </from>
                  <to>
                    <xdr:col>13</xdr:col>
                    <xdr:colOff>525780</xdr:colOff>
                    <xdr:row>52</xdr:row>
                    <xdr:rowOff>38100</xdr:rowOff>
                  </to>
                </anchor>
              </controlPr>
            </control>
          </mc:Choice>
        </mc:AlternateContent>
        <mc:AlternateContent xmlns:mc="http://schemas.openxmlformats.org/markup-compatibility/2006">
          <mc:Choice Requires="x14">
            <control shapeId="1091" r:id="rId69" name="Check Box 67">
              <controlPr defaultSize="0" autoFill="0" autoLine="0" autoPict="0">
                <anchor moveWithCells="1">
                  <from>
                    <xdr:col>14</xdr:col>
                    <xdr:colOff>7620</xdr:colOff>
                    <xdr:row>48</xdr:row>
                    <xdr:rowOff>7620</xdr:rowOff>
                  </from>
                  <to>
                    <xdr:col>15</xdr:col>
                    <xdr:colOff>525780</xdr:colOff>
                    <xdr:row>49</xdr:row>
                    <xdr:rowOff>38100</xdr:rowOff>
                  </to>
                </anchor>
              </controlPr>
            </control>
          </mc:Choice>
        </mc:AlternateContent>
        <mc:AlternateContent xmlns:mc="http://schemas.openxmlformats.org/markup-compatibility/2006">
          <mc:Choice Requires="x14">
            <control shapeId="1092" r:id="rId70" name="Check Box 68">
              <controlPr defaultSize="0" autoFill="0" autoLine="0" autoPict="0">
                <anchor moveWithCells="1">
                  <from>
                    <xdr:col>14</xdr:col>
                    <xdr:colOff>7620</xdr:colOff>
                    <xdr:row>49</xdr:row>
                    <xdr:rowOff>7620</xdr:rowOff>
                  </from>
                  <to>
                    <xdr:col>15</xdr:col>
                    <xdr:colOff>525780</xdr:colOff>
                    <xdr:row>50</xdr:row>
                    <xdr:rowOff>38100</xdr:rowOff>
                  </to>
                </anchor>
              </controlPr>
            </control>
          </mc:Choice>
        </mc:AlternateContent>
        <mc:AlternateContent xmlns:mc="http://schemas.openxmlformats.org/markup-compatibility/2006">
          <mc:Choice Requires="x14">
            <control shapeId="1093" r:id="rId71" name="Check Box 69">
              <controlPr defaultSize="0" autoFill="0" autoLine="0" autoPict="0">
                <anchor moveWithCells="1">
                  <from>
                    <xdr:col>14</xdr:col>
                    <xdr:colOff>7620</xdr:colOff>
                    <xdr:row>50</xdr:row>
                    <xdr:rowOff>7620</xdr:rowOff>
                  </from>
                  <to>
                    <xdr:col>15</xdr:col>
                    <xdr:colOff>525780</xdr:colOff>
                    <xdr:row>51</xdr:row>
                    <xdr:rowOff>38100</xdr:rowOff>
                  </to>
                </anchor>
              </controlPr>
            </control>
          </mc:Choice>
        </mc:AlternateContent>
        <mc:AlternateContent xmlns:mc="http://schemas.openxmlformats.org/markup-compatibility/2006">
          <mc:Choice Requires="x14">
            <control shapeId="1094" r:id="rId72" name="Check Box 70">
              <controlPr defaultSize="0" autoFill="0" autoLine="0" autoPict="0">
                <anchor moveWithCells="1">
                  <from>
                    <xdr:col>14</xdr:col>
                    <xdr:colOff>7620</xdr:colOff>
                    <xdr:row>51</xdr:row>
                    <xdr:rowOff>7620</xdr:rowOff>
                  </from>
                  <to>
                    <xdr:col>15</xdr:col>
                    <xdr:colOff>525780</xdr:colOff>
                    <xdr:row>52</xdr:row>
                    <xdr:rowOff>38100</xdr:rowOff>
                  </to>
                </anchor>
              </controlPr>
            </control>
          </mc:Choice>
        </mc:AlternateContent>
        <mc:AlternateContent xmlns:mc="http://schemas.openxmlformats.org/markup-compatibility/2006">
          <mc:Choice Requires="x14">
            <control shapeId="1095" r:id="rId73" name="Check Box 71">
              <controlPr defaultSize="0" autoFill="0" autoLine="0" autoPict="0">
                <anchor moveWithCells="1">
                  <from>
                    <xdr:col>16</xdr:col>
                    <xdr:colOff>7620</xdr:colOff>
                    <xdr:row>48</xdr:row>
                    <xdr:rowOff>7620</xdr:rowOff>
                  </from>
                  <to>
                    <xdr:col>17</xdr:col>
                    <xdr:colOff>525780</xdr:colOff>
                    <xdr:row>49</xdr:row>
                    <xdr:rowOff>38100</xdr:rowOff>
                  </to>
                </anchor>
              </controlPr>
            </control>
          </mc:Choice>
        </mc:AlternateContent>
        <mc:AlternateContent xmlns:mc="http://schemas.openxmlformats.org/markup-compatibility/2006">
          <mc:Choice Requires="x14">
            <control shapeId="1096" r:id="rId74" name="Check Box 72">
              <controlPr defaultSize="0" autoFill="0" autoLine="0" autoPict="0">
                <anchor moveWithCells="1">
                  <from>
                    <xdr:col>16</xdr:col>
                    <xdr:colOff>7620</xdr:colOff>
                    <xdr:row>49</xdr:row>
                    <xdr:rowOff>7620</xdr:rowOff>
                  </from>
                  <to>
                    <xdr:col>17</xdr:col>
                    <xdr:colOff>525780</xdr:colOff>
                    <xdr:row>50</xdr:row>
                    <xdr:rowOff>38100</xdr:rowOff>
                  </to>
                </anchor>
              </controlPr>
            </control>
          </mc:Choice>
        </mc:AlternateContent>
        <mc:AlternateContent xmlns:mc="http://schemas.openxmlformats.org/markup-compatibility/2006">
          <mc:Choice Requires="x14">
            <control shapeId="1097" r:id="rId75" name="Check Box 73">
              <controlPr defaultSize="0" autoFill="0" autoLine="0" autoPict="0">
                <anchor moveWithCells="1">
                  <from>
                    <xdr:col>16</xdr:col>
                    <xdr:colOff>7620</xdr:colOff>
                    <xdr:row>50</xdr:row>
                    <xdr:rowOff>7620</xdr:rowOff>
                  </from>
                  <to>
                    <xdr:col>17</xdr:col>
                    <xdr:colOff>525780</xdr:colOff>
                    <xdr:row>51</xdr:row>
                    <xdr:rowOff>38100</xdr:rowOff>
                  </to>
                </anchor>
              </controlPr>
            </control>
          </mc:Choice>
        </mc:AlternateContent>
        <mc:AlternateContent xmlns:mc="http://schemas.openxmlformats.org/markup-compatibility/2006">
          <mc:Choice Requires="x14">
            <control shapeId="1098" r:id="rId76" name="Check Box 74">
              <controlPr defaultSize="0" autoFill="0" autoLine="0" autoPict="0">
                <anchor moveWithCells="1">
                  <from>
                    <xdr:col>16</xdr:col>
                    <xdr:colOff>7620</xdr:colOff>
                    <xdr:row>51</xdr:row>
                    <xdr:rowOff>7620</xdr:rowOff>
                  </from>
                  <to>
                    <xdr:col>17</xdr:col>
                    <xdr:colOff>525780</xdr:colOff>
                    <xdr:row>52</xdr:row>
                    <xdr:rowOff>38100</xdr:rowOff>
                  </to>
                </anchor>
              </controlPr>
            </control>
          </mc:Choice>
        </mc:AlternateContent>
        <mc:AlternateContent xmlns:mc="http://schemas.openxmlformats.org/markup-compatibility/2006">
          <mc:Choice Requires="x14">
            <control shapeId="1099" r:id="rId77" name="Check Box 75">
              <controlPr defaultSize="0" autoFill="0" autoLine="0" autoPict="0">
                <anchor moveWithCells="1">
                  <from>
                    <xdr:col>18</xdr:col>
                    <xdr:colOff>7620</xdr:colOff>
                    <xdr:row>48</xdr:row>
                    <xdr:rowOff>7620</xdr:rowOff>
                  </from>
                  <to>
                    <xdr:col>19</xdr:col>
                    <xdr:colOff>525780</xdr:colOff>
                    <xdr:row>49</xdr:row>
                    <xdr:rowOff>38100</xdr:rowOff>
                  </to>
                </anchor>
              </controlPr>
            </control>
          </mc:Choice>
        </mc:AlternateContent>
        <mc:AlternateContent xmlns:mc="http://schemas.openxmlformats.org/markup-compatibility/2006">
          <mc:Choice Requires="x14">
            <control shapeId="1100" r:id="rId78" name="Check Box 76">
              <controlPr defaultSize="0" autoFill="0" autoLine="0" autoPict="0">
                <anchor moveWithCells="1">
                  <from>
                    <xdr:col>18</xdr:col>
                    <xdr:colOff>7620</xdr:colOff>
                    <xdr:row>49</xdr:row>
                    <xdr:rowOff>7620</xdr:rowOff>
                  </from>
                  <to>
                    <xdr:col>19</xdr:col>
                    <xdr:colOff>525780</xdr:colOff>
                    <xdr:row>50</xdr:row>
                    <xdr:rowOff>38100</xdr:rowOff>
                  </to>
                </anchor>
              </controlPr>
            </control>
          </mc:Choice>
        </mc:AlternateContent>
        <mc:AlternateContent xmlns:mc="http://schemas.openxmlformats.org/markup-compatibility/2006">
          <mc:Choice Requires="x14">
            <control shapeId="1101" r:id="rId79" name="Check Box 77">
              <controlPr defaultSize="0" autoFill="0" autoLine="0" autoPict="0">
                <anchor moveWithCells="1">
                  <from>
                    <xdr:col>18</xdr:col>
                    <xdr:colOff>7620</xdr:colOff>
                    <xdr:row>50</xdr:row>
                    <xdr:rowOff>7620</xdr:rowOff>
                  </from>
                  <to>
                    <xdr:col>19</xdr:col>
                    <xdr:colOff>525780</xdr:colOff>
                    <xdr:row>51</xdr:row>
                    <xdr:rowOff>38100</xdr:rowOff>
                  </to>
                </anchor>
              </controlPr>
            </control>
          </mc:Choice>
        </mc:AlternateContent>
        <mc:AlternateContent xmlns:mc="http://schemas.openxmlformats.org/markup-compatibility/2006">
          <mc:Choice Requires="x14">
            <control shapeId="1102" r:id="rId80" name="Check Box 78">
              <controlPr defaultSize="0" autoFill="0" autoLine="0" autoPict="0">
                <anchor moveWithCells="1">
                  <from>
                    <xdr:col>18</xdr:col>
                    <xdr:colOff>7620</xdr:colOff>
                    <xdr:row>51</xdr:row>
                    <xdr:rowOff>7620</xdr:rowOff>
                  </from>
                  <to>
                    <xdr:col>19</xdr:col>
                    <xdr:colOff>525780</xdr:colOff>
                    <xdr:row>52</xdr:row>
                    <xdr:rowOff>38100</xdr:rowOff>
                  </to>
                </anchor>
              </controlPr>
            </control>
          </mc:Choice>
        </mc:AlternateContent>
        <mc:AlternateContent xmlns:mc="http://schemas.openxmlformats.org/markup-compatibility/2006">
          <mc:Choice Requires="x14">
            <control shapeId="1103" r:id="rId81" name="Check Box 79">
              <controlPr defaultSize="0" autoFill="0" autoLine="0" autoPict="0">
                <anchor moveWithCells="1">
                  <from>
                    <xdr:col>20</xdr:col>
                    <xdr:colOff>7620</xdr:colOff>
                    <xdr:row>48</xdr:row>
                    <xdr:rowOff>7620</xdr:rowOff>
                  </from>
                  <to>
                    <xdr:col>21</xdr:col>
                    <xdr:colOff>525780</xdr:colOff>
                    <xdr:row>49</xdr:row>
                    <xdr:rowOff>38100</xdr:rowOff>
                  </to>
                </anchor>
              </controlPr>
            </control>
          </mc:Choice>
        </mc:AlternateContent>
        <mc:AlternateContent xmlns:mc="http://schemas.openxmlformats.org/markup-compatibility/2006">
          <mc:Choice Requires="x14">
            <control shapeId="1104" r:id="rId82" name="Check Box 80">
              <controlPr defaultSize="0" autoFill="0" autoLine="0" autoPict="0">
                <anchor moveWithCells="1">
                  <from>
                    <xdr:col>20</xdr:col>
                    <xdr:colOff>7620</xdr:colOff>
                    <xdr:row>49</xdr:row>
                    <xdr:rowOff>7620</xdr:rowOff>
                  </from>
                  <to>
                    <xdr:col>21</xdr:col>
                    <xdr:colOff>525780</xdr:colOff>
                    <xdr:row>50</xdr:row>
                    <xdr:rowOff>38100</xdr:rowOff>
                  </to>
                </anchor>
              </controlPr>
            </control>
          </mc:Choice>
        </mc:AlternateContent>
        <mc:AlternateContent xmlns:mc="http://schemas.openxmlformats.org/markup-compatibility/2006">
          <mc:Choice Requires="x14">
            <control shapeId="1105" r:id="rId83" name="Check Box 81">
              <controlPr defaultSize="0" autoFill="0" autoLine="0" autoPict="0">
                <anchor moveWithCells="1">
                  <from>
                    <xdr:col>20</xdr:col>
                    <xdr:colOff>7620</xdr:colOff>
                    <xdr:row>50</xdr:row>
                    <xdr:rowOff>7620</xdr:rowOff>
                  </from>
                  <to>
                    <xdr:col>21</xdr:col>
                    <xdr:colOff>525780</xdr:colOff>
                    <xdr:row>51</xdr:row>
                    <xdr:rowOff>38100</xdr:rowOff>
                  </to>
                </anchor>
              </controlPr>
            </control>
          </mc:Choice>
        </mc:AlternateContent>
        <mc:AlternateContent xmlns:mc="http://schemas.openxmlformats.org/markup-compatibility/2006">
          <mc:Choice Requires="x14">
            <control shapeId="1106" r:id="rId84" name="Check Box 82">
              <controlPr defaultSize="0" autoFill="0" autoLine="0" autoPict="0">
                <anchor moveWithCells="1">
                  <from>
                    <xdr:col>20</xdr:col>
                    <xdr:colOff>7620</xdr:colOff>
                    <xdr:row>51</xdr:row>
                    <xdr:rowOff>7620</xdr:rowOff>
                  </from>
                  <to>
                    <xdr:col>21</xdr:col>
                    <xdr:colOff>525780</xdr:colOff>
                    <xdr:row>52</xdr:row>
                    <xdr:rowOff>38100</xdr:rowOff>
                  </to>
                </anchor>
              </controlPr>
            </control>
          </mc:Choice>
        </mc:AlternateContent>
        <mc:AlternateContent xmlns:mc="http://schemas.openxmlformats.org/markup-compatibility/2006">
          <mc:Choice Requires="x14">
            <control shapeId="1107" r:id="rId85" name="Check Box 83">
              <controlPr defaultSize="0" autoFill="0" autoLine="0" autoPict="0">
                <anchor moveWithCells="1">
                  <from>
                    <xdr:col>22</xdr:col>
                    <xdr:colOff>7620</xdr:colOff>
                    <xdr:row>48</xdr:row>
                    <xdr:rowOff>7620</xdr:rowOff>
                  </from>
                  <to>
                    <xdr:col>23</xdr:col>
                    <xdr:colOff>525780</xdr:colOff>
                    <xdr:row>49</xdr:row>
                    <xdr:rowOff>38100</xdr:rowOff>
                  </to>
                </anchor>
              </controlPr>
            </control>
          </mc:Choice>
        </mc:AlternateContent>
        <mc:AlternateContent xmlns:mc="http://schemas.openxmlformats.org/markup-compatibility/2006">
          <mc:Choice Requires="x14">
            <control shapeId="1108" r:id="rId86" name="Check Box 84">
              <controlPr defaultSize="0" autoFill="0" autoLine="0" autoPict="0">
                <anchor moveWithCells="1">
                  <from>
                    <xdr:col>22</xdr:col>
                    <xdr:colOff>7620</xdr:colOff>
                    <xdr:row>49</xdr:row>
                    <xdr:rowOff>7620</xdr:rowOff>
                  </from>
                  <to>
                    <xdr:col>23</xdr:col>
                    <xdr:colOff>525780</xdr:colOff>
                    <xdr:row>50</xdr:row>
                    <xdr:rowOff>38100</xdr:rowOff>
                  </to>
                </anchor>
              </controlPr>
            </control>
          </mc:Choice>
        </mc:AlternateContent>
        <mc:AlternateContent xmlns:mc="http://schemas.openxmlformats.org/markup-compatibility/2006">
          <mc:Choice Requires="x14">
            <control shapeId="1109" r:id="rId87" name="Check Box 85">
              <controlPr defaultSize="0" autoFill="0" autoLine="0" autoPict="0">
                <anchor moveWithCells="1">
                  <from>
                    <xdr:col>22</xdr:col>
                    <xdr:colOff>7620</xdr:colOff>
                    <xdr:row>50</xdr:row>
                    <xdr:rowOff>7620</xdr:rowOff>
                  </from>
                  <to>
                    <xdr:col>23</xdr:col>
                    <xdr:colOff>525780</xdr:colOff>
                    <xdr:row>51</xdr:row>
                    <xdr:rowOff>38100</xdr:rowOff>
                  </to>
                </anchor>
              </controlPr>
            </control>
          </mc:Choice>
        </mc:AlternateContent>
        <mc:AlternateContent xmlns:mc="http://schemas.openxmlformats.org/markup-compatibility/2006">
          <mc:Choice Requires="x14">
            <control shapeId="1110" r:id="rId88" name="Check Box 86">
              <controlPr defaultSize="0" autoFill="0" autoLine="0" autoPict="0">
                <anchor moveWithCells="1">
                  <from>
                    <xdr:col>22</xdr:col>
                    <xdr:colOff>7620</xdr:colOff>
                    <xdr:row>51</xdr:row>
                    <xdr:rowOff>7620</xdr:rowOff>
                  </from>
                  <to>
                    <xdr:col>23</xdr:col>
                    <xdr:colOff>525780</xdr:colOff>
                    <xdr:row>52</xdr:row>
                    <xdr:rowOff>38100</xdr:rowOff>
                  </to>
                </anchor>
              </controlPr>
            </control>
          </mc:Choice>
        </mc:AlternateContent>
      </controls>
    </mc:Choice>
  </mc:AlternateContent>
  <tableParts count="8">
    <tablePart r:id="rId89"/>
    <tablePart r:id="rId90"/>
    <tablePart r:id="rId91"/>
    <tablePart r:id="rId92"/>
    <tablePart r:id="rId93"/>
    <tablePart r:id="rId94"/>
    <tablePart r:id="rId95"/>
    <tablePart r:id="rId9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5EC0C-3712-4866-9FBE-4ED85CFADE8D}">
  <dimension ref="A1:Z97"/>
  <sheetViews>
    <sheetView topLeftCell="B1" zoomScale="55" zoomScaleNormal="55" workbookViewId="0">
      <selection activeCell="AB21" sqref="AB21"/>
    </sheetView>
  </sheetViews>
  <sheetFormatPr defaultColWidth="8.5546875" defaultRowHeight="14.4" x14ac:dyDescent="0.3"/>
  <cols>
    <col min="1" max="1" width="16.109375" style="1" customWidth="1"/>
    <col min="2" max="2" width="16.44140625" style="5" customWidth="1"/>
    <col min="3" max="3" width="15.6640625" style="5" customWidth="1"/>
    <col min="4" max="4" width="18.33203125" style="5" customWidth="1"/>
    <col min="5" max="5" width="15.33203125" style="5" bestFit="1" customWidth="1"/>
    <col min="6" max="6" width="12.44140625" style="5" bestFit="1" customWidth="1"/>
    <col min="7" max="7" width="13.33203125" style="5" bestFit="1" customWidth="1"/>
    <col min="8" max="8" width="18.33203125" style="1" customWidth="1"/>
    <col min="9" max="9" width="16.88671875" style="46" bestFit="1" customWidth="1"/>
    <col min="10" max="10" width="17.33203125" style="5" customWidth="1"/>
    <col min="11" max="11" width="15" style="5" bestFit="1" customWidth="1"/>
    <col min="12" max="12" width="16.88671875" style="5" bestFit="1" customWidth="1"/>
    <col min="13" max="13" width="16.88671875" style="5" customWidth="1"/>
    <col min="14" max="14" width="16.88671875" style="5" bestFit="1" customWidth="1"/>
    <col min="15" max="15" width="18.33203125" style="5" bestFit="1" customWidth="1"/>
    <col min="16" max="16" width="15.6640625" style="5" bestFit="1" customWidth="1"/>
    <col min="17" max="17" width="15.33203125" style="5" bestFit="1" customWidth="1"/>
    <col min="18" max="18" width="12.44140625" style="5" bestFit="1" customWidth="1"/>
    <col min="19" max="19" width="18.33203125" style="5" bestFit="1" customWidth="1"/>
    <col min="20" max="20" width="16.88671875" style="5" customWidth="1"/>
    <col min="21" max="21" width="14.88671875" style="5" bestFit="1" customWidth="1"/>
    <col min="22" max="22" width="11.33203125" style="5" customWidth="1"/>
    <col min="23" max="23" width="13.33203125" style="5" bestFit="1" customWidth="1"/>
    <col min="24" max="16384" width="8.5546875" style="5"/>
  </cols>
  <sheetData>
    <row r="1" spans="1:25" ht="33.6" x14ac:dyDescent="0.3">
      <c r="B1" s="67" t="s">
        <v>108</v>
      </c>
      <c r="C1" s="67"/>
      <c r="D1" s="67"/>
      <c r="E1" s="67"/>
      <c r="F1" s="67"/>
      <c r="G1" s="67"/>
      <c r="H1" s="67"/>
      <c r="I1" s="67"/>
      <c r="J1" s="67"/>
      <c r="K1" s="67"/>
      <c r="L1" s="67"/>
      <c r="M1" s="67"/>
      <c r="N1" s="67"/>
      <c r="O1" s="67"/>
      <c r="P1" s="67"/>
      <c r="Q1" s="67"/>
      <c r="R1" s="67"/>
      <c r="S1" s="67"/>
      <c r="T1" s="67"/>
      <c r="U1" s="67"/>
      <c r="V1" s="67"/>
      <c r="W1" s="67"/>
      <c r="X1" s="67"/>
      <c r="Y1" s="67"/>
    </row>
    <row r="2" spans="1:25" ht="21" x14ac:dyDescent="0.4">
      <c r="A2" s="5"/>
      <c r="B2" s="68" t="s">
        <v>109</v>
      </c>
      <c r="C2" s="68"/>
      <c r="D2" s="68"/>
      <c r="E2" s="68"/>
      <c r="F2" s="68"/>
      <c r="G2" s="68"/>
      <c r="H2" s="68"/>
      <c r="I2" s="68"/>
      <c r="J2" s="68"/>
      <c r="K2" s="68"/>
      <c r="L2" s="68"/>
      <c r="M2" s="68"/>
    </row>
    <row r="3" spans="1:25" x14ac:dyDescent="0.3">
      <c r="B3" s="69" t="s">
        <v>98</v>
      </c>
      <c r="C3" s="2" t="s">
        <v>99</v>
      </c>
      <c r="D3" s="49" t="s">
        <v>110</v>
      </c>
      <c r="E3" s="49" t="s">
        <v>111</v>
      </c>
      <c r="F3" s="2" t="s">
        <v>1</v>
      </c>
      <c r="G3" s="2" t="s">
        <v>2</v>
      </c>
      <c r="H3" s="2" t="s">
        <v>3</v>
      </c>
      <c r="I3" s="2" t="s">
        <v>4</v>
      </c>
      <c r="J3" s="2" t="s">
        <v>5</v>
      </c>
      <c r="K3" s="3" t="s">
        <v>6</v>
      </c>
      <c r="L3" s="2" t="s">
        <v>7</v>
      </c>
      <c r="M3" s="2" t="s">
        <v>112</v>
      </c>
    </row>
    <row r="4" spans="1:25" ht="15" x14ac:dyDescent="0.3">
      <c r="B4" s="70">
        <v>1</v>
      </c>
      <c r="C4" s="17">
        <v>1</v>
      </c>
      <c r="D4" s="71" t="s">
        <v>110</v>
      </c>
      <c r="E4" s="71" t="s">
        <v>111</v>
      </c>
      <c r="F4" s="1">
        <f>VLOOKUP(Tablo1[[#This Row],[Student No]],[1]!Tablo17[[STUDENT ID]:[TOTAL GRADE]],11,FALSE)</f>
        <v>0</v>
      </c>
      <c r="G4" s="1">
        <f>VLOOKUP(Tablo1[[#This Row],[Student No]],Tablo1738[[STUDENT ID]:[TOTAL GRADE]],11,FALSE)</f>
        <v>0</v>
      </c>
      <c r="H4" s="72">
        <f>VLOOKUP(Tablo1[[#This Row],[Student No]],Tablo3[[Student No]:[TOTAL]],9,FALSE)</f>
        <v>5.6</v>
      </c>
      <c r="I4" s="72">
        <f>VLOOKUP(Tablo1[[#This Row],[Student No]],Tablo314[[Student No]:[TOTAL]],18,FALSE)</f>
        <v>35</v>
      </c>
      <c r="J4" s="73">
        <v>0</v>
      </c>
      <c r="K4" s="51">
        <f>(F4*$P$22%*100/$Q$22+G4*$P$23%*100/$Q$23+H4*$P$20%*100/$Q$20+I4*$P$21%*100/$Q$21)+Tablo1[[#This Row],[BONUS]]</f>
        <v>7.56</v>
      </c>
      <c r="L4" s="1" t="str" cm="1">
        <f t="array" ref="L4">_xlfn.IFS(AND(K4&gt;=$P$7,K4&lt;=$Q$7),"AA",AND(K4&gt;=$P$8,K4&lt;$Q$8),"AB",AND(K4&gt;=$P$9,K4&lt;$Q$9),"BB",AND(K4&gt;=$P$10,K4&lt;$Q$10),"CB",AND(K4&gt;=$P$11,K4&lt;$Q$11),"CC",AND(K4&gt;=$P$12,K4&lt;$Q$12),"DC",AND(K4&gt;=$P$13,K4&lt;$Q$13),"DD",AND(K4&gt;=$P$14,K4&lt;$Q$14),"FD",AND(K4&gt;=$P$15,K4&lt;$Q$15),"FF")</f>
        <v>FF</v>
      </c>
      <c r="M4" s="1">
        <f t="shared" ref="M4:M33" si="0">_xlfn.NORM.DIST(K4,$T$32,$U$32,FALSE)</f>
        <v>2.5835198658602518E-3</v>
      </c>
    </row>
    <row r="5" spans="1:25" ht="15" x14ac:dyDescent="0.3">
      <c r="B5" s="74">
        <v>2</v>
      </c>
      <c r="C5" s="17">
        <v>2</v>
      </c>
      <c r="D5" s="75" t="s">
        <v>110</v>
      </c>
      <c r="E5" s="71" t="s">
        <v>111</v>
      </c>
      <c r="F5" s="1">
        <f>VLOOKUP(Tablo1[[#This Row],[Student No]],[1]!Tablo17[[STUDENT ID]:[TOTAL GRADE]],11,FALSE)</f>
        <v>0</v>
      </c>
      <c r="G5" s="1">
        <f>VLOOKUP(Tablo1[[#This Row],[Student No]],Tablo1738[[STUDENT ID]:[TOTAL GRADE]],11,FALSE)</f>
        <v>0</v>
      </c>
      <c r="H5" s="72">
        <f>VLOOKUP(Tablo1[[#This Row],[Student No]],Tablo3[[Student No]:[TOTAL]],9,FALSE)</f>
        <v>6</v>
      </c>
      <c r="I5" s="72">
        <f>VLOOKUP(Tablo1[[#This Row],[Student No]],Tablo314[[Student No]:[TOTAL]],18,FALSE)</f>
        <v>35</v>
      </c>
      <c r="J5" s="73">
        <v>0</v>
      </c>
      <c r="K5" s="51">
        <f>(F5*$P$22%*100/$Q$22+G5*$P$23%*100/$Q$23+H5*$P$20%*100/$Q$20+I5*$P$21%*100/$Q$21)+Tablo1[[#This Row],[BONUS]]</f>
        <v>7.6</v>
      </c>
      <c r="L5" s="1" t="str" cm="1">
        <f t="array" ref="L5">_xlfn.IFS(AND(K5&gt;=$P$7,K5&lt;$Q$7),"AA",AND(K5&gt;=$P$8,K5&lt;$Q$8),"AB",AND(K5&gt;=$P$9,K5&lt;$Q$9),"BB",AND(K5&gt;=$P$10,K5&lt;$Q$10),"CB",AND(K5&gt;=$P$11,K5&lt;$Q$11),"CC",AND(K5&gt;=$P$12,K5&lt;$Q$12),"DC",AND(K5&gt;=$P$13,K5&lt;$Q$13),"DD",AND(K5&gt;=$P$14,K5&lt;$Q$14),"FD",AND(K5&gt;=$P$15,K5&lt;$Q$15),"FF")</f>
        <v>FF</v>
      </c>
      <c r="M5" s="1">
        <f t="shared" si="0"/>
        <v>2.6004063125194665E-3</v>
      </c>
      <c r="O5" s="15" t="s">
        <v>33</v>
      </c>
      <c r="P5" s="15"/>
      <c r="Q5" s="15"/>
    </row>
    <row r="6" spans="1:25" ht="15" x14ac:dyDescent="0.3">
      <c r="B6" s="70">
        <v>3</v>
      </c>
      <c r="C6" s="17">
        <v>3</v>
      </c>
      <c r="D6" s="75" t="s">
        <v>110</v>
      </c>
      <c r="E6" s="71" t="s">
        <v>111</v>
      </c>
      <c r="F6" s="1">
        <f>VLOOKUP(Tablo1[[#This Row],[Student No]],[1]!Tablo17[[STUDENT ID]:[TOTAL GRADE]],11,FALSE)</f>
        <v>0</v>
      </c>
      <c r="G6" s="1">
        <f>VLOOKUP(Tablo1[[#This Row],[Student No]],Tablo1738[[STUDENT ID]:[TOTAL GRADE]],11,FALSE)</f>
        <v>0</v>
      </c>
      <c r="H6" s="72">
        <f>VLOOKUP(Tablo1[[#This Row],[Student No]],Tablo3[[Student No]:[TOTAL]],9,FALSE)</f>
        <v>4.2</v>
      </c>
      <c r="I6" s="72">
        <f>VLOOKUP(Tablo1[[#This Row],[Student No]],Tablo314[[Student No]:[TOTAL]],18,FALSE)</f>
        <v>40</v>
      </c>
      <c r="J6" s="73">
        <v>0</v>
      </c>
      <c r="K6" s="51">
        <f>(F6*$P$22%*100/$Q$22+G6*$P$23%*100/$Q$23+H6*$P$20%*100/$Q$20+I6*$P$21%*100/$Q$21)+Tablo1[[#This Row],[BONUS]]</f>
        <v>8.42</v>
      </c>
      <c r="L6" s="1" t="str" cm="1">
        <f t="array" ref="L6">_xlfn.IFS(AND(K6&gt;=$P$7,K6&lt;$Q$7),"AA",AND(K6&gt;=$P$8,K6&lt;$Q$8),"AB",AND(K6&gt;=$P$9,K6&lt;$Q$9),"BB",AND(K6&gt;=$P$10,K6&lt;$Q$10),"CB",AND(K6&gt;=$P$11,K6&lt;$Q$11),"CC",AND(K6&gt;=$P$12,K6&lt;$Q$12),"DC",AND(K6&gt;=$P$13,K6&lt;$Q$13),"DD",AND(K6&gt;=$P$14,K6&lt;$Q$14),"FD",AND(K6&gt;=$P$15,K6&lt;$Q$15),"FF")</f>
        <v>FF</v>
      </c>
      <c r="M6" s="1">
        <f t="shared" si="0"/>
        <v>2.966255095607051E-3</v>
      </c>
      <c r="O6" s="5" t="s">
        <v>34</v>
      </c>
      <c r="P6" s="5" t="s">
        <v>35</v>
      </c>
      <c r="Q6" s="5" t="s">
        <v>36</v>
      </c>
    </row>
    <row r="7" spans="1:25" ht="15" x14ac:dyDescent="0.3">
      <c r="B7" s="74">
        <v>4</v>
      </c>
      <c r="C7" s="17">
        <v>30</v>
      </c>
      <c r="D7" s="71" t="s">
        <v>110</v>
      </c>
      <c r="E7" s="71" t="s">
        <v>111</v>
      </c>
      <c r="F7" s="1">
        <f>VLOOKUP(Tablo1[[#This Row],[Student No]],[1]!Tablo17[[STUDENT ID]:[TOTAL GRADE]],11,FALSE)</f>
        <v>17</v>
      </c>
      <c r="G7" s="1">
        <f>VLOOKUP(Tablo1[[#This Row],[Student No]],Tablo1738[[STUDENT ID]:[TOTAL GRADE]],11,FALSE)</f>
        <v>17</v>
      </c>
      <c r="H7" s="72">
        <f>VLOOKUP(Tablo1[[#This Row],[Student No]],Tablo3[[Student No]:[TOTAL]],9,FALSE)</f>
        <v>5.8</v>
      </c>
      <c r="I7" s="72">
        <f>VLOOKUP(Tablo1[[#This Row],[Student No]],Tablo314[[Student No]:[TOTAL]],18,FALSE)</f>
        <v>45</v>
      </c>
      <c r="J7" s="73">
        <v>0</v>
      </c>
      <c r="K7" s="51">
        <f>(F7*$P$22%*100/$Q$22+G7*$P$23%*100/$Q$23+H7*$P$20%*100/$Q$20+I7*$P$21%*100/$Q$21)+Tablo1[[#This Row],[BONUS]]</f>
        <v>21.48</v>
      </c>
      <c r="L7" s="1" t="str" cm="1">
        <f t="array" ref="L7">_xlfn.IFS(AND(K7&gt;=$P$7,K7&lt;$Q$7),"AA",AND(K7&gt;=$P$8,K7&lt;$Q$8),"AB",AND(K7&gt;=$P$9,K7&lt;$Q$9),"BB",AND(K7&gt;=$P$10,K7&lt;$Q$10),"CB",AND(K7&gt;=$P$11,K7&lt;$Q$11),"CC",AND(K7&gt;=$P$12,K7&lt;$Q$12),"DC",AND(K7&gt;=$P$13,K7&lt;$Q$13),"DD",AND(K7&gt;=$P$14,K7&lt;$Q$14),"FD",AND(K7&gt;=$P$15,K7&lt;$Q$15),"FF")</f>
        <v>FF</v>
      </c>
      <c r="M7" s="1">
        <f t="shared" si="0"/>
        <v>1.4720569026309553E-2</v>
      </c>
      <c r="O7" s="5" t="s">
        <v>38</v>
      </c>
      <c r="P7" s="16">
        <v>90</v>
      </c>
      <c r="Q7" s="16">
        <v>100</v>
      </c>
    </row>
    <row r="8" spans="1:25" ht="15" x14ac:dyDescent="0.3">
      <c r="B8" s="70">
        <v>5</v>
      </c>
      <c r="C8" s="17">
        <v>29</v>
      </c>
      <c r="D8" s="71" t="s">
        <v>110</v>
      </c>
      <c r="E8" s="71" t="s">
        <v>111</v>
      </c>
      <c r="F8" s="1">
        <f>VLOOKUP(Tablo1[[#This Row],[Student No]],[1]!Tablo17[[STUDENT ID]:[TOTAL GRADE]],11,FALSE)</f>
        <v>21</v>
      </c>
      <c r="G8" s="1">
        <f>VLOOKUP(Tablo1[[#This Row],[Student No]],Tablo1738[[STUDENT ID]:[TOTAL GRADE]],11,FALSE)</f>
        <v>21</v>
      </c>
      <c r="H8" s="72">
        <f>VLOOKUP(Tablo1[[#This Row],[Student No]],Tablo3[[Student No]:[TOTAL]],9,FALSE)</f>
        <v>4.2</v>
      </c>
      <c r="I8" s="72">
        <f>VLOOKUP(Tablo1[[#This Row],[Student No]],Tablo314[[Student No]:[TOTAL]],18,FALSE)</f>
        <v>47</v>
      </c>
      <c r="J8" s="73">
        <v>0</v>
      </c>
      <c r="K8" s="51">
        <f>(F8*$P$22%*100/$Q$22+G8*$P$23%*100/$Q$23+H8*$P$20%*100/$Q$20+I8*$P$21%*100/$Q$21)+Tablo1[[#This Row],[BONUS]]</f>
        <v>24.52</v>
      </c>
      <c r="L8" s="1" t="str" cm="1">
        <f t="array" ref="L8">_xlfn.IFS(AND(K8&gt;=$P$7,K8&lt;$Q$7),"AA",AND(K8&gt;=$P$8,K8&lt;$Q$8),"AB",AND(K8&gt;=$P$9,K8&lt;$Q$9),"BB",AND(K8&gt;=$P$10,K8&lt;$Q$10),"CB",AND(K8&gt;=$P$11,K8&lt;$Q$11),"CC",AND(K8&gt;=$P$12,K8&lt;$Q$12),"DC",AND(K8&gt;=$P$13,K8&lt;$Q$13),"DD",AND(K8&gt;=$P$14,K8&lt;$Q$14),"FD",AND(K8&gt;=$P$15,K8&lt;$Q$15),"FF")</f>
        <v>FF</v>
      </c>
      <c r="M8" s="1">
        <f t="shared" si="0"/>
        <v>1.8701540010571848E-2</v>
      </c>
      <c r="O8" s="5" t="s">
        <v>39</v>
      </c>
      <c r="P8" s="16">
        <v>85</v>
      </c>
      <c r="Q8" s="16">
        <v>90</v>
      </c>
    </row>
    <row r="9" spans="1:25" ht="15" x14ac:dyDescent="0.3">
      <c r="B9" s="74">
        <v>6</v>
      </c>
      <c r="C9" s="17">
        <v>28</v>
      </c>
      <c r="D9" s="71" t="s">
        <v>110</v>
      </c>
      <c r="E9" s="71" t="s">
        <v>111</v>
      </c>
      <c r="F9" s="1">
        <f>VLOOKUP(Tablo1[[#This Row],[Student No]],[1]!Tablo17[[STUDENT ID]:[TOTAL GRADE]],11,FALSE)</f>
        <v>22</v>
      </c>
      <c r="G9" s="1">
        <f>VLOOKUP(Tablo1[[#This Row],[Student No]],Tablo1738[[STUDENT ID]:[TOTAL GRADE]],11,FALSE)</f>
        <v>22</v>
      </c>
      <c r="H9" s="72">
        <f>VLOOKUP(Tablo1[[#This Row],[Student No]],Tablo3[[Student No]:[TOTAL]],9,FALSE)</f>
        <v>5</v>
      </c>
      <c r="I9" s="72">
        <f>VLOOKUP(Tablo1[[#This Row],[Student No]],Tablo314[[Student No]:[TOTAL]],18,FALSE)</f>
        <v>58</v>
      </c>
      <c r="J9" s="73">
        <v>0</v>
      </c>
      <c r="K9" s="51">
        <f>(F9*$P$22%*100/$Q$22+G9*$P$23%*100/$Q$23+H9*$P$20%*100/$Q$20+I9*$P$21%*100/$Q$21)+Tablo1[[#This Row],[BONUS]]</f>
        <v>27.5</v>
      </c>
      <c r="L9" s="1" t="str" cm="1">
        <f t="array" ref="L9">_xlfn.IFS(AND(K9&gt;=$P$7,K9&lt;$Q$7),"AA",AND(K9&gt;=$P$8,K9&lt;$Q$8),"AB",AND(K9&gt;=$P$9,K9&lt;$Q$9),"BB",AND(K9&gt;=$P$10,K9&lt;$Q$10),"CB",AND(K9&gt;=$P$11,K9&lt;$Q$11),"CC",AND(K9&gt;=$P$12,K9&lt;$Q$12),"DC",AND(K9&gt;=$P$13,K9&lt;$Q$13),"DD",AND(K9&gt;=$P$14,K9&lt;$Q$14),"FD",AND(K9&gt;=$P$15,K9&lt;$Q$15),"FF")</f>
        <v>FF</v>
      </c>
      <c r="M9" s="1">
        <f t="shared" si="0"/>
        <v>2.2517649931579547E-2</v>
      </c>
      <c r="O9" s="5" t="s">
        <v>40</v>
      </c>
      <c r="P9" s="16">
        <v>80</v>
      </c>
      <c r="Q9" s="16">
        <v>85</v>
      </c>
    </row>
    <row r="10" spans="1:25" ht="15" x14ac:dyDescent="0.3">
      <c r="B10" s="70">
        <v>7</v>
      </c>
      <c r="C10" s="17">
        <v>27</v>
      </c>
      <c r="D10" s="71" t="s">
        <v>110</v>
      </c>
      <c r="E10" s="71" t="s">
        <v>111</v>
      </c>
      <c r="F10" s="1">
        <f>VLOOKUP(Tablo1[[#This Row],[Student No]],[1]!Tablo17[[STUDENT ID]:[TOTAL GRADE]],11,FALSE)</f>
        <v>24</v>
      </c>
      <c r="G10" s="1">
        <f>VLOOKUP(Tablo1[[#This Row],[Student No]],Tablo1738[[STUDENT ID]:[TOTAL GRADE]],11,FALSE)</f>
        <v>24</v>
      </c>
      <c r="H10" s="72">
        <f>VLOOKUP(Tablo1[[#This Row],[Student No]],Tablo3[[Student No]:[TOTAL]],9,FALSE)</f>
        <v>4</v>
      </c>
      <c r="I10" s="72">
        <f>VLOOKUP(Tablo1[[#This Row],[Student No]],Tablo314[[Student No]:[TOTAL]],18,FALSE)</f>
        <v>55</v>
      </c>
      <c r="J10" s="73">
        <v>0</v>
      </c>
      <c r="K10" s="51">
        <f>(F10*$P$22%*100/$Q$22+G10*$P$23%*100/$Q$23+H10*$P$20%*100/$Q$20+I10*$P$21%*100/$Q$21)+Tablo1[[#This Row],[BONUS]]</f>
        <v>28.2</v>
      </c>
      <c r="L10" s="1" t="str" cm="1">
        <f t="array" ref="L10">_xlfn.IFS(AND(K10&gt;=$P$7,K10&lt;$Q$7),"AA",AND(K10&gt;=$P$8,K10&lt;$Q$8),"AB",AND(K10&gt;=$P$9,K10&lt;$Q$9),"BB",AND(K10&gt;=$P$10,K10&lt;$Q$10),"CB",AND(K10&gt;=$P$11,K10&lt;$Q$11),"CC",AND(K10&gt;=$P$12,K10&lt;$Q$12),"DC",AND(K10&gt;=$P$13,K10&lt;$Q$13),"DD",AND(K10&gt;=$P$14,K10&lt;$Q$14),"FD",AND(K10&gt;=$P$15,K10&lt;$Q$15),"FF")</f>
        <v>FF</v>
      </c>
      <c r="M10" s="1">
        <f t="shared" si="0"/>
        <v>2.3356865475674778E-2</v>
      </c>
      <c r="O10" s="5" t="s">
        <v>41</v>
      </c>
      <c r="P10" s="16">
        <v>75</v>
      </c>
      <c r="Q10" s="16">
        <v>80</v>
      </c>
    </row>
    <row r="11" spans="1:25" ht="15" x14ac:dyDescent="0.3">
      <c r="B11" s="74">
        <v>8</v>
      </c>
      <c r="C11" s="17">
        <v>26</v>
      </c>
      <c r="D11" s="71" t="s">
        <v>110</v>
      </c>
      <c r="E11" s="71" t="s">
        <v>111</v>
      </c>
      <c r="F11" s="1">
        <f>VLOOKUP(Tablo1[[#This Row],[Student No]],[1]!Tablo17[[STUDENT ID]:[TOTAL GRADE]],11,FALSE)</f>
        <v>25</v>
      </c>
      <c r="G11" s="1">
        <f>VLOOKUP(Tablo1[[#This Row],[Student No]],Tablo1738[[STUDENT ID]:[TOTAL GRADE]],11,FALSE)</f>
        <v>25</v>
      </c>
      <c r="H11" s="72">
        <f>VLOOKUP(Tablo1[[#This Row],[Student No]],Tablo3[[Student No]:[TOTAL]],9,FALSE)</f>
        <v>5.2</v>
      </c>
      <c r="I11" s="72">
        <f>VLOOKUP(Tablo1[[#This Row],[Student No]],Tablo314[[Student No]:[TOTAL]],18,FALSE)</f>
        <v>59</v>
      </c>
      <c r="J11" s="73">
        <v>0</v>
      </c>
      <c r="K11" s="51">
        <f>(F11*$P$22%*100/$Q$22+G11*$P$23%*100/$Q$23+H11*$P$20%*100/$Q$20+I11*$P$21%*100/$Q$21)+Tablo1[[#This Row],[BONUS]]</f>
        <v>29.82</v>
      </c>
      <c r="L11" s="1" t="str" cm="1">
        <f t="array" ref="L11">_xlfn.IFS(AND(K11&gt;=$P$7,K11&lt;$Q$7),"AA",AND(K11&gt;=$P$8,K11&lt;$Q$8),"AB",AND(K11&gt;=$P$9,K11&lt;$Q$9),"BB",AND(K11&gt;=$P$10,K11&lt;$Q$10),"CB",AND(K11&gt;=$P$11,K11&lt;$Q$11),"CC",AND(K11&gt;=$P$12,K11&lt;$Q$12),"DC",AND(K11&gt;=$P$13,K11&lt;$Q$13),"DD",AND(K11&gt;=$P$14,K11&lt;$Q$14),"FD",AND(K11&gt;=$P$15,K11&lt;$Q$15),"FF")</f>
        <v>FF</v>
      </c>
      <c r="M11" s="1">
        <f t="shared" si="0"/>
        <v>2.5161640685374652E-2</v>
      </c>
      <c r="O11" s="5" t="s">
        <v>42</v>
      </c>
      <c r="P11" s="16">
        <v>70</v>
      </c>
      <c r="Q11" s="16">
        <v>75</v>
      </c>
    </row>
    <row r="12" spans="1:25" ht="15" x14ac:dyDescent="0.3">
      <c r="B12" s="70">
        <v>9</v>
      </c>
      <c r="C12" s="17">
        <v>25</v>
      </c>
      <c r="D12" s="71" t="s">
        <v>110</v>
      </c>
      <c r="E12" s="71" t="s">
        <v>111</v>
      </c>
      <c r="F12" s="1">
        <f>VLOOKUP(Tablo1[[#This Row],[Student No]],[1]!Tablo17[[STUDENT ID]:[TOTAL GRADE]],11,FALSE)</f>
        <v>28</v>
      </c>
      <c r="G12" s="1">
        <f>VLOOKUP(Tablo1[[#This Row],[Student No]],Tablo1738[[STUDENT ID]:[TOTAL GRADE]],11,FALSE)</f>
        <v>28</v>
      </c>
      <c r="H12" s="72">
        <f>VLOOKUP(Tablo1[[#This Row],[Student No]],Tablo3[[Student No]:[TOTAL]],9,FALSE)</f>
        <v>2.2000000000000002</v>
      </c>
      <c r="I12" s="72">
        <f>VLOOKUP(Tablo1[[#This Row],[Student No]],Tablo314[[Student No]:[TOTAL]],18,FALSE)</f>
        <v>56</v>
      </c>
      <c r="J12" s="73">
        <v>0</v>
      </c>
      <c r="K12" s="51">
        <f>(F12*$P$22%*100/$Q$22+G12*$P$23%*100/$Q$23+H12*$P$20%*100/$Q$20+I12*$P$21%*100/$Q$21)+Tablo1[[#This Row],[BONUS]]</f>
        <v>31.02</v>
      </c>
      <c r="L12" s="1" t="str" cm="1">
        <f t="array" ref="L12">_xlfn.IFS(AND(K12&gt;=$P$7,K12&lt;$Q$7),"AA",AND(K12&gt;=$P$8,K12&lt;$Q$8),"AB",AND(K12&gt;=$P$9,K12&lt;$Q$9),"BB",AND(K12&gt;=$P$10,K12&lt;$Q$10),"CB",AND(K12&gt;=$P$11,K12&lt;$Q$11),"CC",AND(K12&gt;=$P$12,K12&lt;$Q$12),"DC",AND(K12&gt;=$P$13,K12&lt;$Q$13),"DD",AND(K12&gt;=$P$14,K12&lt;$Q$14),"FD",AND(K12&gt;=$P$15,K12&lt;$Q$15),"FF")</f>
        <v>FF</v>
      </c>
      <c r="M12" s="1">
        <f t="shared" si="0"/>
        <v>2.6343500813529274E-2</v>
      </c>
      <c r="O12" s="5" t="s">
        <v>43</v>
      </c>
      <c r="P12" s="16">
        <v>65</v>
      </c>
      <c r="Q12" s="16">
        <v>70</v>
      </c>
    </row>
    <row r="13" spans="1:25" ht="15" x14ac:dyDescent="0.3">
      <c r="B13" s="74">
        <v>10</v>
      </c>
      <c r="C13" s="17">
        <v>22</v>
      </c>
      <c r="D13" s="71" t="s">
        <v>110</v>
      </c>
      <c r="E13" s="71" t="s">
        <v>111</v>
      </c>
      <c r="F13" s="1">
        <f>VLOOKUP(Tablo1[[#This Row],[Student No]],[1]!Tablo17[[STUDENT ID]:[TOTAL GRADE]],11,FALSE)</f>
        <v>36</v>
      </c>
      <c r="G13" s="1">
        <f>VLOOKUP(Tablo1[[#This Row],[Student No]],Tablo1738[[STUDENT ID]:[TOTAL GRADE]],11,FALSE)</f>
        <v>36</v>
      </c>
      <c r="H13" s="72">
        <f>VLOOKUP(Tablo1[[#This Row],[Student No]],Tablo3[[Student No]:[TOTAL]],9,FALSE)</f>
        <v>4.4000000000000004</v>
      </c>
      <c r="I13" s="72">
        <f>VLOOKUP(Tablo1[[#This Row],[Student No]],Tablo314[[Student No]:[TOTAL]],18,FALSE)</f>
        <v>42</v>
      </c>
      <c r="J13" s="73">
        <v>0</v>
      </c>
      <c r="K13" s="51">
        <f>(F13*$P$22%*100/$Q$22+G13*$P$23%*100/$Q$23+H13*$P$20%*100/$Q$20+I13*$P$21%*100/$Q$21)+Tablo1[[#This Row],[BONUS]]</f>
        <v>34.040000000000006</v>
      </c>
      <c r="L13" s="1" t="str" cm="1">
        <f t="array" ref="L13">_xlfn.IFS(AND(K13&gt;=$P$7,K13&lt;$Q$7),"AA",AND(K13&gt;=$P$8,K13&lt;$Q$8),"AB",AND(K13&gt;=$P$9,K13&lt;$Q$9),"BB",AND(K13&gt;=$P$10,K13&lt;$Q$10),"CB",AND(K13&gt;=$P$11,K13&lt;$Q$11),"CC",AND(K13&gt;=$P$12,K13&lt;$Q$12),"DC",AND(K13&gt;=$P$13,K13&lt;$Q$13),"DD",AND(K13&gt;=$P$14,K13&lt;$Q$14),"FD",AND(K13&gt;=$P$15,K13&lt;$Q$15),"FF")</f>
        <v>FF</v>
      </c>
      <c r="M13" s="1">
        <f t="shared" si="0"/>
        <v>2.855894170296823E-2</v>
      </c>
      <c r="O13" s="5" t="s">
        <v>44</v>
      </c>
      <c r="P13" s="16">
        <v>60</v>
      </c>
      <c r="Q13" s="16">
        <v>65</v>
      </c>
    </row>
    <row r="14" spans="1:25" ht="15" x14ac:dyDescent="0.3">
      <c r="B14" s="70">
        <v>11</v>
      </c>
      <c r="C14" s="17">
        <v>24</v>
      </c>
      <c r="D14" s="71" t="s">
        <v>110</v>
      </c>
      <c r="E14" s="71" t="s">
        <v>111</v>
      </c>
      <c r="F14" s="1">
        <f>VLOOKUP(Tablo1[[#This Row],[Student No]],[1]!Tablo17[[STUDENT ID]:[TOTAL GRADE]],11,FALSE)</f>
        <v>35</v>
      </c>
      <c r="G14" s="1">
        <f>VLOOKUP(Tablo1[[#This Row],[Student No]],Tablo1738[[STUDENT ID]:[TOTAL GRADE]],11,FALSE)</f>
        <v>35</v>
      </c>
      <c r="H14" s="72">
        <f>VLOOKUP(Tablo1[[#This Row],[Student No]],Tablo3[[Student No]:[TOTAL]],9,FALSE)</f>
        <v>5.6</v>
      </c>
      <c r="I14" s="72">
        <f>VLOOKUP(Tablo1[[#This Row],[Student No]],Tablo314[[Student No]:[TOTAL]],18,FALSE)</f>
        <v>57</v>
      </c>
      <c r="J14" s="73">
        <v>0</v>
      </c>
      <c r="K14" s="51">
        <f>(F14*$P$22%*100/$Q$22+G14*$P$23%*100/$Q$23+H14*$P$20%*100/$Q$20+I14*$P$21%*100/$Q$21)+Tablo1[[#This Row],[BONUS]]</f>
        <v>36.46</v>
      </c>
      <c r="L14" s="1" t="str" cm="1">
        <f t="array" ref="L14">_xlfn.IFS(AND(K14&gt;=$P$7,K14&lt;$Q$7),"AA",AND(K14&gt;=$P$8,K14&lt;$Q$8),"AB",AND(K14&gt;=$P$9,K14&lt;$Q$9),"BB",AND(K14&gt;=$P$10,K14&lt;$Q$10),"CB",AND(K14&gt;=$P$11,K14&lt;$Q$11),"CC",AND(K14&gt;=$P$12,K14&lt;$Q$12),"DC",AND(K14&gt;=$P$13,K14&lt;$Q$13),"DD",AND(K14&gt;=$P$14,K14&lt;$Q$14),"FD",AND(K14&gt;=$P$15,K14&lt;$Q$15),"FF")</f>
        <v>FF</v>
      </c>
      <c r="M14" s="1">
        <f t="shared" si="0"/>
        <v>2.9393100692773337E-2</v>
      </c>
      <c r="O14" s="5" t="s">
        <v>46</v>
      </c>
      <c r="P14" s="16">
        <v>50</v>
      </c>
      <c r="Q14" s="16">
        <v>60</v>
      </c>
    </row>
    <row r="15" spans="1:25" ht="15" x14ac:dyDescent="0.3">
      <c r="B15" s="74">
        <v>12</v>
      </c>
      <c r="C15" s="17">
        <v>17</v>
      </c>
      <c r="D15" s="71" t="s">
        <v>110</v>
      </c>
      <c r="E15" s="71" t="s">
        <v>111</v>
      </c>
      <c r="F15" s="1">
        <f>VLOOKUP(Tablo1[[#This Row],[Student No]],[1]!Tablo17[[STUDENT ID]:[TOTAL GRADE]],11,FALSE)</f>
        <v>42</v>
      </c>
      <c r="G15" s="1">
        <f>VLOOKUP(Tablo1[[#This Row],[Student No]],Tablo1738[[STUDENT ID]:[TOTAL GRADE]],11,FALSE)</f>
        <v>42</v>
      </c>
      <c r="H15" s="72">
        <f>VLOOKUP(Tablo1[[#This Row],[Student No]],Tablo3[[Student No]:[TOTAL]],9,FALSE)</f>
        <v>5</v>
      </c>
      <c r="I15" s="72">
        <f>VLOOKUP(Tablo1[[#This Row],[Student No]],Tablo314[[Student No]:[TOTAL]],18,FALSE)</f>
        <v>33</v>
      </c>
      <c r="J15" s="73">
        <v>0</v>
      </c>
      <c r="K15" s="51">
        <f>(F15*$P$22%*100/$Q$22+G15*$P$23%*100/$Q$23+H15*$P$20%*100/$Q$20+I15*$P$21%*100/$Q$21)+Tablo1[[#This Row],[BONUS]]</f>
        <v>36.5</v>
      </c>
      <c r="L15" s="1" t="str" cm="1">
        <f t="array" ref="L15">_xlfn.IFS(AND(K15&gt;=$P$7,K15&lt;$Q$7),"AA",AND(K15&gt;=$P$8,K15&lt;$Q$8),"AB",AND(K15&gt;=$P$9,K15&lt;$Q$9),"BB",AND(K15&gt;=$P$10,K15&lt;$Q$10),"CB",AND(K15&gt;=$P$11,K15&lt;$Q$11),"CC",AND(K15&gt;=$P$12,K15&lt;$Q$12),"DC",AND(K15&gt;=$P$13,K15&lt;$Q$13),"DD",AND(K15&gt;=$P$14,K15&lt;$Q$14),"FD",AND(K15&gt;=$P$15,K15&lt;$Q$15),"FF")</f>
        <v>FF</v>
      </c>
      <c r="M15" s="1">
        <f t="shared" si="0"/>
        <v>2.9399197861535199E-2</v>
      </c>
      <c r="O15" s="5" t="s">
        <v>47</v>
      </c>
      <c r="P15" s="16">
        <v>0</v>
      </c>
      <c r="Q15" s="16">
        <v>50</v>
      </c>
    </row>
    <row r="16" spans="1:25" ht="15" x14ac:dyDescent="0.3">
      <c r="B16" s="70">
        <v>13</v>
      </c>
      <c r="C16" s="17">
        <v>21</v>
      </c>
      <c r="D16" s="71" t="s">
        <v>110</v>
      </c>
      <c r="E16" s="71" t="s">
        <v>111</v>
      </c>
      <c r="F16" s="1">
        <f>VLOOKUP(Tablo1[[#This Row],[Student No]],[1]!Tablo17[[STUDENT ID]:[TOTAL GRADE]],11,FALSE)</f>
        <v>37</v>
      </c>
      <c r="G16" s="1">
        <f>VLOOKUP(Tablo1[[#This Row],[Student No]],Tablo1738[[STUDENT ID]:[TOTAL GRADE]],11,FALSE)</f>
        <v>37</v>
      </c>
      <c r="H16" s="72">
        <f>VLOOKUP(Tablo1[[#This Row],[Student No]],Tablo3[[Student No]:[TOTAL]],9,FALSE)</f>
        <v>6</v>
      </c>
      <c r="I16" s="72">
        <f>VLOOKUP(Tablo1[[#This Row],[Student No]],Tablo314[[Student No]:[TOTAL]],18,FALSE)</f>
        <v>53</v>
      </c>
      <c r="J16" s="73">
        <v>0</v>
      </c>
      <c r="K16" s="51">
        <f>(F16*$P$22%*100/$Q$22+G16*$P$23%*100/$Q$23+H16*$P$20%*100/$Q$20+I16*$P$21%*100/$Q$21)+Tablo1[[#This Row],[BONUS]]</f>
        <v>37.1</v>
      </c>
      <c r="L16" s="1" t="str" cm="1">
        <f t="array" ref="L16">_xlfn.IFS(AND(K16&gt;=$P$7,K16&lt;$Q$7),"AA",AND(K16&gt;=$P$8,K16&lt;$Q$8),"AB",AND(K16&gt;=$P$9,K16&lt;$Q$9),"BB",AND(K16&gt;=$P$10,K16&lt;$Q$10),"CB",AND(K16&gt;=$P$11,K16&lt;$Q$11),"CC",AND(K16&gt;=$P$12,K16&lt;$Q$12),"DC",AND(K16&gt;=$P$13,K16&lt;$Q$13),"DD",AND(K16&gt;=$P$14,K16&lt;$Q$14),"FD",AND(K16&gt;=$P$15,K16&lt;$Q$15),"FF")</f>
        <v>FF</v>
      </c>
      <c r="M16" s="1">
        <f t="shared" si="0"/>
        <v>2.9459928382259248E-2</v>
      </c>
      <c r="O16" s="5" t="s">
        <v>49</v>
      </c>
      <c r="P16" s="1" t="s">
        <v>50</v>
      </c>
      <c r="Q16" s="1" t="s">
        <v>50</v>
      </c>
    </row>
    <row r="17" spans="2:26" ht="15" x14ac:dyDescent="0.3">
      <c r="B17" s="74">
        <v>14</v>
      </c>
      <c r="C17" s="17">
        <v>20</v>
      </c>
      <c r="D17" s="71" t="s">
        <v>110</v>
      </c>
      <c r="E17" s="71" t="s">
        <v>111</v>
      </c>
      <c r="F17" s="1">
        <f>VLOOKUP(Tablo1[[#This Row],[Student No]],[1]!Tablo17[[STUDENT ID]:[TOTAL GRADE]],11,FALSE)</f>
        <v>40</v>
      </c>
      <c r="G17" s="1">
        <f>VLOOKUP(Tablo1[[#This Row],[Student No]],Tablo1738[[STUDENT ID]:[TOTAL GRADE]],11,FALSE)</f>
        <v>40</v>
      </c>
      <c r="H17" s="72">
        <f>VLOOKUP(Tablo1[[#This Row],[Student No]],Tablo3[[Student No]:[TOTAL]],9,FALSE)</f>
        <v>2</v>
      </c>
      <c r="I17" s="72">
        <f>VLOOKUP(Tablo1[[#This Row],[Student No]],Tablo314[[Student No]:[TOTAL]],18,FALSE)</f>
        <v>56</v>
      </c>
      <c r="J17" s="73">
        <v>0</v>
      </c>
      <c r="K17" s="51">
        <f>(F17*$P$22%*100/$Q$22+G17*$P$23%*100/$Q$23+H17*$P$20%*100/$Q$20+I17*$P$21%*100/$Q$21)+Tablo1[[#This Row],[BONUS]]</f>
        <v>39.4</v>
      </c>
      <c r="L17" s="1" t="str" cm="1">
        <f t="array" ref="L17">_xlfn.IFS(AND(K17&gt;=$P$7,K17&lt;$Q$7),"AA",AND(K17&gt;=$P$8,K17&lt;$Q$8),"AB",AND(K17&gt;=$P$9,K17&lt;$Q$9),"BB",AND(K17&gt;=$P$10,K17&lt;$Q$10),"CB",AND(K17&gt;=$P$11,K17&lt;$Q$11),"CC",AND(K17&gt;=$P$12,K17&lt;$Q$12),"DC",AND(K17&gt;=$P$13,K17&lt;$Q$13),"DD",AND(K17&gt;=$P$14,K17&lt;$Q$14),"FD",AND(K17&gt;=$P$15,K17&lt;$Q$15),"FF")</f>
        <v>FF</v>
      </c>
      <c r="M17" s="1">
        <f t="shared" si="0"/>
        <v>2.9158442590746642E-2</v>
      </c>
    </row>
    <row r="18" spans="2:26" ht="15" x14ac:dyDescent="0.3">
      <c r="B18" s="70">
        <v>15</v>
      </c>
      <c r="C18" s="17">
        <v>18</v>
      </c>
      <c r="D18" s="71" t="s">
        <v>110</v>
      </c>
      <c r="E18" s="71" t="s">
        <v>111</v>
      </c>
      <c r="F18" s="1">
        <f>VLOOKUP(Tablo1[[#This Row],[Student No]],[1]!Tablo17[[STUDENT ID]:[TOTAL GRADE]],11,FALSE)</f>
        <v>42</v>
      </c>
      <c r="G18" s="1">
        <f>VLOOKUP(Tablo1[[#This Row],[Student No]],Tablo1738[[STUDENT ID]:[TOTAL GRADE]],11,FALSE)</f>
        <v>42</v>
      </c>
      <c r="H18" s="72">
        <f>VLOOKUP(Tablo1[[#This Row],[Student No]],Tablo3[[Student No]:[TOTAL]],9,FALSE)</f>
        <v>2.8</v>
      </c>
      <c r="I18" s="72">
        <f>VLOOKUP(Tablo1[[#This Row],[Student No]],Tablo314[[Student No]:[TOTAL]],18,FALSE)</f>
        <v>49</v>
      </c>
      <c r="J18" s="73">
        <v>0</v>
      </c>
      <c r="K18" s="51">
        <f>(F18*$P$22%*100/$Q$22+G18*$P$23%*100/$Q$23+H18*$P$20%*100/$Q$20+I18*$P$21%*100/$Q$21)+Tablo1[[#This Row],[BONUS]]</f>
        <v>39.480000000000004</v>
      </c>
      <c r="L18" s="1" t="str" cm="1">
        <f t="array" ref="L18">_xlfn.IFS(AND(K18&gt;=$P$7,K18&lt;$Q$7),"AA",AND(K18&gt;=$P$8,K18&lt;$Q$8),"AB",AND(K18&gt;=$P$9,K18&lt;$Q$9),"BB",AND(K18&gt;=$P$10,K18&lt;$Q$10),"CB",AND(K18&gt;=$P$11,K18&lt;$Q$11),"CC",AND(K18&gt;=$P$12,K18&lt;$Q$12),"DC",AND(K18&gt;=$P$13,K18&lt;$Q$13),"DD",AND(K18&gt;=$P$14,K18&lt;$Q$14),"FD",AND(K18&gt;=$P$15,K18&lt;$Q$15),"FF")</f>
        <v>FF</v>
      </c>
      <c r="M18" s="1">
        <f t="shared" si="0"/>
        <v>2.9132875007177667E-2</v>
      </c>
      <c r="O18" s="21" t="s">
        <v>51</v>
      </c>
      <c r="P18" s="22"/>
      <c r="Q18" s="23"/>
    </row>
    <row r="19" spans="2:26" ht="15.6" thickBot="1" x14ac:dyDescent="0.35">
      <c r="B19" s="74">
        <v>16</v>
      </c>
      <c r="C19" s="17">
        <v>23</v>
      </c>
      <c r="D19" s="71" t="s">
        <v>110</v>
      </c>
      <c r="E19" s="71" t="s">
        <v>111</v>
      </c>
      <c r="F19" s="1">
        <f>VLOOKUP(Tablo1[[#This Row],[Student No]],[1]!Tablo17[[STUDENT ID]:[TOTAL GRADE]],11,FALSE)</f>
        <v>36</v>
      </c>
      <c r="G19" s="1">
        <f>VLOOKUP(Tablo1[[#This Row],[Student No]],Tablo1738[[STUDENT ID]:[TOTAL GRADE]],11,FALSE)</f>
        <v>36</v>
      </c>
      <c r="H19" s="72">
        <f>VLOOKUP(Tablo1[[#This Row],[Student No]],Tablo3[[Student No]:[TOTAL]],9,FALSE)</f>
        <v>6.2</v>
      </c>
      <c r="I19" s="72">
        <f>VLOOKUP(Tablo1[[#This Row],[Student No]],Tablo314[[Student No]:[TOTAL]],18,FALSE)</f>
        <v>69</v>
      </c>
      <c r="J19" s="73">
        <v>0</v>
      </c>
      <c r="K19" s="51">
        <f>(F19*$P$22%*100/$Q$22+G19*$P$23%*100/$Q$23+H19*$P$20%*100/$Q$20+I19*$P$21%*100/$Q$21)+Tablo1[[#This Row],[BONUS]]</f>
        <v>39.620000000000005</v>
      </c>
      <c r="L19" s="1" t="str" cm="1">
        <f t="array" ref="L19">_xlfn.IFS(AND(K19&gt;=$P$7,K19&lt;$Q$7),"AA",AND(K19&gt;=$P$8,K19&lt;$Q$8),"AB",AND(K19&gt;=$P$9,K19&lt;$Q$9),"BB",AND(K19&gt;=$P$10,K19&lt;$Q$10),"CB",AND(K19&gt;=$P$11,K19&lt;$Q$11),"CC",AND(K19&gt;=$P$12,K19&lt;$Q$12),"DC",AND(K19&gt;=$P$13,K19&lt;$Q$13),"DD",AND(K19&gt;=$P$14,K19&lt;$Q$14),"FD",AND(K19&gt;=$P$15,K19&lt;$Q$15),"FF")</f>
        <v>FF</v>
      </c>
      <c r="M19" s="1">
        <f t="shared" si="0"/>
        <v>2.908574155866496E-2</v>
      </c>
      <c r="O19" s="5" t="s">
        <v>52</v>
      </c>
      <c r="P19" s="5" t="s">
        <v>53</v>
      </c>
      <c r="Q19" s="6" t="s">
        <v>54</v>
      </c>
    </row>
    <row r="20" spans="2:26" ht="16.2" thickTop="1" thickBot="1" x14ac:dyDescent="0.35">
      <c r="B20" s="70">
        <v>17</v>
      </c>
      <c r="C20" s="17">
        <v>12</v>
      </c>
      <c r="D20" s="71" t="s">
        <v>110</v>
      </c>
      <c r="E20" s="71" t="s">
        <v>111</v>
      </c>
      <c r="F20" s="1">
        <f>VLOOKUP(Tablo1[[#This Row],[Student No]],[1]!Tablo17[[STUDENT ID]:[TOTAL GRADE]],11,FALSE)</f>
        <v>48</v>
      </c>
      <c r="G20" s="1">
        <f>VLOOKUP(Tablo1[[#This Row],[Student No]],Tablo1738[[STUDENT ID]:[TOTAL GRADE]],11,FALSE)</f>
        <v>48</v>
      </c>
      <c r="H20" s="72">
        <f>VLOOKUP(Tablo1[[#This Row],[Student No]],Tablo3[[Student No]:[TOTAL]],9,FALSE)</f>
        <v>5</v>
      </c>
      <c r="I20" s="72">
        <f>VLOOKUP(Tablo1[[#This Row],[Student No]],Tablo314[[Student No]:[TOTAL]],18,FALSE)</f>
        <v>36</v>
      </c>
      <c r="J20" s="73">
        <v>0</v>
      </c>
      <c r="K20" s="51">
        <f>(F20*$P$22%*100/$Q$22+G20*$P$23%*100/$Q$23+H20*$P$20%*100/$Q$20+I20*$P$21%*100/$Q$21)+Tablo1[[#This Row],[BONUS]]</f>
        <v>41.300000000000004</v>
      </c>
      <c r="L20" s="1" t="str" cm="1">
        <f t="array" ref="L20">_xlfn.IFS(AND(K20&gt;=$P$7,K20&lt;$Q$7),"AA",AND(K20&gt;=$P$8,K20&lt;$Q$8),"AB",AND(K20&gt;=$P$9,K20&lt;$Q$9),"BB",AND(K20&gt;=$P$10,K20&lt;$Q$10),"CB",AND(K20&gt;=$P$11,K20&lt;$Q$11),"CC",AND(K20&gt;=$P$12,K20&lt;$Q$12),"DC",AND(K20&gt;=$P$13,K20&lt;$Q$13),"DD",AND(K20&gt;=$P$14,K20&lt;$Q$14),"FD",AND(K20&gt;=$P$15,K20&lt;$Q$15),"FF")</f>
        <v>FF</v>
      </c>
      <c r="M20" s="1">
        <f t="shared" si="0"/>
        <v>2.8289088090760511E-2</v>
      </c>
      <c r="O20" s="5" t="s">
        <v>55</v>
      </c>
      <c r="P20" s="17">
        <v>10</v>
      </c>
      <c r="Q20" s="24" cm="1">
        <f t="array" ref="Q20">Tablo11[TOTAL]</f>
        <v>100</v>
      </c>
    </row>
    <row r="21" spans="2:26" ht="16.2" thickTop="1" thickBot="1" x14ac:dyDescent="0.35">
      <c r="B21" s="74">
        <v>18</v>
      </c>
      <c r="C21" s="17">
        <v>19</v>
      </c>
      <c r="D21" s="71" t="s">
        <v>110</v>
      </c>
      <c r="E21" s="71" t="s">
        <v>111</v>
      </c>
      <c r="F21" s="1">
        <f>VLOOKUP(Tablo1[[#This Row],[Student No]],[1]!Tablo17[[STUDENT ID]:[TOTAL GRADE]],11,FALSE)</f>
        <v>40</v>
      </c>
      <c r="G21" s="1">
        <f>VLOOKUP(Tablo1[[#This Row],[Student No]],Tablo1738[[STUDENT ID]:[TOTAL GRADE]],11,FALSE)</f>
        <v>40</v>
      </c>
      <c r="H21" s="72">
        <f>VLOOKUP(Tablo1[[#This Row],[Student No]],Tablo3[[Student No]:[TOTAL]],9,FALSE)</f>
        <v>5</v>
      </c>
      <c r="I21" s="72">
        <f>VLOOKUP(Tablo1[[#This Row],[Student No]],Tablo314[[Student No]:[TOTAL]],18,FALSE)</f>
        <v>66</v>
      </c>
      <c r="J21" s="73">
        <v>0</v>
      </c>
      <c r="K21" s="51">
        <f>(F21*$P$22%*100/$Q$22+G21*$P$23%*100/$Q$23+H21*$P$20%*100/$Q$20+I21*$P$21%*100/$Q$21)+Tablo1[[#This Row],[BONUS]]</f>
        <v>41.7</v>
      </c>
      <c r="L21" s="1" t="str" cm="1">
        <f t="array" ref="L21">_xlfn.IFS(AND(K21&gt;=$P$7,K21&lt;$Q$7),"AA",AND(K21&gt;=$P$8,K21&lt;$Q$8),"AB",AND(K21&gt;=$P$9,K21&lt;$Q$9),"BB",AND(K21&gt;=$P$10,K21&lt;$Q$10),"CB",AND(K21&gt;=$P$11,K21&lt;$Q$11),"CC",AND(K21&gt;=$P$12,K21&lt;$Q$12),"DC",AND(K21&gt;=$P$13,K21&lt;$Q$13),"DD",AND(K21&gt;=$P$14,K21&lt;$Q$14),"FD",AND(K21&gt;=$P$15,K21&lt;$Q$15),"FF")</f>
        <v>FF</v>
      </c>
      <c r="M21" s="1">
        <f t="shared" si="0"/>
        <v>2.8038931309781329E-2</v>
      </c>
      <c r="O21" s="5" t="s">
        <v>56</v>
      </c>
      <c r="P21" s="17">
        <v>20</v>
      </c>
      <c r="Q21" s="24" cm="1">
        <f t="array" ref="Q21">Tablo27[TOPLAM]</f>
        <v>100</v>
      </c>
    </row>
    <row r="22" spans="2:26" ht="16.2" thickTop="1" thickBot="1" x14ac:dyDescent="0.35">
      <c r="B22" s="70">
        <v>19</v>
      </c>
      <c r="C22" s="17">
        <v>16</v>
      </c>
      <c r="D22" s="71" t="s">
        <v>110</v>
      </c>
      <c r="E22" s="71" t="s">
        <v>111</v>
      </c>
      <c r="F22" s="1">
        <f>VLOOKUP(Tablo1[[#This Row],[Student No]],[1]!Tablo17[[STUDENT ID]:[TOTAL GRADE]],11,FALSE)</f>
        <v>43</v>
      </c>
      <c r="G22" s="1">
        <f>VLOOKUP(Tablo1[[#This Row],[Student No]],Tablo1738[[STUDENT ID]:[TOTAL GRADE]],11,FALSE)</f>
        <v>43</v>
      </c>
      <c r="H22" s="72">
        <f>VLOOKUP(Tablo1[[#This Row],[Student No]],Tablo3[[Student No]:[TOTAL]],9,FALSE)</f>
        <v>10</v>
      </c>
      <c r="I22" s="72">
        <f>VLOOKUP(Tablo1[[#This Row],[Student No]],Tablo314[[Student No]:[TOTAL]],18,FALSE)</f>
        <v>56</v>
      </c>
      <c r="J22" s="73">
        <v>0</v>
      </c>
      <c r="K22" s="51">
        <f>(F22*$P$22%*100/$Q$22+G22*$P$23%*100/$Q$23+H22*$P$20%*100/$Q$20+I22*$P$21%*100/$Q$21)+Tablo1[[#This Row],[BONUS]]</f>
        <v>42.3</v>
      </c>
      <c r="L22" s="1" t="str" cm="1">
        <f t="array" ref="L22">_xlfn.IFS(AND(K22&gt;=$P$7,K22&lt;$Q$7),"AA",AND(K22&gt;=$P$8,K22&lt;$Q$8),"AB",AND(K22&gt;=$P$9,K22&lt;$Q$9),"BB",AND(K22&gt;=$P$10,K22&lt;$Q$10),"CB",AND(K22&gt;=$P$11,K22&lt;$Q$11),"CC",AND(K22&gt;=$P$12,K22&lt;$Q$12),"DC",AND(K22&gt;=$P$13,K22&lt;$Q$13),"DD",AND(K22&gt;=$P$14,K22&lt;$Q$14),"FD",AND(K22&gt;=$P$15,K22&lt;$Q$15),"FF")</f>
        <v>FF</v>
      </c>
      <c r="M22" s="1">
        <f t="shared" si="0"/>
        <v>2.7622585181342061E-2</v>
      </c>
      <c r="O22" s="5" t="s">
        <v>1</v>
      </c>
      <c r="P22" s="17">
        <v>30</v>
      </c>
      <c r="Q22" s="24" cm="1">
        <f t="array" ref="Q22">[1]!Tablo19[TOTAL]</f>
        <v>100</v>
      </c>
    </row>
    <row r="23" spans="2:26" ht="16.2" thickTop="1" thickBot="1" x14ac:dyDescent="0.35">
      <c r="B23" s="74">
        <v>20</v>
      </c>
      <c r="C23" s="17">
        <v>15</v>
      </c>
      <c r="D23" s="71" t="s">
        <v>110</v>
      </c>
      <c r="E23" s="71" t="s">
        <v>111</v>
      </c>
      <c r="F23" s="1">
        <f>VLOOKUP(Tablo1[[#This Row],[Student No]],[1]!Tablo17[[STUDENT ID]:[TOTAL GRADE]],11,FALSE)</f>
        <v>44</v>
      </c>
      <c r="G23" s="1">
        <f>VLOOKUP(Tablo1[[#This Row],[Student No]],Tablo1738[[STUDENT ID]:[TOTAL GRADE]],11,FALSE)</f>
        <v>44</v>
      </c>
      <c r="H23" s="72">
        <f>VLOOKUP(Tablo1[[#This Row],[Student No]],Tablo3[[Student No]:[TOTAL]],9,FALSE)</f>
        <v>6.7</v>
      </c>
      <c r="I23" s="72">
        <f>VLOOKUP(Tablo1[[#This Row],[Student No]],Tablo314[[Student No]:[TOTAL]],18,FALSE)</f>
        <v>62</v>
      </c>
      <c r="J23" s="73">
        <v>0</v>
      </c>
      <c r="K23" s="51">
        <f>(F23*$P$22%*100/$Q$22+G23*$P$23%*100/$Q$23+H23*$P$20%*100/$Q$20+I23*$P$21%*100/$Q$21)+Tablo1[[#This Row],[BONUS]]</f>
        <v>43.870000000000005</v>
      </c>
      <c r="L23" s="1" t="str" cm="1">
        <f t="array" ref="L23">_xlfn.IFS(AND(K23&gt;=$P$7,K23&lt;$Q$7),"AA",AND(K23&gt;=$P$8,K23&lt;$Q$8),"AB",AND(K23&gt;=$P$9,K23&lt;$Q$9),"BB",AND(K23&gt;=$P$10,K23&lt;$Q$10),"CB",AND(K23&gt;=$P$11,K23&lt;$Q$11),"CC",AND(K23&gt;=$P$12,K23&lt;$Q$12),"DC",AND(K23&gt;=$P$13,K23&lt;$Q$13),"DD",AND(K23&gt;=$P$14,K23&lt;$Q$14),"FD",AND(K23&gt;=$P$15,K23&lt;$Q$15),"FF")</f>
        <v>FF</v>
      </c>
      <c r="M23" s="1">
        <f t="shared" si="0"/>
        <v>2.631642468448479E-2</v>
      </c>
      <c r="O23" s="5" t="s">
        <v>58</v>
      </c>
      <c r="P23" s="17">
        <v>40</v>
      </c>
      <c r="Q23" s="24" cm="1">
        <f t="array" ref="Q23">Tablo1939[TOTAL]</f>
        <v>100</v>
      </c>
    </row>
    <row r="24" spans="2:26" ht="16.2" thickTop="1" thickBot="1" x14ac:dyDescent="0.35">
      <c r="B24" s="70">
        <v>21</v>
      </c>
      <c r="C24" s="17">
        <v>11</v>
      </c>
      <c r="D24" s="71" t="s">
        <v>110</v>
      </c>
      <c r="E24" s="71" t="s">
        <v>111</v>
      </c>
      <c r="F24" s="1">
        <f>VLOOKUP(Tablo1[[#This Row],[Student No]],[1]!Tablo17[[STUDENT ID]:[TOTAL GRADE]],11,FALSE)</f>
        <v>50</v>
      </c>
      <c r="G24" s="1">
        <f>VLOOKUP(Tablo1[[#This Row],[Student No]],Tablo1738[[STUDENT ID]:[TOTAL GRADE]],11,FALSE)</f>
        <v>50</v>
      </c>
      <c r="H24" s="72">
        <f>VLOOKUP(Tablo1[[#This Row],[Student No]],Tablo3[[Student No]:[TOTAL]],9,FALSE)</f>
        <v>4.8</v>
      </c>
      <c r="I24" s="72">
        <f>VLOOKUP(Tablo1[[#This Row],[Student No]],Tablo314[[Student No]:[TOTAL]],18,FALSE)</f>
        <v>43</v>
      </c>
      <c r="J24" s="73">
        <v>0</v>
      </c>
      <c r="K24" s="51">
        <f>(F24*$P$22%*100/$Q$22+G24*$P$23%*100/$Q$23+H24*$P$20%*100/$Q$20+I24*$P$21%*100/$Q$21)+Tablo1[[#This Row],[BONUS]]</f>
        <v>44.08</v>
      </c>
      <c r="L24" s="1" t="str" cm="1">
        <f t="array" ref="L24">_xlfn.IFS(AND(K24&gt;=$P$7,K24&lt;$Q$7),"AA",AND(K24&gt;=$P$8,K24&lt;$Q$8),"AB",AND(K24&gt;=$P$9,K24&lt;$Q$9),"BB",AND(K24&gt;=$P$10,K24&lt;$Q$10),"CB",AND(K24&gt;=$P$11,K24&lt;$Q$11),"CC",AND(K24&gt;=$P$12,K24&lt;$Q$12),"DC",AND(K24&gt;=$P$13,K24&lt;$Q$13),"DD",AND(K24&gt;=$P$14,K24&lt;$Q$14),"FD",AND(K24&gt;=$P$15,K24&lt;$Q$15),"FF")</f>
        <v>FF</v>
      </c>
      <c r="M24" s="1">
        <f t="shared" si="0"/>
        <v>2.6119813534685173E-2</v>
      </c>
      <c r="O24" s="5" t="s">
        <v>60</v>
      </c>
      <c r="P24" s="26">
        <f>SUM(P20,P21,P22,P23)</f>
        <v>100</v>
      </c>
      <c r="Q24" s="24" t="s">
        <v>0</v>
      </c>
    </row>
    <row r="25" spans="2:26" ht="15.6" thickTop="1" x14ac:dyDescent="0.3">
      <c r="B25" s="74">
        <v>22</v>
      </c>
      <c r="C25" s="17">
        <v>14</v>
      </c>
      <c r="D25" s="71" t="s">
        <v>110</v>
      </c>
      <c r="E25" s="71" t="s">
        <v>111</v>
      </c>
      <c r="F25" s="1">
        <f>VLOOKUP(Tablo1[[#This Row],[Student No]],[1]!Tablo17[[STUDENT ID]:[TOTAL GRADE]],11,FALSE)</f>
        <v>47</v>
      </c>
      <c r="G25" s="1">
        <f>VLOOKUP(Tablo1[[#This Row],[Student No]],Tablo1738[[STUDENT ID]:[TOTAL GRADE]],11,FALSE)</f>
        <v>47</v>
      </c>
      <c r="H25" s="72">
        <f>VLOOKUP(Tablo1[[#This Row],[Student No]],Tablo3[[Student No]:[TOTAL]],9,FALSE)</f>
        <v>3.4</v>
      </c>
      <c r="I25" s="72">
        <f>VLOOKUP(Tablo1[[#This Row],[Student No]],Tablo314[[Student No]:[TOTAL]],18,FALSE)</f>
        <v>60</v>
      </c>
      <c r="J25" s="73">
        <v>0</v>
      </c>
      <c r="K25" s="51">
        <f>(F25*$P$22%*100/$Q$22+G25*$P$23%*100/$Q$23+H25*$P$20%*100/$Q$20+I25*$P$21%*100/$Q$21)+Tablo1[[#This Row],[BONUS]]</f>
        <v>45.24</v>
      </c>
      <c r="L25" s="1" t="str" cm="1">
        <f t="array" ref="L25">_xlfn.IFS(AND(K25&gt;=$P$7,K25&lt;$Q$7),"AA",AND(K25&gt;=$P$8,K25&lt;$Q$8),"AB",AND(K25&gt;=$P$9,K25&lt;$Q$9),"BB",AND(K25&gt;=$P$10,K25&lt;$Q$10),"CB",AND(K25&gt;=$P$11,K25&lt;$Q$11),"CC",AND(K25&gt;=$P$12,K25&lt;$Q$12),"DC",AND(K25&gt;=$P$13,K25&lt;$Q$13),"DD",AND(K25&gt;=$P$14,K25&lt;$Q$14),"FD",AND(K25&gt;=$P$15,K25&lt;$Q$15),"FF")</f>
        <v>FF</v>
      </c>
      <c r="M25" s="1">
        <f t="shared" si="0"/>
        <v>2.4951526469312774E-2</v>
      </c>
    </row>
    <row r="26" spans="2:26" ht="15" x14ac:dyDescent="0.3">
      <c r="B26" s="70">
        <v>23</v>
      </c>
      <c r="C26" s="17">
        <v>13</v>
      </c>
      <c r="D26" s="71" t="s">
        <v>110</v>
      </c>
      <c r="E26" s="71" t="s">
        <v>111</v>
      </c>
      <c r="F26" s="1">
        <f>VLOOKUP(Tablo1[[#This Row],[Student No]],[1]!Tablo17[[STUDENT ID]:[TOTAL GRADE]],11,FALSE)</f>
        <v>48</v>
      </c>
      <c r="G26" s="1">
        <f>VLOOKUP(Tablo1[[#This Row],[Student No]],Tablo1738[[STUDENT ID]:[TOTAL GRADE]],11,FALSE)</f>
        <v>48</v>
      </c>
      <c r="H26" s="72">
        <f>VLOOKUP(Tablo1[[#This Row],[Student No]],Tablo3[[Student No]:[TOTAL]],9,FALSE)</f>
        <v>4.4000000000000004</v>
      </c>
      <c r="I26" s="72">
        <f>VLOOKUP(Tablo1[[#This Row],[Student No]],Tablo314[[Student No]:[TOTAL]],18,FALSE)</f>
        <v>61</v>
      </c>
      <c r="J26" s="73">
        <v>0</v>
      </c>
      <c r="K26" s="51">
        <f>(F26*$P$22%*100/$Q$22+G26*$P$23%*100/$Q$23+H26*$P$20%*100/$Q$20+I26*$P$21%*100/$Q$21)+Tablo1[[#This Row],[BONUS]]</f>
        <v>46.239999999999995</v>
      </c>
      <c r="L26" s="1" t="str" cm="1">
        <f t="array" ref="L26">_xlfn.IFS(AND(K26&gt;=$P$7,K26&lt;$Q$7),"AA",AND(K26&gt;=$P$8,K26&lt;$Q$8),"AB",AND(K26&gt;=$P$9,K26&lt;$Q$9),"BB",AND(K26&gt;=$P$10,K26&lt;$Q$10),"CB",AND(K26&gt;=$P$11,K26&lt;$Q$11),"CC",AND(K26&gt;=$P$12,K26&lt;$Q$12),"DC",AND(K26&gt;=$P$13,K26&lt;$Q$13),"DD",AND(K26&gt;=$P$14,K26&lt;$Q$14),"FD",AND(K26&gt;=$P$15,K26&lt;$Q$15),"FF")</f>
        <v>FF</v>
      </c>
      <c r="M26" s="1">
        <f t="shared" si="0"/>
        <v>2.384547790320761E-2</v>
      </c>
    </row>
    <row r="27" spans="2:26" ht="15" x14ac:dyDescent="0.3">
      <c r="B27" s="74">
        <v>24</v>
      </c>
      <c r="C27" s="17">
        <v>10</v>
      </c>
      <c r="D27" s="71" t="s">
        <v>110</v>
      </c>
      <c r="E27" s="71" t="s">
        <v>111</v>
      </c>
      <c r="F27" s="1">
        <f>VLOOKUP(Tablo1[[#This Row],[Student No]],[1]!Tablo17[[STUDENT ID]:[TOTAL GRADE]],11,FALSE)</f>
        <v>50</v>
      </c>
      <c r="G27" s="1">
        <f>VLOOKUP(Tablo1[[#This Row],[Student No]],Tablo1738[[STUDENT ID]:[TOTAL GRADE]],11,FALSE)</f>
        <v>50</v>
      </c>
      <c r="H27" s="72">
        <f>VLOOKUP(Tablo1[[#This Row],[Student No]],Tablo3[[Student No]:[TOTAL]],9,FALSE)</f>
        <v>5.8</v>
      </c>
      <c r="I27" s="72">
        <f>VLOOKUP(Tablo1[[#This Row],[Student No]],Tablo314[[Student No]:[TOTAL]],18,FALSE)</f>
        <v>54</v>
      </c>
      <c r="J27" s="73">
        <v>0</v>
      </c>
      <c r="K27" s="51">
        <f>(F27*$P$22%*100/$Q$22+G27*$P$23%*100/$Q$23+H27*$P$20%*100/$Q$20+I27*$P$21%*100/$Q$21)+Tablo1[[#This Row],[BONUS]]</f>
        <v>46.379999999999995</v>
      </c>
      <c r="L27" s="1" t="str" cm="1">
        <f t="array" ref="L27">_xlfn.IFS(AND(K27&gt;=$P$7,K27&lt;$Q$7),"AA",AND(K27&gt;=$P$8,K27&lt;$Q$8),"AB",AND(K27&gt;=$P$9,K27&lt;$Q$9),"BB",AND(K27&gt;=$P$10,K27&lt;$Q$10),"CB",AND(K27&gt;=$P$11,K27&lt;$Q$11),"CC",AND(K27&gt;=$P$12,K27&lt;$Q$12),"DC",AND(K27&gt;=$P$13,K27&lt;$Q$13),"DD",AND(K27&gt;=$P$14,K27&lt;$Q$14),"FD",AND(K27&gt;=$P$15,K27&lt;$Q$15),"FF")</f>
        <v>FF</v>
      </c>
      <c r="M27" s="1">
        <f t="shared" si="0"/>
        <v>2.3684279603739766E-2</v>
      </c>
    </row>
    <row r="28" spans="2:26" ht="15" x14ac:dyDescent="0.3">
      <c r="B28" s="70">
        <v>25</v>
      </c>
      <c r="C28" s="17">
        <v>9</v>
      </c>
      <c r="D28" s="71" t="s">
        <v>110</v>
      </c>
      <c r="E28" s="71" t="s">
        <v>111</v>
      </c>
      <c r="F28" s="1">
        <f>VLOOKUP(Tablo1[[#This Row],[Student No]],[1]!Tablo17[[STUDENT ID]:[TOTAL GRADE]],11,FALSE)</f>
        <v>53</v>
      </c>
      <c r="G28" s="1">
        <f>VLOOKUP(Tablo1[[#This Row],[Student No]],Tablo1738[[STUDENT ID]:[TOTAL GRADE]],11,FALSE)</f>
        <v>53</v>
      </c>
      <c r="H28" s="72">
        <f>VLOOKUP(Tablo1[[#This Row],[Student No]],Tablo3[[Student No]:[TOTAL]],9,FALSE)</f>
        <v>4</v>
      </c>
      <c r="I28" s="72">
        <f>VLOOKUP(Tablo1[[#This Row],[Student No]],Tablo314[[Student No]:[TOTAL]],18,FALSE)</f>
        <v>49</v>
      </c>
      <c r="J28" s="73">
        <v>0</v>
      </c>
      <c r="K28" s="51">
        <f>(F28*$P$22%*100/$Q$22+G28*$P$23%*100/$Q$23+H28*$P$20%*100/$Q$20+I28*$P$21%*100/$Q$21)+Tablo1[[#This Row],[BONUS]]</f>
        <v>47.3</v>
      </c>
      <c r="L28" s="1" t="str" cm="1">
        <f t="array" ref="L28">_xlfn.IFS(AND(K28&gt;=$P$7,K28&lt;$Q$7),"AA",AND(K28&gt;=$P$8,K28&lt;$Q$8),"AB",AND(K28&gt;=$P$9,K28&lt;$Q$9),"BB",AND(K28&gt;=$P$10,K28&lt;$Q$10),"CB",AND(K28&gt;=$P$11,K28&lt;$Q$11),"CC",AND(K28&gt;=$P$12,K28&lt;$Q$12),"DC",AND(K28&gt;=$P$13,K28&lt;$Q$13),"DD",AND(K28&gt;=$P$14,K28&lt;$Q$14),"FD",AND(K28&gt;=$P$15,K28&lt;$Q$15),"FF")</f>
        <v>FF</v>
      </c>
      <c r="M28" s="1">
        <f t="shared" si="0"/>
        <v>2.2591563133072187E-2</v>
      </c>
      <c r="S28" s="76" t="s">
        <v>113</v>
      </c>
      <c r="T28" s="76"/>
      <c r="U28" s="76"/>
      <c r="V28" s="76"/>
      <c r="W28" s="76"/>
      <c r="X28" s="76"/>
      <c r="Y28" s="76"/>
    </row>
    <row r="29" spans="2:26" ht="15" x14ac:dyDescent="0.3">
      <c r="B29" s="74">
        <v>26</v>
      </c>
      <c r="C29" s="17">
        <v>8</v>
      </c>
      <c r="D29" s="71" t="s">
        <v>110</v>
      </c>
      <c r="E29" s="71" t="s">
        <v>111</v>
      </c>
      <c r="F29" s="1">
        <f>VLOOKUP(Tablo1[[#This Row],[Student No]],[1]!Tablo17[[STUDENT ID]:[TOTAL GRADE]],11,FALSE)</f>
        <v>55</v>
      </c>
      <c r="G29" s="1">
        <f>VLOOKUP(Tablo1[[#This Row],[Student No]],Tablo1738[[STUDENT ID]:[TOTAL GRADE]],11,FALSE)</f>
        <v>55</v>
      </c>
      <c r="H29" s="72">
        <f>VLOOKUP(Tablo1[[#This Row],[Student No]],Tablo3[[Student No]:[TOTAL]],9,FALSE)</f>
        <v>5.4</v>
      </c>
      <c r="I29" s="72">
        <f>VLOOKUP(Tablo1[[#This Row],[Student No]],Tablo314[[Student No]:[TOTAL]],18,FALSE)</f>
        <v>50</v>
      </c>
      <c r="J29" s="73">
        <v>0</v>
      </c>
      <c r="K29" s="51">
        <f>(F29*$P$22%*100/$Q$22+G29*$P$23%*100/$Q$23+H29*$P$20%*100/$Q$20+I29*$P$21%*100/$Q$21)+Tablo1[[#This Row],[BONUS]]</f>
        <v>49.04</v>
      </c>
      <c r="L29" s="1" t="str" cm="1">
        <f t="array" ref="L29">_xlfn.IFS(AND(K29&gt;=$P$7,K29&lt;$Q$7),"AA",AND(K29&gt;=$P$8,K29&lt;$Q$8),"AB",AND(K29&gt;=$P$9,K29&lt;$Q$9),"BB",AND(K29&gt;=$P$10,K29&lt;$Q$10),"CB",AND(K29&gt;=$P$11,K29&lt;$Q$11),"CC",AND(K29&gt;=$P$12,K29&lt;$Q$12),"DC",AND(K29&gt;=$P$13,K29&lt;$Q$13),"DD",AND(K29&gt;=$P$14,K29&lt;$Q$14),"FD",AND(K29&gt;=$P$15,K29&lt;$Q$15),"FF")</f>
        <v>FF</v>
      </c>
      <c r="M29" s="1">
        <f t="shared" si="0"/>
        <v>2.0401607494210355E-2</v>
      </c>
      <c r="S29" s="76"/>
      <c r="T29" s="76"/>
      <c r="U29" s="76"/>
      <c r="V29" s="76"/>
      <c r="W29" s="76"/>
      <c r="X29" s="76"/>
      <c r="Y29" s="76"/>
      <c r="Z29" s="77"/>
    </row>
    <row r="30" spans="2:26" ht="15" x14ac:dyDescent="0.3">
      <c r="B30" s="70">
        <v>27</v>
      </c>
      <c r="C30" s="17">
        <v>7</v>
      </c>
      <c r="D30" s="71" t="s">
        <v>110</v>
      </c>
      <c r="E30" s="71" t="s">
        <v>111</v>
      </c>
      <c r="F30" s="1">
        <f>VLOOKUP(Tablo1[[#This Row],[Student No]],[1]!Tablo17[[STUDENT ID]:[TOTAL GRADE]],11,FALSE)</f>
        <v>57</v>
      </c>
      <c r="G30" s="1">
        <f>VLOOKUP(Tablo1[[#This Row],[Student No]],Tablo1738[[STUDENT ID]:[TOTAL GRADE]],11,FALSE)</f>
        <v>57</v>
      </c>
      <c r="H30" s="72">
        <f>VLOOKUP(Tablo1[[#This Row],[Student No]],Tablo3[[Student No]:[TOTAL]],9,FALSE)</f>
        <v>5.4</v>
      </c>
      <c r="I30" s="72">
        <f>VLOOKUP(Tablo1[[#This Row],[Student No]],Tablo314[[Student No]:[TOTAL]],18,FALSE)</f>
        <v>62</v>
      </c>
      <c r="J30" s="73">
        <v>0</v>
      </c>
      <c r="K30" s="51">
        <f>(F30*$P$22%*100/$Q$22+G30*$P$23%*100/$Q$23+H30*$P$20%*100/$Q$20+I30*$P$21%*100/$Q$21)+Tablo1[[#This Row],[BONUS]]</f>
        <v>52.839999999999996</v>
      </c>
      <c r="L30" s="1" t="str" cm="1">
        <f t="array" ref="L30">_xlfn.IFS(AND(K30&gt;=$P$7,K30&lt;$Q$7),"AA",AND(K30&gt;=$P$8,K30&lt;$Q$8),"AB",AND(K30&gt;=$P$9,K30&lt;$Q$9),"BB",AND(K30&gt;=$P$10,K30&lt;$Q$10),"CB",AND(K30&gt;=$P$11,K30&lt;$Q$11),"CC",AND(K30&gt;=$P$12,K30&lt;$Q$12),"DC",AND(K30&gt;=$P$13,K30&lt;$Q$13),"DD",AND(K30&gt;=$P$14,K30&lt;$Q$14),"FD",AND(K30&gt;=$P$15,K30&lt;$Q$15),"FF")</f>
        <v>FD</v>
      </c>
      <c r="M30" s="1">
        <f t="shared" si="0"/>
        <v>1.5417492944803013E-2</v>
      </c>
    </row>
    <row r="31" spans="2:26" ht="15" x14ac:dyDescent="0.3">
      <c r="B31" s="74">
        <v>28</v>
      </c>
      <c r="C31" s="17">
        <v>6</v>
      </c>
      <c r="D31" s="71" t="s">
        <v>110</v>
      </c>
      <c r="E31" s="71" t="s">
        <v>111</v>
      </c>
      <c r="F31" s="1">
        <f>VLOOKUP(Tablo1[[#This Row],[Student No]],[1]!Tablo17[[STUDENT ID]:[TOTAL GRADE]],11,FALSE)</f>
        <v>62</v>
      </c>
      <c r="G31" s="1">
        <f>VLOOKUP(Tablo1[[#This Row],[Student No]],Tablo1738[[STUDENT ID]:[TOTAL GRADE]],11,FALSE)</f>
        <v>62</v>
      </c>
      <c r="H31" s="72">
        <f>VLOOKUP(Tablo1[[#This Row],[Student No]],Tablo3[[Student No]:[TOTAL]],9,FALSE)</f>
        <v>0</v>
      </c>
      <c r="I31" s="72">
        <f>VLOOKUP(Tablo1[[#This Row],[Student No]],Tablo314[[Student No]:[TOTAL]],18,FALSE)</f>
        <v>49</v>
      </c>
      <c r="J31" s="73">
        <v>0</v>
      </c>
      <c r="K31" s="51">
        <f>(F31*$P$22%*100/$Q$22+G31*$P$23%*100/$Q$23+H31*$P$20%*100/$Q$20+I31*$P$21%*100/$Q$21)+Tablo1[[#This Row],[BONUS]]</f>
        <v>53.2</v>
      </c>
      <c r="L31" s="1" t="str" cm="1">
        <f t="array" ref="L31">_xlfn.IFS(AND(K31&gt;=$P$7,K31&lt;$Q$7),"AA",AND(K31&gt;=$P$8,K31&lt;$Q$8),"AB",AND(K31&gt;=$P$9,K31&lt;$Q$9),"BB",AND(K31&gt;=$P$10,K31&lt;$Q$10),"CB",AND(K31&gt;=$P$11,K31&lt;$Q$11),"CC",AND(K31&gt;=$P$12,K31&lt;$Q$12),"DC",AND(K31&gt;=$P$13,K31&lt;$Q$13),"DD",AND(K31&gt;=$P$14,K31&lt;$Q$14),"FD",AND(K31&gt;=$P$15,K31&lt;$Q$15),"FF")</f>
        <v>FD</v>
      </c>
      <c r="M31" s="1">
        <f t="shared" si="0"/>
        <v>1.4952525787742199E-2</v>
      </c>
      <c r="T31" s="50" t="s">
        <v>114</v>
      </c>
      <c r="U31" s="50" t="s">
        <v>115</v>
      </c>
    </row>
    <row r="32" spans="2:26" ht="15" x14ac:dyDescent="0.3">
      <c r="B32" s="70">
        <v>29</v>
      </c>
      <c r="C32" s="17">
        <v>5</v>
      </c>
      <c r="D32" s="71" t="s">
        <v>110</v>
      </c>
      <c r="E32" s="71" t="s">
        <v>111</v>
      </c>
      <c r="F32" s="1">
        <f>VLOOKUP(Tablo1[[#This Row],[Student No]],[1]!Tablo17[[STUDENT ID]:[TOTAL GRADE]],11,FALSE)</f>
        <v>67</v>
      </c>
      <c r="G32" s="1">
        <f>VLOOKUP(Tablo1[[#This Row],[Student No]],Tablo1738[[STUDENT ID]:[TOTAL GRADE]],11,FALSE)</f>
        <v>67</v>
      </c>
      <c r="H32" s="72">
        <f>VLOOKUP(Tablo1[[#This Row],[Student No]],Tablo3[[Student No]:[TOTAL]],9,FALSE)</f>
        <v>0</v>
      </c>
      <c r="I32" s="72">
        <f>VLOOKUP(Tablo1[[#This Row],[Student No]],Tablo314[[Student No]:[TOTAL]],18,FALSE)</f>
        <v>54</v>
      </c>
      <c r="J32" s="73">
        <v>0</v>
      </c>
      <c r="K32" s="51">
        <f>(F32*$P$22%*100/$Q$22+G32*$P$23%*100/$Q$23+H32*$P$20%*100/$Q$20+I32*$P$21%*100/$Q$21)+Tablo1[[#This Row],[BONUS]]</f>
        <v>57.7</v>
      </c>
      <c r="L32" s="1" t="str" cm="1">
        <f t="array" ref="L32">_xlfn.IFS(AND(K32&gt;=$P$7,K32&lt;$Q$7),"AA",AND(K32&gt;=$P$8,K32&lt;$Q$8),"AB",AND(K32&gt;=$P$9,K32&lt;$Q$9),"BB",AND(K32&gt;=$P$10,K32&lt;$Q$10),"CB",AND(K32&gt;=$P$11,K32&lt;$Q$11),"CC",AND(K32&gt;=$P$12,K32&lt;$Q$12),"DC",AND(K32&gt;=$P$13,K32&lt;$Q$13),"DD",AND(K32&gt;=$P$14,K32&lt;$Q$14),"FD",AND(K32&gt;=$P$15,K32&lt;$Q$15),"FF")</f>
        <v>FD</v>
      </c>
      <c r="M32" s="1">
        <f t="shared" si="0"/>
        <v>9.6064371118935454E-3</v>
      </c>
      <c r="T32" s="17">
        <f>AVERAGE(Tablo1[Total Points])</f>
        <v>37.430333333333337</v>
      </c>
      <c r="U32" s="17">
        <f>_xlfn.STDEV.P(Tablo1[Total Points])</f>
        <v>13.537831062946861</v>
      </c>
    </row>
    <row r="33" spans="1:21" ht="15" x14ac:dyDescent="0.3">
      <c r="B33" s="74">
        <v>30</v>
      </c>
      <c r="C33" s="17">
        <v>4</v>
      </c>
      <c r="D33" s="71" t="s">
        <v>110</v>
      </c>
      <c r="E33" s="71" t="s">
        <v>111</v>
      </c>
      <c r="F33" s="1">
        <f>VLOOKUP(Tablo1[[#This Row],[Student No]],[1]!Tablo17[[STUDENT ID]:[TOTAL GRADE]],11,FALSE)</f>
        <v>71</v>
      </c>
      <c r="G33" s="1">
        <f>VLOOKUP(Tablo1[[#This Row],[Student No]],Tablo1738[[STUDENT ID]:[TOTAL GRADE]],11,FALSE)</f>
        <v>71</v>
      </c>
      <c r="H33" s="72">
        <f>VLOOKUP(Tablo1[[#This Row],[Student No]],Tablo3[[Student No]:[TOTAL]],9,FALSE)</f>
        <v>5</v>
      </c>
      <c r="I33" s="72">
        <f>VLOOKUP(Tablo1[[#This Row],[Student No]],Tablo314[[Student No]:[TOTAL]],18,FALSE)</f>
        <v>64</v>
      </c>
      <c r="J33" s="73">
        <v>0</v>
      </c>
      <c r="K33" s="51">
        <f>(F33*$P$22%*100/$Q$22+G33*$P$23%*100/$Q$23+H33*$P$20%*100/$Q$20+I33*$P$21%*100/$Q$21)+Tablo1[[#This Row],[BONUS]]</f>
        <v>63</v>
      </c>
      <c r="L33" s="1" t="str" cm="1">
        <f t="array" ref="L33">_xlfn.IFS(AND(K33&gt;=$P$7,K33&lt;$Q$7),"AA",AND(K33&gt;=$P$8,K33&lt;$Q$8),"AB",AND(K33&gt;=$P$9,K33&lt;$Q$9),"BB",AND(K33&gt;=$P$10,K33&lt;$Q$10),"CB",AND(K33&gt;=$P$11,K33&lt;$Q$11),"CC",AND(K33&gt;=$P$12,K33&lt;$Q$12),"DC",AND(K33&gt;=$P$13,K33&lt;$Q$13),"DD",AND(K33&gt;=$P$14,K33&lt;$Q$14),"FD",AND(K33&gt;=$P$15,K33&lt;$Q$15),"FF")</f>
        <v>DD</v>
      </c>
      <c r="M33" s="1">
        <f t="shared" si="0"/>
        <v>4.9511906617681943E-3</v>
      </c>
    </row>
    <row r="34" spans="1:21" ht="15" x14ac:dyDescent="0.3">
      <c r="A34" s="75"/>
      <c r="D34" s="1"/>
      <c r="E34" s="1"/>
      <c r="F34" s="72"/>
      <c r="G34" s="72"/>
    </row>
    <row r="35" spans="1:21" ht="25.8" x14ac:dyDescent="0.5">
      <c r="A35" s="75"/>
      <c r="B35" s="60" t="s">
        <v>96</v>
      </c>
      <c r="C35" s="60"/>
      <c r="D35" s="60"/>
      <c r="E35" s="60"/>
      <c r="F35" s="60"/>
      <c r="G35" s="60"/>
      <c r="H35" s="60"/>
      <c r="I35" s="60"/>
    </row>
    <row r="36" spans="1:21" x14ac:dyDescent="0.3">
      <c r="A36" s="75"/>
      <c r="B36" s="62" t="s">
        <v>98</v>
      </c>
      <c r="C36" s="6" t="s">
        <v>99</v>
      </c>
      <c r="D36" s="6" t="s">
        <v>100</v>
      </c>
      <c r="E36" s="78" t="s">
        <v>101</v>
      </c>
      <c r="F36" s="78" t="s">
        <v>102</v>
      </c>
      <c r="G36" s="78" t="s">
        <v>103</v>
      </c>
      <c r="H36" s="78" t="s">
        <v>104</v>
      </c>
      <c r="I36" s="78" t="s">
        <v>105</v>
      </c>
      <c r="N36" s="56" t="s">
        <v>94</v>
      </c>
      <c r="O36" s="57"/>
      <c r="P36" s="57"/>
      <c r="Q36" s="57"/>
      <c r="R36" s="57"/>
      <c r="S36" s="57"/>
      <c r="T36" s="57"/>
    </row>
    <row r="37" spans="1:21" ht="15" x14ac:dyDescent="0.3">
      <c r="A37" s="75"/>
      <c r="B37" s="63">
        <v>1</v>
      </c>
      <c r="C37" s="1">
        <v>1</v>
      </c>
      <c r="D37" s="1" t="str">
        <f>VLOOKUP(Tablo2[[#This Row],[Student No]],Tablo1[[Student No]:[Surname]],2,FALSE)</f>
        <v>Name</v>
      </c>
      <c r="E37" s="78" t="str">
        <f>VLOOKUP(Tablo2[[#This Row],[Student No]],Tablo1[[Student No]:[Surname]],3,FALSE)</f>
        <v>Surname</v>
      </c>
      <c r="F37" s="1">
        <f>([1]MIDTERM!N5/[1]MIDTERM!$D$37+FINAL!N5/FINAL!$D$37+HOMEWORK!L5/HOMEWORK!$O$38+LAB!U5/LAB!$D$46)/4</f>
        <v>0.16129629629629627</v>
      </c>
      <c r="G37" s="1">
        <f>([1]MIDTERM!O5/[1]MIDTERM!$D$38+FINAL!O5/FINAL!$D$38+HOMEWORK!M5/HOMEWORK!$O$39+LAB!V5/LAB!$D$47)/4</f>
        <v>0.16562500000000002</v>
      </c>
      <c r="H37" s="72">
        <f>([1]MIDTERM!P5/[1]MIDTERM!$D$39+FINAL!P5/FINAL!$D$39+HOMEWORK!N5/HOMEWORK!$O$40+LAB!W5/LAB!$D$48)/4</f>
        <v>0.16354166666666667</v>
      </c>
      <c r="I37" s="1">
        <f>([1]MIDTERM!Q5/[1]MIDTERM!$D$40+FINAL!Q5/FINAL!$D$40+HOMEWORK!O5/HOMEWORK!$O$41+LAB!X5/LAB!$D$49)/4</f>
        <v>0.16704545454545455</v>
      </c>
      <c r="N37" s="13" t="s">
        <v>77</v>
      </c>
      <c r="O37" s="13" t="s">
        <v>78</v>
      </c>
      <c r="P37" s="50" t="s">
        <v>95</v>
      </c>
      <c r="Q37" s="2" t="s">
        <v>1</v>
      </c>
      <c r="R37" s="2" t="s">
        <v>2</v>
      </c>
      <c r="S37" s="2" t="s">
        <v>3</v>
      </c>
      <c r="T37" s="2" t="s">
        <v>4</v>
      </c>
    </row>
    <row r="38" spans="1:21" ht="15" x14ac:dyDescent="0.3">
      <c r="A38" s="75"/>
      <c r="B38" s="64">
        <v>2</v>
      </c>
      <c r="C38" s="1">
        <v>2</v>
      </c>
      <c r="D38" s="1" t="str">
        <f>VLOOKUP(Tablo2[[#This Row],[Student No]],Tablo1[[Student No]:[Surname]],2,FALSE)</f>
        <v>Name</v>
      </c>
      <c r="E38" s="1" t="str">
        <f>VLOOKUP(Tablo2[[#This Row],[Student No]],Tablo1[[Student No]:[Surname]],3,FALSE)</f>
        <v>Surname</v>
      </c>
      <c r="F38" s="1">
        <f>([1]MIDTERM!N6/[1]MIDTERM!$D$37+FINAL!N6/FINAL!$D$37+HOMEWORK!L6/HOMEWORK!$O$38+LAB!U6/LAB!$D$46)/4</f>
        <v>0.26166666666666666</v>
      </c>
      <c r="G38" s="72">
        <f>([1]MIDTERM!O6/[1]MIDTERM!$D$38+FINAL!O6/FINAL!$D$38+HOMEWORK!M6/HOMEWORK!$O$39+LAB!V6/LAB!$D$47)/4</f>
        <v>0.22812499999999999</v>
      </c>
      <c r="H38" s="72">
        <f>([1]MIDTERM!P6/[1]MIDTERM!$D$39+FINAL!P6/FINAL!$D$39+HOMEWORK!N6/HOMEWORK!$O$40+LAB!W6/LAB!$D$48)/4</f>
        <v>0.16999999999999998</v>
      </c>
      <c r="I38" s="1">
        <f>([1]MIDTERM!Q6/[1]MIDTERM!$D$40+FINAL!Q6/FINAL!$D$40+HOMEWORK!O6/HOMEWORK!$O$41+LAB!X6/LAB!$D$49)/4</f>
        <v>8.6363636363636365E-2</v>
      </c>
      <c r="N38" s="45">
        <v>1</v>
      </c>
      <c r="O38" s="58" t="s">
        <v>82</v>
      </c>
      <c r="P38" s="17">
        <f>Tablo413[[#This Row],[Midterm]]+Tablo413[[#This Row],[FINAL]]+Tablo413[[#This Row],[HOMEWORK]]+Tablo413[[#This Row],[LAB]]</f>
        <v>170</v>
      </c>
      <c r="Q38" s="54">
        <f>[1]MIDTERM!J43</f>
        <v>30</v>
      </c>
      <c r="R38" s="54">
        <f>FINAL!J43</f>
        <v>70</v>
      </c>
      <c r="S38" s="54">
        <f>HOMEWORK!I38</f>
        <v>45</v>
      </c>
      <c r="T38" s="54">
        <f>LAB!Q37</f>
        <v>25</v>
      </c>
    </row>
    <row r="39" spans="1:21" ht="15" x14ac:dyDescent="0.3">
      <c r="A39" s="75"/>
      <c r="B39" s="63">
        <v>3</v>
      </c>
      <c r="C39" s="1">
        <v>3</v>
      </c>
      <c r="D39" s="1" t="str">
        <f>VLOOKUP(Tablo2[[#This Row],[Student No]],Tablo1[[Student No]:[Surname]],2,FALSE)</f>
        <v>Name</v>
      </c>
      <c r="E39" s="1" t="str">
        <f>VLOOKUP(Tablo2[[#This Row],[Student No]],Tablo1[[Student No]:[Surname]],3,FALSE)</f>
        <v>Surname</v>
      </c>
      <c r="F39" s="1">
        <f>([1]MIDTERM!N7/[1]MIDTERM!$D$37+FINAL!N7/FINAL!$D$37+HOMEWORK!L7/HOMEWORK!$O$38+LAB!U7/LAB!$D$46)/4</f>
        <v>0.18796296296296294</v>
      </c>
      <c r="G39" s="72">
        <f>([1]MIDTERM!O7/[1]MIDTERM!$D$38+FINAL!O7/FINAL!$D$38+HOMEWORK!M7/HOMEWORK!$O$39+LAB!V7/LAB!$D$47)/4</f>
        <v>0.15625</v>
      </c>
      <c r="H39" s="72">
        <f>([1]MIDTERM!P7/[1]MIDTERM!$D$39+FINAL!P7/FINAL!$D$39+HOMEWORK!N7/HOMEWORK!$O$40+LAB!W7/LAB!$D$48)/4</f>
        <v>0.12416666666666668</v>
      </c>
      <c r="I39" s="1">
        <f>([1]MIDTERM!Q7/[1]MIDTERM!$D$40+FINAL!Q7/FINAL!$D$40+HOMEWORK!O7/HOMEWORK!$O$41+LAB!X7/LAB!$D$49)/4</f>
        <v>0.19772727272727275</v>
      </c>
      <c r="N39" s="45">
        <v>2</v>
      </c>
      <c r="O39" s="58" t="s">
        <v>84</v>
      </c>
      <c r="P39" s="17">
        <f>Tablo413[[#This Row],[Midterm]]+Tablo413[[#This Row],[FINAL]]+Tablo413[[#This Row],[HOMEWORK]]+Tablo413[[#This Row],[LAB]]</f>
        <v>65</v>
      </c>
      <c r="Q39" s="54">
        <f>[1]MIDTERM!J44</f>
        <v>10</v>
      </c>
      <c r="R39" s="54">
        <f>FINAL!J44</f>
        <v>5</v>
      </c>
      <c r="S39" s="54">
        <f>HOMEWORK!I39</f>
        <v>10</v>
      </c>
      <c r="T39" s="54">
        <f>LAB!Q38</f>
        <v>40</v>
      </c>
    </row>
    <row r="40" spans="1:21" ht="15" x14ac:dyDescent="0.3">
      <c r="A40" s="75"/>
      <c r="B40" s="64">
        <v>4</v>
      </c>
      <c r="C40" s="1">
        <v>4</v>
      </c>
      <c r="D40" s="1" t="str">
        <f>VLOOKUP(Tablo2[[#This Row],[Student No]],Tablo1[[Student No]:[Surname]],2,FALSE)</f>
        <v>Name</v>
      </c>
      <c r="E40" s="1" t="str">
        <f>VLOOKUP(Tablo2[[#This Row],[Student No]],Tablo1[[Student No]:[Surname]],3,FALSE)</f>
        <v>Surname</v>
      </c>
      <c r="F40" s="1">
        <f>([1]MIDTERM!N8/[1]MIDTERM!$D$37+FINAL!N8/FINAL!$D$37+HOMEWORK!L8/HOMEWORK!$O$38+LAB!U8/LAB!$D$46)/4</f>
        <v>0.59293650793650787</v>
      </c>
      <c r="G40" s="72">
        <f>([1]MIDTERM!O8/[1]MIDTERM!$D$38+FINAL!O8/FINAL!$D$38+HOMEWORK!M8/HOMEWORK!$O$39+LAB!V8/LAB!$D$47)/4</f>
        <v>0.48125000000000001</v>
      </c>
      <c r="H40" s="72">
        <f>([1]MIDTERM!P8/[1]MIDTERM!$D$39+FINAL!P8/FINAL!$D$39+HOMEWORK!N8/HOMEWORK!$O$40+LAB!W8/LAB!$D$48)/4</f>
        <v>0.54145833333333326</v>
      </c>
      <c r="I40" s="1">
        <f>([1]MIDTERM!Q8/[1]MIDTERM!$D$40+FINAL!Q8/FINAL!$D$40+HOMEWORK!O8/HOMEWORK!$O$41+LAB!X8/LAB!$D$49)/4</f>
        <v>0.46581439393939394</v>
      </c>
      <c r="N40" s="45">
        <v>3</v>
      </c>
      <c r="O40" s="58" t="s">
        <v>85</v>
      </c>
      <c r="P40" s="17">
        <f>Tablo413[[#This Row],[Midterm]]+Tablo413[[#This Row],[FINAL]]+Tablo413[[#This Row],[HOMEWORK]]+Tablo413[[#This Row],[LAB]]</f>
        <v>115</v>
      </c>
      <c r="Q40" s="54">
        <f>[1]MIDTERM!J45</f>
        <v>5</v>
      </c>
      <c r="R40" s="54">
        <f>FINAL!J45</f>
        <v>40</v>
      </c>
      <c r="S40" s="54">
        <f>HOMEWORK!I40</f>
        <v>20</v>
      </c>
      <c r="T40" s="54">
        <f>LAB!Q39</f>
        <v>50</v>
      </c>
    </row>
    <row r="41" spans="1:21" ht="15" x14ac:dyDescent="0.3">
      <c r="A41" s="75"/>
      <c r="B41" s="63">
        <v>5</v>
      </c>
      <c r="C41" s="1">
        <v>5</v>
      </c>
      <c r="D41" s="1" t="str">
        <f>VLOOKUP(Tablo2[[#This Row],[Student No]],Tablo1[[Student No]:[Surname]],2,FALSE)</f>
        <v>Name</v>
      </c>
      <c r="E41" s="1" t="str">
        <f>VLOOKUP(Tablo2[[#This Row],[Student No]],Tablo1[[Student No]:[Surname]],3,FALSE)</f>
        <v>Surname</v>
      </c>
      <c r="F41" s="1">
        <f>([1]MIDTERM!N9/[1]MIDTERM!$D$37+FINAL!N9/FINAL!$D$37+HOMEWORK!L9/HOMEWORK!$O$38+LAB!U9/LAB!$D$46)/4</f>
        <v>0.45845238095238094</v>
      </c>
      <c r="G41" s="72">
        <f>([1]MIDTERM!O9/[1]MIDTERM!$D$38+FINAL!O9/FINAL!$D$38+HOMEWORK!M9/HOMEWORK!$O$39+LAB!V9/LAB!$D$47)/4</f>
        <v>0.47187500000000004</v>
      </c>
      <c r="H41" s="72">
        <f>([1]MIDTERM!P9/[1]MIDTERM!$D$39+FINAL!P9/FINAL!$D$39+HOMEWORK!N9/HOMEWORK!$O$40+LAB!W9/LAB!$D$48)/4</f>
        <v>0.39921875000000001</v>
      </c>
      <c r="I41" s="1">
        <f>([1]MIDTERM!Q9/[1]MIDTERM!$D$40+FINAL!Q9/FINAL!$D$40+HOMEWORK!O9/HOMEWORK!$O$41+LAB!X9/LAB!$D$49)/4</f>
        <v>0.45984848484848484</v>
      </c>
      <c r="N41" s="1">
        <v>4</v>
      </c>
      <c r="O41" s="58" t="s">
        <v>86</v>
      </c>
      <c r="P41" s="17">
        <f>Tablo413[[#This Row],[Midterm]]+Tablo413[[#This Row],[FINAL]]+Tablo413[[#This Row],[HOMEWORK]]+Tablo413[[#This Row],[LAB]]</f>
        <v>125</v>
      </c>
      <c r="Q41" s="54">
        <f>[1]MIDTERM!J46</f>
        <v>40</v>
      </c>
      <c r="R41" s="54">
        <f>FINAL!J46</f>
        <v>20</v>
      </c>
      <c r="S41" s="54">
        <f>HOMEWORK!I41</f>
        <v>10</v>
      </c>
      <c r="T41" s="54">
        <f>LAB!Q40</f>
        <v>55</v>
      </c>
      <c r="U41" s="17"/>
    </row>
    <row r="42" spans="1:21" ht="15" x14ac:dyDescent="0.3">
      <c r="A42" s="75"/>
      <c r="B42" s="64">
        <v>6</v>
      </c>
      <c r="C42" s="1">
        <v>6</v>
      </c>
      <c r="D42" s="1" t="str">
        <f>VLOOKUP(Tablo2[[#This Row],[Student No]],Tablo1[[Student No]:[Surname]],2,FALSE)</f>
        <v>Name</v>
      </c>
      <c r="E42" s="1" t="str">
        <f>VLOOKUP(Tablo2[[#This Row],[Student No]],Tablo1[[Student No]:[Surname]],3,FALSE)</f>
        <v>Surname</v>
      </c>
      <c r="F42" s="1">
        <f>([1]MIDTERM!N10/[1]MIDTERM!$D$37+FINAL!N10/FINAL!$D$37+HOMEWORK!L10/HOMEWORK!$O$38+LAB!U10/LAB!$D$46)/4</f>
        <v>0.45865079365079364</v>
      </c>
      <c r="G42" s="72">
        <f>([1]MIDTERM!O10/[1]MIDTERM!$D$38+FINAL!O10/FINAL!$D$38+HOMEWORK!M10/HOMEWORK!$O$39+LAB!V10/LAB!$D$47)/4</f>
        <v>0.38020833333333331</v>
      </c>
      <c r="H42" s="72">
        <f>([1]MIDTERM!P10/[1]MIDTERM!$D$39+FINAL!P10/FINAL!$D$39+HOMEWORK!N10/HOMEWORK!$O$40+LAB!W10/LAB!$D$48)/4</f>
        <v>0.45749999999999996</v>
      </c>
      <c r="I42" s="1">
        <f>([1]MIDTERM!Q10/[1]MIDTERM!$D$40+FINAL!Q10/FINAL!$D$40+HOMEWORK!O10/HOMEWORK!$O$41+LAB!X10/LAB!$D$49)/4</f>
        <v>0.36524621212121211</v>
      </c>
      <c r="U42" s="17"/>
    </row>
    <row r="43" spans="1:21" ht="15" x14ac:dyDescent="0.3">
      <c r="A43" s="75"/>
      <c r="B43" s="63">
        <v>7</v>
      </c>
      <c r="C43" s="1">
        <v>7</v>
      </c>
      <c r="D43" s="1" t="str">
        <f>VLOOKUP(Tablo2[[#This Row],[Student No]],Tablo1[[Student No]:[Surname]],2,FALSE)</f>
        <v>Name</v>
      </c>
      <c r="E43" s="1" t="str">
        <f>VLOOKUP(Tablo2[[#This Row],[Student No]],Tablo1[[Student No]:[Surname]],3,FALSE)</f>
        <v>Surname</v>
      </c>
      <c r="F43" s="1">
        <f>([1]MIDTERM!N11/[1]MIDTERM!$D$37+FINAL!N11/FINAL!$D$37+HOMEWORK!L11/HOMEWORK!$O$38+LAB!U11/LAB!$D$46)/4</f>
        <v>0.48264550264550266</v>
      </c>
      <c r="G43" s="72">
        <f>([1]MIDTERM!O11/[1]MIDTERM!$D$38+FINAL!O11/FINAL!$D$38+HOMEWORK!M11/HOMEWORK!$O$39+LAB!V11/LAB!$D$47)/4</f>
        <v>0.36979166666666663</v>
      </c>
      <c r="H43" s="72">
        <f>([1]MIDTERM!P11/[1]MIDTERM!$D$39+FINAL!P11/FINAL!$D$39+HOMEWORK!N11/HOMEWORK!$O$40+LAB!W11/LAB!$D$48)/4</f>
        <v>0.53666666666666674</v>
      </c>
      <c r="I43" s="1">
        <f>([1]MIDTERM!Q11/[1]MIDTERM!$D$40+FINAL!Q11/FINAL!$D$40+HOMEWORK!O11/HOMEWORK!$O$41+LAB!X11/LAB!$D$49)/4</f>
        <v>0.47443181818181823</v>
      </c>
      <c r="U43" s="17"/>
    </row>
    <row r="44" spans="1:21" ht="15" x14ac:dyDescent="0.3">
      <c r="A44" s="75"/>
      <c r="B44" s="64">
        <v>8</v>
      </c>
      <c r="C44" s="1">
        <v>8</v>
      </c>
      <c r="D44" s="1" t="str">
        <f>VLOOKUP(Tablo2[[#This Row],[Student No]],Tablo1[[Student No]:[Surname]],2,FALSE)</f>
        <v>Name</v>
      </c>
      <c r="E44" s="1" t="str">
        <f>VLOOKUP(Tablo2[[#This Row],[Student No]],Tablo1[[Student No]:[Surname]],3,FALSE)</f>
        <v>Surname</v>
      </c>
      <c r="F44" s="1">
        <f>([1]MIDTERM!N12/[1]MIDTERM!$D$37+FINAL!N12/FINAL!$D$37+HOMEWORK!L12/HOMEWORK!$O$38+LAB!U12/LAB!$D$46)/4</f>
        <v>0.47838624338624336</v>
      </c>
      <c r="G44" s="72">
        <f>([1]MIDTERM!O12/[1]MIDTERM!$D$38+FINAL!O12/FINAL!$D$38+HOMEWORK!M12/HOMEWORK!$O$39+LAB!V12/LAB!$D$47)/4</f>
        <v>0.49062500000000003</v>
      </c>
      <c r="H44" s="72">
        <f>([1]MIDTERM!P12/[1]MIDTERM!$D$39+FINAL!P12/FINAL!$D$39+HOMEWORK!N12/HOMEWORK!$O$40+LAB!W12/LAB!$D$48)/4</f>
        <v>0.41364583333333338</v>
      </c>
      <c r="I44" s="1">
        <f>([1]MIDTERM!Q12/[1]MIDTERM!$D$40+FINAL!Q12/FINAL!$D$40+HOMEWORK!O12/HOMEWORK!$O$41+LAB!X12/LAB!$D$49)/4</f>
        <v>0.28740530303030298</v>
      </c>
      <c r="N44" s="56" t="s">
        <v>116</v>
      </c>
      <c r="O44" s="57"/>
      <c r="P44" s="57"/>
      <c r="Q44" s="57"/>
      <c r="R44" s="57"/>
      <c r="S44" s="57"/>
      <c r="T44" s="57"/>
      <c r="U44" s="17"/>
    </row>
    <row r="45" spans="1:21" ht="15.6" x14ac:dyDescent="0.3">
      <c r="A45" s="75"/>
      <c r="B45" s="63">
        <v>9</v>
      </c>
      <c r="C45" s="1">
        <v>9</v>
      </c>
      <c r="D45" s="1" t="str">
        <f>VLOOKUP(Tablo2[[#This Row],[Student No]],Tablo1[[Student No]:[Surname]],2,FALSE)</f>
        <v>Name</v>
      </c>
      <c r="E45" s="1" t="str">
        <f>VLOOKUP(Tablo2[[#This Row],[Student No]],Tablo1[[Student No]:[Surname]],3,FALSE)</f>
        <v>Surname</v>
      </c>
      <c r="F45" s="1">
        <f>([1]MIDTERM!N13/[1]MIDTERM!$D$37+FINAL!N13/FINAL!$D$37+HOMEWORK!L13/HOMEWORK!$O$38+LAB!U13/LAB!$D$46)/4</f>
        <v>0.4388359788359788</v>
      </c>
      <c r="G45" s="72">
        <f>([1]MIDTERM!O13/[1]MIDTERM!$D$38+FINAL!O13/FINAL!$D$38+HOMEWORK!M13/HOMEWORK!$O$39+LAB!V13/LAB!$D$47)/4</f>
        <v>0.43437499999999996</v>
      </c>
      <c r="H45" s="72">
        <f>([1]MIDTERM!P13/[1]MIDTERM!$D$39+FINAL!P13/FINAL!$D$39+HOMEWORK!N13/HOMEWORK!$O$40+LAB!W13/LAB!$D$48)/4</f>
        <v>0.42281249999999998</v>
      </c>
      <c r="I45" s="1">
        <f>([1]MIDTERM!Q13/[1]MIDTERM!$D$40+FINAL!Q13/FINAL!$D$40+HOMEWORK!O13/HOMEWORK!$O$41+LAB!X13/LAB!$D$49)/4</f>
        <v>0.28465909090909092</v>
      </c>
      <c r="N45" s="13" t="s">
        <v>77</v>
      </c>
      <c r="O45" s="13" t="s">
        <v>78</v>
      </c>
      <c r="P45" s="2" t="s">
        <v>4</v>
      </c>
      <c r="Q45" s="2" t="s">
        <v>1</v>
      </c>
      <c r="R45" s="2" t="s">
        <v>2</v>
      </c>
      <c r="S45" s="2" t="s">
        <v>3</v>
      </c>
      <c r="T45" s="79" t="s">
        <v>117</v>
      </c>
      <c r="U45" s="17"/>
    </row>
    <row r="46" spans="1:21" ht="15" x14ac:dyDescent="0.3">
      <c r="A46" s="75"/>
      <c r="B46" s="64">
        <v>10</v>
      </c>
      <c r="C46" s="1">
        <v>10</v>
      </c>
      <c r="D46" s="1" t="str">
        <f>VLOOKUP(Tablo2[[#This Row],[Student No]],Tablo1[[Student No]:[Surname]],2,FALSE)</f>
        <v>Name</v>
      </c>
      <c r="E46" s="1" t="str">
        <f>VLOOKUP(Tablo2[[#This Row],[Student No]],Tablo1[[Student No]:[Surname]],3,FALSE)</f>
        <v>Surname</v>
      </c>
      <c r="F46" s="1">
        <f>([1]MIDTERM!N14/[1]MIDTERM!$D$37+FINAL!N14/FINAL!$D$37+HOMEWORK!L14/HOMEWORK!$O$38+LAB!U14/LAB!$D$46)/4</f>
        <v>0.42129629629629628</v>
      </c>
      <c r="G46" s="72">
        <f>([1]MIDTERM!O14/[1]MIDTERM!$D$38+FINAL!O14/FINAL!$D$38+HOMEWORK!M14/HOMEWORK!$O$39+LAB!V14/LAB!$D$47)/4</f>
        <v>0.42812500000000003</v>
      </c>
      <c r="H46" s="72">
        <f>([1]MIDTERM!P14/[1]MIDTERM!$D$39+FINAL!P14/FINAL!$D$39+HOMEWORK!N14/HOMEWORK!$O$40+LAB!W14/LAB!$D$48)/4</f>
        <v>0.53364583333333326</v>
      </c>
      <c r="I46" s="1">
        <f>([1]MIDTERM!Q14/[1]MIDTERM!$D$40+FINAL!Q14/FINAL!$D$40+HOMEWORK!O14/HOMEWORK!$O$41+LAB!X14/LAB!$D$49)/4</f>
        <v>0.2733901515151515</v>
      </c>
      <c r="N46" s="45">
        <v>1</v>
      </c>
      <c r="O46" s="17" t="s">
        <v>82</v>
      </c>
      <c r="P46" s="17">
        <f>LAB!S37</f>
        <v>14.816666666666666</v>
      </c>
      <c r="Q46" s="54">
        <f>[1]MIDTERM!L43</f>
        <v>9.3305555555555539</v>
      </c>
      <c r="R46" s="54">
        <f>FINAL!L43</f>
        <v>28.197222222222219</v>
      </c>
      <c r="S46" s="17">
        <f>HOMEWORK!K38</f>
        <v>11.697222222222218</v>
      </c>
      <c r="T46" s="17">
        <f>SUM(Tablo41342[[#This Row],[LAB]:[HOMEWORK]])/P38</f>
        <v>0.37671568627450974</v>
      </c>
    </row>
    <row r="47" spans="1:21" ht="15" x14ac:dyDescent="0.3">
      <c r="A47" s="75"/>
      <c r="B47" s="63">
        <v>11</v>
      </c>
      <c r="C47" s="1">
        <v>11</v>
      </c>
      <c r="D47" s="1" t="str">
        <f>VLOOKUP(Tablo2[[#This Row],[Student No]],Tablo1[[Student No]:[Surname]],2,FALSE)</f>
        <v>Name</v>
      </c>
      <c r="E47" s="1" t="str">
        <f>VLOOKUP(Tablo2[[#This Row],[Student No]],Tablo1[[Student No]:[Surname]],3,FALSE)</f>
        <v>Surname</v>
      </c>
      <c r="F47" s="1">
        <f>([1]MIDTERM!N15/[1]MIDTERM!$D$37+FINAL!N15/FINAL!$D$37+HOMEWORK!L15/HOMEWORK!$O$38+LAB!U15/LAB!$D$46)/4</f>
        <v>0.44867724867724867</v>
      </c>
      <c r="G47" s="72">
        <f>([1]MIDTERM!O15/[1]MIDTERM!$D$38+FINAL!O15/FINAL!$D$38+HOMEWORK!M15/HOMEWORK!$O$39+LAB!V15/LAB!$D$47)/4</f>
        <v>0.33749999999999997</v>
      </c>
      <c r="H47" s="72">
        <f>([1]MIDTERM!P15/[1]MIDTERM!$D$39+FINAL!P15/FINAL!$D$39+HOMEWORK!N15/HOMEWORK!$O$40+LAB!W15/LAB!$D$48)/4</f>
        <v>0.43812499999999999</v>
      </c>
      <c r="I47" s="1">
        <f>([1]MIDTERM!Q15/[1]MIDTERM!$D$40+FINAL!Q15/FINAL!$D$40+HOMEWORK!O15/HOMEWORK!$O$41+LAB!X15/LAB!$D$49)/4</f>
        <v>0.32793560606060607</v>
      </c>
      <c r="N47" s="45">
        <v>2</v>
      </c>
      <c r="O47" s="17" t="s">
        <v>84</v>
      </c>
      <c r="P47" s="17">
        <f>LAB!S38</f>
        <v>22.866666666666667</v>
      </c>
      <c r="Q47" s="54">
        <f>[1]MIDTERM!L44</f>
        <v>2.8055555555555554</v>
      </c>
      <c r="R47" s="54">
        <f>FINAL!L44</f>
        <v>2.0458333333333334</v>
      </c>
      <c r="S47" s="17">
        <f>HOMEWORK!K39</f>
        <v>1.7833333333333334</v>
      </c>
      <c r="T47" s="17">
        <f>SUM(Tablo41342[[#This Row],[LAB]:[HOMEWORK]])/P39</f>
        <v>0.45386752136752145</v>
      </c>
    </row>
    <row r="48" spans="1:21" ht="15" x14ac:dyDescent="0.3">
      <c r="A48" s="75"/>
      <c r="B48" s="64">
        <v>12</v>
      </c>
      <c r="C48" s="1">
        <v>12</v>
      </c>
      <c r="D48" s="1" t="str">
        <f>VLOOKUP(Tablo2[[#This Row],[Student No]],Tablo1[[Student No]:[Surname]],2,FALSE)</f>
        <v>Name</v>
      </c>
      <c r="E48" s="1" t="str">
        <f>VLOOKUP(Tablo2[[#This Row],[Student No]],Tablo1[[Student No]:[Surname]],3,FALSE)</f>
        <v>Surname</v>
      </c>
      <c r="F48" s="1">
        <f>([1]MIDTERM!N16/[1]MIDTERM!$D$37+FINAL!N16/FINAL!$D$37+HOMEWORK!L16/HOMEWORK!$O$38+LAB!U16/LAB!$D$46)/4</f>
        <v>0.39042328042328039</v>
      </c>
      <c r="G48" s="72">
        <f>([1]MIDTERM!O16/[1]MIDTERM!$D$38+FINAL!O16/FINAL!$D$38+HOMEWORK!M16/HOMEWORK!$O$39+LAB!V16/LAB!$D$47)/4</f>
        <v>0.33958333333333329</v>
      </c>
      <c r="H48" s="72">
        <f>([1]MIDTERM!P16/[1]MIDTERM!$D$39+FINAL!P16/FINAL!$D$39+HOMEWORK!N16/HOMEWORK!$O$40+LAB!W16/LAB!$D$48)/4</f>
        <v>0.35552083333333334</v>
      </c>
      <c r="I48" s="1">
        <f>([1]MIDTERM!Q16/[1]MIDTERM!$D$40+FINAL!Q16/FINAL!$D$40+HOMEWORK!O16/HOMEWORK!$O$41+LAB!X16/LAB!$D$49)/4</f>
        <v>0.26761363636363633</v>
      </c>
      <c r="N48" s="45">
        <v>3</v>
      </c>
      <c r="O48" s="17" t="s">
        <v>85</v>
      </c>
      <c r="P48" s="17">
        <f>LAB!S39</f>
        <v>25.933333333333337</v>
      </c>
      <c r="Q48" s="54">
        <f>[1]MIDTERM!L45</f>
        <v>2.0222222222222217</v>
      </c>
      <c r="R48" s="54">
        <f>FINAL!L45</f>
        <v>15.698611111111109</v>
      </c>
      <c r="S48" s="17">
        <f>HOMEWORK!K40</f>
        <v>4.0388888888888888</v>
      </c>
      <c r="T48" s="17">
        <f>SUM(Tablo41342[[#This Row],[LAB]:[HOMEWORK]])/P40</f>
        <v>0.41472222222222227</v>
      </c>
    </row>
    <row r="49" spans="1:20" ht="15" x14ac:dyDescent="0.3">
      <c r="A49" s="75"/>
      <c r="B49" s="63">
        <v>13</v>
      </c>
      <c r="C49" s="1">
        <v>13</v>
      </c>
      <c r="D49" s="1" t="str">
        <f>VLOOKUP(Tablo2[[#This Row],[Student No]],Tablo1[[Student No]:[Surname]],2,FALSE)</f>
        <v>Name</v>
      </c>
      <c r="E49" s="1" t="str">
        <f>VLOOKUP(Tablo2[[#This Row],[Student No]],Tablo1[[Student No]:[Surname]],3,FALSE)</f>
        <v>Surname</v>
      </c>
      <c r="F49" s="1">
        <f>([1]MIDTERM!N17/[1]MIDTERM!$D$37+FINAL!N17/FINAL!$D$37+HOMEWORK!L17/HOMEWORK!$O$38+LAB!U17/LAB!$D$46)/4</f>
        <v>0.40955026455026455</v>
      </c>
      <c r="G49" s="72">
        <f>([1]MIDTERM!O17/[1]MIDTERM!$D$38+FINAL!O17/FINAL!$D$38+HOMEWORK!M17/HOMEWORK!$O$39+LAB!V17/LAB!$D$47)/4</f>
        <v>0.29895833333333333</v>
      </c>
      <c r="H49" s="72">
        <f>([1]MIDTERM!P17/[1]MIDTERM!$D$39+FINAL!P17/FINAL!$D$39+HOMEWORK!N17/HOMEWORK!$O$40+LAB!W17/LAB!$D$48)/4</f>
        <v>0.49791666666666662</v>
      </c>
      <c r="I49" s="1">
        <f>([1]MIDTERM!Q17/[1]MIDTERM!$D$40+FINAL!Q17/FINAL!$D$40+HOMEWORK!O17/HOMEWORK!$O$41+LAB!X17/LAB!$D$49)/4</f>
        <v>0.50738636363636358</v>
      </c>
      <c r="N49" s="1">
        <v>4</v>
      </c>
      <c r="O49" s="17" t="s">
        <v>86</v>
      </c>
      <c r="P49" s="17">
        <f>LAB!S40</f>
        <v>28.93333333333333</v>
      </c>
      <c r="Q49" s="54">
        <f>[1]MIDTERM!L46</f>
        <v>16.522222222222226</v>
      </c>
      <c r="R49" s="54">
        <f>FINAL!L46</f>
        <v>3.5333333333333332</v>
      </c>
      <c r="S49" s="17">
        <f>HOMEWORK!K41</f>
        <v>1.05</v>
      </c>
      <c r="T49" s="17">
        <f>SUM(Tablo41342[[#This Row],[LAB]:[HOMEWORK]])/P41</f>
        <v>0.40031111111111106</v>
      </c>
    </row>
    <row r="50" spans="1:20" ht="15" x14ac:dyDescent="0.3">
      <c r="A50" s="75"/>
      <c r="B50" s="64">
        <v>14</v>
      </c>
      <c r="C50" s="1">
        <v>14</v>
      </c>
      <c r="D50" s="1" t="str">
        <f>VLOOKUP(Tablo2[[#This Row],[Student No]],Tablo1[[Student No]:[Surname]],2,FALSE)</f>
        <v>Name</v>
      </c>
      <c r="E50" s="1" t="str">
        <f>VLOOKUP(Tablo2[[#This Row],[Student No]],Tablo1[[Student No]:[Surname]],3,FALSE)</f>
        <v>Surname</v>
      </c>
      <c r="F50" s="1">
        <f>([1]MIDTERM!N18/[1]MIDTERM!$D$37+FINAL!N18/FINAL!$D$37+HOMEWORK!L18/HOMEWORK!$O$38+LAB!U18/LAB!$D$46)/4</f>
        <v>0.42523809523809525</v>
      </c>
      <c r="G50" s="72">
        <f>([1]MIDTERM!O18/[1]MIDTERM!$D$38+FINAL!O18/FINAL!$D$38+HOMEWORK!M18/HOMEWORK!$O$39+LAB!V18/LAB!$D$47)/4</f>
        <v>0.31770833333333331</v>
      </c>
      <c r="H50" s="72">
        <f>([1]MIDTERM!P18/[1]MIDTERM!$D$39+FINAL!P18/FINAL!$D$39+HOMEWORK!N18/HOMEWORK!$O$40+LAB!W18/LAB!$D$48)/4</f>
        <v>0.42197916666666668</v>
      </c>
      <c r="I50" s="1">
        <f>([1]MIDTERM!Q18/[1]MIDTERM!$D$40+FINAL!Q18/FINAL!$D$40+HOMEWORK!O18/HOMEWORK!$O$41+LAB!X18/LAB!$D$49)/4</f>
        <v>0.39015151515151514</v>
      </c>
    </row>
    <row r="51" spans="1:20" ht="15" x14ac:dyDescent="0.3">
      <c r="A51" s="75"/>
      <c r="B51" s="63">
        <v>15</v>
      </c>
      <c r="C51" s="1">
        <v>15</v>
      </c>
      <c r="D51" s="1" t="str">
        <f>VLOOKUP(Tablo2[[#This Row],[Student No]],Tablo1[[Student No]:[Surname]],2,FALSE)</f>
        <v>Name</v>
      </c>
      <c r="E51" s="1" t="str">
        <f>VLOOKUP(Tablo2[[#This Row],[Student No]],Tablo1[[Student No]:[Surname]],3,FALSE)</f>
        <v>Surname</v>
      </c>
      <c r="F51" s="1">
        <f>([1]MIDTERM!N19/[1]MIDTERM!$D$37+FINAL!N19/FINAL!$D$37+HOMEWORK!L19/HOMEWORK!$O$38+LAB!U19/LAB!$D$46)/4</f>
        <v>0.47755291005291006</v>
      </c>
      <c r="G51" s="72">
        <f>([1]MIDTERM!O19/[1]MIDTERM!$D$38+FINAL!O19/FINAL!$D$38+HOMEWORK!M19/HOMEWORK!$O$39+LAB!V19/LAB!$D$47)/4</f>
        <v>0.49791666666666662</v>
      </c>
      <c r="H51" s="72">
        <f>([1]MIDTERM!P19/[1]MIDTERM!$D$39+FINAL!P19/FINAL!$D$39+HOMEWORK!N19/HOMEWORK!$O$40+LAB!W19/LAB!$D$48)/4</f>
        <v>0.45291666666666663</v>
      </c>
      <c r="I51" s="1">
        <f>([1]MIDTERM!Q19/[1]MIDTERM!$D$40+FINAL!Q19/FINAL!$D$40+HOMEWORK!O19/HOMEWORK!$O$41+LAB!X19/LAB!$D$49)/4</f>
        <v>0.37102272727272728</v>
      </c>
    </row>
    <row r="52" spans="1:20" ht="15" x14ac:dyDescent="0.3">
      <c r="A52" s="75"/>
      <c r="B52" s="64">
        <v>16</v>
      </c>
      <c r="C52" s="1">
        <v>16</v>
      </c>
      <c r="D52" s="1" t="str">
        <f>VLOOKUP(Tablo2[[#This Row],[Student No]],Tablo1[[Student No]:[Surname]],2,FALSE)</f>
        <v>Name</v>
      </c>
      <c r="E52" s="1" t="str">
        <f>VLOOKUP(Tablo2[[#This Row],[Student No]],Tablo1[[Student No]:[Surname]],3,FALSE)</f>
        <v>Surname</v>
      </c>
      <c r="F52" s="1">
        <f>([1]MIDTERM!N20/[1]MIDTERM!$D$37+FINAL!N20/FINAL!$D$37+HOMEWORK!L20/HOMEWORK!$O$38+LAB!U20/LAB!$D$46)/4</f>
        <v>0.37544973544973542</v>
      </c>
      <c r="G52" s="72">
        <f>([1]MIDTERM!O20/[1]MIDTERM!$D$38+FINAL!O20/FINAL!$D$38+HOMEWORK!M20/HOMEWORK!$O$39+LAB!V20/LAB!$D$47)/4</f>
        <v>0.61979166666666663</v>
      </c>
      <c r="H52" s="72">
        <f>([1]MIDTERM!P20/[1]MIDTERM!$D$39+FINAL!P20/FINAL!$D$39+HOMEWORK!N20/HOMEWORK!$O$40+LAB!W20/LAB!$D$48)/4</f>
        <v>0.49874999999999992</v>
      </c>
      <c r="I52" s="1">
        <f>([1]MIDTERM!Q20/[1]MIDTERM!$D$40+FINAL!Q20/FINAL!$D$40+HOMEWORK!O20/HOMEWORK!$O$41+LAB!X20/LAB!$D$49)/4</f>
        <v>0.39498106060606064</v>
      </c>
    </row>
    <row r="53" spans="1:20" ht="15" x14ac:dyDescent="0.3">
      <c r="A53" s="75"/>
      <c r="B53" s="63">
        <v>17</v>
      </c>
      <c r="C53" s="1">
        <v>17</v>
      </c>
      <c r="D53" s="1" t="str">
        <f>VLOOKUP(Tablo2[[#This Row],[Student No]],Tablo1[[Student No]:[Surname]],2,FALSE)</f>
        <v>Name</v>
      </c>
      <c r="E53" s="1" t="str">
        <f>VLOOKUP(Tablo2[[#This Row],[Student No]],Tablo1[[Student No]:[Surname]],3,FALSE)</f>
        <v>Surname</v>
      </c>
      <c r="F53" s="1">
        <f>([1]MIDTERM!N21/[1]MIDTERM!$D$37+FINAL!N21/FINAL!$D$37+HOMEWORK!L21/HOMEWORK!$O$38+LAB!U21/LAB!$D$46)/4</f>
        <v>0.46373015873015877</v>
      </c>
      <c r="G53" s="72">
        <f>([1]MIDTERM!O21/[1]MIDTERM!$D$38+FINAL!O21/FINAL!$D$38+HOMEWORK!M21/HOMEWORK!$O$39+LAB!V21/LAB!$D$47)/4</f>
        <v>0.33229166666666671</v>
      </c>
      <c r="H53" s="72">
        <f>([1]MIDTERM!P21/[1]MIDTERM!$D$39+FINAL!P21/FINAL!$D$39+HOMEWORK!N21/HOMEWORK!$O$40+LAB!W21/LAB!$D$48)/4</f>
        <v>0.34614583333333332</v>
      </c>
      <c r="I53" s="1">
        <f>([1]MIDTERM!Q21/[1]MIDTERM!$D$40+FINAL!Q21/FINAL!$D$40+HOMEWORK!O21/HOMEWORK!$O$41+LAB!X21/LAB!$D$49)/4</f>
        <v>0.26382575757575755</v>
      </c>
    </row>
    <row r="54" spans="1:20" ht="15" x14ac:dyDescent="0.3">
      <c r="A54" s="75"/>
      <c r="B54" s="64">
        <v>18</v>
      </c>
      <c r="C54" s="1">
        <v>18</v>
      </c>
      <c r="D54" s="1" t="str">
        <f>VLOOKUP(Tablo2[[#This Row],[Student No]],Tablo1[[Student No]:[Surname]],2,FALSE)</f>
        <v>Name</v>
      </c>
      <c r="E54" s="1" t="str">
        <f>VLOOKUP(Tablo2[[#This Row],[Student No]],Tablo1[[Student No]:[Surname]],3,FALSE)</f>
        <v>Surname</v>
      </c>
      <c r="F54" s="1">
        <f>([1]MIDTERM!N22/[1]MIDTERM!$D$37+FINAL!N22/FINAL!$D$37+HOMEWORK!L22/HOMEWORK!$O$38+LAB!U22/LAB!$D$46)/4</f>
        <v>0.36373015873015874</v>
      </c>
      <c r="G54" s="72">
        <f>([1]MIDTERM!O22/[1]MIDTERM!$D$38+FINAL!O22/FINAL!$D$38+HOMEWORK!M22/HOMEWORK!$O$39+LAB!V22/LAB!$D$47)/4</f>
        <v>0.3208333333333333</v>
      </c>
      <c r="H54" s="72">
        <f>([1]MIDTERM!P22/[1]MIDTERM!$D$39+FINAL!P22/FINAL!$D$39+HOMEWORK!N22/HOMEWORK!$O$40+LAB!W22/LAB!$D$48)/4</f>
        <v>0.36010416666666667</v>
      </c>
      <c r="I54" s="1">
        <f>([1]MIDTERM!Q22/[1]MIDTERM!$D$40+FINAL!Q22/FINAL!$D$40+HOMEWORK!O22/HOMEWORK!$O$41+LAB!X22/LAB!$D$49)/4</f>
        <v>0.24535984848484846</v>
      </c>
    </row>
    <row r="55" spans="1:20" ht="15" x14ac:dyDescent="0.3">
      <c r="A55" s="75"/>
      <c r="B55" s="63">
        <v>19</v>
      </c>
      <c r="C55" s="1">
        <v>19</v>
      </c>
      <c r="D55" s="1" t="str">
        <f>VLOOKUP(Tablo2[[#This Row],[Student No]],Tablo1[[Student No]:[Surname]],2,FALSE)</f>
        <v>Name</v>
      </c>
      <c r="E55" s="1" t="str">
        <f>VLOOKUP(Tablo2[[#This Row],[Student No]],Tablo1[[Student No]:[Surname]],3,FALSE)</f>
        <v>Surname</v>
      </c>
      <c r="F55" s="1">
        <f>([1]MIDTERM!N23/[1]MIDTERM!$D$37+FINAL!N23/FINAL!$D$37+HOMEWORK!L23/HOMEWORK!$O$38+LAB!U23/LAB!$D$46)/4</f>
        <v>0.46923280423280422</v>
      </c>
      <c r="G55" s="72">
        <f>([1]MIDTERM!O23/[1]MIDTERM!$D$38+FINAL!O23/FINAL!$D$38+HOMEWORK!M23/HOMEWORK!$O$39+LAB!V23/LAB!$D$47)/4</f>
        <v>0.42291666666666666</v>
      </c>
      <c r="H55" s="72">
        <f>([1]MIDTERM!P23/[1]MIDTERM!$D$39+FINAL!P23/FINAL!$D$39+HOMEWORK!N23/HOMEWORK!$O$40+LAB!W23/LAB!$D$48)/4</f>
        <v>0.46833333333333327</v>
      </c>
      <c r="I55" s="1">
        <f>([1]MIDTERM!Q23/[1]MIDTERM!$D$40+FINAL!Q23/FINAL!$D$40+HOMEWORK!O23/HOMEWORK!$O$41+LAB!X23/LAB!$D$49)/4</f>
        <v>0.27575757575757576</v>
      </c>
    </row>
    <row r="56" spans="1:20" ht="15" x14ac:dyDescent="0.3">
      <c r="A56" s="75"/>
      <c r="B56" s="64">
        <v>20</v>
      </c>
      <c r="C56" s="1">
        <v>20</v>
      </c>
      <c r="D56" s="1" t="str">
        <f>VLOOKUP(Tablo2[[#This Row],[Student No]],Tablo1[[Student No]:[Surname]],2,FALSE)</f>
        <v>Name</v>
      </c>
      <c r="E56" s="1" t="str">
        <f>VLOOKUP(Tablo2[[#This Row],[Student No]],Tablo1[[Student No]:[Surname]],3,FALSE)</f>
        <v>Surname</v>
      </c>
      <c r="F56" s="1">
        <f>([1]MIDTERM!N24/[1]MIDTERM!$D$37+FINAL!N24/FINAL!$D$37+HOMEWORK!L24/HOMEWORK!$O$38+LAB!U24/LAB!$D$46)/4</f>
        <v>0.2709259259259259</v>
      </c>
      <c r="G56" s="72">
        <f>([1]MIDTERM!O24/[1]MIDTERM!$D$38+FINAL!O24/FINAL!$D$38+HOMEWORK!M24/HOMEWORK!$O$39+LAB!V24/LAB!$D$47)/4</f>
        <v>0.38645833333333335</v>
      </c>
      <c r="H56" s="72">
        <f>([1]MIDTERM!P24/[1]MIDTERM!$D$39+FINAL!P24/FINAL!$D$39+HOMEWORK!N24/HOMEWORK!$O$40+LAB!W24/LAB!$D$48)/4</f>
        <v>0.36031250000000004</v>
      </c>
      <c r="I56" s="1">
        <f>([1]MIDTERM!Q24/[1]MIDTERM!$D$40+FINAL!Q24/FINAL!$D$40+HOMEWORK!O24/HOMEWORK!$O$41+LAB!X24/LAB!$D$49)/4</f>
        <v>0.30369318181818183</v>
      </c>
    </row>
    <row r="57" spans="1:20" ht="15" x14ac:dyDescent="0.3">
      <c r="A57" s="75"/>
      <c r="B57" s="63">
        <v>21</v>
      </c>
      <c r="C57" s="1">
        <v>21</v>
      </c>
      <c r="D57" s="1" t="str">
        <f>VLOOKUP(Tablo2[[#This Row],[Student No]],Tablo1[[Student No]:[Surname]],2,FALSE)</f>
        <v>Name</v>
      </c>
      <c r="E57" s="1" t="str">
        <f>VLOOKUP(Tablo2[[#This Row],[Student No]],Tablo1[[Student No]:[Surname]],3,FALSE)</f>
        <v>Surname</v>
      </c>
      <c r="F57" s="1">
        <f>([1]MIDTERM!N25/[1]MIDTERM!$D$37+FINAL!N25/FINAL!$D$37+HOMEWORK!L25/HOMEWORK!$O$38+LAB!U25/LAB!$D$46)/4</f>
        <v>0.43917989417989423</v>
      </c>
      <c r="G57" s="72">
        <f>([1]MIDTERM!O25/[1]MIDTERM!$D$38+FINAL!O25/FINAL!$D$38+HOMEWORK!M25/HOMEWORK!$O$39+LAB!V25/LAB!$D$47)/4</f>
        <v>0.34062500000000001</v>
      </c>
      <c r="H57" s="72">
        <f>([1]MIDTERM!P25/[1]MIDTERM!$D$39+FINAL!P25/FINAL!$D$39+HOMEWORK!N25/HOMEWORK!$O$40+LAB!W25/LAB!$D$48)/4</f>
        <v>0.36322916666666666</v>
      </c>
      <c r="I57" s="1">
        <f>([1]MIDTERM!Q25/[1]MIDTERM!$D$40+FINAL!Q25/FINAL!$D$40+HOMEWORK!O25/HOMEWORK!$O$41+LAB!X25/LAB!$D$49)/4</f>
        <v>0.36240530303030299</v>
      </c>
      <c r="J57" s="80"/>
    </row>
    <row r="58" spans="1:20" ht="15" x14ac:dyDescent="0.3">
      <c r="A58" s="75"/>
      <c r="B58" s="64">
        <v>22</v>
      </c>
      <c r="C58" s="1">
        <v>22</v>
      </c>
      <c r="D58" s="1" t="str">
        <f>VLOOKUP(Tablo2[[#This Row],[Student No]],Tablo1[[Student No]:[Surname]],2,FALSE)</f>
        <v>Name</v>
      </c>
      <c r="E58" s="1" t="str">
        <f>VLOOKUP(Tablo2[[#This Row],[Student No]],Tablo1[[Student No]:[Surname]],3,FALSE)</f>
        <v>Surname</v>
      </c>
      <c r="F58" s="1">
        <f>([1]MIDTERM!N26/[1]MIDTERM!$D$37+FINAL!N26/FINAL!$D$37+HOMEWORK!L26/HOMEWORK!$O$38+LAB!U26/LAB!$D$46)/4</f>
        <v>0.42476190476190478</v>
      </c>
      <c r="G58" s="72">
        <f>([1]MIDTERM!O26/[1]MIDTERM!$D$38+FINAL!O26/FINAL!$D$38+HOMEWORK!M26/HOMEWORK!$O$39+LAB!V26/LAB!$D$47)/4</f>
        <v>0.34375</v>
      </c>
      <c r="H58" s="72">
        <f>([1]MIDTERM!P26/[1]MIDTERM!$D$39+FINAL!P26/FINAL!$D$39+HOMEWORK!N26/HOMEWORK!$O$40+LAB!W26/LAB!$D$48)/4</f>
        <v>0.35625000000000001</v>
      </c>
      <c r="I58" s="1">
        <f>([1]MIDTERM!Q26/[1]MIDTERM!$D$40+FINAL!Q26/FINAL!$D$40+HOMEWORK!O26/HOMEWORK!$O$41+LAB!X26/LAB!$D$49)/4</f>
        <v>0.19706439393939396</v>
      </c>
    </row>
    <row r="59" spans="1:20" ht="15" x14ac:dyDescent="0.3">
      <c r="A59" s="75"/>
      <c r="B59" s="63">
        <v>23</v>
      </c>
      <c r="C59" s="1">
        <v>23</v>
      </c>
      <c r="D59" s="1" t="str">
        <f>VLOOKUP(Tablo2[[#This Row],[Student No]],Tablo1[[Student No]:[Surname]],2,FALSE)</f>
        <v>Name</v>
      </c>
      <c r="E59" s="1" t="str">
        <f>VLOOKUP(Tablo2[[#This Row],[Student No]],Tablo1[[Student No]:[Surname]],3,FALSE)</f>
        <v>Surname</v>
      </c>
      <c r="F59" s="1">
        <f>([1]MIDTERM!N27/[1]MIDTERM!$D$37+FINAL!N27/FINAL!$D$37+HOMEWORK!L27/HOMEWORK!$O$38+LAB!U27/LAB!$D$46)/4</f>
        <v>0.45370370370370366</v>
      </c>
      <c r="G59" s="72">
        <f>([1]MIDTERM!O27/[1]MIDTERM!$D$38+FINAL!O27/FINAL!$D$38+HOMEWORK!M27/HOMEWORK!$O$39+LAB!V27/LAB!$D$47)/4</f>
        <v>0.421875</v>
      </c>
      <c r="H59" s="72">
        <f>([1]MIDTERM!P27/[1]MIDTERM!$D$39+FINAL!P27/FINAL!$D$39+HOMEWORK!N27/HOMEWORK!$O$40+LAB!W27/LAB!$D$48)/4</f>
        <v>0.45427083333333335</v>
      </c>
      <c r="I59" s="1">
        <f>([1]MIDTERM!Q27/[1]MIDTERM!$D$40+FINAL!Q27/FINAL!$D$40+HOMEWORK!O27/HOMEWORK!$O$41+LAB!X27/LAB!$D$49)/4</f>
        <v>0.40890151515151518</v>
      </c>
    </row>
    <row r="60" spans="1:20" ht="15" x14ac:dyDescent="0.3">
      <c r="A60" s="75"/>
      <c r="B60" s="64">
        <v>24</v>
      </c>
      <c r="C60" s="1">
        <v>24</v>
      </c>
      <c r="D60" s="1" t="str">
        <f>VLOOKUP(Tablo2[[#This Row],[Student No]],Tablo1[[Student No]:[Surname]],2,FALSE)</f>
        <v>Name</v>
      </c>
      <c r="E60" s="1" t="str">
        <f>VLOOKUP(Tablo2[[#This Row],[Student No]],Tablo1[[Student No]:[Surname]],3,FALSE)</f>
        <v>Surname</v>
      </c>
      <c r="F60" s="1">
        <f>([1]MIDTERM!N28/[1]MIDTERM!$D$37+FINAL!N28/FINAL!$D$37+HOMEWORK!L28/HOMEWORK!$O$38+LAB!U28/LAB!$D$46)/4</f>
        <v>0.42208994708994707</v>
      </c>
      <c r="G60" s="72">
        <f>([1]MIDTERM!O28/[1]MIDTERM!$D$38+FINAL!O28/FINAL!$D$38+HOMEWORK!M28/HOMEWORK!$O$39+LAB!V28/LAB!$D$47)/4</f>
        <v>0.47916666666666663</v>
      </c>
      <c r="H60" s="72">
        <f>([1]MIDTERM!P28/[1]MIDTERM!$D$39+FINAL!P28/FINAL!$D$39+HOMEWORK!N28/HOMEWORK!$O$40+LAB!W28/LAB!$D$48)/4</f>
        <v>0.31395833333333334</v>
      </c>
      <c r="I60" s="1">
        <f>([1]MIDTERM!Q28/[1]MIDTERM!$D$40+FINAL!Q28/FINAL!$D$40+HOMEWORK!O28/HOMEWORK!$O$41+LAB!X28/LAB!$D$49)/4</f>
        <v>0.43143939393939396</v>
      </c>
    </row>
    <row r="61" spans="1:20" ht="15" x14ac:dyDescent="0.3">
      <c r="A61" s="75"/>
      <c r="B61" s="63">
        <v>25</v>
      </c>
      <c r="C61" s="1">
        <v>25</v>
      </c>
      <c r="D61" s="1" t="str">
        <f>VLOOKUP(Tablo2[[#This Row],[Student No]],Tablo1[[Student No]:[Surname]],2,FALSE)</f>
        <v>Name</v>
      </c>
      <c r="E61" s="1" t="str">
        <f>VLOOKUP(Tablo2[[#This Row],[Student No]],Tablo1[[Student No]:[Surname]],3,FALSE)</f>
        <v>Surname</v>
      </c>
      <c r="F61" s="1">
        <f>([1]MIDTERM!N29/[1]MIDTERM!$D$37+FINAL!N29/FINAL!$D$37+HOMEWORK!L29/HOMEWORK!$O$38+LAB!U29/LAB!$D$46)/4</f>
        <v>0.27301587301587305</v>
      </c>
      <c r="G61" s="72">
        <f>([1]MIDTERM!O29/[1]MIDTERM!$D$38+FINAL!O29/FINAL!$D$38+HOMEWORK!M29/HOMEWORK!$O$39+LAB!V29/LAB!$D$47)/4</f>
        <v>0.25937500000000002</v>
      </c>
      <c r="H61" s="72">
        <f>([1]MIDTERM!P29/[1]MIDTERM!$D$39+FINAL!P29/FINAL!$D$39+HOMEWORK!N29/HOMEWORK!$O$40+LAB!W29/LAB!$D$48)/4</f>
        <v>0.36239583333333331</v>
      </c>
      <c r="I61" s="1">
        <f>([1]MIDTERM!Q29/[1]MIDTERM!$D$40+FINAL!Q29/FINAL!$D$40+HOMEWORK!O29/HOMEWORK!$O$41+LAB!X29/LAB!$D$49)/4</f>
        <v>0.1865530303030303</v>
      </c>
    </row>
    <row r="62" spans="1:20" ht="15" x14ac:dyDescent="0.3">
      <c r="A62" s="75"/>
      <c r="B62" s="64">
        <v>26</v>
      </c>
      <c r="C62" s="1">
        <v>26</v>
      </c>
      <c r="D62" s="1" t="str">
        <f>VLOOKUP(Tablo2[[#This Row],[Student No]],Tablo1[[Student No]:[Surname]],2,FALSE)</f>
        <v>Name</v>
      </c>
      <c r="E62" s="1" t="str">
        <f>VLOOKUP(Tablo2[[#This Row],[Student No]],Tablo1[[Student No]:[Surname]],3,FALSE)</f>
        <v>Surname</v>
      </c>
      <c r="F62" s="1">
        <f>([1]MIDTERM!N30/[1]MIDTERM!$D$37+FINAL!N30/FINAL!$D$37+HOMEWORK!L30/HOMEWORK!$O$38+LAB!U30/LAB!$D$46)/4</f>
        <v>0.41899470899470892</v>
      </c>
      <c r="G62" s="72">
        <f>([1]MIDTERM!O30/[1]MIDTERM!$D$38+FINAL!O30/FINAL!$D$38+HOMEWORK!M30/HOMEWORK!$O$39+LAB!V30/LAB!$D$47)/4</f>
        <v>0.35</v>
      </c>
      <c r="H62" s="72">
        <f>([1]MIDTERM!P30/[1]MIDTERM!$D$39+FINAL!P30/FINAL!$D$39+HOMEWORK!N30/HOMEWORK!$O$40+LAB!W30/LAB!$D$48)/4</f>
        <v>0.34312500000000001</v>
      </c>
      <c r="I62" s="1">
        <f>([1]MIDTERM!Q30/[1]MIDTERM!$D$40+FINAL!Q30/FINAL!$D$40+HOMEWORK!O30/HOMEWORK!$O$41+LAB!X30/LAB!$D$49)/4</f>
        <v>0.18759469696969697</v>
      </c>
    </row>
    <row r="63" spans="1:20" ht="15" x14ac:dyDescent="0.3">
      <c r="A63" s="75"/>
      <c r="B63" s="63">
        <v>27</v>
      </c>
      <c r="C63" s="1">
        <v>27</v>
      </c>
      <c r="D63" s="1" t="str">
        <f>VLOOKUP(Tablo2[[#This Row],[Student No]],Tablo1[[Student No]:[Surname]],2,FALSE)</f>
        <v>Name</v>
      </c>
      <c r="E63" s="1" t="str">
        <f>VLOOKUP(Tablo2[[#This Row],[Student No]],Tablo1[[Student No]:[Surname]],3,FALSE)</f>
        <v>Surname</v>
      </c>
      <c r="F63" s="1">
        <f>([1]MIDTERM!N31/[1]MIDTERM!$D$37+FINAL!N31/FINAL!$D$37+HOMEWORK!L31/HOMEWORK!$O$38+LAB!U31/LAB!$D$46)/4</f>
        <v>0.31962962962962965</v>
      </c>
      <c r="G63" s="72">
        <f>([1]MIDTERM!O31/[1]MIDTERM!$D$38+FINAL!O31/FINAL!$D$38+HOMEWORK!M31/HOMEWORK!$O$39+LAB!V31/LAB!$D$47)/4</f>
        <v>0.3197916666666667</v>
      </c>
      <c r="H63" s="72">
        <f>([1]MIDTERM!P31/[1]MIDTERM!$D$39+FINAL!P31/FINAL!$D$39+HOMEWORK!N31/HOMEWORK!$O$40+LAB!W31/LAB!$D$48)/4</f>
        <v>0.28708333333333336</v>
      </c>
      <c r="I63" s="1">
        <f>([1]MIDTERM!Q31/[1]MIDTERM!$D$40+FINAL!Q31/FINAL!$D$40+HOMEWORK!O31/HOMEWORK!$O$41+LAB!X31/LAB!$D$49)/4</f>
        <v>0.23522727272727273</v>
      </c>
    </row>
    <row r="64" spans="1:20" ht="15" x14ac:dyDescent="0.3">
      <c r="A64" s="75"/>
      <c r="B64" s="64">
        <v>28</v>
      </c>
      <c r="C64" s="1">
        <v>28</v>
      </c>
      <c r="D64" s="1" t="str">
        <f>VLOOKUP(Tablo2[[#This Row],[Student No]],Tablo1[[Student No]:[Surname]],2,FALSE)</f>
        <v>Name</v>
      </c>
      <c r="E64" s="1" t="str">
        <f>VLOOKUP(Tablo2[[#This Row],[Student No]],Tablo1[[Student No]:[Surname]],3,FALSE)</f>
        <v>Surname</v>
      </c>
      <c r="F64" s="1">
        <f>([1]MIDTERM!N32/[1]MIDTERM!$D$37+FINAL!N32/FINAL!$D$37+HOMEWORK!L32/HOMEWORK!$O$38+LAB!U32/LAB!$D$46)/4</f>
        <v>0.38730158730158731</v>
      </c>
      <c r="G64" s="72">
        <f>([1]MIDTERM!O32/[1]MIDTERM!$D$38+FINAL!O32/FINAL!$D$38+HOMEWORK!M32/HOMEWORK!$O$39+LAB!V32/LAB!$D$47)/4</f>
        <v>0.33124999999999999</v>
      </c>
      <c r="H64" s="72">
        <f>([1]MIDTERM!P32/[1]MIDTERM!$D$39+FINAL!P32/FINAL!$D$39+HOMEWORK!N32/HOMEWORK!$O$40+LAB!W32/LAB!$D$48)/4</f>
        <v>0.35468750000000004</v>
      </c>
      <c r="I64" s="1">
        <f>([1]MIDTERM!Q32/[1]MIDTERM!$D$40+FINAL!Q32/FINAL!$D$40+HOMEWORK!O32/HOMEWORK!$O$41+LAB!X32/LAB!$D$49)/4</f>
        <v>0.25274621212121212</v>
      </c>
    </row>
    <row r="65" spans="1:24" ht="15" x14ac:dyDescent="0.3">
      <c r="A65" s="75"/>
      <c r="B65" s="63">
        <v>29</v>
      </c>
      <c r="C65" s="1">
        <v>29</v>
      </c>
      <c r="D65" s="1" t="str">
        <f>VLOOKUP(Tablo2[[#This Row],[Student No]],Tablo1[[Student No]:[Surname]],2,FALSE)</f>
        <v>Name</v>
      </c>
      <c r="E65" s="1" t="str">
        <f>VLOOKUP(Tablo2[[#This Row],[Student No]],Tablo1[[Student No]:[Surname]],3,FALSE)</f>
        <v>Surname</v>
      </c>
      <c r="F65" s="1">
        <f>([1]MIDTERM!N33/[1]MIDTERM!$D$37+FINAL!N33/FINAL!$D$37+HOMEWORK!L33/HOMEWORK!$O$38+LAB!U33/LAB!$D$46)/4</f>
        <v>0.24121693121693122</v>
      </c>
      <c r="G65" s="72">
        <f>([1]MIDTERM!O33/[1]MIDTERM!$D$38+FINAL!O33/FINAL!$D$38+HOMEWORK!M33/HOMEWORK!$O$39+LAB!V33/LAB!$D$47)/4</f>
        <v>0.2572916666666667</v>
      </c>
      <c r="H65" s="72">
        <f>([1]MIDTERM!P33/[1]MIDTERM!$D$39+FINAL!P33/FINAL!$D$39+HOMEWORK!N33/HOMEWORK!$O$40+LAB!W33/LAB!$D$48)/4</f>
        <v>0.32718749999999996</v>
      </c>
      <c r="I65" s="1">
        <f>([1]MIDTERM!Q33/[1]MIDTERM!$D$40+FINAL!Q33/FINAL!$D$40+HOMEWORK!O33/HOMEWORK!$O$41+LAB!X33/LAB!$D$49)/4</f>
        <v>0.19867424242424242</v>
      </c>
    </row>
    <row r="66" spans="1:24" ht="15" customHeight="1" x14ac:dyDescent="0.3">
      <c r="A66" s="75"/>
      <c r="B66" s="64">
        <v>30</v>
      </c>
      <c r="C66" s="1">
        <v>30</v>
      </c>
      <c r="D66" s="1" t="str">
        <f>VLOOKUP(Tablo2[[#This Row],[Student No]],Tablo1[[Student No]:[Surname]],2,FALSE)</f>
        <v>Name</v>
      </c>
      <c r="E66" s="1" t="str">
        <f>VLOOKUP(Tablo2[[#This Row],[Student No]],Tablo1[[Student No]:[Surname]],3,FALSE)</f>
        <v>Surname</v>
      </c>
      <c r="F66" s="1">
        <f>([1]MIDTERM!N34/[1]MIDTERM!$D$37+FINAL!N34/FINAL!$D$37+HOMEWORK!L34/HOMEWORK!$O$38+LAB!U34/LAB!$D$46)/4</f>
        <v>0.33177248677248683</v>
      </c>
      <c r="G66" s="72">
        <f>([1]MIDTERM!O34/[1]MIDTERM!$D$38+FINAL!O34/FINAL!$D$38+HOMEWORK!M34/HOMEWORK!$O$39+LAB!V34/LAB!$D$47)/4</f>
        <v>0.21458333333333335</v>
      </c>
      <c r="H66" s="72">
        <f>([1]MIDTERM!P34/[1]MIDTERM!$D$39+FINAL!P34/FINAL!$D$39+HOMEWORK!N34/HOMEWORK!$O$40+LAB!W34/LAB!$D$48)/4</f>
        <v>0.25645833333333334</v>
      </c>
      <c r="I66" s="1">
        <f>([1]MIDTERM!Q34/[1]MIDTERM!$D$40+FINAL!Q34/FINAL!$D$40+HOMEWORK!O34/HOMEWORK!$O$41+LAB!X34/LAB!$D$49)/4</f>
        <v>0.28560606060606059</v>
      </c>
    </row>
    <row r="67" spans="1:24" ht="15" x14ac:dyDescent="0.3">
      <c r="A67" s="75"/>
      <c r="D67" s="1"/>
      <c r="E67" s="1"/>
      <c r="F67" s="72"/>
      <c r="G67" s="72"/>
    </row>
    <row r="68" spans="1:24" ht="31.8" customHeight="1" x14ac:dyDescent="0.55000000000000004">
      <c r="A68" s="75"/>
      <c r="B68" s="81" t="s">
        <v>118</v>
      </c>
      <c r="C68" s="81"/>
      <c r="D68" s="81"/>
      <c r="E68" s="81"/>
      <c r="F68" s="81"/>
      <c r="G68" s="81"/>
      <c r="H68" s="81"/>
      <c r="I68" s="81"/>
      <c r="J68" s="81"/>
      <c r="K68" s="81"/>
      <c r="L68" s="81"/>
      <c r="M68" s="81"/>
      <c r="N68" s="81"/>
      <c r="O68" s="81"/>
      <c r="P68" s="81"/>
      <c r="Q68" s="81"/>
      <c r="R68" s="81"/>
      <c r="S68" s="81"/>
      <c r="T68" s="81"/>
      <c r="U68" s="81"/>
      <c r="V68" s="81"/>
      <c r="W68" s="81"/>
      <c r="X68" s="81"/>
    </row>
    <row r="69" spans="1:24" ht="15" x14ac:dyDescent="0.3">
      <c r="B69" s="27"/>
      <c r="C69" s="28" t="s">
        <v>61</v>
      </c>
      <c r="D69" s="28"/>
      <c r="E69" s="28" t="s">
        <v>62</v>
      </c>
      <c r="F69" s="28"/>
      <c r="G69" s="29" t="s">
        <v>63</v>
      </c>
      <c r="H69" s="29"/>
      <c r="I69" s="28" t="s">
        <v>64</v>
      </c>
      <c r="J69" s="28"/>
      <c r="K69" s="28" t="s">
        <v>65</v>
      </c>
      <c r="L69" s="28"/>
      <c r="M69" s="28" t="s">
        <v>66</v>
      </c>
      <c r="N69" s="28"/>
      <c r="O69" s="28" t="s">
        <v>67</v>
      </c>
      <c r="P69" s="28"/>
      <c r="Q69" s="30" t="s">
        <v>68</v>
      </c>
      <c r="R69" s="30"/>
      <c r="S69" s="30" t="s">
        <v>69</v>
      </c>
      <c r="T69" s="30"/>
      <c r="U69" s="30" t="s">
        <v>70</v>
      </c>
      <c r="V69" s="30"/>
      <c r="W69" s="30" t="s">
        <v>71</v>
      </c>
      <c r="X69" s="31"/>
    </row>
    <row r="70" spans="1:24" ht="15" customHeight="1" x14ac:dyDescent="0.3">
      <c r="B70" s="32" t="s">
        <v>72</v>
      </c>
      <c r="C70" s="33" t="b">
        <v>0</v>
      </c>
      <c r="D70" s="34">
        <f>IF(C70 = TRUE, T46/P38, 0)</f>
        <v>0</v>
      </c>
      <c r="E70" s="35" t="b">
        <v>0</v>
      </c>
      <c r="F70" s="34">
        <f>IF(E70 = TRUE, T46/P38, 0)</f>
        <v>0</v>
      </c>
      <c r="G70" s="36" t="b">
        <v>0</v>
      </c>
      <c r="H70" s="82">
        <f>IF(G70 = TRUE, T46/P38, 0)</f>
        <v>0</v>
      </c>
      <c r="I70" s="35" t="b">
        <v>0</v>
      </c>
      <c r="J70" s="83">
        <f>IF(I70 = TRUE, T46/P38, 0)</f>
        <v>0</v>
      </c>
      <c r="K70" s="33" t="b">
        <v>0</v>
      </c>
      <c r="L70" s="34">
        <f>IF(K70 = TRUE, T46/P38, 0)</f>
        <v>0</v>
      </c>
      <c r="M70" s="33" t="b">
        <v>0</v>
      </c>
      <c r="N70" s="34">
        <f>IF(M70 = TRUE, T46/P38, 0)</f>
        <v>0</v>
      </c>
      <c r="O70" s="33" t="b">
        <v>0</v>
      </c>
      <c r="P70" s="34">
        <f>IF(O70 = TRUE, T46/P38, 0)</f>
        <v>0</v>
      </c>
      <c r="Q70" s="33" t="b">
        <v>0</v>
      </c>
      <c r="R70" s="34">
        <f>IF(Q70 = TRUE, T46/P38, 0)</f>
        <v>0</v>
      </c>
      <c r="S70" s="33" t="b">
        <v>0</v>
      </c>
      <c r="T70" s="34">
        <f>IF(S70 = TRUE, T46/P38, 0)</f>
        <v>0</v>
      </c>
      <c r="U70" s="33" t="b">
        <v>0</v>
      </c>
      <c r="V70" s="34">
        <f>IF(U70 = TRUE, T46/P38, 0)</f>
        <v>0</v>
      </c>
      <c r="W70" s="33" t="b">
        <v>0</v>
      </c>
      <c r="X70" s="84">
        <f>IF(W70 = TRUE, T46/P38, 0)</f>
        <v>0</v>
      </c>
    </row>
    <row r="71" spans="1:24" ht="15" customHeight="1" x14ac:dyDescent="0.3">
      <c r="B71" s="27" t="s">
        <v>73</v>
      </c>
      <c r="C71" s="37" t="b">
        <v>0</v>
      </c>
      <c r="D71" s="38">
        <f>IF(C71 = TRUE, T47/P39, 0)</f>
        <v>0</v>
      </c>
      <c r="E71" s="39" t="b">
        <v>0</v>
      </c>
      <c r="F71" s="38">
        <f>IF(E71 = TRUE, T47/P39, 0)</f>
        <v>0</v>
      </c>
      <c r="G71" s="40" t="b">
        <v>0</v>
      </c>
      <c r="H71" s="85">
        <f>IF(G71 = TRUE, T47/P39, 0)</f>
        <v>0</v>
      </c>
      <c r="I71" s="39" t="b">
        <v>0</v>
      </c>
      <c r="J71" s="86">
        <f>IF(I71 = TRUE, T47/P39, 0)</f>
        <v>0</v>
      </c>
      <c r="K71" s="37" t="b">
        <v>0</v>
      </c>
      <c r="L71" s="38">
        <f>IF(K71 = TRUE, T47/P39, 0)</f>
        <v>0</v>
      </c>
      <c r="M71" s="37" t="b">
        <v>0</v>
      </c>
      <c r="N71" s="38">
        <f>IF(M71 = TRUE, T47/P39, 0)</f>
        <v>0</v>
      </c>
      <c r="O71" s="37" t="b">
        <v>0</v>
      </c>
      <c r="P71" s="38">
        <f>IF(O71 = TRUE, T47/P39, 0)</f>
        <v>0</v>
      </c>
      <c r="Q71" s="37" t="b">
        <v>0</v>
      </c>
      <c r="R71" s="38">
        <f>IF(Q71 = TRUE, T47/P39, 0)</f>
        <v>0</v>
      </c>
      <c r="S71" s="37" t="b">
        <v>0</v>
      </c>
      <c r="T71" s="38">
        <f>IF(S71 = TRUE, T47/P39, 0)</f>
        <v>0</v>
      </c>
      <c r="U71" s="37" t="b">
        <v>0</v>
      </c>
      <c r="V71" s="38">
        <f>IF(U71 = TRUE, T47/P39, 0)</f>
        <v>0</v>
      </c>
      <c r="W71" s="37" t="b">
        <v>0</v>
      </c>
      <c r="X71" s="87">
        <f>IF(W71 = TRUE, T47/P39, 0)</f>
        <v>0</v>
      </c>
    </row>
    <row r="72" spans="1:24" ht="15" customHeight="1" x14ac:dyDescent="0.3">
      <c r="B72" s="27" t="s">
        <v>74</v>
      </c>
      <c r="C72" s="37" t="b">
        <v>0</v>
      </c>
      <c r="D72" s="38">
        <f>IF(C72 = TRUE, T48/P40, 0)</f>
        <v>0</v>
      </c>
      <c r="E72" s="39" t="b">
        <v>0</v>
      </c>
      <c r="F72" s="38">
        <f>IF(E72 = TRUE, T48/P40, 0)</f>
        <v>0</v>
      </c>
      <c r="G72" s="40" t="b">
        <v>0</v>
      </c>
      <c r="H72" s="85">
        <f>IF(G72 = TRUE, T48/P40, 0)</f>
        <v>0</v>
      </c>
      <c r="I72" s="39" t="b">
        <v>0</v>
      </c>
      <c r="J72" s="86">
        <f>IF(I72 = TRUE, T48/P40, 0)</f>
        <v>0</v>
      </c>
      <c r="K72" s="37" t="b">
        <v>0</v>
      </c>
      <c r="L72" s="38">
        <f>IF(K72 = TRUE, T48/P40, 0)</f>
        <v>0</v>
      </c>
      <c r="M72" s="37" t="b">
        <v>0</v>
      </c>
      <c r="N72" s="38">
        <f>IF(M72 = TRUE, T48/P40, 0)</f>
        <v>0</v>
      </c>
      <c r="O72" s="37" t="b">
        <v>0</v>
      </c>
      <c r="P72" s="38">
        <f>IF(O72 = TRUE, T48/P40, 0)</f>
        <v>0</v>
      </c>
      <c r="Q72" s="37" t="b">
        <v>0</v>
      </c>
      <c r="R72" s="38">
        <f>IF(Q72 = TRUE, T48/P40, 0)</f>
        <v>0</v>
      </c>
      <c r="S72" s="37" t="b">
        <v>0</v>
      </c>
      <c r="T72" s="38">
        <f>IF(S72 = TRUE, T48/P40, 0)</f>
        <v>0</v>
      </c>
      <c r="U72" s="37" t="b">
        <v>0</v>
      </c>
      <c r="V72" s="38">
        <f>IF(U72 = TRUE, T48/P40, 0)</f>
        <v>0</v>
      </c>
      <c r="W72" s="37" t="b">
        <v>0</v>
      </c>
      <c r="X72" s="87">
        <f>IF(W72 = TRUE, T48/P40, 0)</f>
        <v>0</v>
      </c>
    </row>
    <row r="73" spans="1:24" ht="15" customHeight="1" x14ac:dyDescent="0.3">
      <c r="B73" s="32" t="s">
        <v>75</v>
      </c>
      <c r="C73" s="33" t="b">
        <v>0</v>
      </c>
      <c r="D73" s="34">
        <f>IF(C73 = TRUE, T49/P41, 0)</f>
        <v>0</v>
      </c>
      <c r="E73" s="35" t="b">
        <v>0</v>
      </c>
      <c r="F73" s="34">
        <f>IF(E73 = TRUE, T49/P41, 0)</f>
        <v>0</v>
      </c>
      <c r="G73" s="36" t="b">
        <v>0</v>
      </c>
      <c r="H73" s="82">
        <f>IF(G73 = TRUE, T49/P41, 0)</f>
        <v>0</v>
      </c>
      <c r="I73" s="35" t="b">
        <v>0</v>
      </c>
      <c r="J73" s="83">
        <f>IF(I73 = TRUE, T49/P41, 0)</f>
        <v>0</v>
      </c>
      <c r="K73" s="33" t="b">
        <v>0</v>
      </c>
      <c r="L73" s="34">
        <f>IF(K73 = TRUE, T49/P41, 0)</f>
        <v>0</v>
      </c>
      <c r="M73" s="33" t="b">
        <v>0</v>
      </c>
      <c r="N73" s="34">
        <f>IF(M73 = TRUE, T49/P41, 0)</f>
        <v>0</v>
      </c>
      <c r="O73" s="33" t="b">
        <v>0</v>
      </c>
      <c r="P73" s="34">
        <f>IF(O73 = TRUE, T49/P41, 0)</f>
        <v>0</v>
      </c>
      <c r="Q73" s="33" t="b">
        <v>0</v>
      </c>
      <c r="R73" s="34">
        <f>IF(Q73 = TRUE, T49/P41, 0)</f>
        <v>0</v>
      </c>
      <c r="S73" s="33" t="b">
        <v>0</v>
      </c>
      <c r="T73" s="34">
        <f>IF(S73 = TRUE, T49/P41, 0)</f>
        <v>0</v>
      </c>
      <c r="U73" s="33" t="b">
        <v>0</v>
      </c>
      <c r="V73" s="34">
        <f>IF(U73 = TRUE, T49/P41, 0)</f>
        <v>0</v>
      </c>
      <c r="W73" s="33" t="b">
        <v>0</v>
      </c>
      <c r="X73" s="84">
        <f>IF(W73 = TRUE, T49/P41, 0)</f>
        <v>0</v>
      </c>
    </row>
    <row r="74" spans="1:24" ht="15" x14ac:dyDescent="0.3">
      <c r="B74" s="41"/>
      <c r="C74" s="33"/>
      <c r="D74" s="34" t="e">
        <f>AVERAGEIF(D70:D73, "&lt;&gt;0")</f>
        <v>#DIV/0!</v>
      </c>
      <c r="E74" s="35"/>
      <c r="F74" s="34" t="e">
        <f>AVERAGEIF(F70:F73, "&lt;&gt;0")</f>
        <v>#DIV/0!</v>
      </c>
      <c r="G74" s="36"/>
      <c r="H74" s="82" t="e">
        <f>AVERAGEIF(H70:H73, "&lt;&gt;0")</f>
        <v>#DIV/0!</v>
      </c>
      <c r="I74" s="35"/>
      <c r="J74" s="83" t="e">
        <f>AVERAGEIF(J70:J73, "&lt;&gt;0")</f>
        <v>#DIV/0!</v>
      </c>
      <c r="K74" s="33"/>
      <c r="L74" s="34" t="e">
        <f>AVERAGEIF(L70:L73, "&lt;&gt;0")</f>
        <v>#DIV/0!</v>
      </c>
      <c r="M74" s="33"/>
      <c r="N74" s="34" t="e">
        <f>AVERAGEIF(N70:N73, "&lt;&gt;0")</f>
        <v>#DIV/0!</v>
      </c>
      <c r="O74" s="33"/>
      <c r="P74" s="34" t="e">
        <f>AVERAGEIF(P70:P73, "&lt;&gt;0")</f>
        <v>#DIV/0!</v>
      </c>
      <c r="Q74" s="33"/>
      <c r="R74" s="34" t="e">
        <f>AVERAGEIF(R70:R73, "&lt;&gt;0")</f>
        <v>#DIV/0!</v>
      </c>
      <c r="S74" s="33"/>
      <c r="T74" s="34" t="e">
        <f>AVERAGEIF(T70:T73, "&lt;&gt;0")</f>
        <v>#DIV/0!</v>
      </c>
      <c r="U74" s="33"/>
      <c r="V74" s="34" t="e">
        <f>AVERAGEIF(V70:V73, "&lt;&gt;0")</f>
        <v>#DIV/0!</v>
      </c>
      <c r="W74" s="33"/>
      <c r="X74" s="84" t="e">
        <f>AVERAGEIF(X70:X73, "&lt;&gt;0")</f>
        <v>#DIV/0!</v>
      </c>
    </row>
    <row r="75" spans="1:24" ht="15.6" x14ac:dyDescent="0.3">
      <c r="A75" s="75"/>
      <c r="B75" s="88"/>
      <c r="C75" s="89"/>
      <c r="D75" s="1"/>
      <c r="E75" s="1"/>
      <c r="F75" s="72"/>
      <c r="G75" s="72"/>
      <c r="L75" s="88"/>
      <c r="M75" s="88"/>
      <c r="P75" s="1"/>
      <c r="S75" s="88"/>
      <c r="U75" s="88"/>
      <c r="W75" s="88"/>
    </row>
    <row r="76" spans="1:24" ht="15" x14ac:dyDescent="0.3">
      <c r="A76" s="75"/>
      <c r="B76" s="88"/>
      <c r="D76" s="1"/>
      <c r="E76" s="1"/>
      <c r="F76" s="72"/>
      <c r="G76" s="72"/>
      <c r="S76" s="88"/>
      <c r="U76" s="88"/>
    </row>
    <row r="77" spans="1:24" ht="15" x14ac:dyDescent="0.3">
      <c r="A77" s="75"/>
      <c r="D77" s="1"/>
      <c r="E77" s="1"/>
      <c r="F77" s="72"/>
      <c r="G77" s="72"/>
      <c r="U77" s="88"/>
    </row>
    <row r="78" spans="1:24" ht="15" x14ac:dyDescent="0.3">
      <c r="A78" s="75"/>
      <c r="D78" s="1"/>
      <c r="E78" s="1"/>
      <c r="F78" s="72"/>
      <c r="G78" s="72"/>
    </row>
    <row r="79" spans="1:24" ht="15" x14ac:dyDescent="0.3">
      <c r="A79" s="75"/>
      <c r="D79" s="1"/>
      <c r="E79" s="1"/>
      <c r="F79" s="72"/>
      <c r="G79" s="72"/>
    </row>
    <row r="80" spans="1:24" ht="15.6" x14ac:dyDescent="0.3">
      <c r="A80" s="75"/>
      <c r="B80" s="89"/>
      <c r="D80" s="1"/>
      <c r="E80" s="1"/>
      <c r="F80" s="72"/>
      <c r="G80" s="72"/>
    </row>
    <row r="81" spans="1:7" ht="15" x14ac:dyDescent="0.3">
      <c r="A81" s="75"/>
      <c r="D81" s="1"/>
      <c r="E81" s="1"/>
      <c r="F81" s="72"/>
      <c r="G81" s="72"/>
    </row>
    <row r="82" spans="1:7" ht="15" x14ac:dyDescent="0.3">
      <c r="A82" s="75"/>
      <c r="D82" s="1"/>
      <c r="E82" s="1"/>
      <c r="F82" s="72"/>
      <c r="G82" s="72"/>
    </row>
    <row r="83" spans="1:7" ht="15" x14ac:dyDescent="0.3">
      <c r="A83" s="75"/>
      <c r="D83" s="1"/>
      <c r="E83" s="1"/>
      <c r="F83" s="72"/>
      <c r="G83" s="72"/>
    </row>
    <row r="84" spans="1:7" ht="15" x14ac:dyDescent="0.3">
      <c r="A84" s="75"/>
      <c r="D84" s="1"/>
      <c r="E84" s="1"/>
      <c r="F84" s="72"/>
      <c r="G84" s="72"/>
    </row>
    <row r="85" spans="1:7" ht="15" x14ac:dyDescent="0.3">
      <c r="A85" s="75"/>
      <c r="D85" s="1"/>
      <c r="E85" s="1"/>
      <c r="F85" s="72"/>
      <c r="G85" s="72"/>
    </row>
    <row r="86" spans="1:7" ht="15" x14ac:dyDescent="0.3">
      <c r="A86" s="75"/>
      <c r="D86" s="1"/>
      <c r="E86" s="1"/>
      <c r="F86" s="72"/>
      <c r="G86" s="72"/>
    </row>
    <row r="87" spans="1:7" ht="15" x14ac:dyDescent="0.3">
      <c r="A87" s="75"/>
      <c r="D87" s="1"/>
      <c r="E87" s="1"/>
      <c r="F87" s="72"/>
      <c r="G87" s="72"/>
    </row>
    <row r="88" spans="1:7" ht="15" x14ac:dyDescent="0.3">
      <c r="A88" s="75"/>
      <c r="D88" s="1"/>
      <c r="E88" s="1"/>
      <c r="F88" s="72"/>
      <c r="G88" s="72"/>
    </row>
    <row r="89" spans="1:7" ht="15" x14ac:dyDescent="0.3">
      <c r="A89" s="75"/>
      <c r="D89" s="1"/>
      <c r="E89" s="1"/>
      <c r="F89" s="72"/>
      <c r="G89" s="72"/>
    </row>
    <row r="90" spans="1:7" ht="15" x14ac:dyDescent="0.3">
      <c r="A90" s="75"/>
      <c r="D90" s="1"/>
      <c r="E90" s="1"/>
      <c r="F90" s="72"/>
      <c r="G90" s="72"/>
    </row>
    <row r="91" spans="1:7" ht="15" x14ac:dyDescent="0.3">
      <c r="A91" s="75"/>
      <c r="D91" s="1"/>
      <c r="E91" s="1"/>
      <c r="F91" s="72"/>
      <c r="G91" s="72"/>
    </row>
    <row r="92" spans="1:7" ht="15" x14ac:dyDescent="0.3">
      <c r="A92" s="75"/>
      <c r="D92" s="1"/>
      <c r="E92" s="1"/>
      <c r="F92" s="72"/>
      <c r="G92" s="72"/>
    </row>
    <row r="93" spans="1:7" ht="15" x14ac:dyDescent="0.3">
      <c r="A93" s="75"/>
      <c r="D93" s="1"/>
      <c r="E93" s="1"/>
      <c r="F93" s="72"/>
      <c r="G93" s="72"/>
    </row>
    <row r="94" spans="1:7" ht="15" x14ac:dyDescent="0.3">
      <c r="A94" s="75"/>
      <c r="D94" s="1"/>
      <c r="E94" s="1"/>
      <c r="F94" s="72"/>
      <c r="G94" s="72"/>
    </row>
    <row r="95" spans="1:7" ht="15" x14ac:dyDescent="0.3">
      <c r="A95" s="75"/>
      <c r="D95" s="1"/>
      <c r="E95" s="1"/>
      <c r="F95" s="72"/>
      <c r="G95" s="72"/>
    </row>
    <row r="96" spans="1:7" ht="15" x14ac:dyDescent="0.3">
      <c r="A96" s="75"/>
      <c r="D96" s="1"/>
      <c r="E96" s="1"/>
      <c r="F96" s="72"/>
      <c r="G96" s="72"/>
    </row>
    <row r="97" spans="1:7" ht="15" x14ac:dyDescent="0.3">
      <c r="A97" s="75"/>
      <c r="D97" s="1"/>
      <c r="E97" s="1"/>
      <c r="F97" s="72"/>
      <c r="G97" s="72"/>
    </row>
  </sheetData>
  <mergeCells count="20">
    <mergeCell ref="Q69:R69"/>
    <mergeCell ref="S69:T69"/>
    <mergeCell ref="U69:V69"/>
    <mergeCell ref="W69:X69"/>
    <mergeCell ref="N36:T36"/>
    <mergeCell ref="N44:T44"/>
    <mergeCell ref="B68:X68"/>
    <mergeCell ref="C69:D69"/>
    <mergeCell ref="E69:F69"/>
    <mergeCell ref="G69:H69"/>
    <mergeCell ref="I69:J69"/>
    <mergeCell ref="K69:L69"/>
    <mergeCell ref="M69:N69"/>
    <mergeCell ref="O69:P69"/>
    <mergeCell ref="B1:Y1"/>
    <mergeCell ref="B2:M2"/>
    <mergeCell ref="O5:Q5"/>
    <mergeCell ref="O18:Q18"/>
    <mergeCell ref="S28:Y29"/>
    <mergeCell ref="B35:I35"/>
  </mergeCells>
  <conditionalFormatting sqref="P24">
    <cfRule type="cellIs" dxfId="129" priority="26" operator="equal">
      <formula>100</formula>
    </cfRule>
  </conditionalFormatting>
  <conditionalFormatting sqref="K4:K33">
    <cfRule type="cellIs" dxfId="128" priority="25" operator="greaterThan">
      <formula>100</formula>
    </cfRule>
  </conditionalFormatting>
  <conditionalFormatting sqref="Q8:Q15">
    <cfRule type="cellIs" dxfId="127" priority="24" operator="greaterThan">
      <formula>$Q$7</formula>
    </cfRule>
  </conditionalFormatting>
  <conditionalFormatting sqref="Q7">
    <cfRule type="cellIs" dxfId="126" priority="23" operator="greaterThan">
      <formula>100</formula>
    </cfRule>
  </conditionalFormatting>
  <conditionalFormatting sqref="P15">
    <cfRule type="cellIs" dxfId="125" priority="5" operator="greaterThan">
      <formula>$Q$15</formula>
    </cfRule>
    <cfRule type="cellIs" dxfId="124" priority="22" operator="lessThan">
      <formula>0</formula>
    </cfRule>
  </conditionalFormatting>
  <conditionalFormatting sqref="Q8:Q15 P7:P15">
    <cfRule type="cellIs" dxfId="123" priority="21" operator="greaterThan">
      <formula>$Q$7</formula>
    </cfRule>
  </conditionalFormatting>
  <conditionalFormatting sqref="P8:Q15">
    <cfRule type="cellIs" dxfId="122" priority="20" operator="greaterThan">
      <formula>$P$7</formula>
    </cfRule>
  </conditionalFormatting>
  <conditionalFormatting sqref="P9:Q15 P8">
    <cfRule type="cellIs" dxfId="121" priority="19" operator="greaterThan">
      <formula>$Q$8</formula>
    </cfRule>
  </conditionalFormatting>
  <conditionalFormatting sqref="P9:Q15">
    <cfRule type="cellIs" dxfId="120" priority="18" operator="greaterThan">
      <formula>$P$8</formula>
    </cfRule>
  </conditionalFormatting>
  <conditionalFormatting sqref="P10:Q15 P9">
    <cfRule type="cellIs" dxfId="119" priority="17" operator="greaterThan">
      <formula>$Q$9</formula>
    </cfRule>
  </conditionalFormatting>
  <conditionalFormatting sqref="P10:Q15">
    <cfRule type="cellIs" dxfId="118" priority="16" operator="greaterThan">
      <formula>$P$9</formula>
    </cfRule>
  </conditionalFormatting>
  <conditionalFormatting sqref="P11:Q15 P10">
    <cfRule type="cellIs" dxfId="117" priority="15" operator="greaterThan">
      <formula>$Q$10</formula>
    </cfRule>
  </conditionalFormatting>
  <conditionalFormatting sqref="P11:Q15">
    <cfRule type="cellIs" dxfId="116" priority="14" operator="greaterThan">
      <formula>$P$10</formula>
    </cfRule>
  </conditionalFormatting>
  <conditionalFormatting sqref="P12:Q15 P11">
    <cfRule type="cellIs" dxfId="115" priority="13" operator="greaterThan">
      <formula>$Q$11</formula>
    </cfRule>
  </conditionalFormatting>
  <conditionalFormatting sqref="P12:Q15">
    <cfRule type="cellIs" dxfId="114" priority="12" operator="greaterThan">
      <formula>$P$11</formula>
    </cfRule>
  </conditionalFormatting>
  <conditionalFormatting sqref="P13:Q15 P12">
    <cfRule type="cellIs" dxfId="113" priority="11" operator="greaterThan">
      <formula>$Q$12</formula>
    </cfRule>
  </conditionalFormatting>
  <conditionalFormatting sqref="P13:Q15">
    <cfRule type="cellIs" dxfId="112" priority="10" operator="greaterThan">
      <formula>$P$12</formula>
    </cfRule>
  </conditionalFormatting>
  <conditionalFormatting sqref="P14:Q15 P13">
    <cfRule type="cellIs" dxfId="111" priority="9" operator="greaterThan">
      <formula>$Q$13</formula>
    </cfRule>
  </conditionalFormatting>
  <conditionalFormatting sqref="P14:Q15">
    <cfRule type="cellIs" dxfId="110" priority="8" operator="greaterThan">
      <formula>$P$13</formula>
    </cfRule>
  </conditionalFormatting>
  <conditionalFormatting sqref="P15:Q15 P14">
    <cfRule type="cellIs" dxfId="109" priority="7" operator="greaterThan">
      <formula>$Q$14</formula>
    </cfRule>
  </conditionalFormatting>
  <conditionalFormatting sqref="P15:Q15">
    <cfRule type="cellIs" dxfId="108" priority="6" operator="greaterThan">
      <formula>$P$14</formula>
    </cfRule>
  </conditionalFormatting>
  <conditionalFormatting sqref="T46">
    <cfRule type="cellIs" dxfId="107" priority="4" operator="greaterThan">
      <formula>$P$38</formula>
    </cfRule>
  </conditionalFormatting>
  <conditionalFormatting sqref="T47">
    <cfRule type="cellIs" dxfId="106" priority="3" operator="greaterThan">
      <formula>$P$39</formula>
    </cfRule>
  </conditionalFormatting>
  <conditionalFormatting sqref="T48">
    <cfRule type="cellIs" dxfId="105" priority="2" operator="greaterThan">
      <formula>$P$40</formula>
    </cfRule>
  </conditionalFormatting>
  <conditionalFormatting sqref="T49">
    <cfRule type="cellIs" dxfId="104" priority="1" operator="greaterThan">
      <formula>$P$41</formula>
    </cfRule>
  </conditionalFormatting>
  <pageMargins left="0.7" right="0.7" top="0.75" bottom="0.75" header="0.511811023622047" footer="0.511811023622047"/>
  <pageSetup paperSize="9"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2</xdr:col>
                    <xdr:colOff>7620</xdr:colOff>
                    <xdr:row>69</xdr:row>
                    <xdr:rowOff>7620</xdr:rowOff>
                  </from>
                  <to>
                    <xdr:col>3</xdr:col>
                    <xdr:colOff>53340</xdr:colOff>
                    <xdr:row>70</xdr:row>
                    <xdr:rowOff>30480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2</xdr:col>
                    <xdr:colOff>7620</xdr:colOff>
                    <xdr:row>70</xdr:row>
                    <xdr:rowOff>7620</xdr:rowOff>
                  </from>
                  <to>
                    <xdr:col>3</xdr:col>
                    <xdr:colOff>53340</xdr:colOff>
                    <xdr:row>71</xdr:row>
                    <xdr:rowOff>30480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2</xdr:col>
                    <xdr:colOff>7620</xdr:colOff>
                    <xdr:row>71</xdr:row>
                    <xdr:rowOff>7620</xdr:rowOff>
                  </from>
                  <to>
                    <xdr:col>3</xdr:col>
                    <xdr:colOff>53340</xdr:colOff>
                    <xdr:row>72</xdr:row>
                    <xdr:rowOff>30480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2</xdr:col>
                    <xdr:colOff>7620</xdr:colOff>
                    <xdr:row>72</xdr:row>
                    <xdr:rowOff>7620</xdr:rowOff>
                  </from>
                  <to>
                    <xdr:col>3</xdr:col>
                    <xdr:colOff>53340</xdr:colOff>
                    <xdr:row>73</xdr:row>
                    <xdr:rowOff>30480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4</xdr:col>
                    <xdr:colOff>7620</xdr:colOff>
                    <xdr:row>69</xdr:row>
                    <xdr:rowOff>7620</xdr:rowOff>
                  </from>
                  <to>
                    <xdr:col>5</xdr:col>
                    <xdr:colOff>205740</xdr:colOff>
                    <xdr:row>70</xdr:row>
                    <xdr:rowOff>30480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4</xdr:col>
                    <xdr:colOff>7620</xdr:colOff>
                    <xdr:row>70</xdr:row>
                    <xdr:rowOff>7620</xdr:rowOff>
                  </from>
                  <to>
                    <xdr:col>5</xdr:col>
                    <xdr:colOff>205740</xdr:colOff>
                    <xdr:row>71</xdr:row>
                    <xdr:rowOff>30480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4</xdr:col>
                    <xdr:colOff>7620</xdr:colOff>
                    <xdr:row>71</xdr:row>
                    <xdr:rowOff>7620</xdr:rowOff>
                  </from>
                  <to>
                    <xdr:col>5</xdr:col>
                    <xdr:colOff>205740</xdr:colOff>
                    <xdr:row>72</xdr:row>
                    <xdr:rowOff>30480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4</xdr:col>
                    <xdr:colOff>7620</xdr:colOff>
                    <xdr:row>72</xdr:row>
                    <xdr:rowOff>7620</xdr:rowOff>
                  </from>
                  <to>
                    <xdr:col>5</xdr:col>
                    <xdr:colOff>205740</xdr:colOff>
                    <xdr:row>73</xdr:row>
                    <xdr:rowOff>30480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6</xdr:col>
                    <xdr:colOff>7620</xdr:colOff>
                    <xdr:row>69</xdr:row>
                    <xdr:rowOff>7620</xdr:rowOff>
                  </from>
                  <to>
                    <xdr:col>6</xdr:col>
                    <xdr:colOff>861060</xdr:colOff>
                    <xdr:row>70</xdr:row>
                    <xdr:rowOff>30480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6</xdr:col>
                    <xdr:colOff>7620</xdr:colOff>
                    <xdr:row>70</xdr:row>
                    <xdr:rowOff>7620</xdr:rowOff>
                  </from>
                  <to>
                    <xdr:col>6</xdr:col>
                    <xdr:colOff>861060</xdr:colOff>
                    <xdr:row>71</xdr:row>
                    <xdr:rowOff>30480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6</xdr:col>
                    <xdr:colOff>7620</xdr:colOff>
                    <xdr:row>71</xdr:row>
                    <xdr:rowOff>7620</xdr:rowOff>
                  </from>
                  <to>
                    <xdr:col>6</xdr:col>
                    <xdr:colOff>861060</xdr:colOff>
                    <xdr:row>72</xdr:row>
                    <xdr:rowOff>30480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6</xdr:col>
                    <xdr:colOff>7620</xdr:colOff>
                    <xdr:row>72</xdr:row>
                    <xdr:rowOff>7620</xdr:rowOff>
                  </from>
                  <to>
                    <xdr:col>6</xdr:col>
                    <xdr:colOff>861060</xdr:colOff>
                    <xdr:row>73</xdr:row>
                    <xdr:rowOff>30480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8</xdr:col>
                    <xdr:colOff>7620</xdr:colOff>
                    <xdr:row>69</xdr:row>
                    <xdr:rowOff>7620</xdr:rowOff>
                  </from>
                  <to>
                    <xdr:col>9</xdr:col>
                    <xdr:colOff>114300</xdr:colOff>
                    <xdr:row>70</xdr:row>
                    <xdr:rowOff>30480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8</xdr:col>
                    <xdr:colOff>7620</xdr:colOff>
                    <xdr:row>70</xdr:row>
                    <xdr:rowOff>7620</xdr:rowOff>
                  </from>
                  <to>
                    <xdr:col>9</xdr:col>
                    <xdr:colOff>114300</xdr:colOff>
                    <xdr:row>71</xdr:row>
                    <xdr:rowOff>30480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8</xdr:col>
                    <xdr:colOff>7620</xdr:colOff>
                    <xdr:row>71</xdr:row>
                    <xdr:rowOff>7620</xdr:rowOff>
                  </from>
                  <to>
                    <xdr:col>9</xdr:col>
                    <xdr:colOff>114300</xdr:colOff>
                    <xdr:row>72</xdr:row>
                    <xdr:rowOff>30480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8</xdr:col>
                    <xdr:colOff>7620</xdr:colOff>
                    <xdr:row>72</xdr:row>
                    <xdr:rowOff>7620</xdr:rowOff>
                  </from>
                  <to>
                    <xdr:col>9</xdr:col>
                    <xdr:colOff>114300</xdr:colOff>
                    <xdr:row>73</xdr:row>
                    <xdr:rowOff>30480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10</xdr:col>
                    <xdr:colOff>7620</xdr:colOff>
                    <xdr:row>69</xdr:row>
                    <xdr:rowOff>7620</xdr:rowOff>
                  </from>
                  <to>
                    <xdr:col>11</xdr:col>
                    <xdr:colOff>167640</xdr:colOff>
                    <xdr:row>70</xdr:row>
                    <xdr:rowOff>30480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10</xdr:col>
                    <xdr:colOff>7620</xdr:colOff>
                    <xdr:row>70</xdr:row>
                    <xdr:rowOff>7620</xdr:rowOff>
                  </from>
                  <to>
                    <xdr:col>11</xdr:col>
                    <xdr:colOff>167640</xdr:colOff>
                    <xdr:row>71</xdr:row>
                    <xdr:rowOff>30480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10</xdr:col>
                    <xdr:colOff>7620</xdr:colOff>
                    <xdr:row>71</xdr:row>
                    <xdr:rowOff>7620</xdr:rowOff>
                  </from>
                  <to>
                    <xdr:col>11</xdr:col>
                    <xdr:colOff>167640</xdr:colOff>
                    <xdr:row>72</xdr:row>
                    <xdr:rowOff>30480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10</xdr:col>
                    <xdr:colOff>7620</xdr:colOff>
                    <xdr:row>72</xdr:row>
                    <xdr:rowOff>7620</xdr:rowOff>
                  </from>
                  <to>
                    <xdr:col>11</xdr:col>
                    <xdr:colOff>167640</xdr:colOff>
                    <xdr:row>73</xdr:row>
                    <xdr:rowOff>30480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12</xdr:col>
                    <xdr:colOff>7620</xdr:colOff>
                    <xdr:row>69</xdr:row>
                    <xdr:rowOff>7620</xdr:rowOff>
                  </from>
                  <to>
                    <xdr:col>13</xdr:col>
                    <xdr:colOff>15240</xdr:colOff>
                    <xdr:row>70</xdr:row>
                    <xdr:rowOff>30480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12</xdr:col>
                    <xdr:colOff>7620</xdr:colOff>
                    <xdr:row>70</xdr:row>
                    <xdr:rowOff>7620</xdr:rowOff>
                  </from>
                  <to>
                    <xdr:col>13</xdr:col>
                    <xdr:colOff>15240</xdr:colOff>
                    <xdr:row>71</xdr:row>
                    <xdr:rowOff>30480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12</xdr:col>
                    <xdr:colOff>7620</xdr:colOff>
                    <xdr:row>71</xdr:row>
                    <xdr:rowOff>7620</xdr:rowOff>
                  </from>
                  <to>
                    <xdr:col>13</xdr:col>
                    <xdr:colOff>15240</xdr:colOff>
                    <xdr:row>72</xdr:row>
                    <xdr:rowOff>30480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12</xdr:col>
                    <xdr:colOff>7620</xdr:colOff>
                    <xdr:row>72</xdr:row>
                    <xdr:rowOff>7620</xdr:rowOff>
                  </from>
                  <to>
                    <xdr:col>13</xdr:col>
                    <xdr:colOff>15240</xdr:colOff>
                    <xdr:row>73</xdr:row>
                    <xdr:rowOff>30480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14</xdr:col>
                    <xdr:colOff>7620</xdr:colOff>
                    <xdr:row>69</xdr:row>
                    <xdr:rowOff>7620</xdr:rowOff>
                  </from>
                  <to>
                    <xdr:col>15</xdr:col>
                    <xdr:colOff>0</xdr:colOff>
                    <xdr:row>70</xdr:row>
                    <xdr:rowOff>30480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14</xdr:col>
                    <xdr:colOff>7620</xdr:colOff>
                    <xdr:row>70</xdr:row>
                    <xdr:rowOff>7620</xdr:rowOff>
                  </from>
                  <to>
                    <xdr:col>15</xdr:col>
                    <xdr:colOff>0</xdr:colOff>
                    <xdr:row>71</xdr:row>
                    <xdr:rowOff>30480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14</xdr:col>
                    <xdr:colOff>7620</xdr:colOff>
                    <xdr:row>71</xdr:row>
                    <xdr:rowOff>7620</xdr:rowOff>
                  </from>
                  <to>
                    <xdr:col>15</xdr:col>
                    <xdr:colOff>0</xdr:colOff>
                    <xdr:row>72</xdr:row>
                    <xdr:rowOff>30480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14</xdr:col>
                    <xdr:colOff>7620</xdr:colOff>
                    <xdr:row>72</xdr:row>
                    <xdr:rowOff>7620</xdr:rowOff>
                  </from>
                  <to>
                    <xdr:col>15</xdr:col>
                    <xdr:colOff>0</xdr:colOff>
                    <xdr:row>73</xdr:row>
                    <xdr:rowOff>30480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16</xdr:col>
                    <xdr:colOff>7620</xdr:colOff>
                    <xdr:row>69</xdr:row>
                    <xdr:rowOff>7620</xdr:rowOff>
                  </from>
                  <to>
                    <xdr:col>17</xdr:col>
                    <xdr:colOff>15240</xdr:colOff>
                    <xdr:row>70</xdr:row>
                    <xdr:rowOff>30480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16</xdr:col>
                    <xdr:colOff>7620</xdr:colOff>
                    <xdr:row>70</xdr:row>
                    <xdr:rowOff>7620</xdr:rowOff>
                  </from>
                  <to>
                    <xdr:col>17</xdr:col>
                    <xdr:colOff>15240</xdr:colOff>
                    <xdr:row>71</xdr:row>
                    <xdr:rowOff>30480</xdr:rowOff>
                  </to>
                </anchor>
              </controlPr>
            </control>
          </mc:Choice>
        </mc:AlternateContent>
        <mc:AlternateContent xmlns:mc="http://schemas.openxmlformats.org/markup-compatibility/2006">
          <mc:Choice Requires="x14">
            <control shapeId="2079" r:id="rId34" name="Check Box 31">
              <controlPr defaultSize="0" autoFill="0" autoLine="0" autoPict="0">
                <anchor moveWithCells="1">
                  <from>
                    <xdr:col>16</xdr:col>
                    <xdr:colOff>7620</xdr:colOff>
                    <xdr:row>71</xdr:row>
                    <xdr:rowOff>7620</xdr:rowOff>
                  </from>
                  <to>
                    <xdr:col>17</xdr:col>
                    <xdr:colOff>15240</xdr:colOff>
                    <xdr:row>72</xdr:row>
                    <xdr:rowOff>30480</xdr:rowOff>
                  </to>
                </anchor>
              </controlPr>
            </control>
          </mc:Choice>
        </mc:AlternateContent>
        <mc:AlternateContent xmlns:mc="http://schemas.openxmlformats.org/markup-compatibility/2006">
          <mc:Choice Requires="x14">
            <control shapeId="2080" r:id="rId35" name="Check Box 32">
              <controlPr defaultSize="0" autoFill="0" autoLine="0" autoPict="0">
                <anchor moveWithCells="1">
                  <from>
                    <xdr:col>16</xdr:col>
                    <xdr:colOff>7620</xdr:colOff>
                    <xdr:row>72</xdr:row>
                    <xdr:rowOff>7620</xdr:rowOff>
                  </from>
                  <to>
                    <xdr:col>17</xdr:col>
                    <xdr:colOff>15240</xdr:colOff>
                    <xdr:row>73</xdr:row>
                    <xdr:rowOff>30480</xdr:rowOff>
                  </to>
                </anchor>
              </controlPr>
            </control>
          </mc:Choice>
        </mc:AlternateContent>
        <mc:AlternateContent xmlns:mc="http://schemas.openxmlformats.org/markup-compatibility/2006">
          <mc:Choice Requires="x14">
            <control shapeId="2081" r:id="rId36" name="Check Box 33">
              <controlPr defaultSize="0" autoFill="0" autoLine="0" autoPict="0">
                <anchor moveWithCells="1">
                  <from>
                    <xdr:col>18</xdr:col>
                    <xdr:colOff>7620</xdr:colOff>
                    <xdr:row>69</xdr:row>
                    <xdr:rowOff>7620</xdr:rowOff>
                  </from>
                  <to>
                    <xdr:col>19</xdr:col>
                    <xdr:colOff>0</xdr:colOff>
                    <xdr:row>70</xdr:row>
                    <xdr:rowOff>30480</xdr:rowOff>
                  </to>
                </anchor>
              </controlPr>
            </control>
          </mc:Choice>
        </mc:AlternateContent>
        <mc:AlternateContent xmlns:mc="http://schemas.openxmlformats.org/markup-compatibility/2006">
          <mc:Choice Requires="x14">
            <control shapeId="2082" r:id="rId37" name="Check Box 34">
              <controlPr defaultSize="0" autoFill="0" autoLine="0" autoPict="0">
                <anchor moveWithCells="1">
                  <from>
                    <xdr:col>18</xdr:col>
                    <xdr:colOff>7620</xdr:colOff>
                    <xdr:row>70</xdr:row>
                    <xdr:rowOff>7620</xdr:rowOff>
                  </from>
                  <to>
                    <xdr:col>19</xdr:col>
                    <xdr:colOff>0</xdr:colOff>
                    <xdr:row>71</xdr:row>
                    <xdr:rowOff>30480</xdr:rowOff>
                  </to>
                </anchor>
              </controlPr>
            </control>
          </mc:Choice>
        </mc:AlternateContent>
        <mc:AlternateContent xmlns:mc="http://schemas.openxmlformats.org/markup-compatibility/2006">
          <mc:Choice Requires="x14">
            <control shapeId="2083" r:id="rId38" name="Check Box 35">
              <controlPr defaultSize="0" autoFill="0" autoLine="0" autoPict="0">
                <anchor moveWithCells="1">
                  <from>
                    <xdr:col>18</xdr:col>
                    <xdr:colOff>7620</xdr:colOff>
                    <xdr:row>71</xdr:row>
                    <xdr:rowOff>7620</xdr:rowOff>
                  </from>
                  <to>
                    <xdr:col>19</xdr:col>
                    <xdr:colOff>0</xdr:colOff>
                    <xdr:row>72</xdr:row>
                    <xdr:rowOff>30480</xdr:rowOff>
                  </to>
                </anchor>
              </controlPr>
            </control>
          </mc:Choice>
        </mc:AlternateContent>
        <mc:AlternateContent xmlns:mc="http://schemas.openxmlformats.org/markup-compatibility/2006">
          <mc:Choice Requires="x14">
            <control shapeId="2084" r:id="rId39" name="Check Box 36">
              <controlPr defaultSize="0" autoFill="0" autoLine="0" autoPict="0">
                <anchor moveWithCells="1">
                  <from>
                    <xdr:col>18</xdr:col>
                    <xdr:colOff>7620</xdr:colOff>
                    <xdr:row>72</xdr:row>
                    <xdr:rowOff>7620</xdr:rowOff>
                  </from>
                  <to>
                    <xdr:col>19</xdr:col>
                    <xdr:colOff>0</xdr:colOff>
                    <xdr:row>73</xdr:row>
                    <xdr:rowOff>30480</xdr:rowOff>
                  </to>
                </anchor>
              </controlPr>
            </control>
          </mc:Choice>
        </mc:AlternateContent>
        <mc:AlternateContent xmlns:mc="http://schemas.openxmlformats.org/markup-compatibility/2006">
          <mc:Choice Requires="x14">
            <control shapeId="2085" r:id="rId40" name="Check Box 37">
              <controlPr defaultSize="0" autoFill="0" autoLine="0" autoPict="0">
                <anchor moveWithCells="1">
                  <from>
                    <xdr:col>20</xdr:col>
                    <xdr:colOff>7620</xdr:colOff>
                    <xdr:row>69</xdr:row>
                    <xdr:rowOff>7620</xdr:rowOff>
                  </from>
                  <to>
                    <xdr:col>21</xdr:col>
                    <xdr:colOff>15240</xdr:colOff>
                    <xdr:row>70</xdr:row>
                    <xdr:rowOff>30480</xdr:rowOff>
                  </to>
                </anchor>
              </controlPr>
            </control>
          </mc:Choice>
        </mc:AlternateContent>
        <mc:AlternateContent xmlns:mc="http://schemas.openxmlformats.org/markup-compatibility/2006">
          <mc:Choice Requires="x14">
            <control shapeId="2086" r:id="rId41" name="Check Box 38">
              <controlPr defaultSize="0" autoFill="0" autoLine="0" autoPict="0">
                <anchor moveWithCells="1">
                  <from>
                    <xdr:col>20</xdr:col>
                    <xdr:colOff>7620</xdr:colOff>
                    <xdr:row>70</xdr:row>
                    <xdr:rowOff>7620</xdr:rowOff>
                  </from>
                  <to>
                    <xdr:col>21</xdr:col>
                    <xdr:colOff>15240</xdr:colOff>
                    <xdr:row>71</xdr:row>
                    <xdr:rowOff>30480</xdr:rowOff>
                  </to>
                </anchor>
              </controlPr>
            </control>
          </mc:Choice>
        </mc:AlternateContent>
        <mc:AlternateContent xmlns:mc="http://schemas.openxmlformats.org/markup-compatibility/2006">
          <mc:Choice Requires="x14">
            <control shapeId="2087" r:id="rId42" name="Check Box 39">
              <controlPr defaultSize="0" autoFill="0" autoLine="0" autoPict="0">
                <anchor moveWithCells="1">
                  <from>
                    <xdr:col>20</xdr:col>
                    <xdr:colOff>7620</xdr:colOff>
                    <xdr:row>71</xdr:row>
                    <xdr:rowOff>7620</xdr:rowOff>
                  </from>
                  <to>
                    <xdr:col>21</xdr:col>
                    <xdr:colOff>15240</xdr:colOff>
                    <xdr:row>72</xdr:row>
                    <xdr:rowOff>30480</xdr:rowOff>
                  </to>
                </anchor>
              </controlPr>
            </control>
          </mc:Choice>
        </mc:AlternateContent>
        <mc:AlternateContent xmlns:mc="http://schemas.openxmlformats.org/markup-compatibility/2006">
          <mc:Choice Requires="x14">
            <control shapeId="2088" r:id="rId43" name="Check Box 40">
              <controlPr defaultSize="0" autoFill="0" autoLine="0" autoPict="0">
                <anchor moveWithCells="1">
                  <from>
                    <xdr:col>20</xdr:col>
                    <xdr:colOff>7620</xdr:colOff>
                    <xdr:row>72</xdr:row>
                    <xdr:rowOff>7620</xdr:rowOff>
                  </from>
                  <to>
                    <xdr:col>21</xdr:col>
                    <xdr:colOff>15240</xdr:colOff>
                    <xdr:row>73</xdr:row>
                    <xdr:rowOff>30480</xdr:rowOff>
                  </to>
                </anchor>
              </controlPr>
            </control>
          </mc:Choice>
        </mc:AlternateContent>
        <mc:AlternateContent xmlns:mc="http://schemas.openxmlformats.org/markup-compatibility/2006">
          <mc:Choice Requires="x14">
            <control shapeId="2089" r:id="rId44" name="Check Box 41">
              <controlPr defaultSize="0" autoFill="0" autoLine="0" autoPict="0">
                <anchor moveWithCells="1">
                  <from>
                    <xdr:col>22</xdr:col>
                    <xdr:colOff>7620</xdr:colOff>
                    <xdr:row>69</xdr:row>
                    <xdr:rowOff>7620</xdr:rowOff>
                  </from>
                  <to>
                    <xdr:col>22</xdr:col>
                    <xdr:colOff>594360</xdr:colOff>
                    <xdr:row>70</xdr:row>
                    <xdr:rowOff>30480</xdr:rowOff>
                  </to>
                </anchor>
              </controlPr>
            </control>
          </mc:Choice>
        </mc:AlternateContent>
        <mc:AlternateContent xmlns:mc="http://schemas.openxmlformats.org/markup-compatibility/2006">
          <mc:Choice Requires="x14">
            <control shapeId="2090" r:id="rId45" name="Check Box 42">
              <controlPr defaultSize="0" autoFill="0" autoLine="0" autoPict="0">
                <anchor moveWithCells="1">
                  <from>
                    <xdr:col>22</xdr:col>
                    <xdr:colOff>7620</xdr:colOff>
                    <xdr:row>70</xdr:row>
                    <xdr:rowOff>7620</xdr:rowOff>
                  </from>
                  <to>
                    <xdr:col>22</xdr:col>
                    <xdr:colOff>594360</xdr:colOff>
                    <xdr:row>71</xdr:row>
                    <xdr:rowOff>30480</xdr:rowOff>
                  </to>
                </anchor>
              </controlPr>
            </control>
          </mc:Choice>
        </mc:AlternateContent>
        <mc:AlternateContent xmlns:mc="http://schemas.openxmlformats.org/markup-compatibility/2006">
          <mc:Choice Requires="x14">
            <control shapeId="2091" r:id="rId46" name="Check Box 43">
              <controlPr defaultSize="0" autoFill="0" autoLine="0" autoPict="0">
                <anchor moveWithCells="1">
                  <from>
                    <xdr:col>22</xdr:col>
                    <xdr:colOff>7620</xdr:colOff>
                    <xdr:row>71</xdr:row>
                    <xdr:rowOff>7620</xdr:rowOff>
                  </from>
                  <to>
                    <xdr:col>22</xdr:col>
                    <xdr:colOff>594360</xdr:colOff>
                    <xdr:row>72</xdr:row>
                    <xdr:rowOff>30480</xdr:rowOff>
                  </to>
                </anchor>
              </controlPr>
            </control>
          </mc:Choice>
        </mc:AlternateContent>
        <mc:AlternateContent xmlns:mc="http://schemas.openxmlformats.org/markup-compatibility/2006">
          <mc:Choice Requires="x14">
            <control shapeId="2092" r:id="rId47" name="Check Box 44">
              <controlPr defaultSize="0" autoFill="0" autoLine="0" autoPict="0">
                <anchor moveWithCells="1">
                  <from>
                    <xdr:col>22</xdr:col>
                    <xdr:colOff>7620</xdr:colOff>
                    <xdr:row>72</xdr:row>
                    <xdr:rowOff>7620</xdr:rowOff>
                  </from>
                  <to>
                    <xdr:col>22</xdr:col>
                    <xdr:colOff>594360</xdr:colOff>
                    <xdr:row>73</xdr:row>
                    <xdr:rowOff>30480</xdr:rowOff>
                  </to>
                </anchor>
              </controlPr>
            </control>
          </mc:Choice>
        </mc:AlternateContent>
        <mc:AlternateContent xmlns:mc="http://schemas.openxmlformats.org/markup-compatibility/2006">
          <mc:Choice Requires="x14">
            <control shapeId="2093" r:id="rId48" name="Check Box 45">
              <controlPr defaultSize="0" autoFill="0" autoLine="0" autoPict="0">
                <anchor moveWithCells="1">
                  <from>
                    <xdr:col>16</xdr:col>
                    <xdr:colOff>15240</xdr:colOff>
                    <xdr:row>71</xdr:row>
                    <xdr:rowOff>190500</xdr:rowOff>
                  </from>
                  <to>
                    <xdr:col>17</xdr:col>
                    <xdr:colOff>15240</xdr:colOff>
                    <xdr:row>73</xdr:row>
                    <xdr:rowOff>30480</xdr:rowOff>
                  </to>
                </anchor>
              </controlPr>
            </control>
          </mc:Choice>
        </mc:AlternateContent>
      </controls>
    </mc:Choice>
  </mc:AlternateContent>
  <tableParts count="8">
    <tablePart r:id="rId49"/>
    <tablePart r:id="rId50"/>
    <tablePart r:id="rId51"/>
    <tablePart r:id="rId52"/>
    <tablePart r:id="rId53"/>
    <tablePart r:id="rId54"/>
    <tablePart r:id="rId55"/>
    <tablePart r:id="rId5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CB6E1-0436-4000-B730-42AE58F1007E}">
  <dimension ref="B1:X96"/>
  <sheetViews>
    <sheetView zoomScale="70" zoomScaleNormal="70" workbookViewId="0">
      <selection activeCell="F5" sqref="F5"/>
    </sheetView>
  </sheetViews>
  <sheetFormatPr defaultColWidth="8.5546875" defaultRowHeight="14.4" x14ac:dyDescent="0.3"/>
  <cols>
    <col min="1" max="1" width="13.109375" style="5" customWidth="1"/>
    <col min="2" max="2" width="14.109375" style="5" bestFit="1" customWidth="1"/>
    <col min="3" max="3" width="13.44140625" style="5" customWidth="1"/>
    <col min="4" max="4" width="21.6640625" style="5" bestFit="1" customWidth="1"/>
    <col min="5" max="5" width="15.109375" style="1" bestFit="1" customWidth="1"/>
    <col min="6" max="9" width="8.5546875" style="1" bestFit="1" customWidth="1"/>
    <col min="10" max="10" width="8.5546875" style="1" customWidth="1"/>
    <col min="11" max="11" width="15" style="5" customWidth="1"/>
    <col min="12" max="12" width="14.33203125" style="1" bestFit="1" customWidth="1"/>
    <col min="13" max="14" width="10.88671875" style="5" bestFit="1" customWidth="1"/>
    <col min="15" max="15" width="13.33203125" style="5" bestFit="1" customWidth="1"/>
    <col min="16" max="16" width="9.5546875" style="5" bestFit="1" customWidth="1"/>
    <col min="17" max="17" width="9.6640625" style="5" bestFit="1" customWidth="1"/>
    <col min="18" max="18" width="13.33203125" style="5" bestFit="1" customWidth="1"/>
    <col min="19" max="19" width="14.33203125" style="5" bestFit="1" customWidth="1"/>
    <col min="20" max="20" width="8.5546875" style="5" customWidth="1"/>
    <col min="21" max="21" width="11" style="5" customWidth="1"/>
    <col min="22" max="22" width="11.33203125" style="5" customWidth="1"/>
    <col min="23" max="23" width="5.5546875" style="5" bestFit="1" customWidth="1"/>
    <col min="24" max="25" width="4.5546875" style="5" bestFit="1" customWidth="1"/>
    <col min="26" max="26" width="5.5546875" style="5" bestFit="1" customWidth="1"/>
    <col min="27" max="27" width="8.5546875" style="5" customWidth="1"/>
    <col min="28" max="28" width="19.109375" style="5" bestFit="1" customWidth="1"/>
    <col min="29" max="29" width="21" style="5" bestFit="1" customWidth="1"/>
    <col min="30" max="16384" width="8.5546875" style="5"/>
  </cols>
  <sheetData>
    <row r="1" spans="2:24" ht="33.6" x14ac:dyDescent="0.3">
      <c r="B1" s="67" t="s">
        <v>119</v>
      </c>
      <c r="C1" s="67"/>
      <c r="D1" s="67"/>
      <c r="E1" s="67"/>
      <c r="F1" s="67"/>
      <c r="G1" s="67"/>
      <c r="H1" s="67"/>
      <c r="I1" s="67"/>
      <c r="J1" s="67"/>
      <c r="K1" s="67"/>
      <c r="L1" s="67"/>
      <c r="M1" s="67"/>
      <c r="N1" s="67"/>
      <c r="O1" s="67"/>
      <c r="P1" s="67"/>
      <c r="Q1" s="67"/>
      <c r="R1" s="67"/>
      <c r="S1" s="67"/>
      <c r="T1" s="67"/>
      <c r="U1" s="67"/>
      <c r="V1" s="67"/>
      <c r="W1" s="90"/>
      <c r="X1" s="90"/>
    </row>
    <row r="3" spans="2:24" x14ac:dyDescent="0.3">
      <c r="M3" s="17"/>
      <c r="N3" s="17"/>
      <c r="O3" s="17"/>
      <c r="P3" s="17"/>
    </row>
    <row r="4" spans="2:24" ht="15" thickBot="1" x14ac:dyDescent="0.35">
      <c r="B4" s="91" t="s">
        <v>98</v>
      </c>
      <c r="C4" s="49" t="s">
        <v>120</v>
      </c>
      <c r="D4" s="49" t="s">
        <v>110</v>
      </c>
      <c r="E4" s="50" t="s">
        <v>111</v>
      </c>
      <c r="F4" s="12" t="s">
        <v>19</v>
      </c>
      <c r="G4" s="12" t="s">
        <v>20</v>
      </c>
      <c r="H4" s="12" t="s">
        <v>21</v>
      </c>
      <c r="I4" s="12" t="s">
        <v>22</v>
      </c>
      <c r="J4" s="12" t="s">
        <v>23</v>
      </c>
      <c r="K4" s="12" t="s">
        <v>24</v>
      </c>
      <c r="L4" s="12" t="s">
        <v>29</v>
      </c>
      <c r="M4" s="13" t="s">
        <v>121</v>
      </c>
      <c r="N4" s="12" t="s">
        <v>72</v>
      </c>
      <c r="O4" s="12" t="s">
        <v>73</v>
      </c>
      <c r="P4" s="12" t="s">
        <v>74</v>
      </c>
      <c r="Q4" s="12" t="s">
        <v>75</v>
      </c>
      <c r="R4" s="12" t="s">
        <v>122</v>
      </c>
      <c r="S4" s="6" t="s">
        <v>123</v>
      </c>
    </row>
    <row r="5" spans="2:24" ht="15.6" thickTop="1" thickBot="1" x14ac:dyDescent="0.35">
      <c r="B5" s="92">
        <v>1</v>
      </c>
      <c r="C5" s="17">
        <v>1</v>
      </c>
      <c r="D5" s="71" t="s">
        <v>110</v>
      </c>
      <c r="E5" s="71" t="s">
        <v>111</v>
      </c>
      <c r="F5" s="1">
        <v>0</v>
      </c>
      <c r="G5" s="1">
        <v>0</v>
      </c>
      <c r="H5" s="1">
        <v>0</v>
      </c>
      <c r="I5" s="1">
        <v>0</v>
      </c>
      <c r="J5" s="1">
        <v>0</v>
      </c>
      <c r="K5" s="1">
        <v>0</v>
      </c>
      <c r="L5" s="1">
        <v>0</v>
      </c>
      <c r="M5" s="14">
        <f t="shared" ref="M5:M34" si="0">SUM(F5:L5)</f>
        <v>0</v>
      </c>
      <c r="N5" s="93" cm="1">
        <f t="array" ref="N5">Tablo17[[#This Row],[Q1]]/Tablo19[Q1]*$C$43+G5/Tablo19[Q2]*$D$43+H5/Tablo19[Q3]*$E$43+I5/Tablo19[Q4]*$F$43+J5/Tablo19[Q5]*$G$43+K5/Tablo19[Q6]*$H$43+L5/Tablo19[Q7]*$I$43</f>
        <v>0</v>
      </c>
      <c r="O5" s="93" cm="1">
        <f t="array" ref="O5">Tablo17[[#This Row],[Q1]]/Tablo19[Q1]*$C$44+G5/Tablo19[Q2]*$D$44+H5/Tablo19[Q3]*$E$44+I5/Tablo19[Q4]*$F$44+J5/Tablo19[Q5]*$G$44+K5/Tablo19[Q6]*$H$44+L5/Tablo19[Q7]*$I$44</f>
        <v>0</v>
      </c>
      <c r="P5" s="93" cm="1">
        <f t="array" ref="P5">Tablo17[[#This Row],[Q1]]/Tablo19[Q1]*$C$45+G5/Tablo19[Q2]*$D$45+H5/Tablo19[Q3]*$E$45+I5/Tablo19[Q4]*$F$45+J5/Tablo19[Q5]*$G$45+K5/Tablo19[Q6]*$H$45+L5/Tablo19[Q7]*$I$45</f>
        <v>0</v>
      </c>
      <c r="Q5" s="93" cm="1">
        <f t="array" ref="Q5">Tablo17[[#This Row],[Q1]]/Tablo19[Q1]*$C$46+G5/Tablo19[Q2]*$D$46+H5/Tablo19[Q3]*$E$46+I5/Tablo19[Q4]*$F$46+J5/Tablo19[Q5]*$G$46+K5/Tablo19[Q6]*$H$46+L5/Tablo19[Q7]*$I$46</f>
        <v>0</v>
      </c>
      <c r="R5" s="93">
        <f t="shared" ref="R5:R34" si="1">SUM(N5:Q5)</f>
        <v>0</v>
      </c>
      <c r="S5" s="10">
        <f>_xlfn.NORM.DIST(Tablo17[[#This Row],[TOTAL GRADE]],$N$56,$O$56,FALSE)</f>
        <v>2.4428421796479677E-3</v>
      </c>
    </row>
    <row r="6" spans="2:24" ht="15.6" thickTop="1" thickBot="1" x14ac:dyDescent="0.35">
      <c r="B6" s="94">
        <v>2</v>
      </c>
      <c r="C6" s="17">
        <v>2</v>
      </c>
      <c r="D6" s="71" t="s">
        <v>110</v>
      </c>
      <c r="E6" s="71" t="s">
        <v>111</v>
      </c>
      <c r="F6" s="1">
        <v>0</v>
      </c>
      <c r="G6" s="1">
        <v>0</v>
      </c>
      <c r="H6" s="1">
        <v>0</v>
      </c>
      <c r="I6" s="1">
        <v>0</v>
      </c>
      <c r="J6" s="1">
        <v>0</v>
      </c>
      <c r="K6" s="1">
        <v>0</v>
      </c>
      <c r="L6" s="1">
        <v>0</v>
      </c>
      <c r="M6" s="14">
        <f t="shared" si="0"/>
        <v>0</v>
      </c>
      <c r="N6" s="93" cm="1">
        <f t="array" ref="N6">Tablo17[[#This Row],[Q1]]/Tablo19[Q1]*$C$43+G6/Tablo19[Q2]*$D$43+H6/Tablo19[Q3]*$E$43+I6/Tablo19[Q4]*$F$43+J6/Tablo19[Q5]*$G$43+K6/Tablo19[Q6]*$H$43+L6/Tablo19[Q7]*$I$43</f>
        <v>0</v>
      </c>
      <c r="O6" s="93" cm="1">
        <f t="array" ref="O6">Tablo17[[#This Row],[Q1]]/Tablo19[Q1]*$C$44+G6/Tablo19[Q2]*$D$44+H6/Tablo19[Q3]*$E$44+I6/Tablo19[Q4]*$F$44+J6/Tablo19[Q5]*$G$44+K6/Tablo19[Q6]*$H$44+L6/Tablo19[Q7]*$I$44</f>
        <v>0</v>
      </c>
      <c r="P6" s="93" cm="1">
        <f t="array" ref="P6">Tablo17[[#This Row],[Q1]]/Tablo19[Q1]*$C$45+G6/Tablo19[Q2]*$D$45+H6/Tablo19[Q3]*$E$45+I6/Tablo19[Q4]*$F$45+J6/Tablo19[Q5]*$G$45+K6/Tablo19[Q6]*$H$45+L6/Tablo19[Q7]*$I$45</f>
        <v>0</v>
      </c>
      <c r="Q6" s="93" cm="1">
        <f t="array" ref="Q6">Tablo17[[#This Row],[Q1]]/Tablo19[Q1]*$C$46+G6/Tablo19[Q2]*$D$46+H6/Tablo19[Q3]*$E$46+I6/Tablo19[Q4]*$F$46+J6/Tablo19[Q5]*$G$46+K6/Tablo19[Q6]*$H$46+L6/Tablo19[Q7]*$I$46</f>
        <v>0</v>
      </c>
      <c r="R6" s="93">
        <f t="shared" si="1"/>
        <v>0</v>
      </c>
      <c r="S6" s="10">
        <f>_xlfn.NORM.DIST(Tablo17[[#This Row],[TOTAL GRADE]],$N$56,$O$56,FALSE)</f>
        <v>2.4428421796479677E-3</v>
      </c>
    </row>
    <row r="7" spans="2:24" ht="15.6" thickTop="1" thickBot="1" x14ac:dyDescent="0.35">
      <c r="B7" s="92">
        <v>3</v>
      </c>
      <c r="C7" s="17">
        <v>3</v>
      </c>
      <c r="D7" s="71" t="s">
        <v>110</v>
      </c>
      <c r="E7" s="71" t="s">
        <v>111</v>
      </c>
      <c r="F7" s="1">
        <v>0</v>
      </c>
      <c r="G7" s="1">
        <v>0</v>
      </c>
      <c r="H7" s="1">
        <v>0</v>
      </c>
      <c r="I7" s="1">
        <v>0</v>
      </c>
      <c r="J7" s="1">
        <v>0</v>
      </c>
      <c r="K7" s="1">
        <v>0</v>
      </c>
      <c r="L7" s="1">
        <v>0</v>
      </c>
      <c r="M7" s="14">
        <f t="shared" si="0"/>
        <v>0</v>
      </c>
      <c r="N7" s="93" cm="1">
        <f t="array" ref="N7">Tablo17[[#This Row],[Q1]]/Tablo19[Q1]*$C$43+G7/Tablo19[Q2]*$D$43+H7/Tablo19[Q3]*$E$43+I7/Tablo19[Q4]*$F$43+J7/Tablo19[Q5]*$G$43+K7/Tablo19[Q6]*$H$43+L7/Tablo19[Q7]*$I$43</f>
        <v>0</v>
      </c>
      <c r="O7" s="93" cm="1">
        <f t="array" ref="O7">Tablo17[[#This Row],[Q1]]/Tablo19[Q1]*$C$44+G7/Tablo19[Q2]*$D$44+H7/Tablo19[Q3]*$E$44+I7/Tablo19[Q4]*$F$44+J7/Tablo19[Q5]*$G$44+K7/Tablo19[Q6]*$H$44+L7/Tablo19[Q7]*$I$44</f>
        <v>0</v>
      </c>
      <c r="P7" s="93" cm="1">
        <f t="array" ref="P7">Tablo17[[#This Row],[Q1]]/Tablo19[Q1]*$C$45+G7/Tablo19[Q2]*$D$45+H7/Tablo19[Q3]*$E$45+I7/Tablo19[Q4]*$F$45+J7/Tablo19[Q5]*$G$45+K7/Tablo19[Q6]*$H$45+L7/Tablo19[Q7]*$I$45</f>
        <v>0</v>
      </c>
      <c r="Q7" s="93" cm="1">
        <f t="array" ref="Q7">Tablo17[[#This Row],[Q1]]/Tablo19[Q1]*$C$46+G7/Tablo19[Q2]*$D$46+H7/Tablo19[Q3]*$E$46+I7/Tablo19[Q4]*$F$46+J7/Tablo19[Q5]*$G$46+K7/Tablo19[Q6]*$H$46+L7/Tablo19[Q7]*$I$46</f>
        <v>0</v>
      </c>
      <c r="R7" s="93">
        <f t="shared" si="1"/>
        <v>0</v>
      </c>
      <c r="S7" s="10">
        <f>_xlfn.NORM.DIST(Tablo17[[#This Row],[TOTAL GRADE]],$N$56,$O$56,FALSE)</f>
        <v>2.4428421796479677E-3</v>
      </c>
    </row>
    <row r="8" spans="2:24" ht="15.6" thickTop="1" thickBot="1" x14ac:dyDescent="0.35">
      <c r="B8" s="94">
        <v>4</v>
      </c>
      <c r="C8" s="17">
        <v>4</v>
      </c>
      <c r="D8" s="71" t="s">
        <v>110</v>
      </c>
      <c r="E8" s="71" t="s">
        <v>111</v>
      </c>
      <c r="F8" s="1">
        <v>3</v>
      </c>
      <c r="G8" s="1">
        <v>2</v>
      </c>
      <c r="H8" s="1">
        <v>10</v>
      </c>
      <c r="I8" s="1">
        <v>15</v>
      </c>
      <c r="J8" s="1">
        <v>11</v>
      </c>
      <c r="K8" s="1">
        <v>15</v>
      </c>
      <c r="L8" s="1">
        <v>15</v>
      </c>
      <c r="M8" s="14">
        <f t="shared" si="0"/>
        <v>71</v>
      </c>
      <c r="N8" s="93" cm="1">
        <f t="array" ref="N8">Tablo17[[#This Row],[Q1]]/Tablo19[Q1]*$C$43+G8/Tablo19[Q2]*$D$43+H8/Tablo19[Q3]*$E$43+I8/Tablo19[Q4]*$F$43+J8/Tablo19[Q5]*$G$43+K8/Tablo19[Q6]*$H$43+L8/Tablo19[Q7]*$I$43</f>
        <v>13.666666666666666</v>
      </c>
      <c r="O8" s="93" cm="1">
        <f t="array" ref="O8">Tablo17[[#This Row],[Q1]]/Tablo19[Q1]*$C$44+G8/Tablo19[Q2]*$D$44+H8/Tablo19[Q3]*$E$44+I8/Tablo19[Q4]*$F$44+J8/Tablo19[Q5]*$G$44+K8/Tablo19[Q6]*$H$44+L8/Tablo19[Q7]*$I$44</f>
        <v>6.5</v>
      </c>
      <c r="P8" s="93" cm="1">
        <f t="array" ref="P8">Tablo17[[#This Row],[Q1]]/Tablo19[Q1]*$C$45+G8/Tablo19[Q2]*$D$45+H8/Tablo19[Q3]*$E$45+I8/Tablo19[Q4]*$F$45+J8/Tablo19[Q5]*$G$45+K8/Tablo19[Q6]*$H$45+L8/Tablo19[Q7]*$I$45</f>
        <v>3.6666666666666665</v>
      </c>
      <c r="Q8" s="93" cm="1">
        <f t="array" ref="Q8">Tablo17[[#This Row],[Q1]]/Tablo19[Q1]*$C$46+G8/Tablo19[Q2]*$D$46+H8/Tablo19[Q3]*$E$46+I8/Tablo19[Q4]*$F$46+J8/Tablo19[Q5]*$G$46+K8/Tablo19[Q6]*$H$46+L8/Tablo19[Q7]*$I$46</f>
        <v>36.166666666666664</v>
      </c>
      <c r="R8" s="93">
        <f t="shared" si="1"/>
        <v>60</v>
      </c>
      <c r="S8" s="10">
        <f>_xlfn.NORM.DIST(Tablo17[[#This Row],[TOTAL GRADE]],$N$56,$O$56,FALSE)</f>
        <v>4.1940278803414199E-3</v>
      </c>
    </row>
    <row r="9" spans="2:24" ht="15.6" thickTop="1" thickBot="1" x14ac:dyDescent="0.35">
      <c r="B9" s="92">
        <v>5</v>
      </c>
      <c r="C9" s="17">
        <v>5</v>
      </c>
      <c r="D9" s="71" t="s">
        <v>110</v>
      </c>
      <c r="E9" s="71" t="s">
        <v>111</v>
      </c>
      <c r="F9" s="1">
        <v>6</v>
      </c>
      <c r="G9" s="1">
        <v>3.5</v>
      </c>
      <c r="H9" s="1">
        <v>12.5</v>
      </c>
      <c r="I9" s="1">
        <v>10</v>
      </c>
      <c r="J9" s="1">
        <v>6</v>
      </c>
      <c r="K9" s="1">
        <v>15</v>
      </c>
      <c r="L9" s="1">
        <v>14</v>
      </c>
      <c r="M9" s="14">
        <f t="shared" si="0"/>
        <v>67</v>
      </c>
      <c r="N9" s="93" cm="1">
        <f t="array" ref="N9">Tablo17[[#This Row],[Q1]]/Tablo19[Q1]*$C$43+G9/Tablo19[Q2]*$D$43+H9/Tablo19[Q3]*$E$43+I9/Tablo19[Q4]*$F$43+J9/Tablo19[Q5]*$G$43+K9/Tablo19[Q6]*$H$43+L9/Tablo19[Q7]*$I$43</f>
        <v>17.75</v>
      </c>
      <c r="O9" s="93" cm="1">
        <f t="array" ref="O9">Tablo17[[#This Row],[Q1]]/Tablo19[Q1]*$C$44+G9/Tablo19[Q2]*$D$44+H9/Tablo19[Q3]*$E$44+I9/Tablo19[Q4]*$F$44+J9/Tablo19[Q5]*$G$44+K9/Tablo19[Q6]*$H$44+L9/Tablo19[Q7]*$I$44</f>
        <v>8</v>
      </c>
      <c r="P9" s="93" cm="1">
        <f t="array" ref="P9">Tablo17[[#This Row],[Q1]]/Tablo19[Q1]*$C$45+G9/Tablo19[Q2]*$D$45+H9/Tablo19[Q3]*$E$45+I9/Tablo19[Q4]*$F$45+J9/Tablo19[Q5]*$G$45+K9/Tablo19[Q6]*$H$45+L9/Tablo19[Q7]*$I$45</f>
        <v>2</v>
      </c>
      <c r="Q9" s="93" cm="1">
        <f t="array" ref="Q9">Tablo17[[#This Row],[Q1]]/Tablo19[Q1]*$C$46+G9/Tablo19[Q2]*$D$46+H9/Tablo19[Q3]*$E$46+I9/Tablo19[Q4]*$F$46+J9/Tablo19[Q5]*$G$46+K9/Tablo19[Q6]*$H$46+L9/Tablo19[Q7]*$I$46</f>
        <v>30.666666666666668</v>
      </c>
      <c r="R9" s="93">
        <f t="shared" si="1"/>
        <v>58.416666666666671</v>
      </c>
      <c r="S9" s="10">
        <f>_xlfn.NORM.DIST(Tablo17[[#This Row],[TOTAL GRADE]],$N$56,$O$56,FALSE)</f>
        <v>6.1180895764037227E-3</v>
      </c>
    </row>
    <row r="10" spans="2:24" ht="15.6" thickTop="1" thickBot="1" x14ac:dyDescent="0.35">
      <c r="B10" s="94">
        <v>6</v>
      </c>
      <c r="C10" s="17">
        <v>6</v>
      </c>
      <c r="D10" s="71" t="s">
        <v>110</v>
      </c>
      <c r="E10" s="71" t="s">
        <v>111</v>
      </c>
      <c r="F10" s="1">
        <v>2</v>
      </c>
      <c r="G10" s="1">
        <v>2</v>
      </c>
      <c r="H10" s="1">
        <v>14</v>
      </c>
      <c r="I10" s="1">
        <v>15</v>
      </c>
      <c r="J10" s="1">
        <v>11</v>
      </c>
      <c r="K10" s="1">
        <v>4</v>
      </c>
      <c r="L10" s="1">
        <v>14</v>
      </c>
      <c r="M10" s="14">
        <f t="shared" si="0"/>
        <v>62</v>
      </c>
      <c r="N10" s="93" cm="1">
        <f t="array" ref="N10">Tablo17[[#This Row],[Q1]]/Tablo19[Q1]*$C$43+G10/Tablo19[Q2]*$D$43+H10/Tablo19[Q3]*$E$43+I10/Tablo19[Q4]*$F$43+J10/Tablo19[Q5]*$G$43+K10/Tablo19[Q6]*$H$43+L10/Tablo19[Q7]*$I$43</f>
        <v>14.666666666666666</v>
      </c>
      <c r="O10" s="93" cm="1">
        <f t="array" ref="O10">Tablo17[[#This Row],[Q1]]/Tablo19[Q1]*$C$44+G10/Tablo19[Q2]*$D$44+H10/Tablo19[Q3]*$E$44+I10/Tablo19[Q4]*$F$44+J10/Tablo19[Q5]*$G$44+K10/Tablo19[Q6]*$H$44+L10/Tablo19[Q7]*$I$44</f>
        <v>2.333333333333333</v>
      </c>
      <c r="P10" s="93" cm="1">
        <f t="array" ref="P10">Tablo17[[#This Row],[Q1]]/Tablo19[Q1]*$C$45+G10/Tablo19[Q2]*$D$45+H10/Tablo19[Q3]*$E$45+I10/Tablo19[Q4]*$F$45+J10/Tablo19[Q5]*$G$45+K10/Tablo19[Q6]*$H$45+L10/Tablo19[Q7]*$I$45</f>
        <v>3.6666666666666665</v>
      </c>
      <c r="Q10" s="93" cm="1">
        <f t="array" ref="Q10">Tablo17[[#This Row],[Q1]]/Tablo19[Q1]*$C$46+G10/Tablo19[Q2]*$D$46+H10/Tablo19[Q3]*$E$46+I10/Tablo19[Q4]*$F$46+J10/Tablo19[Q5]*$G$46+K10/Tablo19[Q6]*$H$46+L10/Tablo19[Q7]*$I$46</f>
        <v>31.166666666666668</v>
      </c>
      <c r="R10" s="93">
        <f t="shared" si="1"/>
        <v>51.833333333333336</v>
      </c>
      <c r="S10" s="10">
        <f>_xlfn.NORM.DIST(Tablo17[[#This Row],[TOTAL GRADE]],$N$56,$O$56,FALSE)</f>
        <v>9.1588558478442415E-3</v>
      </c>
    </row>
    <row r="11" spans="2:24" ht="15.6" thickTop="1" thickBot="1" x14ac:dyDescent="0.35">
      <c r="B11" s="92">
        <v>7</v>
      </c>
      <c r="C11" s="17">
        <v>7</v>
      </c>
      <c r="D11" s="71" t="s">
        <v>110</v>
      </c>
      <c r="E11" s="71" t="s">
        <v>111</v>
      </c>
      <c r="F11" s="1">
        <v>4</v>
      </c>
      <c r="G11" s="1">
        <v>1</v>
      </c>
      <c r="H11" s="1">
        <v>10</v>
      </c>
      <c r="I11" s="1">
        <v>12</v>
      </c>
      <c r="J11" s="1">
        <v>13</v>
      </c>
      <c r="K11" s="1">
        <v>2</v>
      </c>
      <c r="L11" s="1">
        <v>15</v>
      </c>
      <c r="M11" s="14">
        <f t="shared" si="0"/>
        <v>57</v>
      </c>
      <c r="N11" s="93" cm="1">
        <f t="array" ref="N11">Tablo17[[#This Row],[Q1]]/Tablo19[Q1]*$C$43+G11/Tablo19[Q2]*$D$43+H11/Tablo19[Q3]*$E$43+I11/Tablo19[Q4]*$F$43+J11/Tablo19[Q5]*$G$43+K11/Tablo19[Q6]*$H$43+L11/Tablo19[Q7]*$I$43</f>
        <v>14.333333333333334</v>
      </c>
      <c r="O11" s="93" cm="1">
        <f t="array" ref="O11">Tablo17[[#This Row],[Q1]]/Tablo19[Q1]*$C$44+G11/Tablo19[Q2]*$D$44+H11/Tablo19[Q3]*$E$44+I11/Tablo19[Q4]*$F$44+J11/Tablo19[Q5]*$G$44+K11/Tablo19[Q6]*$H$44+L11/Tablo19[Q7]*$I$44</f>
        <v>2.6666666666666665</v>
      </c>
      <c r="P11" s="93" cm="1">
        <f t="array" ref="P11">Tablo17[[#This Row],[Q1]]/Tablo19[Q1]*$C$45+G11/Tablo19[Q2]*$D$45+H11/Tablo19[Q3]*$E$45+I11/Tablo19[Q4]*$F$45+J11/Tablo19[Q5]*$G$45+K11/Tablo19[Q6]*$H$45+L11/Tablo19[Q7]*$I$45</f>
        <v>4.3333333333333339</v>
      </c>
      <c r="Q11" s="93" cm="1">
        <f t="array" ref="Q11">Tablo17[[#This Row],[Q1]]/Tablo19[Q1]*$C$46+G11/Tablo19[Q2]*$D$46+H11/Tablo19[Q3]*$E$46+I11/Tablo19[Q4]*$F$46+J11/Tablo19[Q5]*$G$46+K11/Tablo19[Q6]*$H$46+L11/Tablo19[Q7]*$I$46</f>
        <v>31</v>
      </c>
      <c r="R11" s="93">
        <f t="shared" si="1"/>
        <v>52.333333333333336</v>
      </c>
      <c r="S11" s="10">
        <f>_xlfn.NORM.DIST(Tablo17[[#This Row],[TOTAL GRADE]],$N$56,$O$56,FALSE)</f>
        <v>1.2705893806020505E-2</v>
      </c>
    </row>
    <row r="12" spans="2:24" ht="15.6" thickTop="1" thickBot="1" x14ac:dyDescent="0.35">
      <c r="B12" s="94">
        <v>8</v>
      </c>
      <c r="C12" s="17">
        <v>8</v>
      </c>
      <c r="D12" s="71" t="s">
        <v>110</v>
      </c>
      <c r="E12" s="71" t="s">
        <v>111</v>
      </c>
      <c r="F12" s="1">
        <v>1</v>
      </c>
      <c r="G12" s="1">
        <v>1</v>
      </c>
      <c r="H12" s="1">
        <v>15</v>
      </c>
      <c r="I12" s="1">
        <v>9</v>
      </c>
      <c r="J12" s="1">
        <v>6</v>
      </c>
      <c r="K12" s="1">
        <v>15</v>
      </c>
      <c r="L12" s="1">
        <v>8</v>
      </c>
      <c r="M12" s="14">
        <f t="shared" si="0"/>
        <v>55</v>
      </c>
      <c r="N12" s="93" cm="1">
        <f t="array" ref="N12">Tablo17[[#This Row],[Q1]]/Tablo19[Q1]*$C$43+G12/Tablo19[Q2]*$D$43+H12/Tablo19[Q3]*$E$43+I12/Tablo19[Q4]*$F$43+J12/Tablo19[Q5]*$G$43+K12/Tablo19[Q6]*$H$43+L12/Tablo19[Q7]*$I$43</f>
        <v>11.5</v>
      </c>
      <c r="O12" s="93" cm="1">
        <f t="array" ref="O12">Tablo17[[#This Row],[Q1]]/Tablo19[Q1]*$C$44+G12/Tablo19[Q2]*$D$44+H12/Tablo19[Q3]*$E$44+I12/Tablo19[Q4]*$F$44+J12/Tablo19[Q5]*$G$44+K12/Tablo19[Q6]*$H$44+L12/Tablo19[Q7]*$I$44</f>
        <v>5.5</v>
      </c>
      <c r="P12" s="93" cm="1">
        <f t="array" ref="P12">Tablo17[[#This Row],[Q1]]/Tablo19[Q1]*$C$45+G12/Tablo19[Q2]*$D$45+H12/Tablo19[Q3]*$E$45+I12/Tablo19[Q4]*$F$45+J12/Tablo19[Q5]*$G$45+K12/Tablo19[Q6]*$H$45+L12/Tablo19[Q7]*$I$45</f>
        <v>2</v>
      </c>
      <c r="Q12" s="93" cm="1">
        <f t="array" ref="Q12">Tablo17[[#This Row],[Q1]]/Tablo19[Q1]*$C$46+G12/Tablo19[Q2]*$D$46+H12/Tablo19[Q3]*$E$46+I12/Tablo19[Q4]*$F$46+J12/Tablo19[Q5]*$G$46+K12/Tablo19[Q6]*$H$46+L12/Tablo19[Q7]*$I$46</f>
        <v>22.166666666666664</v>
      </c>
      <c r="R12" s="93">
        <f t="shared" si="1"/>
        <v>41.166666666666664</v>
      </c>
      <c r="S12" s="10">
        <f>_xlfn.NORM.DIST(Tablo17[[#This Row],[TOTAL GRADE]],$N$56,$O$56,FALSE)</f>
        <v>1.4177956179946404E-2</v>
      </c>
    </row>
    <row r="13" spans="2:24" ht="15.6" thickTop="1" thickBot="1" x14ac:dyDescent="0.35">
      <c r="B13" s="92">
        <v>9</v>
      </c>
      <c r="C13" s="17">
        <v>9</v>
      </c>
      <c r="D13" s="71" t="s">
        <v>110</v>
      </c>
      <c r="E13" s="71" t="s">
        <v>111</v>
      </c>
      <c r="F13" s="1">
        <v>1</v>
      </c>
      <c r="G13" s="1">
        <v>1</v>
      </c>
      <c r="H13" s="1">
        <v>9</v>
      </c>
      <c r="I13" s="1">
        <v>12</v>
      </c>
      <c r="J13" s="1">
        <v>8</v>
      </c>
      <c r="K13" s="1">
        <v>15</v>
      </c>
      <c r="L13" s="1">
        <v>7</v>
      </c>
      <c r="M13" s="14">
        <f t="shared" si="0"/>
        <v>53</v>
      </c>
      <c r="N13" s="93" cm="1">
        <f t="array" ref="N13">Tablo17[[#This Row],[Q1]]/Tablo19[Q1]*$C$43+G13/Tablo19[Q2]*$D$43+H13/Tablo19[Q3]*$E$43+I13/Tablo19[Q4]*$F$43+J13/Tablo19[Q5]*$G$43+K13/Tablo19[Q6]*$H$43+L13/Tablo19[Q7]*$I$43</f>
        <v>9.1666666666666661</v>
      </c>
      <c r="O13" s="93" cm="1">
        <f t="array" ref="O13">Tablo17[[#This Row],[Q1]]/Tablo19[Q1]*$C$44+G13/Tablo19[Q2]*$D$44+H13/Tablo19[Q3]*$E$44+I13/Tablo19[Q4]*$F$44+J13/Tablo19[Q5]*$G$44+K13/Tablo19[Q6]*$H$44+L13/Tablo19[Q7]*$I$44</f>
        <v>5.5</v>
      </c>
      <c r="P13" s="93" cm="1">
        <f t="array" ref="P13">Tablo17[[#This Row],[Q1]]/Tablo19[Q1]*$C$45+G13/Tablo19[Q2]*$D$45+H13/Tablo19[Q3]*$E$45+I13/Tablo19[Q4]*$F$45+J13/Tablo19[Q5]*$G$45+K13/Tablo19[Q6]*$H$45+L13/Tablo19[Q7]*$I$45</f>
        <v>2.6666666666666665</v>
      </c>
      <c r="Q13" s="93" cm="1">
        <f t="array" ref="Q13">Tablo17[[#This Row],[Q1]]/Tablo19[Q1]*$C$46+G13/Tablo19[Q2]*$D$46+H13/Tablo19[Q3]*$E$46+I13/Tablo19[Q4]*$F$46+J13/Tablo19[Q5]*$G$46+K13/Tablo19[Q6]*$H$46+L13/Tablo19[Q7]*$I$46</f>
        <v>23</v>
      </c>
      <c r="R13" s="93">
        <f t="shared" si="1"/>
        <v>40.333333333333329</v>
      </c>
      <c r="S13" s="10">
        <f>_xlfn.NORM.DIST(Tablo17[[#This Row],[TOTAL GRADE]],$N$56,$O$56,FALSE)</f>
        <v>1.5629036846777963E-2</v>
      </c>
    </row>
    <row r="14" spans="2:24" ht="15.6" thickTop="1" thickBot="1" x14ac:dyDescent="0.35">
      <c r="B14" s="94">
        <v>10</v>
      </c>
      <c r="C14" s="17">
        <v>10</v>
      </c>
      <c r="D14" s="71" t="s">
        <v>110</v>
      </c>
      <c r="E14" s="71" t="s">
        <v>111</v>
      </c>
      <c r="F14" s="1">
        <v>0</v>
      </c>
      <c r="G14" s="1">
        <v>2</v>
      </c>
      <c r="H14" s="1">
        <v>17</v>
      </c>
      <c r="I14" s="1">
        <v>15</v>
      </c>
      <c r="J14" s="1">
        <v>10</v>
      </c>
      <c r="K14" s="1">
        <v>6</v>
      </c>
      <c r="L14" s="1">
        <v>0</v>
      </c>
      <c r="M14" s="14">
        <f t="shared" si="0"/>
        <v>50</v>
      </c>
      <c r="N14" s="93" cm="1">
        <f t="array" ref="N14">Tablo17[[#This Row],[Q1]]/Tablo19[Q1]*$C$43+G14/Tablo19[Q2]*$D$43+H14/Tablo19[Q3]*$E$43+I14/Tablo19[Q4]*$F$43+J14/Tablo19[Q5]*$G$43+K14/Tablo19[Q6]*$H$43+L14/Tablo19[Q7]*$I$43</f>
        <v>13.833333333333332</v>
      </c>
      <c r="O14" s="93" cm="1">
        <f t="array" ref="O14">Tablo17[[#This Row],[Q1]]/Tablo19[Q1]*$C$44+G14/Tablo19[Q2]*$D$44+H14/Tablo19[Q3]*$E$44+I14/Tablo19[Q4]*$F$44+J14/Tablo19[Q5]*$G$44+K14/Tablo19[Q6]*$H$44+L14/Tablo19[Q7]*$I$44</f>
        <v>2</v>
      </c>
      <c r="P14" s="93" cm="1">
        <f t="array" ref="P14">Tablo17[[#This Row],[Q1]]/Tablo19[Q1]*$C$45+G14/Tablo19[Q2]*$D$45+H14/Tablo19[Q3]*$E$45+I14/Tablo19[Q4]*$F$45+J14/Tablo19[Q5]*$G$45+K14/Tablo19[Q6]*$H$45+L14/Tablo19[Q7]*$I$45</f>
        <v>3.333333333333333</v>
      </c>
      <c r="Q14" s="93" cm="1">
        <f t="array" ref="Q14">Tablo17[[#This Row],[Q1]]/Tablo19[Q1]*$C$46+G14/Tablo19[Q2]*$D$46+H14/Tablo19[Q3]*$E$46+I14/Tablo19[Q4]*$F$46+J14/Tablo19[Q5]*$G$46+K14/Tablo19[Q6]*$H$46+L14/Tablo19[Q7]*$I$46</f>
        <v>12.833333333333332</v>
      </c>
      <c r="R14" s="93">
        <f t="shared" si="1"/>
        <v>31.999999999999996</v>
      </c>
      <c r="S14" s="10">
        <f>_xlfn.NORM.DIST(Tablo17[[#This Row],[TOTAL GRADE]],$N$56,$O$56,FALSE)</f>
        <v>1.7680383242776862E-2</v>
      </c>
    </row>
    <row r="15" spans="2:24" ht="15.6" thickTop="1" thickBot="1" x14ac:dyDescent="0.35">
      <c r="B15" s="92">
        <v>11</v>
      </c>
      <c r="C15" s="17">
        <v>11</v>
      </c>
      <c r="D15" s="71" t="s">
        <v>110</v>
      </c>
      <c r="E15" s="71" t="s">
        <v>111</v>
      </c>
      <c r="F15" s="1">
        <v>0</v>
      </c>
      <c r="G15" s="1">
        <v>5</v>
      </c>
      <c r="H15" s="1">
        <v>8</v>
      </c>
      <c r="I15" s="1">
        <v>9</v>
      </c>
      <c r="J15" s="1">
        <v>8</v>
      </c>
      <c r="K15" s="1">
        <v>9</v>
      </c>
      <c r="L15" s="1">
        <v>11</v>
      </c>
      <c r="M15" s="14">
        <f t="shared" si="0"/>
        <v>50</v>
      </c>
      <c r="N15" s="93" cm="1">
        <f t="array" ref="N15">Tablo17[[#This Row],[Q1]]/Tablo19[Q1]*$C$43+G15/Tablo19[Q2]*$D$43+H15/Tablo19[Q3]*$E$43+I15/Tablo19[Q4]*$F$43+J15/Tablo19[Q5]*$G$43+K15/Tablo19[Q6]*$H$43+L15/Tablo19[Q7]*$I$43</f>
        <v>11.666666666666666</v>
      </c>
      <c r="O15" s="93" cm="1">
        <f t="array" ref="O15">Tablo17[[#This Row],[Q1]]/Tablo19[Q1]*$C$44+G15/Tablo19[Q2]*$D$44+H15/Tablo19[Q3]*$E$44+I15/Tablo19[Q4]*$F$44+J15/Tablo19[Q5]*$G$44+K15/Tablo19[Q6]*$H$44+L15/Tablo19[Q7]*$I$44</f>
        <v>3</v>
      </c>
      <c r="P15" s="93" cm="1">
        <f t="array" ref="P15">Tablo17[[#This Row],[Q1]]/Tablo19[Q1]*$C$45+G15/Tablo19[Q2]*$D$45+H15/Tablo19[Q3]*$E$45+I15/Tablo19[Q4]*$F$45+J15/Tablo19[Q5]*$G$45+K15/Tablo19[Q6]*$H$45+L15/Tablo19[Q7]*$I$45</f>
        <v>2.6666666666666665</v>
      </c>
      <c r="Q15" s="93" cm="1">
        <f t="array" ref="Q15">Tablo17[[#This Row],[Q1]]/Tablo19[Q1]*$C$46+G15/Tablo19[Q2]*$D$46+H15/Tablo19[Q3]*$E$46+I15/Tablo19[Q4]*$F$46+J15/Tablo19[Q5]*$G$46+K15/Tablo19[Q6]*$H$46+L15/Tablo19[Q7]*$I$46</f>
        <v>24.833333333333332</v>
      </c>
      <c r="R15" s="93">
        <f t="shared" si="1"/>
        <v>42.166666666666664</v>
      </c>
      <c r="S15" s="10">
        <f>_xlfn.NORM.DIST(Tablo17[[#This Row],[TOTAL GRADE]],$N$56,$O$56,FALSE)</f>
        <v>1.7680383242776862E-2</v>
      </c>
    </row>
    <row r="16" spans="2:24" ht="15.6" thickTop="1" thickBot="1" x14ac:dyDescent="0.35">
      <c r="B16" s="94">
        <v>12</v>
      </c>
      <c r="C16" s="17">
        <v>12</v>
      </c>
      <c r="D16" s="71" t="s">
        <v>110</v>
      </c>
      <c r="E16" s="71" t="s">
        <v>111</v>
      </c>
      <c r="F16" s="1">
        <v>1</v>
      </c>
      <c r="G16" s="1">
        <v>1</v>
      </c>
      <c r="H16" s="1">
        <v>9</v>
      </c>
      <c r="I16" s="1">
        <v>10</v>
      </c>
      <c r="J16" s="1">
        <v>6</v>
      </c>
      <c r="K16" s="1">
        <v>10</v>
      </c>
      <c r="L16" s="1">
        <v>11</v>
      </c>
      <c r="M16" s="14">
        <f t="shared" si="0"/>
        <v>48</v>
      </c>
      <c r="N16" s="93" cm="1">
        <f t="array" ref="N16">Tablo17[[#This Row],[Q1]]/Tablo19[Q1]*$C$43+G16/Tablo19[Q2]*$D$43+H16/Tablo19[Q3]*$E$43+I16/Tablo19[Q4]*$F$43+J16/Tablo19[Q5]*$G$43+K16/Tablo19[Q6]*$H$43+L16/Tablo19[Q7]*$I$43</f>
        <v>8.5</v>
      </c>
      <c r="O16" s="93" cm="1">
        <f t="array" ref="O16">Tablo17[[#This Row],[Q1]]/Tablo19[Q1]*$C$44+G16/Tablo19[Q2]*$D$44+H16/Tablo19[Q3]*$E$44+I16/Tablo19[Q4]*$F$44+J16/Tablo19[Q5]*$G$44+K16/Tablo19[Q6]*$H$44+L16/Tablo19[Q7]*$I$44</f>
        <v>3.833333333333333</v>
      </c>
      <c r="P16" s="93" cm="1">
        <f t="array" ref="P16">Tablo17[[#This Row],[Q1]]/Tablo19[Q1]*$C$45+G16/Tablo19[Q2]*$D$45+H16/Tablo19[Q3]*$E$45+I16/Tablo19[Q4]*$F$45+J16/Tablo19[Q5]*$G$45+K16/Tablo19[Q6]*$H$45+L16/Tablo19[Q7]*$I$45</f>
        <v>2</v>
      </c>
      <c r="Q16" s="93" cm="1">
        <f t="array" ref="Q16">Tablo17[[#This Row],[Q1]]/Tablo19[Q1]*$C$46+G16/Tablo19[Q2]*$D$46+H16/Tablo19[Q3]*$E$46+I16/Tablo19[Q4]*$F$46+J16/Tablo19[Q5]*$G$46+K16/Tablo19[Q6]*$H$46+L16/Tablo19[Q7]*$I$46</f>
        <v>25</v>
      </c>
      <c r="R16" s="93">
        <f t="shared" si="1"/>
        <v>39.333333333333329</v>
      </c>
      <c r="S16" s="10">
        <f>_xlfn.NORM.DIST(Tablo17[[#This Row],[TOTAL GRADE]],$N$56,$O$56,FALSE)</f>
        <v>1.8905392662284057E-2</v>
      </c>
    </row>
    <row r="17" spans="2:19" ht="15.6" thickTop="1" thickBot="1" x14ac:dyDescent="0.35">
      <c r="B17" s="92">
        <v>13</v>
      </c>
      <c r="C17" s="17">
        <v>13</v>
      </c>
      <c r="D17" s="71" t="s">
        <v>110</v>
      </c>
      <c r="E17" s="71" t="s">
        <v>111</v>
      </c>
      <c r="F17" s="1">
        <v>6</v>
      </c>
      <c r="G17" s="1">
        <v>2</v>
      </c>
      <c r="H17" s="1">
        <v>0</v>
      </c>
      <c r="I17" s="1">
        <v>16</v>
      </c>
      <c r="J17" s="1">
        <v>11</v>
      </c>
      <c r="K17" s="1">
        <v>4</v>
      </c>
      <c r="L17" s="1">
        <v>9</v>
      </c>
      <c r="M17" s="14">
        <f t="shared" si="0"/>
        <v>48</v>
      </c>
      <c r="N17" s="93" cm="1">
        <f t="array" ref="N17">Tablo17[[#This Row],[Q1]]/Tablo19[Q1]*$C$43+G17/Tablo19[Q2]*$D$43+H17/Tablo19[Q3]*$E$43+I17/Tablo19[Q4]*$F$43+J17/Tablo19[Q5]*$G$43+K17/Tablo19[Q6]*$H$43+L17/Tablo19[Q7]*$I$43</f>
        <v>11.666666666666666</v>
      </c>
      <c r="O17" s="93" cm="1">
        <f t="array" ref="O17">Tablo17[[#This Row],[Q1]]/Tablo19[Q1]*$C$44+G17/Tablo19[Q2]*$D$44+H17/Tablo19[Q3]*$E$44+I17/Tablo19[Q4]*$F$44+J17/Tablo19[Q5]*$G$44+K17/Tablo19[Q6]*$H$44+L17/Tablo19[Q7]*$I$44</f>
        <v>4.333333333333333</v>
      </c>
      <c r="P17" s="93" cm="1">
        <f t="array" ref="P17">Tablo17[[#This Row],[Q1]]/Tablo19[Q1]*$C$45+G17/Tablo19[Q2]*$D$45+H17/Tablo19[Q3]*$E$45+I17/Tablo19[Q4]*$F$45+J17/Tablo19[Q5]*$G$45+K17/Tablo19[Q6]*$H$45+L17/Tablo19[Q7]*$I$45</f>
        <v>3.6666666666666665</v>
      </c>
      <c r="Q17" s="93" cm="1">
        <f t="array" ref="Q17">Tablo17[[#This Row],[Q1]]/Tablo19[Q1]*$C$46+G17/Tablo19[Q2]*$D$46+H17/Tablo19[Q3]*$E$46+I17/Tablo19[Q4]*$F$46+J17/Tablo19[Q5]*$G$46+K17/Tablo19[Q6]*$H$46+L17/Tablo19[Q7]*$I$46</f>
        <v>25</v>
      </c>
      <c r="R17" s="93">
        <f t="shared" si="1"/>
        <v>44.666666666666671</v>
      </c>
      <c r="S17" s="10">
        <f>_xlfn.NORM.DIST(Tablo17[[#This Row],[TOTAL GRADE]],$N$56,$O$56,FALSE)</f>
        <v>1.8905392662284057E-2</v>
      </c>
    </row>
    <row r="18" spans="2:19" ht="15.6" thickTop="1" thickBot="1" x14ac:dyDescent="0.35">
      <c r="B18" s="94">
        <v>14</v>
      </c>
      <c r="C18" s="17">
        <v>14</v>
      </c>
      <c r="D18" s="71" t="s">
        <v>110</v>
      </c>
      <c r="E18" s="71" t="s">
        <v>111</v>
      </c>
      <c r="F18" s="1">
        <v>3</v>
      </c>
      <c r="G18" s="1">
        <v>1</v>
      </c>
      <c r="H18" s="1">
        <v>1</v>
      </c>
      <c r="I18" s="1">
        <v>14</v>
      </c>
      <c r="J18" s="1">
        <v>9</v>
      </c>
      <c r="K18" s="1">
        <v>10</v>
      </c>
      <c r="L18" s="1">
        <v>9</v>
      </c>
      <c r="M18" s="14">
        <f t="shared" si="0"/>
        <v>47</v>
      </c>
      <c r="N18" s="93" cm="1">
        <f t="array" ref="N18">Tablo17[[#This Row],[Q1]]/Tablo19[Q1]*$C$43+G18/Tablo19[Q2]*$D$43+H18/Tablo19[Q3]*$E$43+I18/Tablo19[Q4]*$F$43+J18/Tablo19[Q5]*$G$43+K18/Tablo19[Q6]*$H$43+L18/Tablo19[Q7]*$I$43</f>
        <v>7.5</v>
      </c>
      <c r="O18" s="93" cm="1">
        <f t="array" ref="O18">Tablo17[[#This Row],[Q1]]/Tablo19[Q1]*$C$44+G18/Tablo19[Q2]*$D$44+H18/Tablo19[Q3]*$E$44+I18/Tablo19[Q4]*$F$44+J18/Tablo19[Q5]*$G$44+K18/Tablo19[Q6]*$H$44+L18/Tablo19[Q7]*$I$44</f>
        <v>4.833333333333333</v>
      </c>
      <c r="P18" s="93" cm="1">
        <f t="array" ref="P18">Tablo17[[#This Row],[Q1]]/Tablo19[Q1]*$C$45+G18/Tablo19[Q2]*$D$45+H18/Tablo19[Q3]*$E$45+I18/Tablo19[Q4]*$F$45+J18/Tablo19[Q5]*$G$45+K18/Tablo19[Q6]*$H$45+L18/Tablo19[Q7]*$I$45</f>
        <v>3</v>
      </c>
      <c r="Q18" s="93" cm="1">
        <f t="array" ref="Q18">Tablo17[[#This Row],[Q1]]/Tablo19[Q1]*$C$46+G18/Tablo19[Q2]*$D$46+H18/Tablo19[Q3]*$E$46+I18/Tablo19[Q4]*$F$46+J18/Tablo19[Q5]*$G$46+K18/Tablo19[Q6]*$H$46+L18/Tablo19[Q7]*$I$46</f>
        <v>25.333333333333332</v>
      </c>
      <c r="R18" s="93">
        <f t="shared" si="1"/>
        <v>40.666666666666664</v>
      </c>
      <c r="S18" s="10">
        <f>_xlfn.NORM.DIST(Tablo17[[#This Row],[TOTAL GRADE]],$N$56,$O$56,FALSE)</f>
        <v>1.9460277639275211E-2</v>
      </c>
    </row>
    <row r="19" spans="2:19" ht="15.6" thickTop="1" thickBot="1" x14ac:dyDescent="0.35">
      <c r="B19" s="92">
        <v>15</v>
      </c>
      <c r="C19" s="17">
        <v>15</v>
      </c>
      <c r="D19" s="71" t="s">
        <v>110</v>
      </c>
      <c r="E19" s="71" t="s">
        <v>111</v>
      </c>
      <c r="F19" s="1">
        <v>2</v>
      </c>
      <c r="G19" s="1">
        <v>1</v>
      </c>
      <c r="H19" s="1">
        <v>14</v>
      </c>
      <c r="I19" s="1">
        <v>12</v>
      </c>
      <c r="J19" s="1">
        <v>6</v>
      </c>
      <c r="K19" s="1">
        <v>5</v>
      </c>
      <c r="L19" s="1">
        <v>4</v>
      </c>
      <c r="M19" s="14">
        <f t="shared" si="0"/>
        <v>44</v>
      </c>
      <c r="N19" s="93" cm="1">
        <f t="array" ref="N19">Tablo17[[#This Row],[Q1]]/Tablo19[Q1]*$C$43+G19/Tablo19[Q2]*$D$43+H19/Tablo19[Q3]*$E$43+I19/Tablo19[Q4]*$F$43+J19/Tablo19[Q5]*$G$43+K19/Tablo19[Q6]*$H$43+L19/Tablo19[Q7]*$I$43</f>
        <v>12</v>
      </c>
      <c r="O19" s="93" cm="1">
        <f t="array" ref="O19">Tablo17[[#This Row],[Q1]]/Tablo19[Q1]*$C$44+G19/Tablo19[Q2]*$D$44+H19/Tablo19[Q3]*$E$44+I19/Tablo19[Q4]*$F$44+J19/Tablo19[Q5]*$G$44+K19/Tablo19[Q6]*$H$44+L19/Tablo19[Q7]*$I$44</f>
        <v>2.6666666666666665</v>
      </c>
      <c r="P19" s="93" cm="1">
        <f t="array" ref="P19">Tablo17[[#This Row],[Q1]]/Tablo19[Q1]*$C$45+G19/Tablo19[Q2]*$D$45+H19/Tablo19[Q3]*$E$45+I19/Tablo19[Q4]*$F$45+J19/Tablo19[Q5]*$G$45+K19/Tablo19[Q6]*$H$45+L19/Tablo19[Q7]*$I$45</f>
        <v>2</v>
      </c>
      <c r="Q19" s="93" cm="1">
        <f t="array" ref="Q19">Tablo17[[#This Row],[Q1]]/Tablo19[Q1]*$C$46+G19/Tablo19[Q2]*$D$46+H19/Tablo19[Q3]*$E$46+I19/Tablo19[Q4]*$F$46+J19/Tablo19[Q5]*$G$46+K19/Tablo19[Q6]*$H$46+L19/Tablo19[Q7]*$I$46</f>
        <v>15</v>
      </c>
      <c r="R19" s="93">
        <f t="shared" si="1"/>
        <v>31.666666666666664</v>
      </c>
      <c r="S19" s="10">
        <f>_xlfn.NORM.DIST(Tablo17[[#This Row],[TOTAL GRADE]],$N$56,$O$56,FALSE)</f>
        <v>2.0840315400294896E-2</v>
      </c>
    </row>
    <row r="20" spans="2:19" ht="15.6" thickTop="1" thickBot="1" x14ac:dyDescent="0.35">
      <c r="B20" s="94">
        <v>16</v>
      </c>
      <c r="C20" s="17">
        <v>16</v>
      </c>
      <c r="D20" s="71" t="s">
        <v>110</v>
      </c>
      <c r="E20" s="71" t="s">
        <v>111</v>
      </c>
      <c r="F20" s="1">
        <v>0</v>
      </c>
      <c r="G20" s="1">
        <v>1</v>
      </c>
      <c r="H20" s="1">
        <v>14</v>
      </c>
      <c r="I20" s="1">
        <v>3</v>
      </c>
      <c r="J20" s="1">
        <v>5</v>
      </c>
      <c r="K20" s="1">
        <v>11</v>
      </c>
      <c r="L20" s="1">
        <v>9</v>
      </c>
      <c r="M20" s="14">
        <f t="shared" si="0"/>
        <v>43</v>
      </c>
      <c r="N20" s="93" cm="1">
        <f t="array" ref="N20">Tablo17[[#This Row],[Q1]]/Tablo19[Q1]*$C$43+G20/Tablo19[Q2]*$D$43+H20/Tablo19[Q3]*$E$43+I20/Tablo19[Q4]*$F$43+J20/Tablo19[Q5]*$G$43+K20/Tablo19[Q6]*$H$43+L20/Tablo19[Q7]*$I$43</f>
        <v>9.6666666666666661</v>
      </c>
      <c r="O20" s="93" cm="1">
        <f t="array" ref="O20">Tablo17[[#This Row],[Q1]]/Tablo19[Q1]*$C$44+G20/Tablo19[Q2]*$D$44+H20/Tablo19[Q3]*$E$44+I20/Tablo19[Q4]*$F$44+J20/Tablo19[Q5]*$G$44+K20/Tablo19[Q6]*$H$44+L20/Tablo19[Q7]*$I$44</f>
        <v>3.6666666666666665</v>
      </c>
      <c r="P20" s="93" cm="1">
        <f t="array" ref="P20">Tablo17[[#This Row],[Q1]]/Tablo19[Q1]*$C$45+G20/Tablo19[Q2]*$D$45+H20/Tablo19[Q3]*$E$45+I20/Tablo19[Q4]*$F$45+J20/Tablo19[Q5]*$G$45+K20/Tablo19[Q6]*$H$45+L20/Tablo19[Q7]*$I$45</f>
        <v>1.6666666666666665</v>
      </c>
      <c r="Q20" s="93" cm="1">
        <f t="array" ref="Q20">Tablo17[[#This Row],[Q1]]/Tablo19[Q1]*$C$46+G20/Tablo19[Q2]*$D$46+H20/Tablo19[Q3]*$E$46+I20/Tablo19[Q4]*$F$46+J20/Tablo19[Q5]*$G$46+K20/Tablo19[Q6]*$H$46+L20/Tablo19[Q7]*$I$46</f>
        <v>18.833333333333332</v>
      </c>
      <c r="R20" s="93">
        <f t="shared" si="1"/>
        <v>33.833333333333329</v>
      </c>
      <c r="S20" s="10">
        <f>_xlfn.NORM.DIST(Tablo17[[#This Row],[TOTAL GRADE]],$N$56,$O$56,FALSE)</f>
        <v>2.1192285407833772E-2</v>
      </c>
    </row>
    <row r="21" spans="2:19" ht="15.6" thickTop="1" thickBot="1" x14ac:dyDescent="0.35">
      <c r="B21" s="92">
        <v>17</v>
      </c>
      <c r="C21" s="17">
        <v>17</v>
      </c>
      <c r="D21" s="71" t="s">
        <v>110</v>
      </c>
      <c r="E21" s="71" t="s">
        <v>111</v>
      </c>
      <c r="F21" s="1">
        <v>3</v>
      </c>
      <c r="G21" s="1">
        <v>4</v>
      </c>
      <c r="H21" s="1">
        <v>11</v>
      </c>
      <c r="I21" s="1">
        <v>10</v>
      </c>
      <c r="J21" s="1">
        <v>6</v>
      </c>
      <c r="K21" s="1">
        <v>2</v>
      </c>
      <c r="L21" s="1">
        <v>6</v>
      </c>
      <c r="M21" s="14">
        <f t="shared" si="0"/>
        <v>42</v>
      </c>
      <c r="N21" s="93" cm="1">
        <f t="array" ref="N21">Tablo17[[#This Row],[Q1]]/Tablo19[Q1]*$C$43+G21/Tablo19[Q2]*$D$43+H21/Tablo19[Q3]*$E$43+I21/Tablo19[Q4]*$F$43+J21/Tablo19[Q5]*$G$43+K21/Tablo19[Q6]*$H$43+L21/Tablo19[Q7]*$I$43</f>
        <v>14.5</v>
      </c>
      <c r="O21" s="93" cm="1">
        <f t="array" ref="O21">Tablo17[[#This Row],[Q1]]/Tablo19[Q1]*$C$44+G21/Tablo19[Q2]*$D$44+H21/Tablo19[Q3]*$E$44+I21/Tablo19[Q4]*$F$44+J21/Tablo19[Q5]*$G$44+K21/Tablo19[Q6]*$H$44+L21/Tablo19[Q7]*$I$44</f>
        <v>2.1666666666666665</v>
      </c>
      <c r="P21" s="93" cm="1">
        <f t="array" ref="P21">Tablo17[[#This Row],[Q1]]/Tablo19[Q1]*$C$45+G21/Tablo19[Q2]*$D$45+H21/Tablo19[Q3]*$E$45+I21/Tablo19[Q4]*$F$45+J21/Tablo19[Q5]*$G$45+K21/Tablo19[Q6]*$H$45+L21/Tablo19[Q7]*$I$45</f>
        <v>2</v>
      </c>
      <c r="Q21" s="93" cm="1">
        <f t="array" ref="Q21">Tablo17[[#This Row],[Q1]]/Tablo19[Q1]*$C$46+G21/Tablo19[Q2]*$D$46+H21/Tablo19[Q3]*$E$46+I21/Tablo19[Q4]*$F$46+J21/Tablo19[Q5]*$G$46+K21/Tablo19[Q6]*$H$46+L21/Tablo19[Q7]*$I$46</f>
        <v>15.666666666666668</v>
      </c>
      <c r="R21" s="93">
        <f t="shared" si="1"/>
        <v>34.333333333333336</v>
      </c>
      <c r="S21" s="10">
        <f>_xlfn.NORM.DIST(Tablo17[[#This Row],[TOTAL GRADE]],$N$56,$O$56,FALSE)</f>
        <v>2.1484677809694316E-2</v>
      </c>
    </row>
    <row r="22" spans="2:19" ht="15.6" thickTop="1" thickBot="1" x14ac:dyDescent="0.35">
      <c r="B22" s="94">
        <v>18</v>
      </c>
      <c r="C22" s="17">
        <v>18</v>
      </c>
      <c r="D22" s="71" t="s">
        <v>110</v>
      </c>
      <c r="E22" s="71" t="s">
        <v>111</v>
      </c>
      <c r="F22" s="1">
        <v>0</v>
      </c>
      <c r="G22" s="1">
        <v>0</v>
      </c>
      <c r="H22" s="1">
        <v>7</v>
      </c>
      <c r="I22" s="1">
        <v>15</v>
      </c>
      <c r="J22" s="1">
        <v>6</v>
      </c>
      <c r="K22" s="1">
        <v>10</v>
      </c>
      <c r="L22" s="1">
        <v>4</v>
      </c>
      <c r="M22" s="14">
        <f t="shared" si="0"/>
        <v>42</v>
      </c>
      <c r="N22" s="93" cm="1">
        <f t="array" ref="N22">Tablo17[[#This Row],[Q1]]/Tablo19[Q1]*$C$43+G22/Tablo19[Q2]*$D$43+H22/Tablo19[Q3]*$E$43+I22/Tablo19[Q4]*$F$43+J22/Tablo19[Q5]*$G$43+K22/Tablo19[Q6]*$H$43+L22/Tablo19[Q7]*$I$43</f>
        <v>5.5</v>
      </c>
      <c r="O22" s="93" cm="1">
        <f t="array" ref="O22">Tablo17[[#This Row],[Q1]]/Tablo19[Q1]*$C$44+G22/Tablo19[Q2]*$D$44+H22/Tablo19[Q3]*$E$44+I22/Tablo19[Q4]*$F$44+J22/Tablo19[Q5]*$G$44+K22/Tablo19[Q6]*$H$44+L22/Tablo19[Q7]*$I$44</f>
        <v>3.333333333333333</v>
      </c>
      <c r="P22" s="93" cm="1">
        <f t="array" ref="P22">Tablo17[[#This Row],[Q1]]/Tablo19[Q1]*$C$45+G22/Tablo19[Q2]*$D$45+H22/Tablo19[Q3]*$E$45+I22/Tablo19[Q4]*$F$45+J22/Tablo19[Q5]*$G$45+K22/Tablo19[Q6]*$H$45+L22/Tablo19[Q7]*$I$45</f>
        <v>2</v>
      </c>
      <c r="Q22" s="93" cm="1">
        <f t="array" ref="Q22">Tablo17[[#This Row],[Q1]]/Tablo19[Q1]*$C$46+G22/Tablo19[Q2]*$D$46+H22/Tablo19[Q3]*$E$46+I22/Tablo19[Q4]*$F$46+J22/Tablo19[Q5]*$G$46+K22/Tablo19[Q6]*$H$46+L22/Tablo19[Q7]*$I$46</f>
        <v>18.166666666666664</v>
      </c>
      <c r="R22" s="93">
        <f t="shared" si="1"/>
        <v>28.999999999999996</v>
      </c>
      <c r="S22" s="10">
        <f>_xlfn.NORM.DIST(Tablo17[[#This Row],[TOTAL GRADE]],$N$56,$O$56,FALSE)</f>
        <v>2.1484677809694316E-2</v>
      </c>
    </row>
    <row r="23" spans="2:19" ht="15.6" thickTop="1" thickBot="1" x14ac:dyDescent="0.35">
      <c r="B23" s="92">
        <v>19</v>
      </c>
      <c r="C23" s="17">
        <v>19</v>
      </c>
      <c r="D23" s="71" t="s">
        <v>110</v>
      </c>
      <c r="E23" s="71" t="s">
        <v>111</v>
      </c>
      <c r="F23" s="1">
        <v>1</v>
      </c>
      <c r="G23" s="1">
        <v>3</v>
      </c>
      <c r="H23" s="1">
        <v>12</v>
      </c>
      <c r="I23" s="1">
        <v>10</v>
      </c>
      <c r="J23" s="1">
        <v>8</v>
      </c>
      <c r="K23" s="1">
        <v>5</v>
      </c>
      <c r="L23" s="1">
        <v>1</v>
      </c>
      <c r="M23" s="14">
        <f t="shared" si="0"/>
        <v>40</v>
      </c>
      <c r="N23" s="93" cm="1">
        <f t="array" ref="N23">Tablo17[[#This Row],[Q1]]/Tablo19[Q1]*$C$43+G23/Tablo19[Q2]*$D$43+H23/Tablo19[Q3]*$E$43+I23/Tablo19[Q4]*$F$43+J23/Tablo19[Q5]*$G$43+K23/Tablo19[Q6]*$H$43+L23/Tablo19[Q7]*$I$43</f>
        <v>12.666666666666666</v>
      </c>
      <c r="O23" s="93" cm="1">
        <f t="array" ref="O23">Tablo17[[#This Row],[Q1]]/Tablo19[Q1]*$C$44+G23/Tablo19[Q2]*$D$44+H23/Tablo19[Q3]*$E$44+I23/Tablo19[Q4]*$F$44+J23/Tablo19[Q5]*$G$44+K23/Tablo19[Q6]*$H$44+L23/Tablo19[Q7]*$I$44</f>
        <v>2.1666666666666665</v>
      </c>
      <c r="P23" s="93" cm="1">
        <f t="array" ref="P23">Tablo17[[#This Row],[Q1]]/Tablo19[Q1]*$C$45+G23/Tablo19[Q2]*$D$45+H23/Tablo19[Q3]*$E$45+I23/Tablo19[Q4]*$F$45+J23/Tablo19[Q5]*$G$45+K23/Tablo19[Q6]*$H$45+L23/Tablo19[Q7]*$I$45</f>
        <v>2.6666666666666665</v>
      </c>
      <c r="Q23" s="93" cm="1">
        <f t="array" ref="Q23">Tablo17[[#This Row],[Q1]]/Tablo19[Q1]*$C$46+G23/Tablo19[Q2]*$D$46+H23/Tablo19[Q3]*$E$46+I23/Tablo19[Q4]*$F$46+J23/Tablo19[Q5]*$G$46+K23/Tablo19[Q6]*$H$46+L23/Tablo19[Q7]*$I$46</f>
        <v>10.666666666666666</v>
      </c>
      <c r="R23" s="93">
        <f t="shared" si="1"/>
        <v>28.166666666666664</v>
      </c>
      <c r="S23" s="10">
        <f>_xlfn.NORM.DIST(Tablo17[[#This Row],[TOTAL GRADE]],$N$56,$O$56,FALSE)</f>
        <v>2.1880819321820844E-2</v>
      </c>
    </row>
    <row r="24" spans="2:19" ht="15.6" thickTop="1" thickBot="1" x14ac:dyDescent="0.35">
      <c r="B24" s="94">
        <v>20</v>
      </c>
      <c r="C24" s="17">
        <v>20</v>
      </c>
      <c r="D24" s="71" t="s">
        <v>110</v>
      </c>
      <c r="E24" s="71" t="s">
        <v>111</v>
      </c>
      <c r="F24" s="1">
        <v>1</v>
      </c>
      <c r="G24" s="1">
        <v>1</v>
      </c>
      <c r="H24" s="1">
        <v>11</v>
      </c>
      <c r="I24" s="1">
        <v>9</v>
      </c>
      <c r="J24" s="1">
        <v>3</v>
      </c>
      <c r="K24" s="1">
        <v>10</v>
      </c>
      <c r="L24" s="1">
        <v>5</v>
      </c>
      <c r="M24" s="14">
        <f t="shared" si="0"/>
        <v>40</v>
      </c>
      <c r="N24" s="93" cm="1">
        <f t="array" ref="N24">Tablo17[[#This Row],[Q1]]/Tablo19[Q1]*$C$43+G24/Tablo19[Q2]*$D$43+H24/Tablo19[Q3]*$E$43+I24/Tablo19[Q4]*$F$43+J24/Tablo19[Q5]*$G$43+K24/Tablo19[Q6]*$H$43+L24/Tablo19[Q7]*$I$43</f>
        <v>8.5</v>
      </c>
      <c r="O24" s="93" cm="1">
        <f t="array" ref="O24">Tablo17[[#This Row],[Q1]]/Tablo19[Q1]*$C$44+G24/Tablo19[Q2]*$D$44+H24/Tablo19[Q3]*$E$44+I24/Tablo19[Q4]*$F$44+J24/Tablo19[Q5]*$G$44+K24/Tablo19[Q6]*$H$44+L24/Tablo19[Q7]*$I$44</f>
        <v>3.833333333333333</v>
      </c>
      <c r="P24" s="93" cm="1">
        <f t="array" ref="P24">Tablo17[[#This Row],[Q1]]/Tablo19[Q1]*$C$45+G24/Tablo19[Q2]*$D$45+H24/Tablo19[Q3]*$E$45+I24/Tablo19[Q4]*$F$45+J24/Tablo19[Q5]*$G$45+K24/Tablo19[Q6]*$H$45+L24/Tablo19[Q7]*$I$45</f>
        <v>1</v>
      </c>
      <c r="Q24" s="93" cm="1">
        <f t="array" ref="Q24">Tablo17[[#This Row],[Q1]]/Tablo19[Q1]*$C$46+G24/Tablo19[Q2]*$D$46+H24/Tablo19[Q3]*$E$46+I24/Tablo19[Q4]*$F$46+J24/Tablo19[Q5]*$G$46+K24/Tablo19[Q6]*$H$46+L24/Tablo19[Q7]*$I$46</f>
        <v>15.499999999999998</v>
      </c>
      <c r="R24" s="93">
        <f t="shared" si="1"/>
        <v>28.833333333333329</v>
      </c>
      <c r="S24" s="10">
        <f>_xlfn.NORM.DIST(Tablo17[[#This Row],[TOTAL GRADE]],$N$56,$O$56,FALSE)</f>
        <v>2.1880819321820844E-2</v>
      </c>
    </row>
    <row r="25" spans="2:19" ht="15.6" thickTop="1" thickBot="1" x14ac:dyDescent="0.35">
      <c r="B25" s="92">
        <v>21</v>
      </c>
      <c r="C25" s="17">
        <v>21</v>
      </c>
      <c r="D25" s="71" t="s">
        <v>110</v>
      </c>
      <c r="E25" s="71" t="s">
        <v>111</v>
      </c>
      <c r="F25" s="1">
        <v>3</v>
      </c>
      <c r="G25" s="1">
        <v>1</v>
      </c>
      <c r="H25" s="1">
        <v>7</v>
      </c>
      <c r="I25" s="1">
        <v>9</v>
      </c>
      <c r="J25" s="1">
        <v>5</v>
      </c>
      <c r="K25" s="1">
        <v>0</v>
      </c>
      <c r="L25" s="1">
        <v>12</v>
      </c>
      <c r="M25" s="14">
        <f t="shared" si="0"/>
        <v>37</v>
      </c>
      <c r="N25" s="93" cm="1">
        <f t="array" ref="N25">Tablo17[[#This Row],[Q1]]/Tablo19[Q1]*$C$43+G25/Tablo19[Q2]*$D$43+H25/Tablo19[Q3]*$E$43+I25/Tablo19[Q4]*$F$43+J25/Tablo19[Q5]*$G$43+K25/Tablo19[Q6]*$H$43+L25/Tablo19[Q7]*$I$43</f>
        <v>9.1666666666666661</v>
      </c>
      <c r="O25" s="93" cm="1">
        <f t="array" ref="O25">Tablo17[[#This Row],[Q1]]/Tablo19[Q1]*$C$44+G25/Tablo19[Q2]*$D$44+H25/Tablo19[Q3]*$E$44+I25/Tablo19[Q4]*$F$44+J25/Tablo19[Q5]*$G$44+K25/Tablo19[Q6]*$H$44+L25/Tablo19[Q7]*$I$44</f>
        <v>1.5</v>
      </c>
      <c r="P25" s="93" cm="1">
        <f t="array" ref="P25">Tablo17[[#This Row],[Q1]]/Tablo19[Q1]*$C$45+G25/Tablo19[Q2]*$D$45+H25/Tablo19[Q3]*$E$45+I25/Tablo19[Q4]*$F$45+J25/Tablo19[Q5]*$G$45+K25/Tablo19[Q6]*$H$45+L25/Tablo19[Q7]*$I$45</f>
        <v>1.6666666666666665</v>
      </c>
      <c r="Q25" s="93" cm="1">
        <f t="array" ref="Q25">Tablo17[[#This Row],[Q1]]/Tablo19[Q1]*$C$46+G25/Tablo19[Q2]*$D$46+H25/Tablo19[Q3]*$E$46+I25/Tablo19[Q4]*$F$46+J25/Tablo19[Q5]*$G$46+K25/Tablo19[Q6]*$H$46+L25/Tablo19[Q7]*$I$46</f>
        <v>22.166666666666664</v>
      </c>
      <c r="R25" s="93">
        <f t="shared" si="1"/>
        <v>34.5</v>
      </c>
      <c r="S25" s="10">
        <f>_xlfn.NORM.DIST(Tablo17[[#This Row],[TOTAL GRADE]],$N$56,$O$56,FALSE)</f>
        <v>2.1980990760215053E-2</v>
      </c>
    </row>
    <row r="26" spans="2:19" ht="15.6" thickTop="1" thickBot="1" x14ac:dyDescent="0.35">
      <c r="B26" s="94">
        <v>22</v>
      </c>
      <c r="C26" s="17">
        <v>22</v>
      </c>
      <c r="D26" s="75" t="s">
        <v>110</v>
      </c>
      <c r="E26" s="71" t="s">
        <v>111</v>
      </c>
      <c r="F26" s="1">
        <v>0</v>
      </c>
      <c r="G26" s="1">
        <v>2</v>
      </c>
      <c r="H26" s="1">
        <v>14</v>
      </c>
      <c r="I26" s="1">
        <v>9</v>
      </c>
      <c r="J26" s="1">
        <v>6</v>
      </c>
      <c r="K26" s="1">
        <v>0</v>
      </c>
      <c r="L26" s="1">
        <v>5</v>
      </c>
      <c r="M26" s="14">
        <f t="shared" si="0"/>
        <v>36</v>
      </c>
      <c r="N26" s="93" cm="1">
        <f t="array" ref="N26">Tablo17[[#This Row],[Q1]]/Tablo19[Q1]*$C$43+G26/Tablo19[Q2]*$D$43+H26/Tablo19[Q3]*$E$43+I26/Tablo19[Q4]*$F$43+J26/Tablo19[Q5]*$G$43+K26/Tablo19[Q6]*$H$43+L26/Tablo19[Q7]*$I$43</f>
        <v>11</v>
      </c>
      <c r="O26" s="93" cm="1">
        <f t="array" ref="O26">Tablo17[[#This Row],[Q1]]/Tablo19[Q1]*$C$44+G26/Tablo19[Q2]*$D$44+H26/Tablo19[Q3]*$E$44+I26/Tablo19[Q4]*$F$44+J26/Tablo19[Q5]*$G$44+K26/Tablo19[Q6]*$H$44+L26/Tablo19[Q7]*$I$44</f>
        <v>0</v>
      </c>
      <c r="P26" s="93" cm="1">
        <f t="array" ref="P26">Tablo17[[#This Row],[Q1]]/Tablo19[Q1]*$C$45+G26/Tablo19[Q2]*$D$45+H26/Tablo19[Q3]*$E$45+I26/Tablo19[Q4]*$F$45+J26/Tablo19[Q5]*$G$45+K26/Tablo19[Q6]*$H$45+L26/Tablo19[Q7]*$I$45</f>
        <v>2</v>
      </c>
      <c r="Q26" s="93" cm="1">
        <f t="array" ref="Q26">Tablo17[[#This Row],[Q1]]/Tablo19[Q1]*$C$46+G26/Tablo19[Q2]*$D$46+H26/Tablo19[Q3]*$E$46+I26/Tablo19[Q4]*$F$46+J26/Tablo19[Q5]*$G$46+K26/Tablo19[Q6]*$H$46+L26/Tablo19[Q7]*$I$46</f>
        <v>13.166666666666666</v>
      </c>
      <c r="R26" s="93">
        <f t="shared" si="1"/>
        <v>26.166666666666664</v>
      </c>
      <c r="S26" s="10">
        <f>_xlfn.NORM.DIST(Tablo17[[#This Row],[TOTAL GRADE]],$N$56,$O$56,FALSE)</f>
        <v>2.1880819321820844E-2</v>
      </c>
    </row>
    <row r="27" spans="2:19" ht="15.6" thickTop="1" thickBot="1" x14ac:dyDescent="0.35">
      <c r="B27" s="92">
        <v>23</v>
      </c>
      <c r="C27" s="17">
        <v>23</v>
      </c>
      <c r="D27" s="71" t="s">
        <v>110</v>
      </c>
      <c r="E27" s="71" t="s">
        <v>111</v>
      </c>
      <c r="F27" s="1">
        <v>5</v>
      </c>
      <c r="G27" s="1">
        <v>2</v>
      </c>
      <c r="H27" s="1">
        <v>7</v>
      </c>
      <c r="I27" s="1">
        <v>12</v>
      </c>
      <c r="J27" s="1">
        <v>6</v>
      </c>
      <c r="K27" s="1">
        <v>3</v>
      </c>
      <c r="L27" s="1">
        <v>1</v>
      </c>
      <c r="M27" s="14">
        <f t="shared" si="0"/>
        <v>36</v>
      </c>
      <c r="N27" s="93" cm="1">
        <f t="array" ref="N27">Tablo17[[#This Row],[Q1]]/Tablo19[Q1]*$C$43+G27/Tablo19[Q2]*$D$43+H27/Tablo19[Q3]*$E$43+I27/Tablo19[Q4]*$F$43+J27/Tablo19[Q5]*$G$43+K27/Tablo19[Q6]*$H$43+L27/Tablo19[Q7]*$I$43</f>
        <v>12.5</v>
      </c>
      <c r="O27" s="93" cm="1">
        <f t="array" ref="O27">Tablo17[[#This Row],[Q1]]/Tablo19[Q1]*$C$44+G27/Tablo19[Q2]*$D$44+H27/Tablo19[Q3]*$E$44+I27/Tablo19[Q4]*$F$44+J27/Tablo19[Q5]*$G$44+K27/Tablo19[Q6]*$H$44+L27/Tablo19[Q7]*$I$44</f>
        <v>3.5</v>
      </c>
      <c r="P27" s="93" cm="1">
        <f t="array" ref="P27">Tablo17[[#This Row],[Q1]]/Tablo19[Q1]*$C$45+G27/Tablo19[Q2]*$D$45+H27/Tablo19[Q3]*$E$45+I27/Tablo19[Q4]*$F$45+J27/Tablo19[Q5]*$G$45+K27/Tablo19[Q6]*$H$45+L27/Tablo19[Q7]*$I$45</f>
        <v>2</v>
      </c>
      <c r="Q27" s="93" cm="1">
        <f t="array" ref="Q27">Tablo17[[#This Row],[Q1]]/Tablo19[Q1]*$C$46+G27/Tablo19[Q2]*$D$46+H27/Tablo19[Q3]*$E$46+I27/Tablo19[Q4]*$F$46+J27/Tablo19[Q5]*$G$46+K27/Tablo19[Q6]*$H$46+L27/Tablo19[Q7]*$I$46</f>
        <v>10.333333333333334</v>
      </c>
      <c r="R27" s="93">
        <f t="shared" si="1"/>
        <v>28.333333333333336</v>
      </c>
      <c r="S27" s="10">
        <f>_xlfn.NORM.DIST(Tablo17[[#This Row],[TOTAL GRADE]],$N$56,$O$56,FALSE)</f>
        <v>2.1880819321820844E-2</v>
      </c>
    </row>
    <row r="28" spans="2:19" ht="15.6" thickTop="1" thickBot="1" x14ac:dyDescent="0.35">
      <c r="B28" s="94">
        <v>24</v>
      </c>
      <c r="C28" s="17">
        <v>24</v>
      </c>
      <c r="D28" s="71" t="s">
        <v>110</v>
      </c>
      <c r="E28" s="71" t="s">
        <v>111</v>
      </c>
      <c r="F28" s="1">
        <v>8</v>
      </c>
      <c r="G28" s="1">
        <v>1</v>
      </c>
      <c r="H28" s="1">
        <v>10</v>
      </c>
      <c r="I28" s="1">
        <v>2</v>
      </c>
      <c r="J28" s="1">
        <v>2</v>
      </c>
      <c r="K28" s="1">
        <v>5</v>
      </c>
      <c r="L28" s="1">
        <v>7</v>
      </c>
      <c r="M28" s="14">
        <f t="shared" si="0"/>
        <v>35</v>
      </c>
      <c r="N28" s="93" cm="1">
        <f t="array" ref="N28">Tablo17[[#This Row],[Q1]]/Tablo19[Q1]*$C$43+G28/Tablo19[Q2]*$D$43+H28/Tablo19[Q3]*$E$43+I28/Tablo19[Q4]*$F$43+J28/Tablo19[Q5]*$G$43+K28/Tablo19[Q6]*$H$43+L28/Tablo19[Q7]*$I$43</f>
        <v>14.666666666666666</v>
      </c>
      <c r="O28" s="93" cm="1">
        <f t="array" ref="O28">Tablo17[[#This Row],[Q1]]/Tablo19[Q1]*$C$44+G28/Tablo19[Q2]*$D$44+H28/Tablo19[Q3]*$E$44+I28/Tablo19[Q4]*$F$44+J28/Tablo19[Q5]*$G$44+K28/Tablo19[Q6]*$H$44+L28/Tablo19[Q7]*$I$44</f>
        <v>5.6666666666666661</v>
      </c>
      <c r="P28" s="93" cm="1">
        <f t="array" ref="P28">Tablo17[[#This Row],[Q1]]/Tablo19[Q1]*$C$45+G28/Tablo19[Q2]*$D$45+H28/Tablo19[Q3]*$E$45+I28/Tablo19[Q4]*$F$45+J28/Tablo19[Q5]*$G$45+K28/Tablo19[Q6]*$H$45+L28/Tablo19[Q7]*$I$45</f>
        <v>0.66666666666666663</v>
      </c>
      <c r="Q28" s="93" cm="1">
        <f t="array" ref="Q28">Tablo17[[#This Row],[Q1]]/Tablo19[Q1]*$C$46+G28/Tablo19[Q2]*$D$46+H28/Tablo19[Q3]*$E$46+I28/Tablo19[Q4]*$F$46+J28/Tablo19[Q5]*$G$46+K28/Tablo19[Q6]*$H$46+L28/Tablo19[Q7]*$I$46</f>
        <v>12.666666666666668</v>
      </c>
      <c r="R28" s="93">
        <f t="shared" si="1"/>
        <v>33.666666666666671</v>
      </c>
      <c r="S28" s="10">
        <f>_xlfn.NORM.DIST(Tablo17[[#This Row],[TOTAL GRADE]],$N$56,$O$56,FALSE)</f>
        <v>2.1714880340688841E-2</v>
      </c>
    </row>
    <row r="29" spans="2:19" ht="15.6" thickTop="1" thickBot="1" x14ac:dyDescent="0.35">
      <c r="B29" s="92">
        <v>25</v>
      </c>
      <c r="C29" s="17">
        <v>25</v>
      </c>
      <c r="D29" s="71" t="s">
        <v>110</v>
      </c>
      <c r="E29" s="71" t="s">
        <v>111</v>
      </c>
      <c r="F29" s="1">
        <v>0</v>
      </c>
      <c r="G29" s="1">
        <v>2</v>
      </c>
      <c r="H29" s="1">
        <v>7</v>
      </c>
      <c r="I29" s="1">
        <v>8</v>
      </c>
      <c r="J29" s="1">
        <v>8</v>
      </c>
      <c r="K29" s="1">
        <v>3</v>
      </c>
      <c r="L29" s="1">
        <v>0</v>
      </c>
      <c r="M29" s="14">
        <f t="shared" si="0"/>
        <v>28</v>
      </c>
      <c r="N29" s="93" cm="1">
        <f t="array" ref="N29">Tablo17[[#This Row],[Q1]]/Tablo19[Q1]*$C$43+G29/Tablo19[Q2]*$D$43+H29/Tablo19[Q3]*$E$43+I29/Tablo19[Q4]*$F$43+J29/Tablo19[Q5]*$G$43+K29/Tablo19[Q6]*$H$43+L29/Tablo19[Q7]*$I$43</f>
        <v>8.1666666666666661</v>
      </c>
      <c r="O29" s="93" cm="1">
        <f t="array" ref="O29">Tablo17[[#This Row],[Q1]]/Tablo19[Q1]*$C$44+G29/Tablo19[Q2]*$D$44+H29/Tablo19[Q3]*$E$44+I29/Tablo19[Q4]*$F$44+J29/Tablo19[Q5]*$G$44+K29/Tablo19[Q6]*$H$44+L29/Tablo19[Q7]*$I$44</f>
        <v>1</v>
      </c>
      <c r="P29" s="93" cm="1">
        <f t="array" ref="P29">Tablo17[[#This Row],[Q1]]/Tablo19[Q1]*$C$45+G29/Tablo19[Q2]*$D$45+H29/Tablo19[Q3]*$E$45+I29/Tablo19[Q4]*$F$45+J29/Tablo19[Q5]*$G$45+K29/Tablo19[Q6]*$H$45+L29/Tablo19[Q7]*$I$45</f>
        <v>2.6666666666666665</v>
      </c>
      <c r="Q29" s="93" cm="1">
        <f t="array" ref="Q29">Tablo17[[#This Row],[Q1]]/Tablo19[Q1]*$C$46+G29/Tablo19[Q2]*$D$46+H29/Tablo19[Q3]*$E$46+I29/Tablo19[Q4]*$F$46+J29/Tablo19[Q5]*$G$46+K29/Tablo19[Q6]*$H$46+L29/Tablo19[Q7]*$I$46</f>
        <v>7.6666666666666661</v>
      </c>
      <c r="R29" s="93">
        <f t="shared" si="1"/>
        <v>19.5</v>
      </c>
      <c r="S29" s="10">
        <f>_xlfn.NORM.DIST(Tablo17[[#This Row],[TOTAL GRADE]],$N$56,$O$56,FALSE)</f>
        <v>1.8905392662284057E-2</v>
      </c>
    </row>
    <row r="30" spans="2:19" ht="15.6" thickTop="1" thickBot="1" x14ac:dyDescent="0.35">
      <c r="B30" s="94">
        <v>26</v>
      </c>
      <c r="C30" s="17">
        <v>26</v>
      </c>
      <c r="D30" s="75" t="s">
        <v>110</v>
      </c>
      <c r="E30" s="71" t="s">
        <v>111</v>
      </c>
      <c r="F30" s="1">
        <v>0</v>
      </c>
      <c r="G30" s="1">
        <v>2</v>
      </c>
      <c r="H30" s="1">
        <v>8</v>
      </c>
      <c r="I30" s="1">
        <v>5</v>
      </c>
      <c r="J30" s="1">
        <v>5</v>
      </c>
      <c r="K30" s="1">
        <v>3</v>
      </c>
      <c r="L30" s="1">
        <v>2</v>
      </c>
      <c r="M30" s="14">
        <f t="shared" si="0"/>
        <v>25</v>
      </c>
      <c r="N30" s="93" cm="1">
        <f t="array" ref="N30">Tablo17[[#This Row],[Q1]]/Tablo19[Q1]*$C$43+G30/Tablo19[Q2]*$D$43+H30/Tablo19[Q3]*$E$43+I30/Tablo19[Q4]*$F$43+J30/Tablo19[Q5]*$G$43+K30/Tablo19[Q6]*$H$43+L30/Tablo19[Q7]*$I$43</f>
        <v>7.6666666666666661</v>
      </c>
      <c r="O30" s="93" cm="1">
        <f t="array" ref="O30">Tablo17[[#This Row],[Q1]]/Tablo19[Q1]*$C$44+G30/Tablo19[Q2]*$D$44+H30/Tablo19[Q3]*$E$44+I30/Tablo19[Q4]*$F$44+J30/Tablo19[Q5]*$G$44+K30/Tablo19[Q6]*$H$44+L30/Tablo19[Q7]*$I$44</f>
        <v>1</v>
      </c>
      <c r="P30" s="93" cm="1">
        <f t="array" ref="P30">Tablo17[[#This Row],[Q1]]/Tablo19[Q1]*$C$45+G30/Tablo19[Q2]*$D$45+H30/Tablo19[Q3]*$E$45+I30/Tablo19[Q4]*$F$45+J30/Tablo19[Q5]*$G$45+K30/Tablo19[Q6]*$H$45+L30/Tablo19[Q7]*$I$45</f>
        <v>1.6666666666666665</v>
      </c>
      <c r="Q30" s="93" cm="1">
        <f t="array" ref="Q30">Tablo17[[#This Row],[Q1]]/Tablo19[Q1]*$C$46+G30/Tablo19[Q2]*$D$46+H30/Tablo19[Q3]*$E$46+I30/Tablo19[Q4]*$F$46+J30/Tablo19[Q5]*$G$46+K30/Tablo19[Q6]*$H$46+L30/Tablo19[Q7]*$I$46</f>
        <v>7.8333333333333321</v>
      </c>
      <c r="R30" s="93">
        <f t="shared" si="1"/>
        <v>18.166666666666664</v>
      </c>
      <c r="S30" s="10">
        <f>_xlfn.NORM.DIST(Tablo17[[#This Row],[TOTAL GRADE]],$N$56,$O$56,FALSE)</f>
        <v>1.7020055707633003E-2</v>
      </c>
    </row>
    <row r="31" spans="2:19" ht="15.6" thickTop="1" thickBot="1" x14ac:dyDescent="0.35">
      <c r="B31" s="92">
        <v>27</v>
      </c>
      <c r="C31" s="17">
        <v>27</v>
      </c>
      <c r="D31" s="71" t="s">
        <v>110</v>
      </c>
      <c r="E31" s="71" t="s">
        <v>111</v>
      </c>
      <c r="F31" s="1">
        <v>0</v>
      </c>
      <c r="G31" s="1">
        <v>0</v>
      </c>
      <c r="H31" s="1">
        <v>6</v>
      </c>
      <c r="I31" s="1">
        <v>6</v>
      </c>
      <c r="J31" s="1">
        <v>2</v>
      </c>
      <c r="K31" s="1">
        <v>5</v>
      </c>
      <c r="L31" s="1">
        <v>5</v>
      </c>
      <c r="M31" s="14">
        <f t="shared" si="0"/>
        <v>24</v>
      </c>
      <c r="N31" s="93" cm="1">
        <f t="array" ref="N31">Tablo17[[#This Row],[Q1]]/Tablo19[Q1]*$C$43+G31/Tablo19[Q2]*$D$43+H31/Tablo19[Q3]*$E$43+I31/Tablo19[Q4]*$F$43+J31/Tablo19[Q5]*$G$43+K31/Tablo19[Q6]*$H$43+L31/Tablo19[Q7]*$I$43</f>
        <v>3.6666666666666665</v>
      </c>
      <c r="O31" s="93" cm="1">
        <f t="array" ref="O31">Tablo17[[#This Row],[Q1]]/Tablo19[Q1]*$C$44+G31/Tablo19[Q2]*$D$44+H31/Tablo19[Q3]*$E$44+I31/Tablo19[Q4]*$F$44+J31/Tablo19[Q5]*$G$44+K31/Tablo19[Q6]*$H$44+L31/Tablo19[Q7]*$I$44</f>
        <v>1.6666666666666665</v>
      </c>
      <c r="P31" s="93" cm="1">
        <f t="array" ref="P31">Tablo17[[#This Row],[Q1]]/Tablo19[Q1]*$C$45+G31/Tablo19[Q2]*$D$45+H31/Tablo19[Q3]*$E$45+I31/Tablo19[Q4]*$F$45+J31/Tablo19[Q5]*$G$45+K31/Tablo19[Q6]*$H$45+L31/Tablo19[Q7]*$I$45</f>
        <v>0.66666666666666663</v>
      </c>
      <c r="Q31" s="93" cm="1">
        <f t="array" ref="Q31">Tablo17[[#This Row],[Q1]]/Tablo19[Q1]*$C$46+G31/Tablo19[Q2]*$D$46+H31/Tablo19[Q3]*$E$46+I31/Tablo19[Q4]*$F$46+J31/Tablo19[Q5]*$G$46+K31/Tablo19[Q6]*$H$46+L31/Tablo19[Q7]*$I$46</f>
        <v>12</v>
      </c>
      <c r="R31" s="93">
        <f t="shared" si="1"/>
        <v>18</v>
      </c>
      <c r="S31" s="10">
        <f>_xlfn.NORM.DIST(Tablo17[[#This Row],[TOTAL GRADE]],$N$56,$O$56,FALSE)</f>
        <v>1.6334574426045821E-2</v>
      </c>
    </row>
    <row r="32" spans="2:19" ht="15.6" thickTop="1" thickBot="1" x14ac:dyDescent="0.35">
      <c r="B32" s="94">
        <v>28</v>
      </c>
      <c r="C32" s="17">
        <v>28</v>
      </c>
      <c r="D32" s="71" t="s">
        <v>110</v>
      </c>
      <c r="E32" s="71" t="s">
        <v>111</v>
      </c>
      <c r="F32" s="1">
        <v>1</v>
      </c>
      <c r="G32" s="1">
        <v>1</v>
      </c>
      <c r="H32" s="1">
        <v>7</v>
      </c>
      <c r="I32" s="1">
        <v>5</v>
      </c>
      <c r="J32" s="1">
        <v>6</v>
      </c>
      <c r="K32" s="1">
        <v>0</v>
      </c>
      <c r="L32" s="1">
        <v>2</v>
      </c>
      <c r="M32" s="14">
        <f t="shared" si="0"/>
        <v>22</v>
      </c>
      <c r="N32" s="93" cm="1">
        <f t="array" ref="N32">Tablo17[[#This Row],[Q1]]/Tablo19[Q1]*$C$43+G32/Tablo19[Q2]*$D$43+H32/Tablo19[Q3]*$E$43+I32/Tablo19[Q4]*$F$43+J32/Tablo19[Q5]*$G$43+K32/Tablo19[Q6]*$H$43+L32/Tablo19[Q7]*$I$43</f>
        <v>7.5</v>
      </c>
      <c r="O32" s="93" cm="1">
        <f t="array" ref="O32">Tablo17[[#This Row],[Q1]]/Tablo19[Q1]*$C$44+G32/Tablo19[Q2]*$D$44+H32/Tablo19[Q3]*$E$44+I32/Tablo19[Q4]*$F$44+J32/Tablo19[Q5]*$G$44+K32/Tablo19[Q6]*$H$44+L32/Tablo19[Q7]*$I$44</f>
        <v>0.5</v>
      </c>
      <c r="P32" s="93" cm="1">
        <f t="array" ref="P32">Tablo17[[#This Row],[Q1]]/Tablo19[Q1]*$C$45+G32/Tablo19[Q2]*$D$45+H32/Tablo19[Q3]*$E$45+I32/Tablo19[Q4]*$F$45+J32/Tablo19[Q5]*$G$45+K32/Tablo19[Q6]*$H$45+L32/Tablo19[Q7]*$I$45</f>
        <v>2</v>
      </c>
      <c r="Q32" s="93" cm="1">
        <f t="array" ref="Q32">Tablo17[[#This Row],[Q1]]/Tablo19[Q1]*$C$46+G32/Tablo19[Q2]*$D$46+H32/Tablo19[Q3]*$E$46+I32/Tablo19[Q4]*$F$46+J32/Tablo19[Q5]*$G$46+K32/Tablo19[Q6]*$H$46+L32/Tablo19[Q7]*$I$46</f>
        <v>7.1666666666666661</v>
      </c>
      <c r="R32" s="93">
        <f t="shared" si="1"/>
        <v>17.166666666666664</v>
      </c>
      <c r="S32" s="10">
        <f>_xlfn.NORM.DIST(Tablo17[[#This Row],[TOTAL GRADE]],$N$56,$O$56,FALSE)</f>
        <v>1.4908506887514609E-2</v>
      </c>
    </row>
    <row r="33" spans="2:19" ht="15.6" thickTop="1" thickBot="1" x14ac:dyDescent="0.35">
      <c r="B33" s="92">
        <v>29</v>
      </c>
      <c r="C33" s="17">
        <v>29</v>
      </c>
      <c r="D33" s="71" t="s">
        <v>110</v>
      </c>
      <c r="E33" s="71" t="s">
        <v>111</v>
      </c>
      <c r="F33" s="1">
        <v>0</v>
      </c>
      <c r="G33" s="1">
        <v>0</v>
      </c>
      <c r="H33" s="1">
        <v>5</v>
      </c>
      <c r="I33" s="1">
        <v>0</v>
      </c>
      <c r="J33" s="1">
        <v>6</v>
      </c>
      <c r="K33" s="1">
        <v>5</v>
      </c>
      <c r="L33" s="1">
        <v>5</v>
      </c>
      <c r="M33" s="14">
        <f t="shared" si="0"/>
        <v>21</v>
      </c>
      <c r="N33" s="93" cm="1">
        <f t="array" ref="N33">Tablo17[[#This Row],[Q1]]/Tablo19[Q1]*$C$43+G33/Tablo19[Q2]*$D$43+H33/Tablo19[Q3]*$E$43+I33/Tablo19[Q4]*$F$43+J33/Tablo19[Q5]*$G$43+K33/Tablo19[Q6]*$H$43+L33/Tablo19[Q7]*$I$43</f>
        <v>4.5</v>
      </c>
      <c r="O33" s="93" cm="1">
        <f t="array" ref="O33">Tablo17[[#This Row],[Q1]]/Tablo19[Q1]*$C$44+G33/Tablo19[Q2]*$D$44+H33/Tablo19[Q3]*$E$44+I33/Tablo19[Q4]*$F$44+J33/Tablo19[Q5]*$G$44+K33/Tablo19[Q6]*$H$44+L33/Tablo19[Q7]*$I$44</f>
        <v>1.6666666666666665</v>
      </c>
      <c r="P33" s="93" cm="1">
        <f t="array" ref="P33">Tablo17[[#This Row],[Q1]]/Tablo19[Q1]*$C$45+G33/Tablo19[Q2]*$D$45+H33/Tablo19[Q3]*$E$45+I33/Tablo19[Q4]*$F$45+J33/Tablo19[Q5]*$G$45+K33/Tablo19[Q6]*$H$45+L33/Tablo19[Q7]*$I$45</f>
        <v>2</v>
      </c>
      <c r="Q33" s="93" cm="1">
        <f t="array" ref="Q33">Tablo17[[#This Row],[Q1]]/Tablo19[Q1]*$C$46+G33/Tablo19[Q2]*$D$46+H33/Tablo19[Q3]*$E$46+I33/Tablo19[Q4]*$F$46+J33/Tablo19[Q5]*$G$46+K33/Tablo19[Q6]*$H$46+L33/Tablo19[Q7]*$I$46</f>
        <v>10.333333333333332</v>
      </c>
      <c r="R33" s="93">
        <f t="shared" si="1"/>
        <v>18.5</v>
      </c>
      <c r="S33" s="10">
        <f>_xlfn.NORM.DIST(Tablo17[[#This Row],[TOTAL GRADE]],$N$56,$O$56,FALSE)</f>
        <v>1.4177956179946404E-2</v>
      </c>
    </row>
    <row r="34" spans="2:19" ht="15.6" thickTop="1" thickBot="1" x14ac:dyDescent="0.35">
      <c r="B34" s="94">
        <v>30</v>
      </c>
      <c r="C34" s="17">
        <v>30</v>
      </c>
      <c r="D34" s="71" t="s">
        <v>110</v>
      </c>
      <c r="E34" s="71" t="s">
        <v>111</v>
      </c>
      <c r="F34" s="1">
        <v>2</v>
      </c>
      <c r="G34" s="1">
        <v>1</v>
      </c>
      <c r="H34" s="1">
        <v>0</v>
      </c>
      <c r="I34" s="1">
        <v>4</v>
      </c>
      <c r="J34" s="1">
        <v>3</v>
      </c>
      <c r="K34" s="1">
        <v>1</v>
      </c>
      <c r="L34" s="1">
        <v>6</v>
      </c>
      <c r="M34" s="14">
        <f t="shared" si="0"/>
        <v>17</v>
      </c>
      <c r="N34" s="93" cm="1">
        <f t="array" ref="N34">Tablo17[[#This Row],[Q1]]/Tablo19[Q1]*$C$43+G34/Tablo19[Q2]*$D$43+H34/Tablo19[Q3]*$E$43+I34/Tablo19[Q4]*$F$43+J34/Tablo19[Q5]*$G$43+K34/Tablo19[Q6]*$H$43+L34/Tablo19[Q7]*$I$43</f>
        <v>4</v>
      </c>
      <c r="O34" s="93" cm="1">
        <f t="array" ref="O34">Tablo17[[#This Row],[Q1]]/Tablo19[Q1]*$C$44+G34/Tablo19[Q2]*$D$44+H34/Tablo19[Q3]*$E$44+I34/Tablo19[Q4]*$F$44+J34/Tablo19[Q5]*$G$44+K34/Tablo19[Q6]*$H$44+L34/Tablo19[Q7]*$I$44</f>
        <v>1.3333333333333333</v>
      </c>
      <c r="P34" s="93" cm="1">
        <f t="array" ref="P34">Tablo17[[#This Row],[Q1]]/Tablo19[Q1]*$C$45+G34/Tablo19[Q2]*$D$45+H34/Tablo19[Q3]*$E$45+I34/Tablo19[Q4]*$F$45+J34/Tablo19[Q5]*$G$45+K34/Tablo19[Q6]*$H$45+L34/Tablo19[Q7]*$I$45</f>
        <v>1</v>
      </c>
      <c r="Q34" s="93" cm="1">
        <f t="array" ref="Q34">Tablo17[[#This Row],[Q1]]/Tablo19[Q1]*$C$46+G34/Tablo19[Q2]*$D$46+H34/Tablo19[Q3]*$E$46+I34/Tablo19[Q4]*$F$46+J34/Tablo19[Q5]*$G$46+K34/Tablo19[Q6]*$H$46+L34/Tablo19[Q7]*$I$46</f>
        <v>11.333333333333334</v>
      </c>
      <c r="R34" s="93">
        <f t="shared" si="1"/>
        <v>17.666666666666668</v>
      </c>
      <c r="S34" s="10">
        <f>_xlfn.NORM.DIST(Tablo17[[#This Row],[TOTAL GRADE]],$N$56,$O$56,FALSE)</f>
        <v>1.1248820574905113E-2</v>
      </c>
    </row>
    <row r="35" spans="2:19" ht="15" thickTop="1" x14ac:dyDescent="0.3">
      <c r="E35" s="5"/>
      <c r="F35" s="5"/>
      <c r="G35" s="5"/>
      <c r="H35" s="5"/>
      <c r="I35" s="5"/>
      <c r="J35" s="5"/>
      <c r="L35" s="5"/>
      <c r="M35" s="17"/>
      <c r="N35" s="17"/>
      <c r="O35" s="17"/>
      <c r="P35" s="17"/>
    </row>
    <row r="36" spans="2:19" x14ac:dyDescent="0.3">
      <c r="B36" s="43" t="s">
        <v>77</v>
      </c>
      <c r="C36" s="43" t="s">
        <v>78</v>
      </c>
      <c r="D36" s="6" t="s">
        <v>124</v>
      </c>
      <c r="E36" s="6" t="s">
        <v>125</v>
      </c>
      <c r="F36" s="5"/>
      <c r="G36" s="5" t="s">
        <v>28</v>
      </c>
      <c r="H36" s="12" t="s">
        <v>19</v>
      </c>
      <c r="I36" s="12" t="s">
        <v>20</v>
      </c>
      <c r="J36" s="12" t="s">
        <v>21</v>
      </c>
      <c r="K36" s="12" t="s">
        <v>22</v>
      </c>
      <c r="L36" s="12" t="s">
        <v>23</v>
      </c>
      <c r="M36" s="12" t="s">
        <v>24</v>
      </c>
      <c r="N36" s="12" t="s">
        <v>29</v>
      </c>
      <c r="O36" s="13" t="s">
        <v>30</v>
      </c>
      <c r="P36" s="17"/>
    </row>
    <row r="37" spans="2:19" x14ac:dyDescent="0.3">
      <c r="B37" s="45">
        <v>1</v>
      </c>
      <c r="C37" s="5" t="str">
        <f>[1]MAIN!$O38</f>
        <v>Çıktı-1</v>
      </c>
      <c r="D37" s="5">
        <f>[1]MAIN!Q38</f>
        <v>30</v>
      </c>
      <c r="E37" s="5">
        <f>Tablo4[[#This Row],[DERS ÇIKTISI KATSAYISI]]-J43</f>
        <v>0</v>
      </c>
      <c r="F37" s="5"/>
      <c r="G37" s="6" t="s">
        <v>32</v>
      </c>
      <c r="H37" s="1">
        <v>10</v>
      </c>
      <c r="I37" s="1">
        <v>5</v>
      </c>
      <c r="J37" s="1">
        <v>20</v>
      </c>
      <c r="K37" s="1">
        <v>20</v>
      </c>
      <c r="L37" s="1">
        <v>15</v>
      </c>
      <c r="M37" s="1">
        <v>15</v>
      </c>
      <c r="N37" s="1">
        <v>15</v>
      </c>
      <c r="O37" s="1">
        <f>SUM(H37:N37)</f>
        <v>100</v>
      </c>
      <c r="P37" s="17"/>
    </row>
    <row r="38" spans="2:19" x14ac:dyDescent="0.3">
      <c r="B38" s="45">
        <v>2</v>
      </c>
      <c r="C38" s="5" t="str">
        <f>[1]MAIN!$O39</f>
        <v>Çıktı-2</v>
      </c>
      <c r="D38" s="5">
        <f>[1]MAIN!Q39</f>
        <v>10</v>
      </c>
      <c r="E38" s="5">
        <f>Tablo4[[#This Row],[DERS ÇIKTISI KATSAYISI]]-J44</f>
        <v>0</v>
      </c>
      <c r="F38" s="5"/>
      <c r="G38" s="5"/>
      <c r="H38" s="5"/>
      <c r="I38" s="5"/>
      <c r="J38" s="5"/>
      <c r="L38" s="5"/>
      <c r="M38" s="17"/>
      <c r="N38" s="17"/>
      <c r="O38" s="17"/>
      <c r="P38" s="17"/>
    </row>
    <row r="39" spans="2:19" x14ac:dyDescent="0.3">
      <c r="B39" s="45">
        <v>3</v>
      </c>
      <c r="C39" s="5" t="str">
        <f>[1]MAIN!$O40</f>
        <v>Çıktı-3</v>
      </c>
      <c r="D39" s="5">
        <v>5</v>
      </c>
      <c r="E39" s="5">
        <f>Tablo4[[#This Row],[DERS ÇIKTISI KATSAYISI]]-J45</f>
        <v>0</v>
      </c>
      <c r="F39" s="5"/>
      <c r="G39" s="5"/>
      <c r="H39" s="5"/>
      <c r="I39" s="5"/>
      <c r="J39" s="5"/>
      <c r="L39" s="5"/>
      <c r="M39" s="17"/>
      <c r="N39" s="17"/>
      <c r="O39" s="17"/>
      <c r="P39" s="17"/>
    </row>
    <row r="40" spans="2:19" x14ac:dyDescent="0.3">
      <c r="B40" s="1">
        <v>4</v>
      </c>
      <c r="C40" s="5" t="str">
        <f>[1]MAIN!$O41</f>
        <v>Çıktı-4</v>
      </c>
      <c r="D40" s="5">
        <f>[1]MAIN!Q41</f>
        <v>40</v>
      </c>
      <c r="E40" s="5">
        <f>Tablo4[[#This Row],[DERS ÇIKTISI KATSAYISI]]-J46</f>
        <v>0</v>
      </c>
      <c r="F40" s="5"/>
      <c r="G40" s="5"/>
      <c r="H40" s="5"/>
      <c r="I40" s="5"/>
      <c r="J40" s="5"/>
      <c r="L40" s="5"/>
      <c r="M40" s="17"/>
      <c r="N40" s="17"/>
      <c r="O40" s="17"/>
      <c r="P40" s="17"/>
    </row>
    <row r="41" spans="2:19" x14ac:dyDescent="0.3">
      <c r="E41" s="5"/>
      <c r="F41" s="5"/>
      <c r="G41" s="5"/>
      <c r="H41" s="5"/>
      <c r="I41" s="5"/>
      <c r="J41" s="5"/>
      <c r="L41" s="5"/>
      <c r="M41" s="17"/>
      <c r="N41" s="17"/>
      <c r="O41" s="17"/>
      <c r="P41" s="17"/>
    </row>
    <row r="42" spans="2:19" ht="15" thickBot="1" x14ac:dyDescent="0.35">
      <c r="B42" s="6" t="s">
        <v>89</v>
      </c>
      <c r="C42" s="12" t="s">
        <v>19</v>
      </c>
      <c r="D42" s="12" t="s">
        <v>20</v>
      </c>
      <c r="E42" s="12" t="s">
        <v>21</v>
      </c>
      <c r="F42" s="12" t="s">
        <v>22</v>
      </c>
      <c r="G42" s="12" t="s">
        <v>23</v>
      </c>
      <c r="H42" s="12" t="s">
        <v>24</v>
      </c>
      <c r="I42" s="12" t="s">
        <v>29</v>
      </c>
      <c r="J42" s="49" t="s">
        <v>90</v>
      </c>
      <c r="K42" s="13" t="s">
        <v>91</v>
      </c>
      <c r="L42" s="6" t="s">
        <v>92</v>
      </c>
      <c r="M42" s="17"/>
      <c r="N42" s="17"/>
      <c r="O42" s="17"/>
      <c r="P42" s="17"/>
    </row>
    <row r="43" spans="2:19" ht="15.6" thickTop="1" thickBot="1" x14ac:dyDescent="0.35">
      <c r="B43" s="50">
        <v>1</v>
      </c>
      <c r="C43" s="51">
        <v>10</v>
      </c>
      <c r="D43" s="51">
        <v>5</v>
      </c>
      <c r="E43" s="51">
        <v>10</v>
      </c>
      <c r="F43" s="51">
        <v>0</v>
      </c>
      <c r="G43" s="51">
        <v>5</v>
      </c>
      <c r="H43" s="51">
        <v>0</v>
      </c>
      <c r="I43" s="51">
        <v>0</v>
      </c>
      <c r="J43" s="52">
        <f>SUM(Tablo16[[#This Row],[Q1]:[Q7]])</f>
        <v>30</v>
      </c>
      <c r="K43" s="53">
        <f>IF($J43=0,"0",SUM(Tablo17[DÇ1])/(30*D37))</f>
        <v>0.31101851851851847</v>
      </c>
      <c r="L43" s="52">
        <f>$K43*$D37</f>
        <v>9.3305555555555539</v>
      </c>
      <c r="M43" s="17"/>
      <c r="N43" s="17"/>
      <c r="O43" s="17"/>
      <c r="P43" s="17"/>
    </row>
    <row r="44" spans="2:19" ht="15.6" thickTop="1" thickBot="1" x14ac:dyDescent="0.35">
      <c r="B44" s="17">
        <v>2</v>
      </c>
      <c r="C44" s="54">
        <v>5</v>
      </c>
      <c r="D44" s="54">
        <v>0</v>
      </c>
      <c r="E44" s="54">
        <v>0</v>
      </c>
      <c r="F44" s="54">
        <v>0</v>
      </c>
      <c r="G44" s="54">
        <v>0</v>
      </c>
      <c r="H44" s="54">
        <v>5</v>
      </c>
      <c r="I44" s="54">
        <v>0</v>
      </c>
      <c r="J44" s="52">
        <f>SUM(Tablo16[[#This Row],[Q1]:[Q7]])</f>
        <v>10</v>
      </c>
      <c r="K44" s="53">
        <f>IF($J44=0,"0",SUM(Tablo17[DÇ2])/(30*D38))</f>
        <v>0.28055555555555556</v>
      </c>
      <c r="L44" s="52">
        <f>$K44*$D38</f>
        <v>2.8055555555555554</v>
      </c>
      <c r="M44" s="17"/>
      <c r="N44" s="17"/>
      <c r="O44" s="17"/>
      <c r="P44" s="17"/>
    </row>
    <row r="45" spans="2:19" ht="15.6" thickTop="1" thickBot="1" x14ac:dyDescent="0.35">
      <c r="B45" s="17">
        <v>3</v>
      </c>
      <c r="C45" s="54">
        <v>0</v>
      </c>
      <c r="D45" s="54">
        <v>0</v>
      </c>
      <c r="E45" s="54">
        <v>0</v>
      </c>
      <c r="F45" s="54">
        <v>0</v>
      </c>
      <c r="G45" s="54">
        <v>5</v>
      </c>
      <c r="H45" s="54">
        <v>0</v>
      </c>
      <c r="I45" s="54">
        <v>0</v>
      </c>
      <c r="J45" s="52">
        <f>SUM(Tablo16[[#This Row],[Q1]:[Q7]])</f>
        <v>5</v>
      </c>
      <c r="K45" s="53">
        <f>IF($J45=0,"0",SUM(Tablo17[DÇ3])/(30*D39))</f>
        <v>0.40444444444444433</v>
      </c>
      <c r="L45" s="52">
        <f>$K45*$D39</f>
        <v>2.0222222222222217</v>
      </c>
      <c r="M45" s="17"/>
      <c r="N45" s="17"/>
      <c r="O45" s="17"/>
      <c r="P45" s="17"/>
    </row>
    <row r="46" spans="2:19" ht="15.6" thickTop="1" thickBot="1" x14ac:dyDescent="0.35">
      <c r="B46" s="17">
        <v>4</v>
      </c>
      <c r="C46" s="54">
        <v>0</v>
      </c>
      <c r="D46" s="54">
        <v>0</v>
      </c>
      <c r="E46" s="54">
        <v>0</v>
      </c>
      <c r="F46" s="54">
        <v>10</v>
      </c>
      <c r="G46" s="54">
        <v>5</v>
      </c>
      <c r="H46" s="54">
        <v>5</v>
      </c>
      <c r="I46" s="54">
        <v>20</v>
      </c>
      <c r="J46" s="52">
        <f>SUM(Tablo16[[#This Row],[Q1]:[Q7]])</f>
        <v>40</v>
      </c>
      <c r="K46" s="53">
        <f>IF($J46=0,"0",SUM(Tablo17[DÇ4])/(30*D40))</f>
        <v>0.41305555555555562</v>
      </c>
      <c r="L46" s="52">
        <f>$K46*$D40</f>
        <v>16.522222222222226</v>
      </c>
      <c r="M46" s="17"/>
      <c r="N46" s="17"/>
      <c r="O46" s="17"/>
      <c r="P46" s="17"/>
    </row>
    <row r="47" spans="2:19" ht="15" thickTop="1" x14ac:dyDescent="0.3">
      <c r="B47" s="95" t="s">
        <v>126</v>
      </c>
      <c r="C47" s="95"/>
      <c r="D47" s="95"/>
      <c r="E47" s="95"/>
      <c r="F47" s="95"/>
      <c r="G47" s="95"/>
      <c r="H47" s="95"/>
      <c r="I47" s="95"/>
      <c r="J47" s="95"/>
      <c r="K47" s="95"/>
      <c r="L47" s="5"/>
      <c r="M47" s="17"/>
      <c r="N47" s="17"/>
      <c r="O47" s="17"/>
      <c r="P47" s="17"/>
    </row>
    <row r="48" spans="2:19" x14ac:dyDescent="0.3">
      <c r="M48" s="17"/>
      <c r="N48" s="17"/>
      <c r="O48" s="17"/>
      <c r="P48" s="17"/>
    </row>
    <row r="49" spans="2:16" x14ac:dyDescent="0.3">
      <c r="M49" s="17"/>
      <c r="N49" s="17"/>
      <c r="O49" s="17"/>
      <c r="P49" s="17"/>
    </row>
    <row r="50" spans="2:16" x14ac:dyDescent="0.3">
      <c r="M50" s="17"/>
      <c r="N50" s="17"/>
      <c r="O50" s="17"/>
      <c r="P50" s="17"/>
    </row>
    <row r="51" spans="2:16" x14ac:dyDescent="0.3">
      <c r="B51" s="45"/>
      <c r="C51" s="45"/>
      <c r="K51" s="1"/>
      <c r="M51" s="17"/>
      <c r="N51" s="17"/>
      <c r="O51" s="17"/>
      <c r="P51" s="17"/>
    </row>
    <row r="52" spans="2:16" x14ac:dyDescent="0.3">
      <c r="B52" s="45"/>
      <c r="C52" s="45"/>
      <c r="K52" s="1"/>
      <c r="M52" s="17"/>
      <c r="N52" s="17"/>
      <c r="O52" s="17"/>
      <c r="P52" s="17"/>
    </row>
    <row r="53" spans="2:16" x14ac:dyDescent="0.3">
      <c r="B53" s="45"/>
      <c r="C53" s="45"/>
      <c r="K53" s="1"/>
      <c r="M53" s="17"/>
      <c r="N53" s="17"/>
      <c r="O53" s="17"/>
      <c r="P53" s="17"/>
    </row>
    <row r="54" spans="2:16" x14ac:dyDescent="0.3">
      <c r="B54" s="45"/>
      <c r="C54" s="45"/>
      <c r="K54" s="1"/>
      <c r="M54" s="17"/>
      <c r="N54" s="17"/>
      <c r="O54" s="17"/>
      <c r="P54" s="17"/>
    </row>
    <row r="55" spans="2:16" x14ac:dyDescent="0.3">
      <c r="B55" s="45"/>
      <c r="C55" s="45"/>
      <c r="K55" s="1"/>
      <c r="M55" s="17"/>
      <c r="N55" s="50" t="s">
        <v>114</v>
      </c>
      <c r="O55" s="50" t="s">
        <v>115</v>
      </c>
      <c r="P55" s="17"/>
    </row>
    <row r="56" spans="2:16" x14ac:dyDescent="0.3">
      <c r="B56" s="45"/>
      <c r="C56" s="45"/>
      <c r="K56" s="1"/>
      <c r="M56" s="17"/>
      <c r="N56" s="17">
        <f>AVERAGE(Tablo17[TOTAL GRADE])</f>
        <v>38</v>
      </c>
      <c r="O56" s="17">
        <f>_xlfn.STDEV.P(Tablo17[TOTAL GRADE])</f>
        <v>18.121810064118872</v>
      </c>
      <c r="P56" s="17"/>
    </row>
    <row r="57" spans="2:16" x14ac:dyDescent="0.3">
      <c r="B57" s="45"/>
      <c r="C57" s="45"/>
      <c r="K57" s="1"/>
      <c r="M57" s="17"/>
      <c r="N57" s="17"/>
      <c r="O57" s="17"/>
      <c r="P57" s="17"/>
    </row>
    <row r="58" spans="2:16" x14ac:dyDescent="0.3">
      <c r="B58" s="45"/>
      <c r="C58" s="45"/>
      <c r="K58" s="1"/>
      <c r="M58" s="17"/>
      <c r="N58" s="17"/>
      <c r="O58" s="17"/>
      <c r="P58" s="17"/>
    </row>
    <row r="59" spans="2:16" x14ac:dyDescent="0.3">
      <c r="B59" s="45"/>
      <c r="C59" s="45"/>
      <c r="K59" s="1"/>
      <c r="M59" s="17"/>
      <c r="N59" s="17"/>
      <c r="O59" s="17"/>
      <c r="P59" s="17"/>
    </row>
    <row r="60" spans="2:16" x14ac:dyDescent="0.3">
      <c r="B60" s="45"/>
      <c r="C60" s="45"/>
      <c r="K60" s="1"/>
      <c r="M60" s="17"/>
      <c r="N60" s="17"/>
      <c r="O60" s="17"/>
      <c r="P60" s="17"/>
    </row>
    <row r="61" spans="2:16" x14ac:dyDescent="0.3">
      <c r="B61" s="45"/>
      <c r="C61" s="45"/>
      <c r="K61" s="1"/>
      <c r="M61" s="17"/>
      <c r="N61" s="17"/>
      <c r="O61" s="17"/>
      <c r="P61" s="17"/>
    </row>
    <row r="62" spans="2:16" x14ac:dyDescent="0.3">
      <c r="B62" s="45"/>
      <c r="C62" s="45"/>
      <c r="K62" s="1"/>
      <c r="M62" s="17"/>
      <c r="N62" s="17"/>
      <c r="O62" s="17"/>
      <c r="P62" s="17"/>
    </row>
    <row r="63" spans="2:16" x14ac:dyDescent="0.3">
      <c r="B63" s="45"/>
      <c r="C63" s="45"/>
      <c r="K63" s="1"/>
      <c r="M63" s="17"/>
      <c r="N63" s="17"/>
      <c r="O63" s="17"/>
      <c r="P63" s="17"/>
    </row>
    <row r="64" spans="2:16" x14ac:dyDescent="0.3">
      <c r="B64" s="45"/>
      <c r="C64" s="45"/>
      <c r="K64" s="1"/>
      <c r="M64" s="17"/>
      <c r="N64" s="17"/>
      <c r="O64" s="17"/>
      <c r="P64" s="17"/>
    </row>
    <row r="65" spans="2:16" x14ac:dyDescent="0.3">
      <c r="B65" s="45"/>
      <c r="C65" s="45"/>
      <c r="K65" s="1"/>
      <c r="M65" s="17"/>
      <c r="N65" s="17"/>
      <c r="O65" s="17"/>
      <c r="P65" s="17"/>
    </row>
    <row r="66" spans="2:16" x14ac:dyDescent="0.3">
      <c r="B66" s="45"/>
      <c r="C66" s="45"/>
      <c r="K66" s="1"/>
      <c r="M66" s="17"/>
      <c r="N66" s="17"/>
      <c r="O66" s="17"/>
      <c r="P66" s="17"/>
    </row>
    <row r="67" spans="2:16" x14ac:dyDescent="0.3">
      <c r="B67" s="45"/>
      <c r="C67" s="45"/>
      <c r="K67" s="1"/>
      <c r="M67" s="17"/>
      <c r="N67" s="17"/>
      <c r="O67" s="17"/>
      <c r="P67" s="17"/>
    </row>
    <row r="68" spans="2:16" x14ac:dyDescent="0.3">
      <c r="B68" s="45"/>
      <c r="C68" s="45"/>
      <c r="K68" s="1"/>
      <c r="M68" s="17"/>
      <c r="N68" s="17"/>
      <c r="O68" s="17"/>
      <c r="P68" s="17"/>
    </row>
    <row r="69" spans="2:16" x14ac:dyDescent="0.3">
      <c r="B69" s="45"/>
      <c r="C69" s="45"/>
      <c r="K69" s="1"/>
      <c r="M69" s="17"/>
      <c r="N69" s="17"/>
      <c r="O69" s="17"/>
      <c r="P69" s="17"/>
    </row>
    <row r="70" spans="2:16" x14ac:dyDescent="0.3">
      <c r="B70" s="45"/>
      <c r="C70" s="45"/>
      <c r="K70" s="1"/>
      <c r="M70" s="17"/>
      <c r="N70" s="17"/>
      <c r="O70" s="17"/>
      <c r="P70" s="17"/>
    </row>
    <row r="71" spans="2:16" x14ac:dyDescent="0.3">
      <c r="B71" s="45"/>
      <c r="C71" s="45"/>
      <c r="K71" s="1"/>
      <c r="M71" s="17"/>
      <c r="N71" s="17"/>
      <c r="O71" s="17"/>
      <c r="P71" s="17"/>
    </row>
    <row r="72" spans="2:16" x14ac:dyDescent="0.3">
      <c r="B72" s="45"/>
      <c r="C72" s="45"/>
      <c r="K72" s="1"/>
      <c r="M72" s="17"/>
      <c r="N72" s="17"/>
      <c r="O72" s="17"/>
      <c r="P72" s="17"/>
    </row>
    <row r="73" spans="2:16" x14ac:dyDescent="0.3">
      <c r="B73" s="45"/>
      <c r="C73" s="45"/>
      <c r="K73" s="1"/>
      <c r="M73" s="17"/>
      <c r="N73" s="17"/>
      <c r="O73" s="17"/>
      <c r="P73" s="17"/>
    </row>
    <row r="74" spans="2:16" x14ac:dyDescent="0.3">
      <c r="B74" s="45"/>
      <c r="C74" s="45"/>
      <c r="K74" s="1"/>
      <c r="M74" s="17"/>
      <c r="N74" s="17"/>
      <c r="O74" s="17"/>
      <c r="P74" s="17"/>
    </row>
    <row r="75" spans="2:16" x14ac:dyDescent="0.3">
      <c r="B75" s="45"/>
      <c r="C75" s="45"/>
      <c r="K75" s="1"/>
      <c r="M75" s="17"/>
      <c r="N75" s="17"/>
      <c r="O75" s="17"/>
      <c r="P75" s="17"/>
    </row>
    <row r="76" spans="2:16" x14ac:dyDescent="0.3">
      <c r="B76" s="45"/>
      <c r="C76" s="45"/>
      <c r="K76" s="1"/>
      <c r="M76" s="17"/>
      <c r="N76" s="17"/>
      <c r="O76" s="17"/>
      <c r="P76" s="17"/>
    </row>
    <row r="77" spans="2:16" x14ac:dyDescent="0.3">
      <c r="B77" s="45"/>
      <c r="C77" s="45"/>
      <c r="K77" s="1"/>
      <c r="M77" s="17"/>
      <c r="N77" s="17"/>
      <c r="O77" s="17"/>
      <c r="P77" s="17"/>
    </row>
    <row r="78" spans="2:16" x14ac:dyDescent="0.3">
      <c r="B78" s="45"/>
      <c r="C78" s="45"/>
      <c r="K78" s="1"/>
      <c r="M78" s="17"/>
      <c r="N78" s="17"/>
      <c r="O78" s="17"/>
      <c r="P78" s="17"/>
    </row>
    <row r="79" spans="2:16" x14ac:dyDescent="0.3">
      <c r="B79" s="45"/>
      <c r="C79" s="45"/>
      <c r="K79" s="1"/>
      <c r="M79" s="17"/>
      <c r="N79" s="17"/>
      <c r="O79" s="17"/>
      <c r="P79" s="17"/>
    </row>
    <row r="80" spans="2:16" x14ac:dyDescent="0.3">
      <c r="B80" s="45"/>
      <c r="C80" s="45"/>
      <c r="K80" s="1"/>
      <c r="M80" s="17"/>
      <c r="N80" s="17"/>
      <c r="O80" s="17"/>
      <c r="P80" s="17"/>
    </row>
    <row r="81" spans="2:16" x14ac:dyDescent="0.3">
      <c r="B81" s="45"/>
      <c r="C81" s="45"/>
      <c r="K81" s="1"/>
      <c r="M81" s="17"/>
      <c r="N81" s="17"/>
      <c r="O81" s="17"/>
      <c r="P81" s="17"/>
    </row>
    <row r="82" spans="2:16" x14ac:dyDescent="0.3">
      <c r="B82" s="45"/>
      <c r="C82" s="45"/>
      <c r="K82" s="1"/>
      <c r="M82" s="17"/>
      <c r="N82" s="17"/>
      <c r="O82" s="17"/>
      <c r="P82" s="17"/>
    </row>
    <row r="83" spans="2:16" x14ac:dyDescent="0.3">
      <c r="B83" s="45"/>
      <c r="C83" s="45"/>
      <c r="K83" s="1"/>
      <c r="M83" s="17"/>
      <c r="N83" s="17"/>
      <c r="O83" s="17"/>
      <c r="P83" s="17"/>
    </row>
    <row r="84" spans="2:16" x14ac:dyDescent="0.3">
      <c r="B84" s="45"/>
      <c r="C84" s="45"/>
      <c r="K84" s="1"/>
      <c r="M84" s="17"/>
      <c r="N84" s="17"/>
      <c r="O84" s="17"/>
      <c r="P84" s="17"/>
    </row>
    <row r="85" spans="2:16" x14ac:dyDescent="0.3">
      <c r="B85" s="45"/>
      <c r="C85" s="45"/>
      <c r="K85" s="1"/>
      <c r="M85" s="17"/>
      <c r="N85" s="17"/>
      <c r="O85" s="17"/>
      <c r="P85" s="17"/>
    </row>
    <row r="86" spans="2:16" x14ac:dyDescent="0.3">
      <c r="B86" s="45"/>
      <c r="C86" s="45"/>
      <c r="K86" s="1"/>
      <c r="M86" s="17"/>
      <c r="N86" s="17"/>
      <c r="O86" s="17"/>
      <c r="P86" s="17"/>
    </row>
    <row r="87" spans="2:16" x14ac:dyDescent="0.3">
      <c r="B87" s="45"/>
      <c r="C87" s="45"/>
      <c r="K87" s="1"/>
      <c r="M87" s="17"/>
      <c r="N87" s="17"/>
      <c r="O87" s="17"/>
      <c r="P87" s="17"/>
    </row>
    <row r="88" spans="2:16" x14ac:dyDescent="0.3">
      <c r="B88" s="45"/>
      <c r="C88" s="45"/>
      <c r="K88" s="1"/>
      <c r="M88" s="17"/>
      <c r="N88" s="17"/>
      <c r="O88" s="17"/>
      <c r="P88" s="17"/>
    </row>
    <row r="89" spans="2:16" x14ac:dyDescent="0.3">
      <c r="B89" s="45"/>
      <c r="C89" s="45"/>
      <c r="K89" s="1"/>
      <c r="M89" s="17"/>
      <c r="N89" s="17"/>
      <c r="O89" s="17"/>
      <c r="P89" s="17"/>
    </row>
    <row r="90" spans="2:16" x14ac:dyDescent="0.3">
      <c r="B90" s="45"/>
      <c r="C90" s="45"/>
      <c r="K90" s="1"/>
      <c r="M90" s="17"/>
      <c r="N90" s="17"/>
      <c r="O90" s="17"/>
      <c r="P90" s="17"/>
    </row>
    <row r="91" spans="2:16" x14ac:dyDescent="0.3">
      <c r="B91" s="45"/>
      <c r="C91" s="45"/>
      <c r="K91" s="1"/>
      <c r="M91" s="17"/>
      <c r="N91" s="17"/>
      <c r="O91" s="17"/>
      <c r="P91" s="17"/>
    </row>
    <row r="92" spans="2:16" x14ac:dyDescent="0.3">
      <c r="B92" s="45"/>
      <c r="C92" s="45"/>
      <c r="K92" s="1"/>
      <c r="M92" s="17"/>
      <c r="N92" s="17"/>
      <c r="O92" s="17"/>
      <c r="P92" s="17"/>
    </row>
    <row r="93" spans="2:16" x14ac:dyDescent="0.3">
      <c r="B93" s="45"/>
      <c r="C93" s="45"/>
      <c r="K93" s="1"/>
      <c r="M93" s="17"/>
      <c r="N93" s="17"/>
      <c r="O93" s="17"/>
      <c r="P93" s="17"/>
    </row>
    <row r="94" spans="2:16" x14ac:dyDescent="0.3">
      <c r="B94" s="45"/>
      <c r="C94" s="45"/>
      <c r="K94" s="1"/>
      <c r="M94" s="17"/>
      <c r="N94" s="17"/>
      <c r="O94" s="17"/>
      <c r="P94" s="17"/>
    </row>
    <row r="95" spans="2:16" x14ac:dyDescent="0.3">
      <c r="B95" s="45"/>
      <c r="C95" s="45"/>
      <c r="K95" s="1"/>
      <c r="M95" s="17"/>
      <c r="N95" s="17"/>
      <c r="O95" s="17"/>
      <c r="P95" s="17"/>
    </row>
    <row r="96" spans="2:16" x14ac:dyDescent="0.3">
      <c r="B96" s="45"/>
      <c r="C96" s="45"/>
      <c r="K96" s="1"/>
      <c r="M96" s="17"/>
      <c r="N96" s="17"/>
      <c r="O96" s="17"/>
      <c r="P96" s="17"/>
    </row>
  </sheetData>
  <mergeCells count="2">
    <mergeCell ref="B1:V1"/>
    <mergeCell ref="B47:K47"/>
  </mergeCells>
  <conditionalFormatting sqref="E37:E40">
    <cfRule type="cellIs" dxfId="103" priority="21" operator="equal">
      <formula>0</formula>
    </cfRule>
    <cfRule type="cellIs" dxfId="102" priority="22" operator="lessThan">
      <formula>0</formula>
    </cfRule>
  </conditionalFormatting>
  <conditionalFormatting sqref="F5:L34">
    <cfRule type="cellIs" dxfId="101" priority="20" operator="lessThan">
      <formula>0</formula>
    </cfRule>
  </conditionalFormatting>
  <conditionalFormatting sqref="F5:F34">
    <cfRule type="cellIs" dxfId="100" priority="19" operator="greaterThan">
      <formula>"0$T$10"</formula>
    </cfRule>
  </conditionalFormatting>
  <conditionalFormatting sqref="M5:M34">
    <cfRule type="cellIs" dxfId="99" priority="17" operator="greaterThan">
      <formula>100</formula>
    </cfRule>
    <cfRule type="cellIs" dxfId="98" priority="18" operator="lessThan">
      <formula>0</formula>
    </cfRule>
  </conditionalFormatting>
  <conditionalFormatting sqref="J43">
    <cfRule type="cellIs" dxfId="97" priority="8" operator="greaterThan">
      <formula>$D$37</formula>
    </cfRule>
    <cfRule type="cellIs" dxfId="96" priority="12" operator="lessThan">
      <formula>$D$37</formula>
    </cfRule>
    <cfRule type="cellIs" dxfId="95" priority="16" operator="equal">
      <formula>$D$37</formula>
    </cfRule>
  </conditionalFormatting>
  <conditionalFormatting sqref="J44">
    <cfRule type="cellIs" dxfId="94" priority="7" operator="greaterThan">
      <formula>$D$38</formula>
    </cfRule>
    <cfRule type="cellIs" dxfId="93" priority="11" operator="lessThan">
      <formula>$D$38</formula>
    </cfRule>
    <cfRule type="cellIs" dxfId="92" priority="15" operator="equal">
      <formula>$D$38</formula>
    </cfRule>
  </conditionalFormatting>
  <conditionalFormatting sqref="J45">
    <cfRule type="cellIs" dxfId="91" priority="6" operator="greaterThan">
      <formula>$D$39</formula>
    </cfRule>
    <cfRule type="cellIs" dxfId="90" priority="10" operator="lessThan">
      <formula>$D$39</formula>
    </cfRule>
    <cfRule type="cellIs" dxfId="89" priority="14" operator="equal">
      <formula>$D$39</formula>
    </cfRule>
  </conditionalFormatting>
  <conditionalFormatting sqref="J46">
    <cfRule type="cellIs" dxfId="88" priority="5" operator="greaterThan">
      <formula>$D$40</formula>
    </cfRule>
    <cfRule type="cellIs" dxfId="87" priority="9" operator="lessThan">
      <formula>$D$40</formula>
    </cfRule>
    <cfRule type="cellIs" dxfId="86" priority="13" operator="equal">
      <formula>$D$40</formula>
    </cfRule>
  </conditionalFormatting>
  <conditionalFormatting sqref="Q5:Q34">
    <cfRule type="cellIs" dxfId="85" priority="23" operator="greaterThan">
      <formula>$J$46</formula>
    </cfRule>
  </conditionalFormatting>
  <conditionalFormatting sqref="G5:G34">
    <cfRule type="cellIs" dxfId="84" priority="24" operator="greaterThan">
      <formula>$I$37</formula>
    </cfRule>
  </conditionalFormatting>
  <conditionalFormatting sqref="H5:H34">
    <cfRule type="cellIs" dxfId="83" priority="25" operator="greaterThan">
      <formula>$J$37</formula>
    </cfRule>
  </conditionalFormatting>
  <conditionalFormatting sqref="I5:I34">
    <cfRule type="cellIs" dxfId="82" priority="26" operator="greaterThan">
      <formula>$K$37</formula>
    </cfRule>
  </conditionalFormatting>
  <conditionalFormatting sqref="J5:J34">
    <cfRule type="cellIs" dxfId="81" priority="27" operator="greaterThan">
      <formula>$L$37</formula>
    </cfRule>
  </conditionalFormatting>
  <conditionalFormatting sqref="K5:K34">
    <cfRule type="cellIs" dxfId="80" priority="28" operator="greaterThan">
      <formula>$M$37</formula>
    </cfRule>
  </conditionalFormatting>
  <conditionalFormatting sqref="L5:L34">
    <cfRule type="cellIs" dxfId="79" priority="29" operator="greaterThan">
      <formula>$N$37</formula>
    </cfRule>
  </conditionalFormatting>
  <conditionalFormatting sqref="N5:N34">
    <cfRule type="cellIs" dxfId="78" priority="30" operator="greaterThan">
      <formula>$J$43</formula>
    </cfRule>
  </conditionalFormatting>
  <conditionalFormatting sqref="O5:O34">
    <cfRule type="cellIs" dxfId="77" priority="31" operator="greaterThan">
      <formula>$J$44</formula>
    </cfRule>
  </conditionalFormatting>
  <conditionalFormatting sqref="P5:P34">
    <cfRule type="cellIs" dxfId="76" priority="32" operator="greaterThan">
      <formula>$J$45</formula>
    </cfRule>
  </conditionalFormatting>
  <conditionalFormatting sqref="E37">
    <cfRule type="cellIs" dxfId="75" priority="4" operator="greaterThan">
      <formula>$D$37</formula>
    </cfRule>
  </conditionalFormatting>
  <conditionalFormatting sqref="E38">
    <cfRule type="cellIs" dxfId="74" priority="3" operator="greaterThan">
      <formula>$D$38</formula>
    </cfRule>
  </conditionalFormatting>
  <conditionalFormatting sqref="E39">
    <cfRule type="cellIs" dxfId="73" priority="2" operator="greaterThan">
      <formula>$D$39</formula>
    </cfRule>
  </conditionalFormatting>
  <conditionalFormatting sqref="E40">
    <cfRule type="cellIs" dxfId="72" priority="1" operator="greaterThan">
      <formula>$D$40</formula>
    </cfRule>
  </conditionalFormatting>
  <pageMargins left="0.7" right="0.7" top="0.75" bottom="0.75" header="0.511811023622047" footer="0.511811023622047"/>
  <pageSetup paperSize="9" orientation="portrait" horizontalDpi="300" verticalDpi="300" r:id="rId1"/>
  <drawing r:id="rId2"/>
  <legacyDrawing r:id="rId3"/>
  <tableParts count="6">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E02DD-F6B7-4D33-8EAB-8841AA5F1347}">
  <dimension ref="B1:AG97"/>
  <sheetViews>
    <sheetView topLeftCell="A37" zoomScale="70" zoomScaleNormal="70" workbookViewId="0">
      <selection activeCell="M67" sqref="M67"/>
    </sheetView>
  </sheetViews>
  <sheetFormatPr defaultColWidth="8.5546875" defaultRowHeight="14.4" x14ac:dyDescent="0.3"/>
  <cols>
    <col min="1" max="1" width="15.109375" style="5" customWidth="1"/>
    <col min="2" max="2" width="16.88671875" style="5" bestFit="1" customWidth="1"/>
    <col min="3" max="3" width="18.33203125" style="1" bestFit="1" customWidth="1"/>
    <col min="4" max="4" width="23.88671875" style="1" bestFit="1" customWidth="1"/>
    <col min="5" max="5" width="18" style="1" bestFit="1" customWidth="1"/>
    <col min="6" max="6" width="10" style="1" bestFit="1" customWidth="1"/>
    <col min="7" max="7" width="10.44140625" style="96" bestFit="1" customWidth="1"/>
    <col min="8" max="9" width="10" style="1" bestFit="1" customWidth="1"/>
    <col min="10" max="10" width="14.88671875" style="1" bestFit="1" customWidth="1"/>
    <col min="11" max="11" width="15.6640625" style="1" bestFit="1" customWidth="1"/>
    <col min="12" max="12" width="17.44140625" style="96" bestFit="1" customWidth="1"/>
    <col min="13" max="13" width="19.33203125" style="96" bestFit="1" customWidth="1"/>
    <col min="14" max="14" width="12.33203125" style="96" bestFit="1" customWidth="1"/>
    <col min="15" max="15" width="14.88671875" style="96" bestFit="1" customWidth="1"/>
    <col min="16" max="17" width="10.88671875" style="96" bestFit="1" customWidth="1"/>
    <col min="18" max="18" width="10.6640625" style="96" bestFit="1" customWidth="1"/>
    <col min="19" max="19" width="14.5546875" style="96" bestFit="1" customWidth="1"/>
    <col min="20" max="20" width="2.88671875" style="5" customWidth="1"/>
    <col min="21" max="23" width="5.88671875" style="5" customWidth="1"/>
    <col min="24" max="29" width="4.44140625" style="5" bestFit="1" customWidth="1"/>
    <col min="30" max="30" width="5.33203125" style="5" bestFit="1" customWidth="1"/>
    <col min="31" max="31" width="6.109375" style="5" customWidth="1"/>
    <col min="32" max="32" width="2.6640625" style="5" customWidth="1"/>
    <col min="33" max="33" width="5.33203125" style="5" customWidth="1"/>
    <col min="34" max="16384" width="8.5546875" style="5"/>
  </cols>
  <sheetData>
    <row r="1" spans="2:33" ht="33.6" x14ac:dyDescent="0.3">
      <c r="B1" s="67" t="s">
        <v>127</v>
      </c>
      <c r="C1" s="67"/>
      <c r="D1" s="67"/>
      <c r="E1" s="67"/>
      <c r="F1" s="67"/>
      <c r="G1" s="67"/>
      <c r="H1" s="67"/>
      <c r="I1" s="67"/>
      <c r="J1" s="67"/>
      <c r="K1" s="67"/>
      <c r="L1" s="67"/>
      <c r="M1" s="67"/>
      <c r="N1" s="67"/>
      <c r="O1" s="67"/>
      <c r="P1" s="67"/>
      <c r="Q1" s="67"/>
      <c r="R1" s="67"/>
      <c r="S1" s="67"/>
      <c r="T1" s="67"/>
      <c r="U1" s="67"/>
      <c r="V1" s="67"/>
      <c r="W1" s="90"/>
      <c r="X1" s="90"/>
    </row>
    <row r="2" spans="2:33" x14ac:dyDescent="0.3">
      <c r="C2" s="5"/>
      <c r="D2" s="5"/>
      <c r="G2" s="1"/>
      <c r="K2" s="5"/>
      <c r="L2" s="1"/>
      <c r="M2" s="5"/>
      <c r="N2" s="5"/>
      <c r="O2" s="5"/>
      <c r="P2" s="5"/>
      <c r="Q2" s="5"/>
      <c r="R2" s="5"/>
      <c r="S2" s="5"/>
      <c r="AA2" s="1"/>
      <c r="AB2" s="1"/>
      <c r="AC2" s="1"/>
      <c r="AD2" s="1"/>
    </row>
    <row r="3" spans="2:33" x14ac:dyDescent="0.3">
      <c r="C3" s="5"/>
      <c r="D3" s="5"/>
      <c r="G3" s="1"/>
      <c r="K3" s="5"/>
      <c r="L3" s="1"/>
      <c r="M3" s="17"/>
      <c r="N3" s="17"/>
      <c r="O3" s="17"/>
      <c r="P3" s="17"/>
      <c r="Q3" s="5"/>
      <c r="R3" s="5"/>
      <c r="S3" s="5"/>
      <c r="AA3" s="100"/>
      <c r="AB3" s="100"/>
      <c r="AC3" s="100"/>
      <c r="AD3" s="100"/>
      <c r="AE3" s="99"/>
    </row>
    <row r="4" spans="2:33" ht="15" thickBot="1" x14ac:dyDescent="0.35">
      <c r="B4" s="91" t="s">
        <v>98</v>
      </c>
      <c r="C4" s="49" t="s">
        <v>120</v>
      </c>
      <c r="D4" s="49" t="s">
        <v>110</v>
      </c>
      <c r="E4" s="50" t="s">
        <v>111</v>
      </c>
      <c r="F4" s="12" t="s">
        <v>19</v>
      </c>
      <c r="G4" s="12" t="s">
        <v>20</v>
      </c>
      <c r="H4" s="12" t="s">
        <v>21</v>
      </c>
      <c r="I4" s="12" t="s">
        <v>22</v>
      </c>
      <c r="J4" s="12" t="s">
        <v>23</v>
      </c>
      <c r="K4" s="12" t="s">
        <v>24</v>
      </c>
      <c r="L4" s="12" t="s">
        <v>29</v>
      </c>
      <c r="M4" s="13" t="s">
        <v>121</v>
      </c>
      <c r="N4" s="12" t="s">
        <v>72</v>
      </c>
      <c r="O4" s="12" t="s">
        <v>73</v>
      </c>
      <c r="P4" s="12" t="s">
        <v>74</v>
      </c>
      <c r="Q4" s="12" t="s">
        <v>75</v>
      </c>
      <c r="R4" s="12" t="s">
        <v>122</v>
      </c>
      <c r="S4" s="6" t="s">
        <v>123</v>
      </c>
      <c r="AA4" s="54"/>
      <c r="AB4" s="54"/>
      <c r="AC4" s="54"/>
      <c r="AD4" s="54"/>
      <c r="AE4" s="98"/>
      <c r="AG4" s="43"/>
    </row>
    <row r="5" spans="2:33" ht="15.6" thickTop="1" thickBot="1" x14ac:dyDescent="0.35">
      <c r="B5" s="92">
        <v>1</v>
      </c>
      <c r="C5" s="17">
        <v>1</v>
      </c>
      <c r="D5" s="71" t="s">
        <v>110</v>
      </c>
      <c r="E5" s="71" t="s">
        <v>111</v>
      </c>
      <c r="F5" s="1">
        <v>0</v>
      </c>
      <c r="G5" s="1">
        <v>0</v>
      </c>
      <c r="H5" s="1">
        <v>0</v>
      </c>
      <c r="I5" s="1">
        <v>0</v>
      </c>
      <c r="J5" s="1">
        <v>0</v>
      </c>
      <c r="K5" s="1">
        <v>0</v>
      </c>
      <c r="L5" s="1">
        <v>0</v>
      </c>
      <c r="M5" s="14">
        <f>SUM(F5:L5)</f>
        <v>0</v>
      </c>
      <c r="N5" s="93" cm="1">
        <f t="array" ref="N5">Tablo1738[[#This Row],[Q1]]/Tablo1939[Q1]*$C$43+G5/Tablo1939[Q2]*$D$43+H5/Tablo1939[Q3]*$E$43+I5/Tablo1939[Q4]*$F$43+J5/Tablo1939[Q5]*$G$43+K5/Tablo1939[Q6]*$H$43+L5/Tablo1939[Q7]*$I$43</f>
        <v>0</v>
      </c>
      <c r="O5" s="93" cm="1">
        <f t="array" ref="O5">Tablo1738[[#This Row],[Q1]]/Tablo1939[Q1]*$C$44+G5/Tablo1939[Q2]*$D$44+H5/Tablo1939[Q3]*$E$44+I5/Tablo1939[Q4]*$F$44+J5/Tablo1939[Q5]*$G$44+K5/Tablo1939[Q6]*$H$44+L5/Tablo1939[Q7]*$I$44</f>
        <v>0</v>
      </c>
      <c r="P5" s="93" cm="1">
        <f t="array" ref="P5">Tablo1738[[#This Row],[Q1]]/Tablo1939[Q1]*$C$45+G5/Tablo1939[Q2]*$D$45+H5/Tablo1939[Q3]*$E$45+I5/Tablo1939[Q4]*$F$45+J5/Tablo1939[Q5]*$G$45+K5/Tablo1939[Q6]*$H$45+L5/Tablo1939[Q7]*$I$45</f>
        <v>0</v>
      </c>
      <c r="Q5" s="93" cm="1">
        <f t="array" ref="Q5">Tablo1738[[#This Row],[Q1]]/Tablo1939[Q1]*$C$46+G5/Tablo1939[Q2]*$D$46+H5/Tablo1939[Q3]*$E$46+I5/Tablo1939[Q4]*$F$46+J5/Tablo1939[Q5]*$G$46+K5/Tablo1939[Q6]*$H$46+L5/Tablo1939[Q7]*$I$46</f>
        <v>0</v>
      </c>
      <c r="R5" s="93">
        <f>SUM(N5:Q5)</f>
        <v>0</v>
      </c>
      <c r="S5" s="10">
        <f>_xlfn.NORM.DIST(Tablo1738[[#This Row],[TOTAL GRADE]],$N$56,$O$56,FALSE)</f>
        <v>2.4428421796479677E-3</v>
      </c>
      <c r="AA5" s="54"/>
      <c r="AB5" s="54"/>
      <c r="AC5" s="54"/>
      <c r="AD5" s="54"/>
      <c r="AE5" s="98"/>
      <c r="AG5" s="45"/>
    </row>
    <row r="6" spans="2:33" ht="15.6" thickTop="1" thickBot="1" x14ac:dyDescent="0.35">
      <c r="B6" s="94">
        <v>2</v>
      </c>
      <c r="C6" s="17">
        <v>2</v>
      </c>
      <c r="D6" s="71" t="s">
        <v>110</v>
      </c>
      <c r="E6" s="71" t="s">
        <v>111</v>
      </c>
      <c r="F6" s="1">
        <v>0</v>
      </c>
      <c r="G6" s="1">
        <v>0</v>
      </c>
      <c r="H6" s="1">
        <v>0</v>
      </c>
      <c r="I6" s="1">
        <v>0</v>
      </c>
      <c r="J6" s="1">
        <v>0</v>
      </c>
      <c r="K6" s="1">
        <v>0</v>
      </c>
      <c r="L6" s="1">
        <v>0</v>
      </c>
      <c r="M6" s="14">
        <f>SUM(F6:L6)</f>
        <v>0</v>
      </c>
      <c r="N6" s="93" cm="1">
        <f t="array" ref="N6">Tablo1738[[#This Row],[Q1]]/Tablo1939[Q1]*$C$43+G6/Tablo1939[Q2]*$D$43+H6/Tablo1939[Q3]*$E$43+I6/Tablo1939[Q4]*$F$43+J6/Tablo1939[Q5]*$G$43+K6/Tablo1939[Q6]*$H$43+L6/Tablo1939[Q7]*$I$43</f>
        <v>0</v>
      </c>
      <c r="O6" s="93" cm="1">
        <f t="array" ref="O6">Tablo1738[[#This Row],[Q1]]/Tablo1939[Q1]*$C$44+G6/Tablo1939[Q2]*$D$44+H6/Tablo1939[Q3]*$E$44+I6/Tablo1939[Q4]*$F$44+J6/Tablo1939[Q5]*$G$44+K6/Tablo1939[Q6]*$H$44+L6/Tablo1939[Q7]*$I$44</f>
        <v>0</v>
      </c>
      <c r="P6" s="93" cm="1">
        <f t="array" ref="P6">Tablo1738[[#This Row],[Q1]]/Tablo1939[Q1]*$C$45+G6/Tablo1939[Q2]*$D$45+H6/Tablo1939[Q3]*$E$45+I6/Tablo1939[Q4]*$F$45+J6/Tablo1939[Q5]*$G$45+K6/Tablo1939[Q6]*$H$45+L6/Tablo1939[Q7]*$I$45</f>
        <v>0</v>
      </c>
      <c r="Q6" s="93" cm="1">
        <f t="array" ref="Q6">Tablo1738[[#This Row],[Q1]]/Tablo1939[Q1]*$C$46+G6/Tablo1939[Q2]*$D$46+H6/Tablo1939[Q3]*$E$46+I6/Tablo1939[Q4]*$F$46+J6/Tablo1939[Q5]*$G$46+K6/Tablo1939[Q6]*$H$46+L6/Tablo1939[Q7]*$I$46</f>
        <v>0</v>
      </c>
      <c r="R6" s="93">
        <f>SUM(N6:Q6)</f>
        <v>0</v>
      </c>
      <c r="S6" s="10">
        <f>_xlfn.NORM.DIST(Tablo1738[[#This Row],[TOTAL GRADE]],$N$56,$O$56,FALSE)</f>
        <v>2.4428421796479677E-3</v>
      </c>
      <c r="AA6" s="54"/>
      <c r="AB6" s="54"/>
      <c r="AC6" s="54"/>
      <c r="AD6" s="54"/>
      <c r="AE6" s="98"/>
      <c r="AG6" s="45"/>
    </row>
    <row r="7" spans="2:33" ht="15.6" thickTop="1" thickBot="1" x14ac:dyDescent="0.35">
      <c r="B7" s="92">
        <v>3</v>
      </c>
      <c r="C7" s="17">
        <v>3</v>
      </c>
      <c r="D7" s="71" t="s">
        <v>110</v>
      </c>
      <c r="E7" s="71" t="s">
        <v>111</v>
      </c>
      <c r="F7" s="1">
        <v>0</v>
      </c>
      <c r="G7" s="1">
        <v>0</v>
      </c>
      <c r="H7" s="1">
        <v>0</v>
      </c>
      <c r="I7" s="1">
        <v>0</v>
      </c>
      <c r="J7" s="1">
        <v>0</v>
      </c>
      <c r="K7" s="1">
        <v>0</v>
      </c>
      <c r="L7" s="1">
        <v>0</v>
      </c>
      <c r="M7" s="14">
        <f>SUM(F7:L7)</f>
        <v>0</v>
      </c>
      <c r="N7" s="93" cm="1">
        <f t="array" ref="N7">Tablo1738[[#This Row],[Q1]]/Tablo1939[Q1]*$C$43+G7/Tablo1939[Q2]*$D$43+H7/Tablo1939[Q3]*$E$43+I7/Tablo1939[Q4]*$F$43+J7/Tablo1939[Q5]*$G$43+K7/Tablo1939[Q6]*$H$43+L7/Tablo1939[Q7]*$I$43</f>
        <v>0</v>
      </c>
      <c r="O7" s="93" cm="1">
        <f t="array" ref="O7">Tablo1738[[#This Row],[Q1]]/Tablo1939[Q1]*$C$44+G7/Tablo1939[Q2]*$D$44+H7/Tablo1939[Q3]*$E$44+I7/Tablo1939[Q4]*$F$44+J7/Tablo1939[Q5]*$G$44+K7/Tablo1939[Q6]*$H$44+L7/Tablo1939[Q7]*$I$44</f>
        <v>0</v>
      </c>
      <c r="P7" s="93" cm="1">
        <f t="array" ref="P7">Tablo1738[[#This Row],[Q1]]/Tablo1939[Q1]*$C$45+G7/Tablo1939[Q2]*$D$45+H7/Tablo1939[Q3]*$E$45+I7/Tablo1939[Q4]*$F$45+J7/Tablo1939[Q5]*$G$45+K7/Tablo1939[Q6]*$H$45+L7/Tablo1939[Q7]*$I$45</f>
        <v>0</v>
      </c>
      <c r="Q7" s="93" cm="1">
        <f t="array" ref="Q7">Tablo1738[[#This Row],[Q1]]/Tablo1939[Q1]*$C$46+G7/Tablo1939[Q2]*$D$46+H7/Tablo1939[Q3]*$E$46+I7/Tablo1939[Q4]*$F$46+J7/Tablo1939[Q5]*$G$46+K7/Tablo1939[Q6]*$H$46+L7/Tablo1939[Q7]*$I$46</f>
        <v>0</v>
      </c>
      <c r="R7" s="93">
        <f>SUM(N7:Q7)</f>
        <v>0</v>
      </c>
      <c r="S7" s="10">
        <f>_xlfn.NORM.DIST(Tablo1738[[#This Row],[TOTAL GRADE]],$N$56,$O$56,FALSE)</f>
        <v>2.4428421796479677E-3</v>
      </c>
      <c r="AA7" s="54"/>
      <c r="AB7" s="54"/>
      <c r="AC7" s="54"/>
      <c r="AD7" s="54"/>
      <c r="AE7" s="98"/>
      <c r="AG7" s="45"/>
    </row>
    <row r="8" spans="2:33" ht="15.6" thickTop="1" thickBot="1" x14ac:dyDescent="0.35">
      <c r="B8" s="94">
        <v>4</v>
      </c>
      <c r="C8" s="17">
        <v>4</v>
      </c>
      <c r="D8" s="71" t="s">
        <v>110</v>
      </c>
      <c r="E8" s="71" t="s">
        <v>111</v>
      </c>
      <c r="F8" s="1">
        <v>3</v>
      </c>
      <c r="G8" s="1">
        <v>2</v>
      </c>
      <c r="H8" s="1">
        <v>10</v>
      </c>
      <c r="I8" s="1">
        <v>15</v>
      </c>
      <c r="J8" s="1">
        <v>11</v>
      </c>
      <c r="K8" s="1">
        <v>15</v>
      </c>
      <c r="L8" s="1">
        <v>15</v>
      </c>
      <c r="M8" s="14">
        <f>SUM(F8:L8)</f>
        <v>71</v>
      </c>
      <c r="N8" s="93" cm="1">
        <f t="array" ref="N8">Tablo1738[[#This Row],[Q1]]/Tablo1939[Q1]*$C$43+G8/Tablo1939[Q2]*$D$43+H8/Tablo1939[Q3]*$E$43+I8/Tablo1939[Q4]*$F$43+J8/Tablo1939[Q5]*$G$43+K8/Tablo1939[Q6]*$H$43+L8/Tablo1939[Q7]*$I$43</f>
        <v>54.333333333333329</v>
      </c>
      <c r="O8" s="93" cm="1">
        <f t="array" ref="O8">Tablo1738[[#This Row],[Q1]]/Tablo1939[Q1]*$C$44+G8/Tablo1939[Q2]*$D$44+H8/Tablo1939[Q3]*$E$44+I8/Tablo1939[Q4]*$F$44+J8/Tablo1939[Q5]*$G$44+K8/Tablo1939[Q6]*$H$44+L8/Tablo1939[Q7]*$I$44</f>
        <v>2.5</v>
      </c>
      <c r="P8" s="93" cm="1">
        <f t="array" ref="P8">Tablo1738[[#This Row],[Q1]]/Tablo1939[Q1]*$C$45+G8/Tablo1939[Q2]*$D$45+H8/Tablo1939[Q3]*$E$45+I8/Tablo1939[Q4]*$F$45+J8/Tablo1939[Q5]*$G$45+K8/Tablo1939[Q6]*$H$45+L8/Tablo1939[Q7]*$I$45</f>
        <v>27</v>
      </c>
      <c r="Q8" s="93" cm="1">
        <f t="array" ref="Q8">Tablo1738[[#This Row],[Q1]]/Tablo1939[Q1]*$C$46+G8/Tablo1939[Q2]*$D$46+H8/Tablo1939[Q3]*$E$46+I8/Tablo1939[Q4]*$F$46+J8/Tablo1939[Q5]*$G$46+K8/Tablo1939[Q6]*$H$46+L8/Tablo1939[Q7]*$I$46</f>
        <v>6</v>
      </c>
      <c r="R8" s="93">
        <f>SUM(N8:Q8)</f>
        <v>89.833333333333329</v>
      </c>
      <c r="S8" s="10">
        <f>_xlfn.NORM.DIST(Tablo1738[[#This Row],[TOTAL GRADE]],$N$56,$O$56,FALSE)</f>
        <v>4.1940278803414199E-3</v>
      </c>
      <c r="AA8" s="54"/>
      <c r="AB8" s="54"/>
      <c r="AC8" s="54"/>
      <c r="AD8" s="54"/>
      <c r="AE8" s="98"/>
      <c r="AG8" s="1"/>
    </row>
    <row r="9" spans="2:33" ht="15.6" thickTop="1" thickBot="1" x14ac:dyDescent="0.35">
      <c r="B9" s="92">
        <v>5</v>
      </c>
      <c r="C9" s="17">
        <v>5</v>
      </c>
      <c r="D9" s="71" t="s">
        <v>110</v>
      </c>
      <c r="E9" s="71" t="s">
        <v>111</v>
      </c>
      <c r="F9" s="1">
        <v>6</v>
      </c>
      <c r="G9" s="1">
        <v>3.5</v>
      </c>
      <c r="H9" s="1">
        <v>12.5</v>
      </c>
      <c r="I9" s="1">
        <v>10</v>
      </c>
      <c r="J9" s="1">
        <v>6</v>
      </c>
      <c r="K9" s="1">
        <v>15</v>
      </c>
      <c r="L9" s="1">
        <v>14</v>
      </c>
      <c r="M9" s="14">
        <f>SUM(F9:L9)</f>
        <v>67</v>
      </c>
      <c r="N9" s="93" cm="1">
        <f t="array" ref="N9">Tablo1738[[#This Row],[Q1]]/Tablo1939[Q1]*$C$43+G9/Tablo1939[Q2]*$D$43+H9/Tablo1939[Q3]*$E$43+I9/Tablo1939[Q4]*$F$43+J9/Tablo1939[Q5]*$G$43+K9/Tablo1939[Q6]*$H$43+L9/Tablo1939[Q7]*$I$43</f>
        <v>47.75</v>
      </c>
      <c r="O9" s="93" cm="1">
        <f t="array" ref="O9">Tablo1738[[#This Row],[Q1]]/Tablo1939[Q1]*$C$44+G9/Tablo1939[Q2]*$D$44+H9/Tablo1939[Q3]*$E$44+I9/Tablo1939[Q4]*$F$44+J9/Tablo1939[Q5]*$G$44+K9/Tablo1939[Q6]*$H$44+L9/Tablo1939[Q7]*$I$44</f>
        <v>3.125</v>
      </c>
      <c r="P9" s="93" cm="1">
        <f t="array" ref="P9">Tablo1738[[#This Row],[Q1]]/Tablo1939[Q1]*$C$45+G9/Tablo1939[Q2]*$D$45+H9/Tablo1939[Q3]*$E$45+I9/Tablo1939[Q4]*$F$45+J9/Tablo1939[Q5]*$G$45+K9/Tablo1939[Q6]*$H$45+L9/Tablo1939[Q7]*$I$45</f>
        <v>27.875</v>
      </c>
      <c r="Q9" s="93" cm="1">
        <f t="array" ref="Q9">Tablo1738[[#This Row],[Q1]]/Tablo1939[Q1]*$C$46+G9/Tablo1939[Q2]*$D$46+H9/Tablo1939[Q3]*$E$46+I9/Tablo1939[Q4]*$F$46+J9/Tablo1939[Q5]*$G$46+K9/Tablo1939[Q6]*$H$46+L9/Tablo1939[Q7]*$I$46</f>
        <v>12</v>
      </c>
      <c r="R9" s="93">
        <f>SUM(N9:Q9)</f>
        <v>90.75</v>
      </c>
      <c r="S9" s="10">
        <f>_xlfn.NORM.DIST(Tablo1738[[#This Row],[TOTAL GRADE]],$N$56,$O$56,FALSE)</f>
        <v>6.1180895764037227E-3</v>
      </c>
      <c r="AA9" s="54"/>
      <c r="AB9" s="54"/>
      <c r="AC9" s="54"/>
      <c r="AD9" s="54"/>
      <c r="AE9" s="98"/>
      <c r="AG9" s="80"/>
    </row>
    <row r="10" spans="2:33" ht="15.6" thickTop="1" thickBot="1" x14ac:dyDescent="0.35">
      <c r="B10" s="94">
        <v>6</v>
      </c>
      <c r="C10" s="17">
        <v>6</v>
      </c>
      <c r="D10" s="71" t="s">
        <v>110</v>
      </c>
      <c r="E10" s="71" t="s">
        <v>111</v>
      </c>
      <c r="F10" s="1">
        <v>2</v>
      </c>
      <c r="G10" s="1">
        <v>2</v>
      </c>
      <c r="H10" s="1">
        <v>14</v>
      </c>
      <c r="I10" s="1">
        <v>15</v>
      </c>
      <c r="J10" s="1">
        <v>11</v>
      </c>
      <c r="K10" s="1">
        <v>4</v>
      </c>
      <c r="L10" s="1">
        <v>14</v>
      </c>
      <c r="M10" s="14">
        <f>SUM(F10:L10)</f>
        <v>62</v>
      </c>
      <c r="N10" s="93" cm="1">
        <f t="array" ref="N10">Tablo1738[[#This Row],[Q1]]/Tablo1939[Q1]*$C$43+G10/Tablo1939[Q2]*$D$43+H10/Tablo1939[Q3]*$E$43+I10/Tablo1939[Q4]*$F$43+J10/Tablo1939[Q5]*$G$43+K10/Tablo1939[Q6]*$H$43+L10/Tablo1939[Q7]*$I$43</f>
        <v>48</v>
      </c>
      <c r="O10" s="93" cm="1">
        <f t="array" ref="O10">Tablo1738[[#This Row],[Q1]]/Tablo1939[Q1]*$C$44+G10/Tablo1939[Q2]*$D$44+H10/Tablo1939[Q3]*$E$44+I10/Tablo1939[Q4]*$F$44+J10/Tablo1939[Q5]*$G$44+K10/Tablo1939[Q6]*$H$44+L10/Tablo1939[Q7]*$I$44</f>
        <v>3.5</v>
      </c>
      <c r="P10" s="93" cm="1">
        <f t="array" ref="P10">Tablo1738[[#This Row],[Q1]]/Tablo1939[Q1]*$C$45+G10/Tablo1939[Q2]*$D$45+H10/Tablo1939[Q3]*$E$45+I10/Tablo1939[Q4]*$F$45+J10/Tablo1939[Q5]*$G$45+K10/Tablo1939[Q6]*$H$45+L10/Tablo1939[Q7]*$I$45</f>
        <v>22.666666666666668</v>
      </c>
      <c r="Q10" s="93" cm="1">
        <f t="array" ref="Q10">Tablo1738[[#This Row],[Q1]]/Tablo1939[Q1]*$C$46+G10/Tablo1939[Q2]*$D$46+H10/Tablo1939[Q3]*$E$46+I10/Tablo1939[Q4]*$F$46+J10/Tablo1939[Q5]*$G$46+K10/Tablo1939[Q6]*$H$46+L10/Tablo1939[Q7]*$I$46</f>
        <v>4</v>
      </c>
      <c r="R10" s="93">
        <f>SUM(N10:Q10)</f>
        <v>78.166666666666671</v>
      </c>
      <c r="S10" s="10">
        <f>_xlfn.NORM.DIST(Tablo1738[[#This Row],[TOTAL GRADE]],$N$56,$O$56,FALSE)</f>
        <v>9.1588558478442415E-3</v>
      </c>
      <c r="AA10" s="54"/>
      <c r="AB10" s="54"/>
      <c r="AC10" s="54"/>
      <c r="AD10" s="54"/>
      <c r="AE10" s="98"/>
      <c r="AG10" s="80"/>
    </row>
    <row r="11" spans="2:33" ht="15.6" thickTop="1" thickBot="1" x14ac:dyDescent="0.35">
      <c r="B11" s="92">
        <v>7</v>
      </c>
      <c r="C11" s="17">
        <v>7</v>
      </c>
      <c r="D11" s="71" t="s">
        <v>110</v>
      </c>
      <c r="E11" s="71" t="s">
        <v>111</v>
      </c>
      <c r="F11" s="1">
        <v>4</v>
      </c>
      <c r="G11" s="1">
        <v>1</v>
      </c>
      <c r="H11" s="1">
        <v>10</v>
      </c>
      <c r="I11" s="1">
        <v>12</v>
      </c>
      <c r="J11" s="1">
        <v>13</v>
      </c>
      <c r="K11" s="1">
        <v>2</v>
      </c>
      <c r="L11" s="1">
        <v>15</v>
      </c>
      <c r="M11" s="14">
        <f>SUM(F11:L11)</f>
        <v>57</v>
      </c>
      <c r="N11" s="93" cm="1">
        <f t="array" ref="N11">Tablo1738[[#This Row],[Q1]]/Tablo1939[Q1]*$C$43+G11/Tablo1939[Q2]*$D$43+H11/Tablo1939[Q3]*$E$43+I11/Tablo1939[Q4]*$F$43+J11/Tablo1939[Q5]*$G$43+K11/Tablo1939[Q6]*$H$43+L11/Tablo1939[Q7]*$I$43</f>
        <v>43</v>
      </c>
      <c r="O11" s="93" cm="1">
        <f t="array" ref="O11">Tablo1738[[#This Row],[Q1]]/Tablo1939[Q1]*$C$44+G11/Tablo1939[Q2]*$D$44+H11/Tablo1939[Q3]*$E$44+I11/Tablo1939[Q4]*$F$44+J11/Tablo1939[Q5]*$G$44+K11/Tablo1939[Q6]*$H$44+L11/Tablo1939[Q7]*$I$44</f>
        <v>2.5</v>
      </c>
      <c r="P11" s="93" cm="1">
        <f t="array" ref="P11">Tablo1738[[#This Row],[Q1]]/Tablo1939[Q1]*$C$45+G11/Tablo1939[Q2]*$D$45+H11/Tablo1939[Q3]*$E$45+I11/Tablo1939[Q4]*$F$45+J11/Tablo1939[Q5]*$G$45+K11/Tablo1939[Q6]*$H$45+L11/Tablo1939[Q7]*$I$45</f>
        <v>15.833333333333334</v>
      </c>
      <c r="Q11" s="93" cm="1">
        <f t="array" ref="Q11">Tablo1738[[#This Row],[Q1]]/Tablo1939[Q1]*$C$46+G11/Tablo1939[Q2]*$D$46+H11/Tablo1939[Q3]*$E$46+I11/Tablo1939[Q4]*$F$46+J11/Tablo1939[Q5]*$G$46+K11/Tablo1939[Q6]*$H$46+L11/Tablo1939[Q7]*$I$46</f>
        <v>8</v>
      </c>
      <c r="R11" s="93">
        <f>SUM(N11:Q11)</f>
        <v>69.333333333333343</v>
      </c>
      <c r="S11" s="10">
        <f>_xlfn.NORM.DIST(Tablo1738[[#This Row],[TOTAL GRADE]],$N$56,$O$56,FALSE)</f>
        <v>1.2705893806020505E-2</v>
      </c>
      <c r="AA11" s="54"/>
      <c r="AB11" s="54"/>
      <c r="AC11" s="54"/>
      <c r="AD11" s="54"/>
      <c r="AE11" s="98"/>
    </row>
    <row r="12" spans="2:33" ht="15.6" thickTop="1" thickBot="1" x14ac:dyDescent="0.35">
      <c r="B12" s="94">
        <v>8</v>
      </c>
      <c r="C12" s="17">
        <v>8</v>
      </c>
      <c r="D12" s="71" t="s">
        <v>110</v>
      </c>
      <c r="E12" s="71" t="s">
        <v>111</v>
      </c>
      <c r="F12" s="1">
        <v>1</v>
      </c>
      <c r="G12" s="1">
        <v>1</v>
      </c>
      <c r="H12" s="1">
        <v>15</v>
      </c>
      <c r="I12" s="1">
        <v>9</v>
      </c>
      <c r="J12" s="1">
        <v>6</v>
      </c>
      <c r="K12" s="1">
        <v>15</v>
      </c>
      <c r="L12" s="1">
        <v>8</v>
      </c>
      <c r="M12" s="14">
        <f>SUM(F12:L12)</f>
        <v>55</v>
      </c>
      <c r="N12" s="93" cm="1">
        <f t="array" ref="N12">Tablo1738[[#This Row],[Q1]]/Tablo1939[Q1]*$C$43+G12/Tablo1939[Q2]*$D$43+H12/Tablo1939[Q3]*$E$43+I12/Tablo1939[Q4]*$F$43+J12/Tablo1939[Q5]*$G$43+K12/Tablo1939[Q6]*$H$43+L12/Tablo1939[Q7]*$I$43</f>
        <v>39.5</v>
      </c>
      <c r="O12" s="93" cm="1">
        <f t="array" ref="O12">Tablo1738[[#This Row],[Q1]]/Tablo1939[Q1]*$C$44+G12/Tablo1939[Q2]*$D$44+H12/Tablo1939[Q3]*$E$44+I12/Tablo1939[Q4]*$F$44+J12/Tablo1939[Q5]*$G$44+K12/Tablo1939[Q6]*$H$44+L12/Tablo1939[Q7]*$I$44</f>
        <v>3.75</v>
      </c>
      <c r="P12" s="93" cm="1">
        <f t="array" ref="P12">Tablo1738[[#This Row],[Q1]]/Tablo1939[Q1]*$C$45+G12/Tablo1939[Q2]*$D$45+H12/Tablo1939[Q3]*$E$45+I12/Tablo1939[Q4]*$F$45+J12/Tablo1939[Q5]*$G$45+K12/Tablo1939[Q6]*$H$45+L12/Tablo1939[Q7]*$I$45</f>
        <v>26.75</v>
      </c>
      <c r="Q12" s="93" cm="1">
        <f t="array" ref="Q12">Tablo1738[[#This Row],[Q1]]/Tablo1939[Q1]*$C$46+G12/Tablo1939[Q2]*$D$46+H12/Tablo1939[Q3]*$E$46+I12/Tablo1939[Q4]*$F$46+J12/Tablo1939[Q5]*$G$46+K12/Tablo1939[Q6]*$H$46+L12/Tablo1939[Q7]*$I$46</f>
        <v>2</v>
      </c>
      <c r="R12" s="93">
        <f>SUM(N12:Q12)</f>
        <v>72</v>
      </c>
      <c r="S12" s="10">
        <f>_xlfn.NORM.DIST(Tablo1738[[#This Row],[TOTAL GRADE]],$N$56,$O$56,FALSE)</f>
        <v>1.4177956179946404E-2</v>
      </c>
      <c r="AA12" s="54"/>
      <c r="AB12" s="54"/>
      <c r="AC12" s="54"/>
      <c r="AD12" s="54"/>
      <c r="AE12" s="98"/>
    </row>
    <row r="13" spans="2:33" ht="15.6" thickTop="1" thickBot="1" x14ac:dyDescent="0.35">
      <c r="B13" s="92">
        <v>9</v>
      </c>
      <c r="C13" s="17">
        <v>9</v>
      </c>
      <c r="D13" s="71" t="s">
        <v>110</v>
      </c>
      <c r="E13" s="71" t="s">
        <v>111</v>
      </c>
      <c r="F13" s="1">
        <v>1</v>
      </c>
      <c r="G13" s="1">
        <v>1</v>
      </c>
      <c r="H13" s="1">
        <v>9</v>
      </c>
      <c r="I13" s="1">
        <v>12</v>
      </c>
      <c r="J13" s="1">
        <v>8</v>
      </c>
      <c r="K13" s="1">
        <v>15</v>
      </c>
      <c r="L13" s="1">
        <v>7</v>
      </c>
      <c r="M13" s="14">
        <f>SUM(F13:L13)</f>
        <v>53</v>
      </c>
      <c r="N13" s="93" cm="1">
        <f t="array" ref="N13">Tablo1738[[#This Row],[Q1]]/Tablo1939[Q1]*$C$43+G13/Tablo1939[Q2]*$D$43+H13/Tablo1939[Q3]*$E$43+I13/Tablo1939[Q4]*$F$43+J13/Tablo1939[Q5]*$G$43+K13/Tablo1939[Q6]*$H$43+L13/Tablo1939[Q7]*$I$43</f>
        <v>39.833333333333329</v>
      </c>
      <c r="O13" s="93" cm="1">
        <f t="array" ref="O13">Tablo1738[[#This Row],[Q1]]/Tablo1939[Q1]*$C$44+G13/Tablo1939[Q2]*$D$44+H13/Tablo1939[Q3]*$E$44+I13/Tablo1939[Q4]*$F$44+J13/Tablo1939[Q5]*$G$44+K13/Tablo1939[Q6]*$H$44+L13/Tablo1939[Q7]*$I$44</f>
        <v>2.25</v>
      </c>
      <c r="P13" s="93" cm="1">
        <f t="array" ref="P13">Tablo1738[[#This Row],[Q1]]/Tablo1939[Q1]*$C$45+G13/Tablo1939[Q2]*$D$45+H13/Tablo1939[Q3]*$E$45+I13/Tablo1939[Q4]*$F$45+J13/Tablo1939[Q5]*$G$45+K13/Tablo1939[Q6]*$H$45+L13/Tablo1939[Q7]*$I$45</f>
        <v>23.75</v>
      </c>
      <c r="Q13" s="93" cm="1">
        <f t="array" ref="Q13">Tablo1738[[#This Row],[Q1]]/Tablo1939[Q1]*$C$46+G13/Tablo1939[Q2]*$D$46+H13/Tablo1939[Q3]*$E$46+I13/Tablo1939[Q4]*$F$46+J13/Tablo1939[Q5]*$G$46+K13/Tablo1939[Q6]*$H$46+L13/Tablo1939[Q7]*$I$46</f>
        <v>2</v>
      </c>
      <c r="R13" s="93">
        <f>SUM(N13:Q13)</f>
        <v>67.833333333333329</v>
      </c>
      <c r="S13" s="10">
        <f>_xlfn.NORM.DIST(Tablo1738[[#This Row],[TOTAL GRADE]],$N$56,$O$56,FALSE)</f>
        <v>1.5629036846777963E-2</v>
      </c>
      <c r="AA13" s="54"/>
      <c r="AB13" s="54"/>
      <c r="AC13" s="54"/>
      <c r="AD13" s="54"/>
      <c r="AE13" s="98"/>
    </row>
    <row r="14" spans="2:33" ht="15.6" thickTop="1" thickBot="1" x14ac:dyDescent="0.35">
      <c r="B14" s="94">
        <v>10</v>
      </c>
      <c r="C14" s="17">
        <v>10</v>
      </c>
      <c r="D14" s="71" t="s">
        <v>110</v>
      </c>
      <c r="E14" s="71" t="s">
        <v>111</v>
      </c>
      <c r="F14" s="1">
        <v>0</v>
      </c>
      <c r="G14" s="1">
        <v>2</v>
      </c>
      <c r="H14" s="1">
        <v>17</v>
      </c>
      <c r="I14" s="1">
        <v>15</v>
      </c>
      <c r="J14" s="1">
        <v>10</v>
      </c>
      <c r="K14" s="1">
        <v>6</v>
      </c>
      <c r="L14" s="1">
        <v>0</v>
      </c>
      <c r="M14" s="14">
        <f>SUM(F14:L14)</f>
        <v>50</v>
      </c>
      <c r="N14" s="93" cm="1">
        <f t="array" ref="N14">Tablo1738[[#This Row],[Q1]]/Tablo1939[Q1]*$C$43+G14/Tablo1939[Q2]*$D$43+H14/Tablo1939[Q3]*$E$43+I14/Tablo1939[Q4]*$F$43+J14/Tablo1939[Q5]*$G$43+K14/Tablo1939[Q6]*$H$43+L14/Tablo1939[Q7]*$I$43</f>
        <v>36.166666666666664</v>
      </c>
      <c r="O14" s="93" cm="1">
        <f t="array" ref="O14">Tablo1738[[#This Row],[Q1]]/Tablo1939[Q1]*$C$44+G14/Tablo1939[Q2]*$D$44+H14/Tablo1939[Q3]*$E$44+I14/Tablo1939[Q4]*$F$44+J14/Tablo1939[Q5]*$G$44+K14/Tablo1939[Q6]*$H$44+L14/Tablo1939[Q7]*$I$44</f>
        <v>4.25</v>
      </c>
      <c r="P14" s="93" cm="1">
        <f t="array" ref="P14">Tablo1738[[#This Row],[Q1]]/Tablo1939[Q1]*$C$45+G14/Tablo1939[Q2]*$D$45+H14/Tablo1939[Q3]*$E$45+I14/Tablo1939[Q4]*$F$45+J14/Tablo1939[Q5]*$G$45+K14/Tablo1939[Q6]*$H$45+L14/Tablo1939[Q7]*$I$45</f>
        <v>26.25</v>
      </c>
      <c r="Q14" s="93" cm="1">
        <f t="array" ref="Q14">Tablo1738[[#This Row],[Q1]]/Tablo1939[Q1]*$C$46+G14/Tablo1939[Q2]*$D$46+H14/Tablo1939[Q3]*$E$46+I14/Tablo1939[Q4]*$F$46+J14/Tablo1939[Q5]*$G$46+K14/Tablo1939[Q6]*$H$46+L14/Tablo1939[Q7]*$I$46</f>
        <v>0</v>
      </c>
      <c r="R14" s="93">
        <f>SUM(N14:Q14)</f>
        <v>66.666666666666657</v>
      </c>
      <c r="S14" s="10">
        <f>_xlfn.NORM.DIST(Tablo1738[[#This Row],[TOTAL GRADE]],$N$56,$O$56,FALSE)</f>
        <v>1.7680383242776862E-2</v>
      </c>
      <c r="AA14" s="54"/>
      <c r="AB14" s="54"/>
      <c r="AC14" s="54"/>
      <c r="AD14" s="54"/>
      <c r="AE14" s="98"/>
    </row>
    <row r="15" spans="2:33" ht="15.6" thickTop="1" thickBot="1" x14ac:dyDescent="0.35">
      <c r="B15" s="92">
        <v>11</v>
      </c>
      <c r="C15" s="17">
        <v>11</v>
      </c>
      <c r="D15" s="71" t="s">
        <v>110</v>
      </c>
      <c r="E15" s="71" t="s">
        <v>111</v>
      </c>
      <c r="F15" s="1">
        <v>0</v>
      </c>
      <c r="G15" s="1">
        <v>5</v>
      </c>
      <c r="H15" s="1">
        <v>8</v>
      </c>
      <c r="I15" s="1">
        <v>9</v>
      </c>
      <c r="J15" s="1">
        <v>8</v>
      </c>
      <c r="K15" s="1">
        <v>9</v>
      </c>
      <c r="L15" s="1">
        <v>11</v>
      </c>
      <c r="M15" s="14">
        <f>SUM(F15:L15)</f>
        <v>50</v>
      </c>
      <c r="N15" s="93" cm="1">
        <f t="array" ref="N15">Tablo1738[[#This Row],[Q1]]/Tablo1939[Q1]*$C$43+G15/Tablo1939[Q2]*$D$43+H15/Tablo1939[Q3]*$E$43+I15/Tablo1939[Q4]*$F$43+J15/Tablo1939[Q5]*$G$43+K15/Tablo1939[Q6]*$H$43+L15/Tablo1939[Q7]*$I$43</f>
        <v>40.333333333333329</v>
      </c>
      <c r="O15" s="93" cm="1">
        <f t="array" ref="O15">Tablo1738[[#This Row],[Q1]]/Tablo1939[Q1]*$C$44+G15/Tablo1939[Q2]*$D$44+H15/Tablo1939[Q3]*$E$44+I15/Tablo1939[Q4]*$F$44+J15/Tablo1939[Q5]*$G$44+K15/Tablo1939[Q6]*$H$44+L15/Tablo1939[Q7]*$I$44</f>
        <v>2</v>
      </c>
      <c r="P15" s="93" cm="1">
        <f t="array" ref="P15">Tablo1738[[#This Row],[Q1]]/Tablo1939[Q1]*$C$45+G15/Tablo1939[Q2]*$D$45+H15/Tablo1939[Q3]*$E$45+I15/Tablo1939[Q4]*$F$45+J15/Tablo1939[Q5]*$G$45+K15/Tablo1939[Q6]*$H$45+L15/Tablo1939[Q7]*$I$45</f>
        <v>21.5</v>
      </c>
      <c r="Q15" s="93" cm="1">
        <f t="array" ref="Q15">Tablo1738[[#This Row],[Q1]]/Tablo1939[Q1]*$C$46+G15/Tablo1939[Q2]*$D$46+H15/Tablo1939[Q3]*$E$46+I15/Tablo1939[Q4]*$F$46+J15/Tablo1939[Q5]*$G$46+K15/Tablo1939[Q6]*$H$46+L15/Tablo1939[Q7]*$I$46</f>
        <v>0</v>
      </c>
      <c r="R15" s="93">
        <f>SUM(N15:Q15)</f>
        <v>63.833333333333329</v>
      </c>
      <c r="S15" s="10">
        <f>_xlfn.NORM.DIST(Tablo1738[[#This Row],[TOTAL GRADE]],$N$56,$O$56,FALSE)</f>
        <v>1.7680383242776862E-2</v>
      </c>
      <c r="AA15" s="54"/>
      <c r="AB15" s="54"/>
      <c r="AC15" s="54"/>
      <c r="AD15" s="54"/>
      <c r="AE15" s="98"/>
    </row>
    <row r="16" spans="2:33" ht="15.6" thickTop="1" thickBot="1" x14ac:dyDescent="0.35">
      <c r="B16" s="94">
        <v>12</v>
      </c>
      <c r="C16" s="17">
        <v>12</v>
      </c>
      <c r="D16" s="71" t="s">
        <v>110</v>
      </c>
      <c r="E16" s="71" t="s">
        <v>111</v>
      </c>
      <c r="F16" s="1">
        <v>1</v>
      </c>
      <c r="G16" s="1">
        <v>1</v>
      </c>
      <c r="H16" s="1">
        <v>9</v>
      </c>
      <c r="I16" s="1">
        <v>10</v>
      </c>
      <c r="J16" s="1">
        <v>6</v>
      </c>
      <c r="K16" s="1">
        <v>10</v>
      </c>
      <c r="L16" s="1">
        <v>11</v>
      </c>
      <c r="M16" s="14">
        <f>SUM(F16:L16)</f>
        <v>48</v>
      </c>
      <c r="N16" s="93" cm="1">
        <f t="array" ref="N16">Tablo1738[[#This Row],[Q1]]/Tablo1939[Q1]*$C$43+G16/Tablo1939[Q2]*$D$43+H16/Tablo1939[Q3]*$E$43+I16/Tablo1939[Q4]*$F$43+J16/Tablo1939[Q5]*$G$43+K16/Tablo1939[Q6]*$H$43+L16/Tablo1939[Q7]*$I$43</f>
        <v>37.166666666666664</v>
      </c>
      <c r="O16" s="93" cm="1">
        <f t="array" ref="O16">Tablo1738[[#This Row],[Q1]]/Tablo1939[Q1]*$C$44+G16/Tablo1939[Q2]*$D$44+H16/Tablo1939[Q3]*$E$44+I16/Tablo1939[Q4]*$F$44+J16/Tablo1939[Q5]*$G$44+K16/Tablo1939[Q6]*$H$44+L16/Tablo1939[Q7]*$I$44</f>
        <v>2.25</v>
      </c>
      <c r="P16" s="93" cm="1">
        <f t="array" ref="P16">Tablo1738[[#This Row],[Q1]]/Tablo1939[Q1]*$C$45+G16/Tablo1939[Q2]*$D$45+H16/Tablo1939[Q3]*$E$45+I16/Tablo1939[Q4]*$F$45+J16/Tablo1939[Q5]*$G$45+K16/Tablo1939[Q6]*$H$45+L16/Tablo1939[Q7]*$I$45</f>
        <v>19.416666666666664</v>
      </c>
      <c r="Q16" s="93" cm="1">
        <f t="array" ref="Q16">Tablo1738[[#This Row],[Q1]]/Tablo1939[Q1]*$C$46+G16/Tablo1939[Q2]*$D$46+H16/Tablo1939[Q3]*$E$46+I16/Tablo1939[Q4]*$F$46+J16/Tablo1939[Q5]*$G$46+K16/Tablo1939[Q6]*$H$46+L16/Tablo1939[Q7]*$I$46</f>
        <v>2</v>
      </c>
      <c r="R16" s="93">
        <f>SUM(N16:Q16)</f>
        <v>60.833333333333329</v>
      </c>
      <c r="S16" s="10">
        <f>_xlfn.NORM.DIST(Tablo1738[[#This Row],[TOTAL GRADE]],$N$56,$O$56,FALSE)</f>
        <v>1.8905392662284057E-2</v>
      </c>
      <c r="AA16" s="54"/>
      <c r="AB16" s="54"/>
      <c r="AC16" s="54"/>
      <c r="AD16" s="54"/>
      <c r="AE16" s="98"/>
    </row>
    <row r="17" spans="2:31" ht="15.6" thickTop="1" thickBot="1" x14ac:dyDescent="0.35">
      <c r="B17" s="92">
        <v>13</v>
      </c>
      <c r="C17" s="17">
        <v>13</v>
      </c>
      <c r="D17" s="71" t="s">
        <v>110</v>
      </c>
      <c r="E17" s="71" t="s">
        <v>111</v>
      </c>
      <c r="F17" s="1">
        <v>6</v>
      </c>
      <c r="G17" s="1">
        <v>2</v>
      </c>
      <c r="H17" s="1">
        <v>0</v>
      </c>
      <c r="I17" s="1">
        <v>16</v>
      </c>
      <c r="J17" s="1">
        <v>11</v>
      </c>
      <c r="K17" s="1">
        <v>4</v>
      </c>
      <c r="L17" s="1">
        <v>9</v>
      </c>
      <c r="M17" s="14">
        <f>SUM(F17:L17)</f>
        <v>48</v>
      </c>
      <c r="N17" s="93" cm="1">
        <f t="array" ref="N17">Tablo1738[[#This Row],[Q1]]/Tablo1939[Q1]*$C$43+G17/Tablo1939[Q2]*$D$43+H17/Tablo1939[Q3]*$E$43+I17/Tablo1939[Q4]*$F$43+J17/Tablo1939[Q5]*$G$43+K17/Tablo1939[Q6]*$H$43+L17/Tablo1939[Q7]*$I$43</f>
        <v>37</v>
      </c>
      <c r="O17" s="93" cm="1">
        <f t="array" ref="O17">Tablo1738[[#This Row],[Q1]]/Tablo1939[Q1]*$C$44+G17/Tablo1939[Q2]*$D$44+H17/Tablo1939[Q3]*$E$44+I17/Tablo1939[Q4]*$F$44+J17/Tablo1939[Q5]*$G$44+K17/Tablo1939[Q6]*$H$44+L17/Tablo1939[Q7]*$I$44</f>
        <v>0</v>
      </c>
      <c r="P17" s="93" cm="1">
        <f t="array" ref="P17">Tablo1738[[#This Row],[Q1]]/Tablo1939[Q1]*$C$45+G17/Tablo1939[Q2]*$D$45+H17/Tablo1939[Q3]*$E$45+I17/Tablo1939[Q4]*$F$45+J17/Tablo1939[Q5]*$G$45+K17/Tablo1939[Q6]*$H$45+L17/Tablo1939[Q7]*$I$45</f>
        <v>12.666666666666666</v>
      </c>
      <c r="Q17" s="93" cm="1">
        <f t="array" ref="Q17">Tablo1738[[#This Row],[Q1]]/Tablo1939[Q1]*$C$46+G17/Tablo1939[Q2]*$D$46+H17/Tablo1939[Q3]*$E$46+I17/Tablo1939[Q4]*$F$46+J17/Tablo1939[Q5]*$G$46+K17/Tablo1939[Q6]*$H$46+L17/Tablo1939[Q7]*$I$46</f>
        <v>12</v>
      </c>
      <c r="R17" s="93">
        <f>SUM(N17:Q17)</f>
        <v>61.666666666666664</v>
      </c>
      <c r="S17" s="10">
        <f>_xlfn.NORM.DIST(Tablo1738[[#This Row],[TOTAL GRADE]],$N$56,$O$56,FALSE)</f>
        <v>1.8905392662284057E-2</v>
      </c>
      <c r="AA17" s="54"/>
      <c r="AB17" s="54"/>
      <c r="AC17" s="54"/>
      <c r="AD17" s="54"/>
      <c r="AE17" s="98"/>
    </row>
    <row r="18" spans="2:31" ht="15.6" thickTop="1" thickBot="1" x14ac:dyDescent="0.35">
      <c r="B18" s="94">
        <v>14</v>
      </c>
      <c r="C18" s="17">
        <v>14</v>
      </c>
      <c r="D18" s="71" t="s">
        <v>110</v>
      </c>
      <c r="E18" s="71" t="s">
        <v>111</v>
      </c>
      <c r="F18" s="1">
        <v>3</v>
      </c>
      <c r="G18" s="1">
        <v>1</v>
      </c>
      <c r="H18" s="1">
        <v>1</v>
      </c>
      <c r="I18" s="1">
        <v>14</v>
      </c>
      <c r="J18" s="1">
        <v>9</v>
      </c>
      <c r="K18" s="1">
        <v>10</v>
      </c>
      <c r="L18" s="1">
        <v>9</v>
      </c>
      <c r="M18" s="14">
        <f>SUM(F18:L18)</f>
        <v>47</v>
      </c>
      <c r="N18" s="93" cm="1">
        <f t="array" ref="N18">Tablo1738[[#This Row],[Q1]]/Tablo1939[Q1]*$C$43+G18/Tablo1939[Q2]*$D$43+H18/Tablo1939[Q3]*$E$43+I18/Tablo1939[Q4]*$F$43+J18/Tablo1939[Q5]*$G$43+K18/Tablo1939[Q6]*$H$43+L18/Tablo1939[Q7]*$I$43</f>
        <v>37.166666666666664</v>
      </c>
      <c r="O18" s="93" cm="1">
        <f t="array" ref="O18">Tablo1738[[#This Row],[Q1]]/Tablo1939[Q1]*$C$44+G18/Tablo1939[Q2]*$D$44+H18/Tablo1939[Q3]*$E$44+I18/Tablo1939[Q4]*$F$44+J18/Tablo1939[Q5]*$G$44+K18/Tablo1939[Q6]*$H$44+L18/Tablo1939[Q7]*$I$44</f>
        <v>0.25</v>
      </c>
      <c r="P18" s="93" cm="1">
        <f t="array" ref="P18">Tablo1738[[#This Row],[Q1]]/Tablo1939[Q1]*$C$45+G18/Tablo1939[Q2]*$D$45+H18/Tablo1939[Q3]*$E$45+I18/Tablo1939[Q4]*$F$45+J18/Tablo1939[Q5]*$G$45+K18/Tablo1939[Q6]*$H$45+L18/Tablo1939[Q7]*$I$45</f>
        <v>15.416666666666666</v>
      </c>
      <c r="Q18" s="93" cm="1">
        <f t="array" ref="Q18">Tablo1738[[#This Row],[Q1]]/Tablo1939[Q1]*$C$46+G18/Tablo1939[Q2]*$D$46+H18/Tablo1939[Q3]*$E$46+I18/Tablo1939[Q4]*$F$46+J18/Tablo1939[Q5]*$G$46+K18/Tablo1939[Q6]*$H$46+L18/Tablo1939[Q7]*$I$46</f>
        <v>6</v>
      </c>
      <c r="R18" s="93">
        <f>SUM(N18:Q18)</f>
        <v>58.833333333333329</v>
      </c>
      <c r="S18" s="10">
        <f>_xlfn.NORM.DIST(Tablo1738[[#This Row],[TOTAL GRADE]],$N$56,$O$56,FALSE)</f>
        <v>1.9460277639275211E-2</v>
      </c>
      <c r="AA18" s="54"/>
      <c r="AB18" s="54"/>
      <c r="AC18" s="54"/>
      <c r="AD18" s="54"/>
      <c r="AE18" s="98"/>
    </row>
    <row r="19" spans="2:31" ht="15.6" thickTop="1" thickBot="1" x14ac:dyDescent="0.35">
      <c r="B19" s="92">
        <v>15</v>
      </c>
      <c r="C19" s="17">
        <v>15</v>
      </c>
      <c r="D19" s="71" t="s">
        <v>110</v>
      </c>
      <c r="E19" s="71" t="s">
        <v>111</v>
      </c>
      <c r="F19" s="1">
        <v>2</v>
      </c>
      <c r="G19" s="1">
        <v>1</v>
      </c>
      <c r="H19" s="1">
        <v>14</v>
      </c>
      <c r="I19" s="1">
        <v>12</v>
      </c>
      <c r="J19" s="1">
        <v>6</v>
      </c>
      <c r="K19" s="1">
        <v>5</v>
      </c>
      <c r="L19" s="1">
        <v>4</v>
      </c>
      <c r="M19" s="14">
        <f>SUM(F19:L19)</f>
        <v>44</v>
      </c>
      <c r="N19" s="93" cm="1">
        <f t="array" ref="N19">Tablo1738[[#This Row],[Q1]]/Tablo1939[Q1]*$C$43+G19/Tablo1939[Q2]*$D$43+H19/Tablo1939[Q3]*$E$43+I19/Tablo1939[Q4]*$F$43+J19/Tablo1939[Q5]*$G$43+K19/Tablo1939[Q6]*$H$43+L19/Tablo1939[Q7]*$I$43</f>
        <v>31.333333333333332</v>
      </c>
      <c r="O19" s="93" cm="1">
        <f t="array" ref="O19">Tablo1738[[#This Row],[Q1]]/Tablo1939[Q1]*$C$44+G19/Tablo1939[Q2]*$D$44+H19/Tablo1939[Q3]*$E$44+I19/Tablo1939[Q4]*$F$44+J19/Tablo1939[Q5]*$G$44+K19/Tablo1939[Q6]*$H$44+L19/Tablo1939[Q7]*$I$44</f>
        <v>3.5</v>
      </c>
      <c r="P19" s="93" cm="1">
        <f t="array" ref="P19">Tablo1738[[#This Row],[Q1]]/Tablo1939[Q1]*$C$45+G19/Tablo1939[Q2]*$D$45+H19/Tablo1939[Q3]*$E$45+I19/Tablo1939[Q4]*$F$45+J19/Tablo1939[Q5]*$G$45+K19/Tablo1939[Q6]*$H$45+L19/Tablo1939[Q7]*$I$45</f>
        <v>20.833333333333332</v>
      </c>
      <c r="Q19" s="93" cm="1">
        <f t="array" ref="Q19">Tablo1738[[#This Row],[Q1]]/Tablo1939[Q1]*$C$46+G19/Tablo1939[Q2]*$D$46+H19/Tablo1939[Q3]*$E$46+I19/Tablo1939[Q4]*$F$46+J19/Tablo1939[Q5]*$G$46+K19/Tablo1939[Q6]*$H$46+L19/Tablo1939[Q7]*$I$46</f>
        <v>4</v>
      </c>
      <c r="R19" s="93">
        <f>SUM(N19:Q19)</f>
        <v>59.666666666666657</v>
      </c>
      <c r="S19" s="10">
        <f>_xlfn.NORM.DIST(Tablo1738[[#This Row],[TOTAL GRADE]],$N$56,$O$56,FALSE)</f>
        <v>2.0840315400294896E-2</v>
      </c>
      <c r="AA19" s="54"/>
      <c r="AB19" s="54"/>
      <c r="AC19" s="54"/>
      <c r="AD19" s="54"/>
      <c r="AE19" s="98"/>
    </row>
    <row r="20" spans="2:31" ht="15.6" thickTop="1" thickBot="1" x14ac:dyDescent="0.35">
      <c r="B20" s="94">
        <v>16</v>
      </c>
      <c r="C20" s="17">
        <v>16</v>
      </c>
      <c r="D20" s="71" t="s">
        <v>110</v>
      </c>
      <c r="E20" s="71" t="s">
        <v>111</v>
      </c>
      <c r="F20" s="1">
        <v>0</v>
      </c>
      <c r="G20" s="1">
        <v>1</v>
      </c>
      <c r="H20" s="1">
        <v>14</v>
      </c>
      <c r="I20" s="1">
        <v>3</v>
      </c>
      <c r="J20" s="1">
        <v>5</v>
      </c>
      <c r="K20" s="1">
        <v>11</v>
      </c>
      <c r="L20" s="1">
        <v>9</v>
      </c>
      <c r="M20" s="14">
        <f>SUM(F20:L20)</f>
        <v>43</v>
      </c>
      <c r="N20" s="93" cm="1">
        <f t="array" ref="N20">Tablo1738[[#This Row],[Q1]]/Tablo1939[Q1]*$C$43+G20/Tablo1939[Q2]*$D$43+H20/Tablo1939[Q3]*$E$43+I20/Tablo1939[Q4]*$F$43+J20/Tablo1939[Q5]*$G$43+K20/Tablo1939[Q6]*$H$43+L20/Tablo1939[Q7]*$I$43</f>
        <v>30.666666666666664</v>
      </c>
      <c r="O20" s="93" cm="1">
        <f t="array" ref="O20">Tablo1738[[#This Row],[Q1]]/Tablo1939[Q1]*$C$44+G20/Tablo1939[Q2]*$D$44+H20/Tablo1939[Q3]*$E$44+I20/Tablo1939[Q4]*$F$44+J20/Tablo1939[Q5]*$G$44+K20/Tablo1939[Q6]*$H$44+L20/Tablo1939[Q7]*$I$44</f>
        <v>3.5</v>
      </c>
      <c r="P20" s="93" cm="1">
        <f t="array" ref="P20">Tablo1738[[#This Row],[Q1]]/Tablo1939[Q1]*$C$45+G20/Tablo1939[Q2]*$D$45+H20/Tablo1939[Q3]*$E$45+I20/Tablo1939[Q4]*$F$45+J20/Tablo1939[Q5]*$G$45+K20/Tablo1939[Q6]*$H$45+L20/Tablo1939[Q7]*$I$45</f>
        <v>20.333333333333332</v>
      </c>
      <c r="Q20" s="93" cm="1">
        <f t="array" ref="Q20">Tablo1738[[#This Row],[Q1]]/Tablo1939[Q1]*$C$46+G20/Tablo1939[Q2]*$D$46+H20/Tablo1939[Q3]*$E$46+I20/Tablo1939[Q4]*$F$46+J20/Tablo1939[Q5]*$G$46+K20/Tablo1939[Q6]*$H$46+L20/Tablo1939[Q7]*$I$46</f>
        <v>0</v>
      </c>
      <c r="R20" s="93">
        <f>SUM(N20:Q20)</f>
        <v>54.5</v>
      </c>
      <c r="S20" s="10">
        <f>_xlfn.NORM.DIST(Tablo1738[[#This Row],[TOTAL GRADE]],$N$56,$O$56,FALSE)</f>
        <v>2.1192285407833772E-2</v>
      </c>
      <c r="AA20" s="54"/>
      <c r="AB20" s="54"/>
      <c r="AC20" s="54"/>
      <c r="AD20" s="54"/>
      <c r="AE20" s="98"/>
    </row>
    <row r="21" spans="2:31" ht="15.6" thickTop="1" thickBot="1" x14ac:dyDescent="0.35">
      <c r="B21" s="92">
        <v>17</v>
      </c>
      <c r="C21" s="17">
        <v>17</v>
      </c>
      <c r="D21" s="71" t="s">
        <v>110</v>
      </c>
      <c r="E21" s="71" t="s">
        <v>111</v>
      </c>
      <c r="F21" s="1">
        <v>3</v>
      </c>
      <c r="G21" s="1">
        <v>4</v>
      </c>
      <c r="H21" s="1">
        <v>11</v>
      </c>
      <c r="I21" s="1">
        <v>10</v>
      </c>
      <c r="J21" s="1">
        <v>6</v>
      </c>
      <c r="K21" s="1">
        <v>2</v>
      </c>
      <c r="L21" s="1">
        <v>6</v>
      </c>
      <c r="M21" s="14">
        <f>SUM(F21:L21)</f>
        <v>42</v>
      </c>
      <c r="N21" s="93" cm="1">
        <f t="array" ref="N21">Tablo1738[[#This Row],[Q1]]/Tablo1939[Q1]*$C$43+G21/Tablo1939[Q2]*$D$43+H21/Tablo1939[Q3]*$E$43+I21/Tablo1939[Q4]*$F$43+J21/Tablo1939[Q5]*$G$43+K21/Tablo1939[Q6]*$H$43+L21/Tablo1939[Q7]*$I$43</f>
        <v>30.833333333333332</v>
      </c>
      <c r="O21" s="93" cm="1">
        <f t="array" ref="O21">Tablo1738[[#This Row],[Q1]]/Tablo1939[Q1]*$C$44+G21/Tablo1939[Q2]*$D$44+H21/Tablo1939[Q3]*$E$44+I21/Tablo1939[Q4]*$F$44+J21/Tablo1939[Q5]*$G$44+K21/Tablo1939[Q6]*$H$44+L21/Tablo1939[Q7]*$I$44</f>
        <v>2.75</v>
      </c>
      <c r="P21" s="93" cm="1">
        <f t="array" ref="P21">Tablo1738[[#This Row],[Q1]]/Tablo1939[Q1]*$C$45+G21/Tablo1939[Q2]*$D$45+H21/Tablo1939[Q3]*$E$45+I21/Tablo1939[Q4]*$F$45+J21/Tablo1939[Q5]*$G$45+K21/Tablo1939[Q6]*$H$45+L21/Tablo1939[Q7]*$I$45</f>
        <v>18.583333333333332</v>
      </c>
      <c r="Q21" s="93" cm="1">
        <f t="array" ref="Q21">Tablo1738[[#This Row],[Q1]]/Tablo1939[Q1]*$C$46+G21/Tablo1939[Q2]*$D$46+H21/Tablo1939[Q3]*$E$46+I21/Tablo1939[Q4]*$F$46+J21/Tablo1939[Q5]*$G$46+K21/Tablo1939[Q6]*$H$46+L21/Tablo1939[Q7]*$I$46</f>
        <v>6</v>
      </c>
      <c r="R21" s="93">
        <f>SUM(N21:Q21)</f>
        <v>58.166666666666657</v>
      </c>
      <c r="S21" s="10">
        <f>_xlfn.NORM.DIST(Tablo1738[[#This Row],[TOTAL GRADE]],$N$56,$O$56,FALSE)</f>
        <v>2.1484677809694316E-2</v>
      </c>
      <c r="AA21" s="54"/>
      <c r="AB21" s="54"/>
      <c r="AC21" s="54"/>
      <c r="AD21" s="54"/>
      <c r="AE21" s="98"/>
    </row>
    <row r="22" spans="2:31" ht="15.6" thickTop="1" thickBot="1" x14ac:dyDescent="0.35">
      <c r="B22" s="94">
        <v>18</v>
      </c>
      <c r="C22" s="17">
        <v>18</v>
      </c>
      <c r="D22" s="71" t="s">
        <v>110</v>
      </c>
      <c r="E22" s="71" t="s">
        <v>111</v>
      </c>
      <c r="F22" s="1">
        <v>0</v>
      </c>
      <c r="G22" s="1">
        <v>0</v>
      </c>
      <c r="H22" s="1">
        <v>7</v>
      </c>
      <c r="I22" s="1">
        <v>15</v>
      </c>
      <c r="J22" s="1">
        <v>6</v>
      </c>
      <c r="K22" s="1">
        <v>10</v>
      </c>
      <c r="L22" s="1">
        <v>4</v>
      </c>
      <c r="M22" s="14">
        <f>SUM(F22:L22)</f>
        <v>42</v>
      </c>
      <c r="N22" s="93" cm="1">
        <f t="array" ref="N22">Tablo1738[[#This Row],[Q1]]/Tablo1939[Q1]*$C$43+G22/Tablo1939[Q2]*$D$43+H22/Tablo1939[Q3]*$E$43+I22/Tablo1939[Q4]*$F$43+J22/Tablo1939[Q5]*$G$43+K22/Tablo1939[Q6]*$H$43+L22/Tablo1939[Q7]*$I$43</f>
        <v>33.166666666666664</v>
      </c>
      <c r="O22" s="93" cm="1">
        <f t="array" ref="O22">Tablo1738[[#This Row],[Q1]]/Tablo1939[Q1]*$C$44+G22/Tablo1939[Q2]*$D$44+H22/Tablo1939[Q3]*$E$44+I22/Tablo1939[Q4]*$F$44+J22/Tablo1939[Q5]*$G$44+K22/Tablo1939[Q6]*$H$44+L22/Tablo1939[Q7]*$I$44</f>
        <v>1.75</v>
      </c>
      <c r="P22" s="93" cm="1">
        <f t="array" ref="P22">Tablo1738[[#This Row],[Q1]]/Tablo1939[Q1]*$C$45+G22/Tablo1939[Q2]*$D$45+H22/Tablo1939[Q3]*$E$45+I22/Tablo1939[Q4]*$F$45+J22/Tablo1939[Q5]*$G$45+K22/Tablo1939[Q6]*$H$45+L22/Tablo1939[Q7]*$I$45</f>
        <v>19.416666666666664</v>
      </c>
      <c r="Q22" s="93" cm="1">
        <f t="array" ref="Q22">Tablo1738[[#This Row],[Q1]]/Tablo1939[Q1]*$C$46+G22/Tablo1939[Q2]*$D$46+H22/Tablo1939[Q3]*$E$46+I22/Tablo1939[Q4]*$F$46+J22/Tablo1939[Q5]*$G$46+K22/Tablo1939[Q6]*$H$46+L22/Tablo1939[Q7]*$I$46</f>
        <v>0</v>
      </c>
      <c r="R22" s="93">
        <f>SUM(N22:Q22)</f>
        <v>54.333333333333329</v>
      </c>
      <c r="S22" s="10">
        <f>_xlfn.NORM.DIST(Tablo1738[[#This Row],[TOTAL GRADE]],$N$56,$O$56,FALSE)</f>
        <v>2.1484677809694316E-2</v>
      </c>
      <c r="AA22" s="54"/>
      <c r="AB22" s="54"/>
      <c r="AC22" s="54"/>
      <c r="AD22" s="54"/>
      <c r="AE22" s="98"/>
    </row>
    <row r="23" spans="2:31" ht="15.6" thickTop="1" thickBot="1" x14ac:dyDescent="0.35">
      <c r="B23" s="92">
        <v>19</v>
      </c>
      <c r="C23" s="17">
        <v>19</v>
      </c>
      <c r="D23" s="71" t="s">
        <v>110</v>
      </c>
      <c r="E23" s="71" t="s">
        <v>111</v>
      </c>
      <c r="F23" s="1">
        <v>1</v>
      </c>
      <c r="G23" s="1">
        <v>3</v>
      </c>
      <c r="H23" s="1">
        <v>12</v>
      </c>
      <c r="I23" s="1">
        <v>10</v>
      </c>
      <c r="J23" s="1">
        <v>8</v>
      </c>
      <c r="K23" s="1">
        <v>5</v>
      </c>
      <c r="L23" s="1">
        <v>1</v>
      </c>
      <c r="M23" s="14">
        <f>SUM(F23:L23)</f>
        <v>40</v>
      </c>
      <c r="N23" s="93" cm="1">
        <f t="array" ref="N23">Tablo1738[[#This Row],[Q1]]/Tablo1939[Q1]*$C$43+G23/Tablo1939[Q2]*$D$43+H23/Tablo1939[Q3]*$E$43+I23/Tablo1939[Q4]*$F$43+J23/Tablo1939[Q5]*$G$43+K23/Tablo1939[Q6]*$H$43+L23/Tablo1939[Q7]*$I$43</f>
        <v>28.666666666666664</v>
      </c>
      <c r="O23" s="93" cm="1">
        <f t="array" ref="O23">Tablo1738[[#This Row],[Q1]]/Tablo1939[Q1]*$C$44+G23/Tablo1939[Q2]*$D$44+H23/Tablo1939[Q3]*$E$44+I23/Tablo1939[Q4]*$F$44+J23/Tablo1939[Q5]*$G$44+K23/Tablo1939[Q6]*$H$44+L23/Tablo1939[Q7]*$I$44</f>
        <v>3</v>
      </c>
      <c r="P23" s="93" cm="1">
        <f t="array" ref="P23">Tablo1738[[#This Row],[Q1]]/Tablo1939[Q1]*$C$45+G23/Tablo1939[Q2]*$D$45+H23/Tablo1939[Q3]*$E$45+I23/Tablo1939[Q4]*$F$45+J23/Tablo1939[Q5]*$G$45+K23/Tablo1939[Q6]*$H$45+L23/Tablo1939[Q7]*$I$45</f>
        <v>20.333333333333332</v>
      </c>
      <c r="Q23" s="93" cm="1">
        <f t="array" ref="Q23">Tablo1738[[#This Row],[Q1]]/Tablo1939[Q1]*$C$46+G23/Tablo1939[Q2]*$D$46+H23/Tablo1939[Q3]*$E$46+I23/Tablo1939[Q4]*$F$46+J23/Tablo1939[Q5]*$G$46+K23/Tablo1939[Q6]*$H$46+L23/Tablo1939[Q7]*$I$46</f>
        <v>2</v>
      </c>
      <c r="R23" s="93">
        <f>SUM(N23:Q23)</f>
        <v>54</v>
      </c>
      <c r="S23" s="10">
        <f>_xlfn.NORM.DIST(Tablo1738[[#This Row],[TOTAL GRADE]],$N$56,$O$56,FALSE)</f>
        <v>2.1880819321820844E-2</v>
      </c>
      <c r="AA23" s="54"/>
      <c r="AB23" s="54"/>
      <c r="AC23" s="54"/>
      <c r="AD23" s="54"/>
      <c r="AE23" s="98"/>
    </row>
    <row r="24" spans="2:31" ht="15.6" thickTop="1" thickBot="1" x14ac:dyDescent="0.35">
      <c r="B24" s="94">
        <v>20</v>
      </c>
      <c r="C24" s="17">
        <v>20</v>
      </c>
      <c r="D24" s="71" t="s">
        <v>110</v>
      </c>
      <c r="E24" s="71" t="s">
        <v>111</v>
      </c>
      <c r="F24" s="1">
        <v>1</v>
      </c>
      <c r="G24" s="1">
        <v>1</v>
      </c>
      <c r="H24" s="1">
        <v>11</v>
      </c>
      <c r="I24" s="1">
        <v>9</v>
      </c>
      <c r="J24" s="1">
        <v>3</v>
      </c>
      <c r="K24" s="1">
        <v>10</v>
      </c>
      <c r="L24" s="1">
        <v>5</v>
      </c>
      <c r="M24" s="14">
        <f>SUM(F24:L24)</f>
        <v>40</v>
      </c>
      <c r="N24" s="93" cm="1">
        <f t="array" ref="N24">Tablo1738[[#This Row],[Q1]]/Tablo1939[Q1]*$C$43+G24/Tablo1939[Q2]*$D$43+H24/Tablo1939[Q3]*$E$43+I24/Tablo1939[Q4]*$F$43+J24/Tablo1939[Q5]*$G$43+K24/Tablo1939[Q6]*$H$43+L24/Tablo1939[Q7]*$I$43</f>
        <v>29.166666666666664</v>
      </c>
      <c r="O24" s="93" cm="1">
        <f t="array" ref="O24">Tablo1738[[#This Row],[Q1]]/Tablo1939[Q1]*$C$44+G24/Tablo1939[Q2]*$D$44+H24/Tablo1939[Q3]*$E$44+I24/Tablo1939[Q4]*$F$44+J24/Tablo1939[Q5]*$G$44+K24/Tablo1939[Q6]*$H$44+L24/Tablo1939[Q7]*$I$44</f>
        <v>2.75</v>
      </c>
      <c r="P24" s="93" cm="1">
        <f t="array" ref="P24">Tablo1738[[#This Row],[Q1]]/Tablo1939[Q1]*$C$45+G24/Tablo1939[Q2]*$D$45+H24/Tablo1939[Q3]*$E$45+I24/Tablo1939[Q4]*$F$45+J24/Tablo1939[Q5]*$G$45+K24/Tablo1939[Q6]*$H$45+L24/Tablo1939[Q7]*$I$45</f>
        <v>20.416666666666664</v>
      </c>
      <c r="Q24" s="93" cm="1">
        <f t="array" ref="Q24">Tablo1738[[#This Row],[Q1]]/Tablo1939[Q1]*$C$46+G24/Tablo1939[Q2]*$D$46+H24/Tablo1939[Q3]*$E$46+I24/Tablo1939[Q4]*$F$46+J24/Tablo1939[Q5]*$G$46+K24/Tablo1939[Q6]*$H$46+L24/Tablo1939[Q7]*$I$46</f>
        <v>2</v>
      </c>
      <c r="R24" s="93">
        <f>SUM(N24:Q24)</f>
        <v>54.333333333333329</v>
      </c>
      <c r="S24" s="10">
        <f>_xlfn.NORM.DIST(Tablo1738[[#This Row],[TOTAL GRADE]],$N$56,$O$56,FALSE)</f>
        <v>2.1880819321820844E-2</v>
      </c>
      <c r="AA24" s="54"/>
      <c r="AB24" s="54"/>
      <c r="AC24" s="54"/>
      <c r="AD24" s="54"/>
      <c r="AE24" s="98"/>
    </row>
    <row r="25" spans="2:31" ht="15.6" thickTop="1" thickBot="1" x14ac:dyDescent="0.35">
      <c r="B25" s="92">
        <v>21</v>
      </c>
      <c r="C25" s="17">
        <v>21</v>
      </c>
      <c r="D25" s="71" t="s">
        <v>110</v>
      </c>
      <c r="E25" s="71" t="s">
        <v>111</v>
      </c>
      <c r="F25" s="1">
        <v>3</v>
      </c>
      <c r="G25" s="1">
        <v>1</v>
      </c>
      <c r="H25" s="1">
        <v>7</v>
      </c>
      <c r="I25" s="1">
        <v>9</v>
      </c>
      <c r="J25" s="1">
        <v>5</v>
      </c>
      <c r="K25" s="1">
        <v>0</v>
      </c>
      <c r="L25" s="1">
        <v>12</v>
      </c>
      <c r="M25" s="14">
        <f>SUM(F25:L25)</f>
        <v>37</v>
      </c>
      <c r="N25" s="93" cm="1">
        <f t="array" ref="N25">Tablo1738[[#This Row],[Q1]]/Tablo1939[Q1]*$C$43+G25/Tablo1939[Q2]*$D$43+H25/Tablo1939[Q3]*$E$43+I25/Tablo1939[Q4]*$F$43+J25/Tablo1939[Q5]*$G$43+K25/Tablo1939[Q6]*$H$43+L25/Tablo1939[Q7]*$I$43</f>
        <v>28.833333333333332</v>
      </c>
      <c r="O25" s="93" cm="1">
        <f t="array" ref="O25">Tablo1738[[#This Row],[Q1]]/Tablo1939[Q1]*$C$44+G25/Tablo1939[Q2]*$D$44+H25/Tablo1939[Q3]*$E$44+I25/Tablo1939[Q4]*$F$44+J25/Tablo1939[Q5]*$G$44+K25/Tablo1939[Q6]*$H$44+L25/Tablo1939[Q7]*$I$44</f>
        <v>1.75</v>
      </c>
      <c r="P25" s="93" cm="1">
        <f t="array" ref="P25">Tablo1738[[#This Row],[Q1]]/Tablo1939[Q1]*$C$45+G25/Tablo1939[Q2]*$D$45+H25/Tablo1939[Q3]*$E$45+I25/Tablo1939[Q4]*$F$45+J25/Tablo1939[Q5]*$G$45+K25/Tablo1939[Q6]*$H$45+L25/Tablo1939[Q7]*$I$45</f>
        <v>10.75</v>
      </c>
      <c r="Q25" s="93" cm="1">
        <f t="array" ref="Q25">Tablo1738[[#This Row],[Q1]]/Tablo1939[Q1]*$C$46+G25/Tablo1939[Q2]*$D$46+H25/Tablo1939[Q3]*$E$46+I25/Tablo1939[Q4]*$F$46+J25/Tablo1939[Q5]*$G$46+K25/Tablo1939[Q6]*$H$46+L25/Tablo1939[Q7]*$I$46</f>
        <v>6</v>
      </c>
      <c r="R25" s="93">
        <f>SUM(N25:Q25)</f>
        <v>47.333333333333329</v>
      </c>
      <c r="S25" s="10">
        <f>_xlfn.NORM.DIST(Tablo1738[[#This Row],[TOTAL GRADE]],$N$56,$O$56,FALSE)</f>
        <v>2.1980990760215053E-2</v>
      </c>
      <c r="AA25" s="54"/>
      <c r="AB25" s="54"/>
      <c r="AC25" s="54"/>
      <c r="AD25" s="54"/>
      <c r="AE25" s="98"/>
    </row>
    <row r="26" spans="2:31" ht="15.6" thickTop="1" thickBot="1" x14ac:dyDescent="0.35">
      <c r="B26" s="94">
        <v>22</v>
      </c>
      <c r="C26" s="17">
        <v>22</v>
      </c>
      <c r="D26" s="75" t="s">
        <v>110</v>
      </c>
      <c r="E26" s="71" t="s">
        <v>111</v>
      </c>
      <c r="F26" s="1">
        <v>0</v>
      </c>
      <c r="G26" s="1">
        <v>2</v>
      </c>
      <c r="H26" s="1">
        <v>14</v>
      </c>
      <c r="I26" s="1">
        <v>9</v>
      </c>
      <c r="J26" s="1">
        <v>6</v>
      </c>
      <c r="K26" s="1">
        <v>0</v>
      </c>
      <c r="L26" s="1">
        <v>5</v>
      </c>
      <c r="M26" s="14">
        <f>SUM(F26:L26)</f>
        <v>36</v>
      </c>
      <c r="N26" s="93" cm="1">
        <f t="array" ref="N26">Tablo1738[[#This Row],[Q1]]/Tablo1939[Q1]*$C$43+G26/Tablo1939[Q2]*$D$43+H26/Tablo1939[Q3]*$E$43+I26/Tablo1939[Q4]*$F$43+J26/Tablo1939[Q5]*$G$43+K26/Tablo1939[Q6]*$H$43+L26/Tablo1939[Q7]*$I$43</f>
        <v>27</v>
      </c>
      <c r="O26" s="93" cm="1">
        <f t="array" ref="O26">Tablo1738[[#This Row],[Q1]]/Tablo1939[Q1]*$C$44+G26/Tablo1939[Q2]*$D$44+H26/Tablo1939[Q3]*$E$44+I26/Tablo1939[Q4]*$F$44+J26/Tablo1939[Q5]*$G$44+K26/Tablo1939[Q6]*$H$44+L26/Tablo1939[Q7]*$I$44</f>
        <v>3.5</v>
      </c>
      <c r="P26" s="93" cm="1">
        <f t="array" ref="P26">Tablo1738[[#This Row],[Q1]]/Tablo1939[Q1]*$C$45+G26/Tablo1939[Q2]*$D$45+H26/Tablo1939[Q3]*$E$45+I26/Tablo1939[Q4]*$F$45+J26/Tablo1939[Q5]*$G$45+K26/Tablo1939[Q6]*$H$45+L26/Tablo1939[Q7]*$I$45</f>
        <v>17</v>
      </c>
      <c r="Q26" s="93" cm="1">
        <f t="array" ref="Q26">Tablo1738[[#This Row],[Q1]]/Tablo1939[Q1]*$C$46+G26/Tablo1939[Q2]*$D$46+H26/Tablo1939[Q3]*$E$46+I26/Tablo1939[Q4]*$F$46+J26/Tablo1939[Q5]*$G$46+K26/Tablo1939[Q6]*$H$46+L26/Tablo1939[Q7]*$I$46</f>
        <v>0</v>
      </c>
      <c r="R26" s="93">
        <f>SUM(N26:Q26)</f>
        <v>47.5</v>
      </c>
      <c r="S26" s="10">
        <f>_xlfn.NORM.DIST(Tablo1738[[#This Row],[TOTAL GRADE]],$N$56,$O$56,FALSE)</f>
        <v>2.1880819321820844E-2</v>
      </c>
      <c r="AA26" s="54"/>
      <c r="AB26" s="54"/>
      <c r="AC26" s="54"/>
      <c r="AD26" s="54"/>
      <c r="AE26" s="98"/>
    </row>
    <row r="27" spans="2:31" ht="15.6" thickTop="1" thickBot="1" x14ac:dyDescent="0.35">
      <c r="B27" s="92">
        <v>23</v>
      </c>
      <c r="C27" s="17">
        <v>23</v>
      </c>
      <c r="D27" s="71" t="s">
        <v>110</v>
      </c>
      <c r="E27" s="71" t="s">
        <v>111</v>
      </c>
      <c r="F27" s="1">
        <v>5</v>
      </c>
      <c r="G27" s="1">
        <v>2</v>
      </c>
      <c r="H27" s="1">
        <v>7</v>
      </c>
      <c r="I27" s="1">
        <v>12</v>
      </c>
      <c r="J27" s="1">
        <v>6</v>
      </c>
      <c r="K27" s="1">
        <v>3</v>
      </c>
      <c r="L27" s="1">
        <v>1</v>
      </c>
      <c r="M27" s="14">
        <f>SUM(F27:L27)</f>
        <v>36</v>
      </c>
      <c r="N27" s="93" cm="1">
        <f t="array" ref="N27">Tablo1738[[#This Row],[Q1]]/Tablo1939[Q1]*$C$43+G27/Tablo1939[Q2]*$D$43+H27/Tablo1939[Q3]*$E$43+I27/Tablo1939[Q4]*$F$43+J27/Tablo1939[Q5]*$G$43+K27/Tablo1939[Q6]*$H$43+L27/Tablo1939[Q7]*$I$43</f>
        <v>24.5</v>
      </c>
      <c r="O27" s="93" cm="1">
        <f t="array" ref="O27">Tablo1738[[#This Row],[Q1]]/Tablo1939[Q1]*$C$44+G27/Tablo1939[Q2]*$D$44+H27/Tablo1939[Q3]*$E$44+I27/Tablo1939[Q4]*$F$44+J27/Tablo1939[Q5]*$G$44+K27/Tablo1939[Q6]*$H$44+L27/Tablo1939[Q7]*$I$44</f>
        <v>1.75</v>
      </c>
      <c r="P27" s="93" cm="1">
        <f t="array" ref="P27">Tablo1738[[#This Row],[Q1]]/Tablo1939[Q1]*$C$45+G27/Tablo1939[Q2]*$D$45+H27/Tablo1939[Q3]*$E$45+I27/Tablo1939[Q4]*$F$45+J27/Tablo1939[Q5]*$G$45+K27/Tablo1939[Q6]*$H$45+L27/Tablo1939[Q7]*$I$45</f>
        <v>15.25</v>
      </c>
      <c r="Q27" s="93" cm="1">
        <f t="array" ref="Q27">Tablo1738[[#This Row],[Q1]]/Tablo1939[Q1]*$C$46+G27/Tablo1939[Q2]*$D$46+H27/Tablo1939[Q3]*$E$46+I27/Tablo1939[Q4]*$F$46+J27/Tablo1939[Q5]*$G$46+K27/Tablo1939[Q6]*$H$46+L27/Tablo1939[Q7]*$I$46</f>
        <v>10</v>
      </c>
      <c r="R27" s="93">
        <f>SUM(N27:Q27)</f>
        <v>51.5</v>
      </c>
      <c r="S27" s="10">
        <f>_xlfn.NORM.DIST(Tablo1738[[#This Row],[TOTAL GRADE]],$N$56,$O$56,FALSE)</f>
        <v>2.1880819321820844E-2</v>
      </c>
      <c r="AA27" s="54"/>
      <c r="AB27" s="54"/>
      <c r="AC27" s="54"/>
      <c r="AD27" s="54"/>
      <c r="AE27" s="98"/>
    </row>
    <row r="28" spans="2:31" ht="15.6" thickTop="1" thickBot="1" x14ac:dyDescent="0.35">
      <c r="B28" s="94">
        <v>24</v>
      </c>
      <c r="C28" s="17">
        <v>24</v>
      </c>
      <c r="D28" s="71" t="s">
        <v>110</v>
      </c>
      <c r="E28" s="71" t="s">
        <v>111</v>
      </c>
      <c r="F28" s="1">
        <v>8</v>
      </c>
      <c r="G28" s="1">
        <v>1</v>
      </c>
      <c r="H28" s="1">
        <v>10</v>
      </c>
      <c r="I28" s="1">
        <v>2</v>
      </c>
      <c r="J28" s="1">
        <v>2</v>
      </c>
      <c r="K28" s="1">
        <v>5</v>
      </c>
      <c r="L28" s="1">
        <v>7</v>
      </c>
      <c r="M28" s="14">
        <f>SUM(F28:L28)</f>
        <v>35</v>
      </c>
      <c r="N28" s="93" cm="1">
        <f t="array" ref="N28">Tablo1738[[#This Row],[Q1]]/Tablo1939[Q1]*$C$43+G28/Tablo1939[Q2]*$D$43+H28/Tablo1939[Q3]*$E$43+I28/Tablo1939[Q4]*$F$43+J28/Tablo1939[Q5]*$G$43+K28/Tablo1939[Q6]*$H$43+L28/Tablo1939[Q7]*$I$43</f>
        <v>19.666666666666668</v>
      </c>
      <c r="O28" s="93" cm="1">
        <f t="array" ref="O28">Tablo1738[[#This Row],[Q1]]/Tablo1939[Q1]*$C$44+G28/Tablo1939[Q2]*$D$44+H28/Tablo1939[Q3]*$E$44+I28/Tablo1939[Q4]*$F$44+J28/Tablo1939[Q5]*$G$44+K28/Tablo1939[Q6]*$H$44+L28/Tablo1939[Q7]*$I$44</f>
        <v>2.5</v>
      </c>
      <c r="P28" s="93" cm="1">
        <f t="array" ref="P28">Tablo1738[[#This Row],[Q1]]/Tablo1939[Q1]*$C$45+G28/Tablo1939[Q2]*$D$45+H28/Tablo1939[Q3]*$E$45+I28/Tablo1939[Q4]*$F$45+J28/Tablo1939[Q5]*$G$45+K28/Tablo1939[Q6]*$H$45+L28/Tablo1939[Q7]*$I$45</f>
        <v>12.833333333333332</v>
      </c>
      <c r="Q28" s="93" cm="1">
        <f t="array" ref="Q28">Tablo1738[[#This Row],[Q1]]/Tablo1939[Q1]*$C$46+G28/Tablo1939[Q2]*$D$46+H28/Tablo1939[Q3]*$E$46+I28/Tablo1939[Q4]*$F$46+J28/Tablo1939[Q5]*$G$46+K28/Tablo1939[Q6]*$H$46+L28/Tablo1939[Q7]*$I$46</f>
        <v>16</v>
      </c>
      <c r="R28" s="93">
        <f>SUM(N28:Q28)</f>
        <v>51</v>
      </c>
      <c r="S28" s="10">
        <f>_xlfn.NORM.DIST(Tablo1738[[#This Row],[TOTAL GRADE]],$N$56,$O$56,FALSE)</f>
        <v>2.1714880340688841E-2</v>
      </c>
      <c r="AA28" s="54"/>
      <c r="AB28" s="54"/>
      <c r="AC28" s="54"/>
      <c r="AD28" s="54"/>
      <c r="AE28" s="98"/>
    </row>
    <row r="29" spans="2:31" ht="15.6" thickTop="1" thickBot="1" x14ac:dyDescent="0.35">
      <c r="B29" s="92">
        <v>25</v>
      </c>
      <c r="C29" s="17">
        <v>25</v>
      </c>
      <c r="D29" s="71" t="s">
        <v>110</v>
      </c>
      <c r="E29" s="71" t="s">
        <v>111</v>
      </c>
      <c r="F29" s="1">
        <v>0</v>
      </c>
      <c r="G29" s="1">
        <v>2</v>
      </c>
      <c r="H29" s="1">
        <v>7</v>
      </c>
      <c r="I29" s="1">
        <v>8</v>
      </c>
      <c r="J29" s="1">
        <v>8</v>
      </c>
      <c r="K29" s="1">
        <v>3</v>
      </c>
      <c r="L29" s="1">
        <v>0</v>
      </c>
      <c r="M29" s="14">
        <f>SUM(F29:L29)</f>
        <v>28</v>
      </c>
      <c r="N29" s="93" cm="1">
        <f t="array" ref="N29">Tablo1738[[#This Row],[Q1]]/Tablo1939[Q1]*$C$43+G29/Tablo1939[Q2]*$D$43+H29/Tablo1939[Q3]*$E$43+I29/Tablo1939[Q4]*$F$43+J29/Tablo1939[Q5]*$G$43+K29/Tablo1939[Q6]*$H$43+L29/Tablo1939[Q7]*$I$43</f>
        <v>20.833333333333332</v>
      </c>
      <c r="O29" s="93" cm="1">
        <f t="array" ref="O29">Tablo1738[[#This Row],[Q1]]/Tablo1939[Q1]*$C$44+G29/Tablo1939[Q2]*$D$44+H29/Tablo1939[Q3]*$E$44+I29/Tablo1939[Q4]*$F$44+J29/Tablo1939[Q5]*$G$44+K29/Tablo1939[Q6]*$H$44+L29/Tablo1939[Q7]*$I$44</f>
        <v>1.75</v>
      </c>
      <c r="P29" s="93" cm="1">
        <f t="array" ref="P29">Tablo1738[[#This Row],[Q1]]/Tablo1939[Q1]*$C$45+G29/Tablo1939[Q2]*$D$45+H29/Tablo1939[Q3]*$E$45+I29/Tablo1939[Q4]*$F$45+J29/Tablo1939[Q5]*$G$45+K29/Tablo1939[Q6]*$H$45+L29/Tablo1939[Q7]*$I$45</f>
        <v>13.25</v>
      </c>
      <c r="Q29" s="93" cm="1">
        <f t="array" ref="Q29">Tablo1738[[#This Row],[Q1]]/Tablo1939[Q1]*$C$46+G29/Tablo1939[Q2]*$D$46+H29/Tablo1939[Q3]*$E$46+I29/Tablo1939[Q4]*$F$46+J29/Tablo1939[Q5]*$G$46+K29/Tablo1939[Q6]*$H$46+L29/Tablo1939[Q7]*$I$46</f>
        <v>0</v>
      </c>
      <c r="R29" s="93">
        <f>SUM(N29:Q29)</f>
        <v>35.833333333333329</v>
      </c>
      <c r="S29" s="10">
        <f>_xlfn.NORM.DIST(Tablo1738[[#This Row],[TOTAL GRADE]],$N$56,$O$56,FALSE)</f>
        <v>1.8905392662284057E-2</v>
      </c>
      <c r="AA29" s="54"/>
      <c r="AB29" s="54"/>
      <c r="AC29" s="54"/>
      <c r="AD29" s="54"/>
      <c r="AE29" s="98"/>
    </row>
    <row r="30" spans="2:31" ht="15.6" thickTop="1" thickBot="1" x14ac:dyDescent="0.35">
      <c r="B30" s="94">
        <v>26</v>
      </c>
      <c r="C30" s="17">
        <v>26</v>
      </c>
      <c r="D30" s="75" t="s">
        <v>110</v>
      </c>
      <c r="E30" s="71" t="s">
        <v>111</v>
      </c>
      <c r="F30" s="1">
        <v>0</v>
      </c>
      <c r="G30" s="1">
        <v>2</v>
      </c>
      <c r="H30" s="1">
        <v>8</v>
      </c>
      <c r="I30" s="1">
        <v>5</v>
      </c>
      <c r="J30" s="1">
        <v>5</v>
      </c>
      <c r="K30" s="1">
        <v>3</v>
      </c>
      <c r="L30" s="1">
        <v>2</v>
      </c>
      <c r="M30" s="14">
        <f>SUM(F30:L30)</f>
        <v>25</v>
      </c>
      <c r="N30" s="93" cm="1">
        <f t="array" ref="N30">Tablo1738[[#This Row],[Q1]]/Tablo1939[Q1]*$C$43+G30/Tablo1939[Q2]*$D$43+H30/Tablo1939[Q3]*$E$43+I30/Tablo1939[Q4]*$F$43+J30/Tablo1939[Q5]*$G$43+K30/Tablo1939[Q6]*$H$43+L30/Tablo1939[Q7]*$I$43</f>
        <v>18.333333333333332</v>
      </c>
      <c r="O30" s="93" cm="1">
        <f t="array" ref="O30">Tablo1738[[#This Row],[Q1]]/Tablo1939[Q1]*$C$44+G30/Tablo1939[Q2]*$D$44+H30/Tablo1939[Q3]*$E$44+I30/Tablo1939[Q4]*$F$44+J30/Tablo1939[Q5]*$G$44+K30/Tablo1939[Q6]*$H$44+L30/Tablo1939[Q7]*$I$44</f>
        <v>2</v>
      </c>
      <c r="P30" s="93" cm="1">
        <f t="array" ref="P30">Tablo1738[[#This Row],[Q1]]/Tablo1939[Q1]*$C$45+G30/Tablo1939[Q2]*$D$45+H30/Tablo1939[Q3]*$E$45+I30/Tablo1939[Q4]*$F$45+J30/Tablo1939[Q5]*$G$45+K30/Tablo1939[Q6]*$H$45+L30/Tablo1939[Q7]*$I$45</f>
        <v>12.5</v>
      </c>
      <c r="Q30" s="93" cm="1">
        <f t="array" ref="Q30">Tablo1738[[#This Row],[Q1]]/Tablo1939[Q1]*$C$46+G30/Tablo1939[Q2]*$D$46+H30/Tablo1939[Q3]*$E$46+I30/Tablo1939[Q4]*$F$46+J30/Tablo1939[Q5]*$G$46+K30/Tablo1939[Q6]*$H$46+L30/Tablo1939[Q7]*$I$46</f>
        <v>0</v>
      </c>
      <c r="R30" s="93">
        <f>SUM(N30:Q30)</f>
        <v>32.833333333333329</v>
      </c>
      <c r="S30" s="10">
        <f>_xlfn.NORM.DIST(Tablo1738[[#This Row],[TOTAL GRADE]],$N$56,$O$56,FALSE)</f>
        <v>1.7020055707633003E-2</v>
      </c>
      <c r="AA30" s="54"/>
      <c r="AB30" s="54"/>
      <c r="AC30" s="54"/>
      <c r="AD30" s="54"/>
      <c r="AE30" s="98"/>
    </row>
    <row r="31" spans="2:31" ht="15.6" thickTop="1" thickBot="1" x14ac:dyDescent="0.35">
      <c r="B31" s="92">
        <v>27</v>
      </c>
      <c r="C31" s="17">
        <v>27</v>
      </c>
      <c r="D31" s="71" t="s">
        <v>110</v>
      </c>
      <c r="E31" s="71" t="s">
        <v>111</v>
      </c>
      <c r="F31" s="1">
        <v>0</v>
      </c>
      <c r="G31" s="1">
        <v>0</v>
      </c>
      <c r="H31" s="1">
        <v>6</v>
      </c>
      <c r="I31" s="1">
        <v>6</v>
      </c>
      <c r="J31" s="1">
        <v>2</v>
      </c>
      <c r="K31" s="1">
        <v>5</v>
      </c>
      <c r="L31" s="1">
        <v>5</v>
      </c>
      <c r="M31" s="14">
        <f>SUM(F31:L31)</f>
        <v>24</v>
      </c>
      <c r="N31" s="93" cm="1">
        <f t="array" ref="N31">Tablo1738[[#This Row],[Q1]]/Tablo1939[Q1]*$C$43+G31/Tablo1939[Q2]*$D$43+H31/Tablo1939[Q3]*$E$43+I31/Tablo1939[Q4]*$F$43+J31/Tablo1939[Q5]*$G$43+K31/Tablo1939[Q6]*$H$43+L31/Tablo1939[Q7]*$I$43</f>
        <v>18.666666666666668</v>
      </c>
      <c r="O31" s="93" cm="1">
        <f t="array" ref="O31">Tablo1738[[#This Row],[Q1]]/Tablo1939[Q1]*$C$44+G31/Tablo1939[Q2]*$D$44+H31/Tablo1939[Q3]*$E$44+I31/Tablo1939[Q4]*$F$44+J31/Tablo1939[Q5]*$G$44+K31/Tablo1939[Q6]*$H$44+L31/Tablo1939[Q7]*$I$44</f>
        <v>1.5</v>
      </c>
      <c r="P31" s="93" cm="1">
        <f t="array" ref="P31">Tablo1738[[#This Row],[Q1]]/Tablo1939[Q1]*$C$45+G31/Tablo1939[Q2]*$D$45+H31/Tablo1939[Q3]*$E$45+I31/Tablo1939[Q4]*$F$45+J31/Tablo1939[Q5]*$G$45+K31/Tablo1939[Q6]*$H$45+L31/Tablo1939[Q7]*$I$45</f>
        <v>10.833333333333332</v>
      </c>
      <c r="Q31" s="93" cm="1">
        <f t="array" ref="Q31">Tablo1738[[#This Row],[Q1]]/Tablo1939[Q1]*$C$46+G31/Tablo1939[Q2]*$D$46+H31/Tablo1939[Q3]*$E$46+I31/Tablo1939[Q4]*$F$46+J31/Tablo1939[Q5]*$G$46+K31/Tablo1939[Q6]*$H$46+L31/Tablo1939[Q7]*$I$46</f>
        <v>0</v>
      </c>
      <c r="R31" s="93">
        <f>SUM(N31:Q31)</f>
        <v>31</v>
      </c>
      <c r="S31" s="10">
        <f>_xlfn.NORM.DIST(Tablo1738[[#This Row],[TOTAL GRADE]],$N$56,$O$56,FALSE)</f>
        <v>1.6334574426045821E-2</v>
      </c>
      <c r="AA31" s="54"/>
      <c r="AB31" s="54"/>
      <c r="AC31" s="54"/>
      <c r="AD31" s="54"/>
      <c r="AE31" s="98"/>
    </row>
    <row r="32" spans="2:31" ht="15.6" thickTop="1" thickBot="1" x14ac:dyDescent="0.35">
      <c r="B32" s="94">
        <v>28</v>
      </c>
      <c r="C32" s="17">
        <v>28</v>
      </c>
      <c r="D32" s="71" t="s">
        <v>110</v>
      </c>
      <c r="E32" s="71" t="s">
        <v>111</v>
      </c>
      <c r="F32" s="1">
        <v>1</v>
      </c>
      <c r="G32" s="1">
        <v>1</v>
      </c>
      <c r="H32" s="1">
        <v>7</v>
      </c>
      <c r="I32" s="1">
        <v>5</v>
      </c>
      <c r="J32" s="1">
        <v>6</v>
      </c>
      <c r="K32" s="1">
        <v>0</v>
      </c>
      <c r="L32" s="1">
        <v>2</v>
      </c>
      <c r="M32" s="14">
        <f>SUM(F32:L32)</f>
        <v>22</v>
      </c>
      <c r="N32" s="93" cm="1">
        <f t="array" ref="N32">Tablo1738[[#This Row],[Q1]]/Tablo1939[Q1]*$C$43+G32/Tablo1939[Q2]*$D$43+H32/Tablo1939[Q3]*$E$43+I32/Tablo1939[Q4]*$F$43+J32/Tablo1939[Q5]*$G$43+K32/Tablo1939[Q6]*$H$43+L32/Tablo1939[Q7]*$I$43</f>
        <v>15.5</v>
      </c>
      <c r="O32" s="93" cm="1">
        <f t="array" ref="O32">Tablo1738[[#This Row],[Q1]]/Tablo1939[Q1]*$C$44+G32/Tablo1939[Q2]*$D$44+H32/Tablo1939[Q3]*$E$44+I32/Tablo1939[Q4]*$F$44+J32/Tablo1939[Q5]*$G$44+K32/Tablo1939[Q6]*$H$44+L32/Tablo1939[Q7]*$I$44</f>
        <v>1.75</v>
      </c>
      <c r="P32" s="93" cm="1">
        <f t="array" ref="P32">Tablo1738[[#This Row],[Q1]]/Tablo1939[Q1]*$C$45+G32/Tablo1939[Q2]*$D$45+H32/Tablo1939[Q3]*$E$45+I32/Tablo1939[Q4]*$F$45+J32/Tablo1939[Q5]*$G$45+K32/Tablo1939[Q6]*$H$45+L32/Tablo1939[Q7]*$I$45</f>
        <v>8.75</v>
      </c>
      <c r="Q32" s="93" cm="1">
        <f t="array" ref="Q32">Tablo1738[[#This Row],[Q1]]/Tablo1939[Q1]*$C$46+G32/Tablo1939[Q2]*$D$46+H32/Tablo1939[Q3]*$E$46+I32/Tablo1939[Q4]*$F$46+J32/Tablo1939[Q5]*$G$46+K32/Tablo1939[Q6]*$H$46+L32/Tablo1939[Q7]*$I$46</f>
        <v>2</v>
      </c>
      <c r="R32" s="93">
        <f>SUM(N32:Q32)</f>
        <v>28</v>
      </c>
      <c r="S32" s="10">
        <f>_xlfn.NORM.DIST(Tablo1738[[#This Row],[TOTAL GRADE]],$N$56,$O$56,FALSE)</f>
        <v>1.4908506887514609E-2</v>
      </c>
      <c r="AA32" s="17"/>
      <c r="AB32" s="17"/>
      <c r="AC32" s="17"/>
      <c r="AD32" s="17"/>
      <c r="AE32" s="97"/>
    </row>
    <row r="33" spans="2:31" ht="15.6" thickTop="1" thickBot="1" x14ac:dyDescent="0.35">
      <c r="B33" s="92">
        <v>29</v>
      </c>
      <c r="C33" s="17">
        <v>29</v>
      </c>
      <c r="D33" s="71" t="s">
        <v>110</v>
      </c>
      <c r="E33" s="71" t="s">
        <v>111</v>
      </c>
      <c r="F33" s="1">
        <v>0</v>
      </c>
      <c r="G33" s="1">
        <v>0</v>
      </c>
      <c r="H33" s="1">
        <v>5</v>
      </c>
      <c r="I33" s="1">
        <v>0</v>
      </c>
      <c r="J33" s="1">
        <v>6</v>
      </c>
      <c r="K33" s="1">
        <v>5</v>
      </c>
      <c r="L33" s="1">
        <v>5</v>
      </c>
      <c r="M33" s="14">
        <f>SUM(F33:L33)</f>
        <v>21</v>
      </c>
      <c r="N33" s="93" cm="1">
        <f t="array" ref="N33">Tablo1738[[#This Row],[Q1]]/Tablo1939[Q1]*$C$43+G33/Tablo1939[Q2]*$D$43+H33/Tablo1939[Q3]*$E$43+I33/Tablo1939[Q4]*$F$43+J33/Tablo1939[Q5]*$G$43+K33/Tablo1939[Q6]*$H$43+L33/Tablo1939[Q7]*$I$43</f>
        <v>14.833333333333332</v>
      </c>
      <c r="O33" s="93" cm="1">
        <f t="array" ref="O33">Tablo1738[[#This Row],[Q1]]/Tablo1939[Q1]*$C$44+G33/Tablo1939[Q2]*$D$44+H33/Tablo1939[Q3]*$E$44+I33/Tablo1939[Q4]*$F$44+J33/Tablo1939[Q5]*$G$44+K33/Tablo1939[Q6]*$H$44+L33/Tablo1939[Q7]*$I$44</f>
        <v>1.25</v>
      </c>
      <c r="P33" s="93" cm="1">
        <f t="array" ref="P33">Tablo1738[[#This Row],[Q1]]/Tablo1939[Q1]*$C$45+G33/Tablo1939[Q2]*$D$45+H33/Tablo1939[Q3]*$E$45+I33/Tablo1939[Q4]*$F$45+J33/Tablo1939[Q5]*$G$45+K33/Tablo1939[Q6]*$H$45+L33/Tablo1939[Q7]*$I$45</f>
        <v>7.083333333333333</v>
      </c>
      <c r="Q33" s="93" cm="1">
        <f t="array" ref="Q33">Tablo1738[[#This Row],[Q1]]/Tablo1939[Q1]*$C$46+G33/Tablo1939[Q2]*$D$46+H33/Tablo1939[Q3]*$E$46+I33/Tablo1939[Q4]*$F$46+J33/Tablo1939[Q5]*$G$46+K33/Tablo1939[Q6]*$H$46+L33/Tablo1939[Q7]*$I$46</f>
        <v>0</v>
      </c>
      <c r="R33" s="93">
        <f>SUM(N33:Q33)</f>
        <v>23.166666666666664</v>
      </c>
      <c r="S33" s="10">
        <f>_xlfn.NORM.DIST(Tablo1738[[#This Row],[TOTAL GRADE]],$N$56,$O$56,FALSE)</f>
        <v>1.4177956179946404E-2</v>
      </c>
      <c r="AA33" s="17"/>
      <c r="AB33" s="17"/>
      <c r="AC33" s="17"/>
      <c r="AD33" s="17"/>
      <c r="AE33" s="97"/>
    </row>
    <row r="34" spans="2:31" ht="15.6" thickTop="1" thickBot="1" x14ac:dyDescent="0.35">
      <c r="B34" s="94">
        <v>30</v>
      </c>
      <c r="C34" s="17">
        <v>30</v>
      </c>
      <c r="D34" s="71" t="s">
        <v>110</v>
      </c>
      <c r="E34" s="71" t="s">
        <v>111</v>
      </c>
      <c r="F34" s="1">
        <v>2</v>
      </c>
      <c r="G34" s="1">
        <v>1</v>
      </c>
      <c r="H34" s="1">
        <v>0</v>
      </c>
      <c r="I34" s="1">
        <v>4</v>
      </c>
      <c r="J34" s="1">
        <v>3</v>
      </c>
      <c r="K34" s="1">
        <v>1</v>
      </c>
      <c r="L34" s="1">
        <v>6</v>
      </c>
      <c r="M34" s="14">
        <f>SUM(F34:L34)</f>
        <v>17</v>
      </c>
      <c r="N34" s="93" cm="1">
        <f t="array" ref="N34">Tablo1738[[#This Row],[Q1]]/Tablo1939[Q1]*$C$43+G34/Tablo1939[Q2]*$D$43+H34/Tablo1939[Q3]*$E$43+I34/Tablo1939[Q4]*$F$43+J34/Tablo1939[Q5]*$G$43+K34/Tablo1939[Q6]*$H$43+L34/Tablo1939[Q7]*$I$43</f>
        <v>13.666666666666668</v>
      </c>
      <c r="O34" s="93" cm="1">
        <f t="array" ref="O34">Tablo1738[[#This Row],[Q1]]/Tablo1939[Q1]*$C$44+G34/Tablo1939[Q2]*$D$44+H34/Tablo1939[Q3]*$E$44+I34/Tablo1939[Q4]*$F$44+J34/Tablo1939[Q5]*$G$44+K34/Tablo1939[Q6]*$H$44+L34/Tablo1939[Q7]*$I$44</f>
        <v>0</v>
      </c>
      <c r="P34" s="93" cm="1">
        <f t="array" ref="P34">Tablo1738[[#This Row],[Q1]]/Tablo1939[Q1]*$C$45+G34/Tablo1939[Q2]*$D$45+H34/Tablo1939[Q3]*$E$45+I34/Tablo1939[Q4]*$F$45+J34/Tablo1939[Q5]*$G$45+K34/Tablo1939[Q6]*$H$45+L34/Tablo1939[Q7]*$I$45</f>
        <v>3.6666666666666665</v>
      </c>
      <c r="Q34" s="93" cm="1">
        <f t="array" ref="Q34">Tablo1738[[#This Row],[Q1]]/Tablo1939[Q1]*$C$46+G34/Tablo1939[Q2]*$D$46+H34/Tablo1939[Q3]*$E$46+I34/Tablo1939[Q4]*$F$46+J34/Tablo1939[Q5]*$G$46+K34/Tablo1939[Q6]*$H$46+L34/Tablo1939[Q7]*$I$46</f>
        <v>4</v>
      </c>
      <c r="R34" s="93">
        <f>SUM(N34:Q34)</f>
        <v>21.333333333333336</v>
      </c>
      <c r="S34" s="10">
        <f>_xlfn.NORM.DIST(Tablo1738[[#This Row],[TOTAL GRADE]],$N$56,$O$56,FALSE)</f>
        <v>1.1248820574905113E-2</v>
      </c>
      <c r="AA34" s="17"/>
      <c r="AB34" s="17"/>
      <c r="AC34" s="17"/>
      <c r="AD34" s="17"/>
      <c r="AE34" s="97"/>
    </row>
    <row r="35" spans="2:31" ht="15" thickTop="1" x14ac:dyDescent="0.3">
      <c r="C35" s="5"/>
      <c r="D35" s="5"/>
      <c r="E35" s="5"/>
      <c r="F35" s="5"/>
      <c r="G35" s="5"/>
      <c r="H35" s="5"/>
      <c r="I35" s="5"/>
      <c r="J35" s="5"/>
      <c r="K35" s="5"/>
      <c r="L35" s="5"/>
      <c r="M35" s="17"/>
      <c r="N35" s="17"/>
      <c r="O35" s="17"/>
      <c r="P35" s="17"/>
      <c r="Q35" s="5"/>
      <c r="R35" s="5"/>
      <c r="S35" s="5"/>
      <c r="AA35" s="17"/>
      <c r="AB35" s="17"/>
      <c r="AC35" s="17"/>
      <c r="AD35" s="17"/>
      <c r="AE35" s="97"/>
    </row>
    <row r="36" spans="2:31" x14ac:dyDescent="0.3">
      <c r="B36" s="43" t="s">
        <v>77</v>
      </c>
      <c r="C36" s="43" t="s">
        <v>78</v>
      </c>
      <c r="D36" s="6" t="s">
        <v>124</v>
      </c>
      <c r="E36" s="6" t="s">
        <v>125</v>
      </c>
      <c r="F36" s="5"/>
      <c r="G36" s="5" t="s">
        <v>28</v>
      </c>
      <c r="H36" s="12" t="s">
        <v>19</v>
      </c>
      <c r="I36" s="12" t="s">
        <v>20</v>
      </c>
      <c r="J36" s="12" t="s">
        <v>21</v>
      </c>
      <c r="K36" s="12" t="s">
        <v>22</v>
      </c>
      <c r="L36" s="12" t="s">
        <v>23</v>
      </c>
      <c r="M36" s="12" t="s">
        <v>24</v>
      </c>
      <c r="N36" s="12" t="s">
        <v>29</v>
      </c>
      <c r="O36" s="13" t="s">
        <v>30</v>
      </c>
      <c r="P36" s="17"/>
      <c r="Q36" s="5"/>
      <c r="R36" s="5"/>
      <c r="S36" s="5"/>
      <c r="AA36" s="17"/>
      <c r="AB36" s="17"/>
      <c r="AC36" s="17"/>
      <c r="AD36" s="17"/>
      <c r="AE36" s="97"/>
    </row>
    <row r="37" spans="2:31" x14ac:dyDescent="0.3">
      <c r="B37" s="45">
        <v>1</v>
      </c>
      <c r="C37" s="5" t="str">
        <f>[1]MAIN!$O38</f>
        <v>Çıktı-1</v>
      </c>
      <c r="D37" s="46">
        <f>[1]MAIN!R38</f>
        <v>70</v>
      </c>
      <c r="E37" s="46">
        <f>Tablo436[[#This Row],[DERS ÇIKTISI KATSAYISI]]-J43</f>
        <v>0</v>
      </c>
      <c r="F37" s="5"/>
      <c r="G37" s="6" t="s">
        <v>32</v>
      </c>
      <c r="H37" s="1">
        <v>10</v>
      </c>
      <c r="I37" s="1">
        <v>5</v>
      </c>
      <c r="J37" s="1">
        <v>20</v>
      </c>
      <c r="K37" s="1">
        <v>20</v>
      </c>
      <c r="L37" s="1">
        <v>15</v>
      </c>
      <c r="M37" s="1">
        <v>15</v>
      </c>
      <c r="N37" s="1">
        <v>15</v>
      </c>
      <c r="O37" s="1">
        <f>SUM(H37:N37)</f>
        <v>100</v>
      </c>
      <c r="P37" s="17"/>
      <c r="Q37" s="5"/>
      <c r="R37" s="5"/>
      <c r="S37" s="5"/>
      <c r="AA37" s="17"/>
      <c r="AB37" s="17"/>
      <c r="AC37" s="17"/>
      <c r="AD37" s="17"/>
      <c r="AE37" s="97"/>
    </row>
    <row r="38" spans="2:31" x14ac:dyDescent="0.3">
      <c r="B38" s="45">
        <v>2</v>
      </c>
      <c r="C38" s="5" t="str">
        <f>[1]MAIN!$O39</f>
        <v>Çıktı-2</v>
      </c>
      <c r="D38" s="5">
        <v>5</v>
      </c>
      <c r="E38" s="46">
        <f>Tablo436[[#This Row],[DERS ÇIKTISI KATSAYISI]]-J44</f>
        <v>0</v>
      </c>
      <c r="F38" s="5"/>
      <c r="G38" s="5"/>
      <c r="H38" s="5"/>
      <c r="I38" s="5"/>
      <c r="J38" s="5"/>
      <c r="K38" s="5"/>
      <c r="L38" s="5"/>
      <c r="M38" s="17"/>
      <c r="N38" s="17"/>
      <c r="O38" s="17"/>
      <c r="P38" s="17"/>
      <c r="Q38" s="5"/>
      <c r="R38" s="5"/>
      <c r="S38" s="5"/>
      <c r="AA38" s="17"/>
      <c r="AB38" s="17"/>
      <c r="AC38" s="17"/>
      <c r="AD38" s="17"/>
      <c r="AE38" s="97"/>
    </row>
    <row r="39" spans="2:31" x14ac:dyDescent="0.3">
      <c r="B39" s="45">
        <v>3</v>
      </c>
      <c r="C39" s="5" t="str">
        <f>[1]MAIN!$O40</f>
        <v>Çıktı-3</v>
      </c>
      <c r="D39" s="5">
        <f>[1]MAIN!R40</f>
        <v>40</v>
      </c>
      <c r="E39" s="46">
        <f>Tablo436[[#This Row],[DERS ÇIKTISI KATSAYISI]]-J45</f>
        <v>0</v>
      </c>
      <c r="F39" s="5"/>
      <c r="G39" s="5"/>
      <c r="H39" s="5"/>
      <c r="I39" s="5"/>
      <c r="J39" s="5"/>
      <c r="K39" s="5"/>
      <c r="L39" s="5"/>
      <c r="M39" s="17"/>
      <c r="N39" s="17"/>
      <c r="O39" s="17"/>
      <c r="P39" s="17"/>
      <c r="Q39" s="5"/>
      <c r="R39" s="5"/>
      <c r="S39" s="5"/>
      <c r="AA39" s="17"/>
      <c r="AB39" s="17"/>
      <c r="AC39" s="17"/>
      <c r="AD39" s="17"/>
      <c r="AE39" s="97"/>
    </row>
    <row r="40" spans="2:31" x14ac:dyDescent="0.3">
      <c r="B40" s="1">
        <v>4</v>
      </c>
      <c r="C40" s="5" t="str">
        <f>[1]MAIN!$O41</f>
        <v>Çıktı-4</v>
      </c>
      <c r="D40" s="5">
        <f>[1]MAIN!R41</f>
        <v>20</v>
      </c>
      <c r="E40" s="46">
        <f>Tablo436[[#This Row],[DERS ÇIKTISI KATSAYISI]]-J46</f>
        <v>0</v>
      </c>
      <c r="F40" s="5"/>
      <c r="G40" s="5"/>
      <c r="H40" s="5"/>
      <c r="I40" s="5"/>
      <c r="J40" s="5"/>
      <c r="K40" s="5"/>
      <c r="L40" s="5"/>
      <c r="M40" s="17"/>
      <c r="N40" s="17"/>
      <c r="O40" s="17"/>
      <c r="P40" s="17"/>
      <c r="Q40" s="5"/>
      <c r="R40" s="5"/>
      <c r="S40" s="5"/>
      <c r="AA40" s="17"/>
      <c r="AB40" s="17"/>
      <c r="AC40" s="17"/>
      <c r="AD40" s="17"/>
      <c r="AE40" s="97"/>
    </row>
    <row r="41" spans="2:31" x14ac:dyDescent="0.3">
      <c r="C41" s="5"/>
      <c r="D41" s="5"/>
      <c r="E41" s="5"/>
      <c r="F41" s="5"/>
      <c r="G41" s="5"/>
      <c r="H41" s="5"/>
      <c r="I41" s="5"/>
      <c r="J41" s="5"/>
      <c r="K41" s="5"/>
      <c r="L41" s="5"/>
      <c r="M41" s="17"/>
      <c r="N41" s="17"/>
      <c r="O41" s="17"/>
      <c r="P41" s="17"/>
      <c r="Q41" s="5"/>
      <c r="R41" s="5"/>
      <c r="S41" s="5"/>
      <c r="AA41" s="17"/>
      <c r="AB41" s="17"/>
      <c r="AC41" s="17"/>
      <c r="AD41" s="17"/>
      <c r="AE41" s="97"/>
    </row>
    <row r="42" spans="2:31" ht="15" thickBot="1" x14ac:dyDescent="0.35">
      <c r="B42" s="6" t="s">
        <v>89</v>
      </c>
      <c r="C42" s="12" t="s">
        <v>19</v>
      </c>
      <c r="D42" s="12" t="s">
        <v>20</v>
      </c>
      <c r="E42" s="12" t="s">
        <v>21</v>
      </c>
      <c r="F42" s="12" t="s">
        <v>22</v>
      </c>
      <c r="G42" s="12" t="s">
        <v>23</v>
      </c>
      <c r="H42" s="12" t="s">
        <v>24</v>
      </c>
      <c r="I42" s="12" t="s">
        <v>29</v>
      </c>
      <c r="J42" s="49" t="s">
        <v>90</v>
      </c>
      <c r="K42" s="13" t="s">
        <v>91</v>
      </c>
      <c r="L42" s="6" t="s">
        <v>92</v>
      </c>
      <c r="M42" s="17"/>
      <c r="N42" s="17"/>
      <c r="O42" s="17"/>
      <c r="P42" s="17"/>
      <c r="Q42" s="5"/>
      <c r="R42" s="5"/>
      <c r="S42" s="5"/>
      <c r="AA42" s="17"/>
      <c r="AB42" s="17"/>
      <c r="AC42" s="17"/>
      <c r="AD42" s="17"/>
      <c r="AE42" s="97"/>
    </row>
    <row r="43" spans="2:31" ht="15.6" thickTop="1" thickBot="1" x14ac:dyDescent="0.35">
      <c r="B43" s="50">
        <v>1</v>
      </c>
      <c r="C43" s="51">
        <v>0</v>
      </c>
      <c r="D43" s="51">
        <v>5</v>
      </c>
      <c r="E43" s="51">
        <v>10</v>
      </c>
      <c r="F43" s="51">
        <v>20</v>
      </c>
      <c r="G43" s="51">
        <v>10</v>
      </c>
      <c r="H43" s="51">
        <v>10</v>
      </c>
      <c r="I43" s="51">
        <v>15</v>
      </c>
      <c r="J43" s="52">
        <f>SUM(Tablo1637[[#This Row],[Q1]:[Q7]])</f>
        <v>70</v>
      </c>
      <c r="K43" s="53">
        <f>IF($J43=0,"0",SUM(Tablo1738[DÇ1])/(30*D37))</f>
        <v>0.4028174603174603</v>
      </c>
      <c r="L43" s="52">
        <f>$K43*$D37</f>
        <v>28.197222222222219</v>
      </c>
      <c r="M43" s="17"/>
      <c r="N43" s="17"/>
      <c r="O43" s="17"/>
      <c r="P43" s="17"/>
      <c r="Q43" s="5"/>
      <c r="R43" s="5"/>
      <c r="S43" s="5"/>
      <c r="AA43" s="17"/>
      <c r="AB43" s="17"/>
      <c r="AC43" s="17"/>
      <c r="AD43" s="17"/>
      <c r="AE43" s="97"/>
    </row>
    <row r="44" spans="2:31" ht="15.6" thickTop="1" thickBot="1" x14ac:dyDescent="0.35">
      <c r="B44" s="17">
        <v>2</v>
      </c>
      <c r="C44" s="54">
        <v>0</v>
      </c>
      <c r="D44" s="54">
        <v>0</v>
      </c>
      <c r="E44" s="54">
        <v>5</v>
      </c>
      <c r="F44" s="54">
        <v>0</v>
      </c>
      <c r="G44" s="54">
        <v>0</v>
      </c>
      <c r="H44" s="54">
        <v>0</v>
      </c>
      <c r="I44" s="54">
        <v>0</v>
      </c>
      <c r="J44" s="52">
        <f>SUM(Tablo1637[[#This Row],[Q1]:[Q7]])</f>
        <v>5</v>
      </c>
      <c r="K44" s="53">
        <f>IF($J44=0,"0",SUM(Tablo1738[DÇ2])/(30*D38))</f>
        <v>0.40916666666666668</v>
      </c>
      <c r="L44" s="52">
        <f>$K44*$D38</f>
        <v>2.0458333333333334</v>
      </c>
      <c r="M44" s="17"/>
      <c r="N44" s="17"/>
      <c r="O44" s="17"/>
      <c r="P44" s="17"/>
      <c r="Q44" s="5"/>
      <c r="R44" s="5"/>
      <c r="S44" s="5"/>
      <c r="AA44" s="17"/>
      <c r="AB44" s="17"/>
      <c r="AC44" s="17"/>
      <c r="AD44" s="17"/>
      <c r="AE44" s="97"/>
    </row>
    <row r="45" spans="2:31" ht="15.6" thickTop="1" thickBot="1" x14ac:dyDescent="0.35">
      <c r="B45" s="17">
        <v>3</v>
      </c>
      <c r="C45" s="54">
        <v>0</v>
      </c>
      <c r="D45" s="54">
        <v>5</v>
      </c>
      <c r="E45" s="54">
        <v>15</v>
      </c>
      <c r="F45" s="54">
        <v>10</v>
      </c>
      <c r="G45" s="54">
        <v>0</v>
      </c>
      <c r="H45" s="54">
        <v>10</v>
      </c>
      <c r="I45" s="54">
        <v>0</v>
      </c>
      <c r="J45" s="52">
        <f>SUM(Tablo1637[[#This Row],[Q1]:[Q7]])</f>
        <v>40</v>
      </c>
      <c r="K45" s="53">
        <f>IF($J45=0,"0",SUM(Tablo1738[DÇ3])/(30*D39))</f>
        <v>0.39246527777777773</v>
      </c>
      <c r="L45" s="52">
        <f>$K45*$D39</f>
        <v>15.698611111111109</v>
      </c>
      <c r="M45" s="17"/>
      <c r="N45" s="17"/>
      <c r="O45" s="17"/>
      <c r="P45" s="17"/>
      <c r="Q45" s="5"/>
      <c r="R45" s="5"/>
      <c r="S45" s="5"/>
      <c r="AA45" s="17"/>
      <c r="AB45" s="17"/>
      <c r="AC45" s="17"/>
      <c r="AD45" s="17"/>
      <c r="AE45" s="97"/>
    </row>
    <row r="46" spans="2:31" ht="15.6" thickTop="1" thickBot="1" x14ac:dyDescent="0.35">
      <c r="B46" s="17">
        <v>4</v>
      </c>
      <c r="C46" s="54">
        <v>20</v>
      </c>
      <c r="D46" s="54">
        <v>0</v>
      </c>
      <c r="E46" s="54">
        <v>0</v>
      </c>
      <c r="F46" s="54">
        <v>0</v>
      </c>
      <c r="G46" s="54">
        <v>0</v>
      </c>
      <c r="H46" s="54">
        <v>0</v>
      </c>
      <c r="I46" s="54">
        <v>0</v>
      </c>
      <c r="J46" s="52">
        <f>SUM(Tablo1637[[#This Row],[Q1]:[Q7]])</f>
        <v>20</v>
      </c>
      <c r="K46" s="53">
        <f>IF($J46=0,"0",SUM(Tablo1738[DÇ4])/(30*D40))</f>
        <v>0.17666666666666667</v>
      </c>
      <c r="L46" s="52">
        <f>$K46*$D40</f>
        <v>3.5333333333333332</v>
      </c>
      <c r="M46" s="17"/>
      <c r="N46" s="17"/>
      <c r="O46" s="17"/>
      <c r="P46" s="17"/>
      <c r="Q46" s="5"/>
      <c r="R46" s="5"/>
      <c r="S46" s="5"/>
      <c r="AA46" s="17"/>
      <c r="AB46" s="17"/>
      <c r="AC46" s="17"/>
      <c r="AD46" s="17"/>
      <c r="AE46" s="97"/>
    </row>
    <row r="47" spans="2:31" ht="15" thickTop="1" x14ac:dyDescent="0.3">
      <c r="B47" s="95" t="s">
        <v>126</v>
      </c>
      <c r="C47" s="95"/>
      <c r="D47" s="95"/>
      <c r="E47" s="95"/>
      <c r="F47" s="95"/>
      <c r="G47" s="95"/>
      <c r="H47" s="95"/>
      <c r="I47" s="95"/>
      <c r="J47" s="95"/>
      <c r="K47" s="95"/>
      <c r="L47" s="5"/>
      <c r="M47" s="17"/>
      <c r="N47" s="17"/>
      <c r="O47" s="17"/>
      <c r="P47" s="17"/>
      <c r="Q47" s="5"/>
      <c r="R47" s="5"/>
      <c r="S47" s="5"/>
      <c r="AA47" s="17"/>
      <c r="AB47" s="17"/>
      <c r="AC47" s="17"/>
      <c r="AD47" s="17"/>
      <c r="AE47" s="97"/>
    </row>
    <row r="48" spans="2:31" x14ac:dyDescent="0.3">
      <c r="C48" s="5"/>
      <c r="D48" s="5"/>
      <c r="G48" s="1"/>
      <c r="K48" s="5"/>
      <c r="L48" s="1"/>
      <c r="M48" s="17"/>
      <c r="N48" s="17"/>
      <c r="O48" s="17"/>
      <c r="P48" s="17"/>
      <c r="Q48" s="5"/>
      <c r="R48" s="5"/>
      <c r="S48" s="5"/>
      <c r="AA48" s="17"/>
      <c r="AB48" s="17"/>
      <c r="AC48" s="17"/>
      <c r="AD48" s="17"/>
      <c r="AE48" s="97"/>
    </row>
    <row r="49" spans="2:31" x14ac:dyDescent="0.3">
      <c r="C49" s="5"/>
      <c r="D49" s="5"/>
      <c r="G49" s="1"/>
      <c r="K49" s="5"/>
      <c r="L49" s="1"/>
      <c r="M49" s="17"/>
      <c r="N49" s="17"/>
      <c r="O49" s="17"/>
      <c r="P49" s="17"/>
      <c r="Q49" s="5"/>
      <c r="R49" s="5"/>
      <c r="S49" s="5"/>
      <c r="AA49" s="17"/>
      <c r="AB49" s="17"/>
      <c r="AC49" s="17"/>
      <c r="AD49" s="17"/>
      <c r="AE49" s="97"/>
    </row>
    <row r="50" spans="2:31" x14ac:dyDescent="0.3">
      <c r="C50" s="5"/>
      <c r="D50" s="5"/>
      <c r="G50" s="1"/>
      <c r="K50" s="5"/>
      <c r="L50" s="1"/>
      <c r="M50" s="17"/>
      <c r="N50" s="17"/>
      <c r="O50" s="17"/>
      <c r="P50" s="17"/>
      <c r="Q50" s="5"/>
      <c r="R50" s="5"/>
      <c r="S50" s="5"/>
      <c r="AA50" s="17"/>
      <c r="AB50" s="17"/>
      <c r="AC50" s="17"/>
      <c r="AD50" s="17"/>
      <c r="AE50" s="97"/>
    </row>
    <row r="51" spans="2:31" x14ac:dyDescent="0.3">
      <c r="B51" s="45"/>
      <c r="C51" s="45"/>
      <c r="D51" s="5"/>
      <c r="G51" s="1"/>
      <c r="L51" s="1"/>
      <c r="M51" s="17"/>
      <c r="N51" s="17"/>
      <c r="O51" s="17"/>
      <c r="P51" s="17"/>
      <c r="Q51" s="5"/>
      <c r="R51" s="5"/>
      <c r="S51" s="5"/>
      <c r="AA51" s="17"/>
      <c r="AB51" s="17"/>
      <c r="AC51" s="17"/>
      <c r="AD51" s="17"/>
      <c r="AE51" s="97"/>
    </row>
    <row r="52" spans="2:31" x14ac:dyDescent="0.3">
      <c r="B52" s="45"/>
      <c r="C52" s="45"/>
      <c r="D52" s="5"/>
      <c r="G52" s="1"/>
      <c r="L52" s="1"/>
      <c r="M52" s="17"/>
      <c r="N52" s="17"/>
      <c r="O52" s="17"/>
      <c r="P52" s="17"/>
      <c r="Q52" s="5"/>
      <c r="R52" s="5"/>
      <c r="S52" s="5"/>
      <c r="AA52" s="17"/>
      <c r="AB52" s="17"/>
      <c r="AC52" s="17"/>
      <c r="AD52" s="17"/>
      <c r="AE52" s="97"/>
    </row>
    <row r="53" spans="2:31" x14ac:dyDescent="0.3">
      <c r="B53" s="45"/>
      <c r="C53" s="45"/>
      <c r="D53" s="5"/>
      <c r="G53" s="1"/>
      <c r="L53" s="1"/>
      <c r="M53" s="17"/>
      <c r="N53" s="17"/>
      <c r="O53" s="17"/>
      <c r="P53" s="17"/>
      <c r="Q53" s="5"/>
      <c r="R53" s="5"/>
      <c r="S53" s="5"/>
      <c r="AA53" s="17"/>
      <c r="AB53" s="17"/>
      <c r="AC53" s="17"/>
      <c r="AD53" s="17"/>
      <c r="AE53" s="97"/>
    </row>
    <row r="54" spans="2:31" x14ac:dyDescent="0.3">
      <c r="B54" s="45"/>
      <c r="C54" s="45"/>
      <c r="D54" s="5"/>
      <c r="G54" s="1"/>
      <c r="L54" s="1"/>
      <c r="M54" s="17"/>
      <c r="N54" s="17"/>
      <c r="O54" s="17"/>
      <c r="P54" s="17"/>
      <c r="Q54" s="5"/>
      <c r="R54" s="5"/>
      <c r="S54" s="5"/>
      <c r="AA54" s="17"/>
      <c r="AB54" s="17"/>
      <c r="AC54" s="17"/>
      <c r="AD54" s="17"/>
      <c r="AE54" s="97"/>
    </row>
    <row r="55" spans="2:31" x14ac:dyDescent="0.3">
      <c r="B55" s="45"/>
      <c r="C55" s="45"/>
      <c r="D55" s="5"/>
      <c r="G55" s="1"/>
      <c r="L55" s="1"/>
      <c r="M55" s="17"/>
      <c r="N55" s="50" t="s">
        <v>114</v>
      </c>
      <c r="O55" s="50" t="s">
        <v>115</v>
      </c>
      <c r="P55" s="17"/>
      <c r="Q55" s="5"/>
      <c r="R55" s="5"/>
      <c r="S55" s="5"/>
      <c r="AA55" s="17"/>
      <c r="AB55" s="17"/>
      <c r="AC55" s="17"/>
      <c r="AD55" s="17"/>
      <c r="AE55" s="97"/>
    </row>
    <row r="56" spans="2:31" x14ac:dyDescent="0.3">
      <c r="B56" s="45"/>
      <c r="C56" s="45"/>
      <c r="D56" s="5"/>
      <c r="G56" s="1"/>
      <c r="L56" s="1"/>
      <c r="M56" s="17"/>
      <c r="N56" s="17">
        <f>AVERAGE(Tablo1738[TOTAL GRADE])</f>
        <v>38</v>
      </c>
      <c r="O56" s="17">
        <f>_xlfn.STDEV.P(Tablo1738[TOTAL GRADE])</f>
        <v>18.121810064118872</v>
      </c>
      <c r="P56" s="17"/>
      <c r="Q56" s="5"/>
      <c r="R56" s="5"/>
      <c r="S56" s="5"/>
      <c r="AA56" s="17"/>
      <c r="AB56" s="17"/>
      <c r="AC56" s="17"/>
      <c r="AD56" s="17"/>
      <c r="AE56" s="97"/>
    </row>
    <row r="57" spans="2:31" x14ac:dyDescent="0.3">
      <c r="B57" s="45"/>
      <c r="C57" s="45"/>
      <c r="D57" s="5"/>
      <c r="G57" s="1"/>
      <c r="L57" s="1"/>
      <c r="M57" s="17"/>
      <c r="N57" s="17"/>
      <c r="O57" s="17"/>
      <c r="P57" s="17"/>
      <c r="Q57" s="5"/>
      <c r="R57" s="5"/>
      <c r="S57" s="5"/>
      <c r="AA57" s="17"/>
      <c r="AB57" s="17"/>
      <c r="AC57" s="17"/>
      <c r="AD57" s="17"/>
      <c r="AE57" s="97"/>
    </row>
    <row r="58" spans="2:31" x14ac:dyDescent="0.3">
      <c r="B58" s="45"/>
      <c r="C58" s="45"/>
      <c r="D58" s="5"/>
      <c r="G58" s="1"/>
      <c r="L58" s="1"/>
      <c r="M58" s="17"/>
      <c r="N58" s="17"/>
      <c r="O58" s="17"/>
      <c r="P58" s="17"/>
      <c r="Q58" s="5"/>
      <c r="R58" s="5"/>
      <c r="S58" s="5"/>
      <c r="AA58" s="17"/>
      <c r="AB58" s="17"/>
      <c r="AC58" s="17"/>
      <c r="AD58" s="17"/>
      <c r="AE58" s="97"/>
    </row>
    <row r="59" spans="2:31" x14ac:dyDescent="0.3">
      <c r="B59" s="45"/>
      <c r="C59" s="45"/>
      <c r="D59" s="5"/>
      <c r="G59" s="1"/>
      <c r="L59" s="1"/>
      <c r="M59" s="17"/>
      <c r="N59" s="17"/>
      <c r="O59" s="17"/>
      <c r="P59" s="17"/>
      <c r="Q59" s="5"/>
      <c r="R59" s="5"/>
      <c r="S59" s="5"/>
      <c r="AA59" s="17"/>
      <c r="AB59" s="17"/>
      <c r="AC59" s="17"/>
      <c r="AD59" s="17"/>
      <c r="AE59" s="97"/>
    </row>
    <row r="60" spans="2:31" x14ac:dyDescent="0.3">
      <c r="B60" s="45"/>
      <c r="C60" s="45"/>
      <c r="D60" s="5"/>
      <c r="G60" s="1"/>
      <c r="L60" s="1"/>
      <c r="M60" s="17"/>
      <c r="N60" s="17"/>
      <c r="O60" s="17"/>
      <c r="P60" s="17"/>
      <c r="Q60" s="5"/>
      <c r="R60" s="5"/>
      <c r="S60" s="5"/>
      <c r="AA60" s="17"/>
      <c r="AB60" s="17"/>
      <c r="AC60" s="17"/>
      <c r="AD60" s="17"/>
      <c r="AE60" s="97"/>
    </row>
    <row r="61" spans="2:31" x14ac:dyDescent="0.3">
      <c r="B61" s="45"/>
      <c r="C61" s="45"/>
      <c r="D61" s="5"/>
      <c r="G61" s="1"/>
      <c r="L61" s="1"/>
      <c r="M61" s="17"/>
      <c r="N61" s="17"/>
      <c r="O61" s="17"/>
      <c r="P61" s="17"/>
      <c r="Q61" s="5"/>
      <c r="R61" s="5"/>
      <c r="S61" s="5"/>
      <c r="AA61" s="17"/>
      <c r="AB61" s="17"/>
      <c r="AC61" s="17"/>
      <c r="AD61" s="17"/>
      <c r="AE61" s="97"/>
    </row>
    <row r="62" spans="2:31" x14ac:dyDescent="0.3">
      <c r="B62" s="45"/>
      <c r="C62" s="45"/>
      <c r="D62" s="5"/>
      <c r="G62" s="1"/>
      <c r="L62" s="1"/>
      <c r="M62" s="17"/>
      <c r="N62" s="17"/>
      <c r="O62" s="17"/>
      <c r="P62" s="17"/>
      <c r="Q62" s="5"/>
      <c r="R62" s="5"/>
      <c r="S62" s="5"/>
      <c r="AA62" s="17"/>
      <c r="AB62" s="17"/>
      <c r="AC62" s="17"/>
      <c r="AD62" s="17"/>
      <c r="AE62" s="97"/>
    </row>
    <row r="63" spans="2:31" x14ac:dyDescent="0.3">
      <c r="B63" s="45"/>
      <c r="C63" s="45"/>
      <c r="D63" s="5"/>
      <c r="G63" s="1"/>
      <c r="L63" s="1"/>
      <c r="M63" s="17"/>
      <c r="N63" s="17"/>
      <c r="O63" s="17"/>
      <c r="P63" s="17"/>
      <c r="Q63" s="5"/>
      <c r="R63" s="5"/>
      <c r="S63" s="5"/>
      <c r="AA63" s="17"/>
      <c r="AB63" s="17"/>
      <c r="AC63" s="17"/>
      <c r="AD63" s="17"/>
      <c r="AE63" s="97"/>
    </row>
    <row r="64" spans="2:31" x14ac:dyDescent="0.3">
      <c r="B64" s="45"/>
      <c r="C64" s="45"/>
      <c r="D64" s="5"/>
      <c r="G64" s="1"/>
      <c r="L64" s="1"/>
      <c r="M64" s="17"/>
      <c r="N64" s="17"/>
      <c r="O64" s="17"/>
      <c r="P64" s="17"/>
      <c r="Q64" s="5"/>
      <c r="R64" s="5"/>
      <c r="S64" s="5"/>
      <c r="AA64" s="17"/>
      <c r="AB64" s="17"/>
      <c r="AC64" s="17"/>
      <c r="AD64" s="17"/>
      <c r="AE64" s="97"/>
    </row>
    <row r="65" spans="2:31" x14ac:dyDescent="0.3">
      <c r="B65" s="45"/>
      <c r="C65" s="45"/>
      <c r="D65" s="5"/>
      <c r="G65" s="1"/>
      <c r="L65" s="1"/>
      <c r="M65" s="17"/>
      <c r="N65" s="17"/>
      <c r="O65" s="17"/>
      <c r="P65" s="17"/>
      <c r="Q65" s="5"/>
      <c r="R65" s="5"/>
      <c r="S65" s="5"/>
      <c r="AA65" s="17"/>
      <c r="AB65" s="17"/>
      <c r="AC65" s="17"/>
      <c r="AD65" s="17"/>
      <c r="AE65" s="97"/>
    </row>
    <row r="66" spans="2:31" x14ac:dyDescent="0.3">
      <c r="B66" s="45"/>
      <c r="C66" s="45"/>
      <c r="D66" s="5"/>
      <c r="G66" s="1"/>
      <c r="L66" s="1"/>
      <c r="M66" s="17"/>
      <c r="N66" s="17"/>
      <c r="O66" s="17"/>
      <c r="P66" s="17"/>
      <c r="Q66" s="5"/>
      <c r="R66" s="5"/>
      <c r="S66" s="5"/>
      <c r="AA66" s="17"/>
      <c r="AB66" s="17"/>
      <c r="AC66" s="17"/>
      <c r="AD66" s="17"/>
      <c r="AE66" s="97"/>
    </row>
    <row r="67" spans="2:31" x14ac:dyDescent="0.3">
      <c r="B67" s="45"/>
      <c r="C67" s="45"/>
      <c r="D67" s="5"/>
      <c r="G67" s="1"/>
      <c r="L67" s="1"/>
      <c r="M67" s="17"/>
      <c r="N67" s="17"/>
      <c r="O67" s="17"/>
      <c r="P67" s="17"/>
      <c r="Q67" s="5"/>
      <c r="R67" s="5"/>
      <c r="S67" s="5"/>
      <c r="AA67" s="17"/>
      <c r="AB67" s="17"/>
      <c r="AC67" s="17"/>
      <c r="AD67" s="17"/>
      <c r="AE67" s="97"/>
    </row>
    <row r="68" spans="2:31" x14ac:dyDescent="0.3">
      <c r="B68" s="45"/>
      <c r="C68" s="45"/>
      <c r="D68" s="5"/>
      <c r="G68" s="1"/>
      <c r="L68" s="1"/>
      <c r="M68" s="17"/>
      <c r="N68" s="17"/>
      <c r="O68" s="17"/>
      <c r="P68" s="17"/>
      <c r="Q68" s="5"/>
      <c r="R68" s="5"/>
      <c r="S68" s="5"/>
      <c r="AA68" s="17"/>
      <c r="AB68" s="17"/>
      <c r="AC68" s="17"/>
      <c r="AD68" s="17"/>
      <c r="AE68" s="97"/>
    </row>
    <row r="69" spans="2:31" x14ac:dyDescent="0.3">
      <c r="B69" s="45"/>
      <c r="G69" s="1"/>
      <c r="L69" s="1"/>
      <c r="M69" s="1"/>
      <c r="N69" s="1"/>
      <c r="O69" s="1"/>
      <c r="P69" s="1"/>
      <c r="Q69" s="1"/>
      <c r="R69" s="1"/>
      <c r="S69" s="1"/>
      <c r="T69" s="1"/>
      <c r="U69" s="17"/>
      <c r="V69" s="17"/>
      <c r="W69" s="17"/>
      <c r="X69" s="17"/>
      <c r="Y69" s="17"/>
      <c r="Z69" s="17"/>
      <c r="AA69" s="17"/>
      <c r="AB69" s="17"/>
      <c r="AC69" s="17"/>
      <c r="AD69" s="17"/>
      <c r="AE69" s="97"/>
    </row>
    <row r="70" spans="2:31" x14ac:dyDescent="0.3">
      <c r="B70" s="45"/>
      <c r="G70" s="1"/>
      <c r="L70" s="1"/>
      <c r="M70" s="1"/>
      <c r="N70" s="1"/>
      <c r="O70" s="1"/>
      <c r="P70" s="1"/>
      <c r="Q70" s="1"/>
      <c r="R70" s="1"/>
      <c r="S70" s="1"/>
      <c r="T70" s="1"/>
      <c r="U70" s="17"/>
      <c r="V70" s="17"/>
      <c r="W70" s="17"/>
      <c r="X70" s="17"/>
      <c r="Y70" s="17"/>
      <c r="Z70" s="17"/>
      <c r="AA70" s="17"/>
      <c r="AB70" s="17"/>
      <c r="AC70" s="17"/>
      <c r="AD70" s="17"/>
      <c r="AE70" s="97"/>
    </row>
    <row r="71" spans="2:31" x14ac:dyDescent="0.3">
      <c r="B71" s="45"/>
      <c r="G71" s="1"/>
      <c r="L71" s="1"/>
      <c r="M71" s="1"/>
      <c r="N71" s="1"/>
      <c r="O71" s="1"/>
      <c r="P71" s="1"/>
      <c r="Q71" s="1"/>
      <c r="R71" s="1"/>
      <c r="S71" s="1"/>
      <c r="T71" s="1"/>
      <c r="U71" s="17"/>
      <c r="V71" s="17"/>
      <c r="W71" s="17"/>
      <c r="X71" s="17"/>
      <c r="Y71" s="17"/>
      <c r="Z71" s="17"/>
      <c r="AA71" s="17"/>
      <c r="AB71" s="17"/>
      <c r="AC71" s="17"/>
      <c r="AD71" s="17"/>
      <c r="AE71" s="97"/>
    </row>
    <row r="72" spans="2:31" x14ac:dyDescent="0.3">
      <c r="B72" s="45"/>
      <c r="G72" s="1"/>
      <c r="L72" s="1"/>
      <c r="M72" s="1"/>
      <c r="N72" s="1"/>
      <c r="O72" s="1"/>
      <c r="P72" s="1"/>
      <c r="Q72" s="1"/>
      <c r="R72" s="1"/>
      <c r="S72" s="1"/>
      <c r="T72" s="1"/>
      <c r="U72" s="17"/>
      <c r="V72" s="17"/>
      <c r="W72" s="17"/>
      <c r="X72" s="17"/>
      <c r="Y72" s="17"/>
      <c r="Z72" s="17"/>
      <c r="AA72" s="17"/>
      <c r="AB72" s="17"/>
      <c r="AC72" s="17"/>
      <c r="AD72" s="17"/>
      <c r="AE72" s="97"/>
    </row>
    <row r="73" spans="2:31" x14ac:dyDescent="0.3">
      <c r="B73" s="45"/>
      <c r="G73" s="1"/>
      <c r="L73" s="1"/>
      <c r="M73" s="1"/>
      <c r="N73" s="1"/>
      <c r="O73" s="1"/>
      <c r="P73" s="1"/>
      <c r="Q73" s="1"/>
      <c r="R73" s="1"/>
      <c r="S73" s="1"/>
      <c r="T73" s="1"/>
      <c r="U73" s="17"/>
      <c r="V73" s="17"/>
      <c r="W73" s="17"/>
      <c r="X73" s="17"/>
      <c r="Y73" s="17"/>
      <c r="Z73" s="17"/>
      <c r="AA73" s="17"/>
      <c r="AB73" s="17"/>
      <c r="AC73" s="17"/>
      <c r="AD73" s="17"/>
      <c r="AE73" s="97"/>
    </row>
    <row r="74" spans="2:31" x14ac:dyDescent="0.3">
      <c r="B74" s="45"/>
      <c r="G74" s="1"/>
      <c r="L74" s="1"/>
      <c r="M74" s="1"/>
      <c r="N74" s="1"/>
      <c r="O74" s="1"/>
      <c r="P74" s="1"/>
      <c r="Q74" s="1"/>
      <c r="R74" s="1"/>
      <c r="S74" s="1"/>
      <c r="T74" s="1"/>
      <c r="U74" s="17"/>
      <c r="V74" s="17"/>
      <c r="W74" s="17"/>
      <c r="X74" s="17"/>
      <c r="Y74" s="17"/>
      <c r="Z74" s="17"/>
      <c r="AA74" s="17"/>
      <c r="AB74" s="17"/>
      <c r="AC74" s="17"/>
      <c r="AD74" s="17"/>
      <c r="AE74" s="97"/>
    </row>
    <row r="75" spans="2:31" x14ac:dyDescent="0.3">
      <c r="B75" s="45"/>
      <c r="G75" s="1"/>
      <c r="L75" s="1"/>
      <c r="M75" s="1"/>
      <c r="N75" s="1"/>
      <c r="O75" s="1"/>
      <c r="P75" s="1"/>
      <c r="Q75" s="1"/>
      <c r="R75" s="1"/>
      <c r="S75" s="1"/>
      <c r="T75" s="1"/>
      <c r="U75" s="17"/>
      <c r="V75" s="17"/>
      <c r="W75" s="17"/>
      <c r="X75" s="17"/>
      <c r="Y75" s="17"/>
      <c r="Z75" s="17"/>
      <c r="AA75" s="17"/>
      <c r="AB75" s="17"/>
      <c r="AC75" s="17"/>
      <c r="AD75" s="17"/>
      <c r="AE75" s="97"/>
    </row>
    <row r="76" spans="2:31" x14ac:dyDescent="0.3">
      <c r="B76" s="45"/>
      <c r="G76" s="1"/>
      <c r="L76" s="1"/>
      <c r="M76" s="1"/>
      <c r="N76" s="1"/>
      <c r="O76" s="1"/>
      <c r="P76" s="1"/>
      <c r="Q76" s="1"/>
      <c r="R76" s="1"/>
      <c r="S76" s="1"/>
      <c r="T76" s="1"/>
      <c r="U76" s="17"/>
      <c r="V76" s="17"/>
      <c r="W76" s="17"/>
      <c r="X76" s="17"/>
      <c r="Y76" s="17"/>
      <c r="Z76" s="17"/>
      <c r="AA76" s="17"/>
      <c r="AB76" s="17"/>
      <c r="AC76" s="17"/>
      <c r="AD76" s="17"/>
      <c r="AE76" s="97"/>
    </row>
    <row r="77" spans="2:31" x14ac:dyDescent="0.3">
      <c r="B77" s="45"/>
      <c r="G77" s="1"/>
      <c r="L77" s="1"/>
      <c r="M77" s="1"/>
      <c r="N77" s="1"/>
      <c r="O77" s="1"/>
      <c r="P77" s="1"/>
      <c r="Q77" s="1"/>
      <c r="R77" s="1"/>
      <c r="S77" s="1"/>
      <c r="T77" s="1"/>
      <c r="U77" s="17"/>
      <c r="V77" s="17"/>
      <c r="W77" s="17"/>
      <c r="X77" s="17"/>
      <c r="Y77" s="17"/>
      <c r="Z77" s="17"/>
      <c r="AA77" s="17"/>
      <c r="AB77" s="17"/>
      <c r="AC77" s="17"/>
      <c r="AD77" s="17"/>
      <c r="AE77" s="97"/>
    </row>
    <row r="78" spans="2:31" x14ac:dyDescent="0.3">
      <c r="B78" s="45"/>
      <c r="G78" s="1"/>
      <c r="L78" s="1"/>
      <c r="M78" s="1"/>
      <c r="N78" s="1"/>
      <c r="O78" s="1"/>
      <c r="P78" s="1"/>
      <c r="Q78" s="1"/>
      <c r="R78" s="1"/>
      <c r="S78" s="1"/>
      <c r="T78" s="1"/>
      <c r="U78" s="17"/>
      <c r="V78" s="17"/>
      <c r="W78" s="17"/>
      <c r="X78" s="17"/>
      <c r="Y78" s="17"/>
      <c r="Z78" s="17"/>
      <c r="AA78" s="17"/>
      <c r="AB78" s="17"/>
      <c r="AC78" s="17"/>
      <c r="AD78" s="17"/>
      <c r="AE78" s="97"/>
    </row>
    <row r="79" spans="2:31" x14ac:dyDescent="0.3">
      <c r="B79" s="45"/>
      <c r="G79" s="1"/>
      <c r="L79" s="1"/>
      <c r="M79" s="1"/>
      <c r="N79" s="1"/>
      <c r="O79" s="1"/>
      <c r="P79" s="1"/>
      <c r="Q79" s="1"/>
      <c r="R79" s="1"/>
      <c r="S79" s="1"/>
      <c r="T79" s="1"/>
      <c r="U79" s="17"/>
      <c r="V79" s="17"/>
      <c r="W79" s="17"/>
      <c r="X79" s="17"/>
      <c r="Y79" s="17"/>
      <c r="Z79" s="17"/>
      <c r="AA79" s="17"/>
      <c r="AB79" s="17"/>
      <c r="AC79" s="17"/>
      <c r="AD79" s="17"/>
      <c r="AE79" s="97"/>
    </row>
    <row r="80" spans="2:31" x14ac:dyDescent="0.3">
      <c r="B80" s="45"/>
      <c r="G80" s="1"/>
      <c r="L80" s="1"/>
      <c r="M80" s="1"/>
      <c r="N80" s="1"/>
      <c r="O80" s="1"/>
      <c r="P80" s="1"/>
      <c r="Q80" s="1"/>
      <c r="R80" s="1"/>
      <c r="S80" s="1"/>
      <c r="T80" s="1"/>
      <c r="U80" s="17"/>
      <c r="V80" s="17"/>
      <c r="W80" s="17"/>
      <c r="X80" s="17"/>
      <c r="Y80" s="17"/>
      <c r="Z80" s="17"/>
      <c r="AA80" s="17"/>
      <c r="AB80" s="17"/>
      <c r="AC80" s="17"/>
      <c r="AD80" s="17"/>
      <c r="AE80" s="97"/>
    </row>
    <row r="81" spans="2:20" x14ac:dyDescent="0.3">
      <c r="B81" s="45"/>
      <c r="T81" s="1"/>
    </row>
    <row r="82" spans="2:20" x14ac:dyDescent="0.3">
      <c r="B82" s="45"/>
      <c r="T82" s="1"/>
    </row>
    <row r="83" spans="2:20" x14ac:dyDescent="0.3">
      <c r="B83" s="45"/>
      <c r="T83" s="1"/>
    </row>
    <row r="84" spans="2:20" x14ac:dyDescent="0.3">
      <c r="B84" s="45"/>
      <c r="T84" s="1"/>
    </row>
    <row r="85" spans="2:20" x14ac:dyDescent="0.3">
      <c r="B85" s="45"/>
      <c r="T85" s="1"/>
    </row>
    <row r="86" spans="2:20" x14ac:dyDescent="0.3">
      <c r="B86" s="45"/>
      <c r="T86" s="1"/>
    </row>
    <row r="87" spans="2:20" x14ac:dyDescent="0.3">
      <c r="B87" s="45"/>
      <c r="T87" s="1"/>
    </row>
    <row r="88" spans="2:20" x14ac:dyDescent="0.3">
      <c r="B88" s="45"/>
      <c r="T88" s="1"/>
    </row>
    <row r="89" spans="2:20" x14ac:dyDescent="0.3">
      <c r="B89" s="45"/>
      <c r="T89" s="1"/>
    </row>
    <row r="90" spans="2:20" x14ac:dyDescent="0.3">
      <c r="B90" s="45"/>
      <c r="T90" s="1"/>
    </row>
    <row r="91" spans="2:20" x14ac:dyDescent="0.3">
      <c r="B91" s="45"/>
      <c r="T91" s="1"/>
    </row>
    <row r="92" spans="2:20" x14ac:dyDescent="0.3">
      <c r="B92" s="45"/>
      <c r="T92" s="1"/>
    </row>
    <row r="93" spans="2:20" x14ac:dyDescent="0.3">
      <c r="B93" s="45"/>
      <c r="T93" s="1"/>
    </row>
    <row r="94" spans="2:20" x14ac:dyDescent="0.3">
      <c r="B94" s="45"/>
      <c r="T94" s="1"/>
    </row>
    <row r="95" spans="2:20" x14ac:dyDescent="0.3">
      <c r="B95" s="45"/>
      <c r="T95" s="1"/>
    </row>
    <row r="96" spans="2:20" x14ac:dyDescent="0.3">
      <c r="B96" s="45"/>
      <c r="T96" s="1"/>
    </row>
    <row r="97" spans="2:20" x14ac:dyDescent="0.3">
      <c r="B97" s="45"/>
      <c r="T97" s="1"/>
    </row>
  </sheetData>
  <mergeCells count="2">
    <mergeCell ref="B1:V1"/>
    <mergeCell ref="B47:K47"/>
  </mergeCells>
  <conditionalFormatting sqref="E40">
    <cfRule type="cellIs" dxfId="71" priority="1" operator="greaterThan">
      <formula>$D$40</formula>
    </cfRule>
  </conditionalFormatting>
  <conditionalFormatting sqref="E37:E40">
    <cfRule type="cellIs" dxfId="70" priority="21" operator="equal">
      <formula>0</formula>
    </cfRule>
    <cfRule type="cellIs" dxfId="69" priority="22" operator="lessThan">
      <formula>0</formula>
    </cfRule>
  </conditionalFormatting>
  <conditionalFormatting sqref="F5:L34">
    <cfRule type="cellIs" dxfId="68" priority="20" operator="lessThan">
      <formula>0</formula>
    </cfRule>
  </conditionalFormatting>
  <conditionalFormatting sqref="F5:F34">
    <cfRule type="cellIs" dxfId="67" priority="19" operator="greaterThan">
      <formula>"0$T$10"</formula>
    </cfRule>
  </conditionalFormatting>
  <conditionalFormatting sqref="M5:M34">
    <cfRule type="cellIs" dxfId="66" priority="17" operator="greaterThan">
      <formula>100</formula>
    </cfRule>
    <cfRule type="cellIs" dxfId="65" priority="18" operator="lessThan">
      <formula>0</formula>
    </cfRule>
  </conditionalFormatting>
  <conditionalFormatting sqref="J43">
    <cfRule type="cellIs" dxfId="64" priority="8" operator="greaterThan">
      <formula>$D$37</formula>
    </cfRule>
    <cfRule type="cellIs" dxfId="63" priority="12" operator="lessThan">
      <formula>$D$37</formula>
    </cfRule>
    <cfRule type="cellIs" dxfId="62" priority="16" operator="equal">
      <formula>$D$37</formula>
    </cfRule>
  </conditionalFormatting>
  <conditionalFormatting sqref="J44">
    <cfRule type="cellIs" dxfId="61" priority="7" operator="greaterThan">
      <formula>$D$38</formula>
    </cfRule>
    <cfRule type="cellIs" dxfId="60" priority="11" operator="lessThan">
      <formula>$D$38</formula>
    </cfRule>
    <cfRule type="cellIs" dxfId="59" priority="15" operator="equal">
      <formula>$D$38</formula>
    </cfRule>
  </conditionalFormatting>
  <conditionalFormatting sqref="J45">
    <cfRule type="cellIs" dxfId="58" priority="6" operator="greaterThan">
      <formula>$D$39</formula>
    </cfRule>
    <cfRule type="cellIs" dxfId="57" priority="10" operator="lessThan">
      <formula>$D$39</formula>
    </cfRule>
    <cfRule type="cellIs" dxfId="56" priority="14" operator="equal">
      <formula>$D$39</formula>
    </cfRule>
  </conditionalFormatting>
  <conditionalFormatting sqref="J46">
    <cfRule type="cellIs" dxfId="55" priority="5" operator="greaterThan">
      <formula>$D$40</formula>
    </cfRule>
    <cfRule type="cellIs" dxfId="54" priority="9" operator="lessThan">
      <formula>$D$40</formula>
    </cfRule>
    <cfRule type="cellIs" dxfId="53" priority="13" operator="equal">
      <formula>$D$40</formula>
    </cfRule>
  </conditionalFormatting>
  <conditionalFormatting sqref="Q5:Q34">
    <cfRule type="cellIs" dxfId="52" priority="23" operator="greaterThan">
      <formula>$J$46</formula>
    </cfRule>
  </conditionalFormatting>
  <conditionalFormatting sqref="G5:G34">
    <cfRule type="cellIs" dxfId="51" priority="24" operator="greaterThan">
      <formula>$I$37</formula>
    </cfRule>
  </conditionalFormatting>
  <conditionalFormatting sqref="H5:H34">
    <cfRule type="cellIs" dxfId="50" priority="25" operator="greaterThan">
      <formula>$J$37</formula>
    </cfRule>
  </conditionalFormatting>
  <conditionalFormatting sqref="I5:I34">
    <cfRule type="cellIs" dxfId="49" priority="26" operator="greaterThan">
      <formula>$K$37</formula>
    </cfRule>
  </conditionalFormatting>
  <conditionalFormatting sqref="J5:J34">
    <cfRule type="cellIs" dxfId="48" priority="27" operator="greaterThan">
      <formula>$L$37</formula>
    </cfRule>
  </conditionalFormatting>
  <conditionalFormatting sqref="K5:K34">
    <cfRule type="cellIs" dxfId="47" priority="28" operator="greaterThan">
      <formula>$M$37</formula>
    </cfRule>
  </conditionalFormatting>
  <conditionalFormatting sqref="L5:L34">
    <cfRule type="cellIs" dxfId="46" priority="29" operator="greaterThan">
      <formula>$N$37</formula>
    </cfRule>
  </conditionalFormatting>
  <conditionalFormatting sqref="N5:N34">
    <cfRule type="cellIs" dxfId="45" priority="30" operator="greaterThan">
      <formula>$J$43</formula>
    </cfRule>
  </conditionalFormatting>
  <conditionalFormatting sqref="O5:O34">
    <cfRule type="cellIs" dxfId="44" priority="31" operator="greaterThan">
      <formula>$J$44</formula>
    </cfRule>
  </conditionalFormatting>
  <conditionalFormatting sqref="P5:P34">
    <cfRule type="cellIs" dxfId="43" priority="32" operator="greaterThan">
      <formula>$J$45</formula>
    </cfRule>
  </conditionalFormatting>
  <conditionalFormatting sqref="E37">
    <cfRule type="cellIs" dxfId="42" priority="4" operator="greaterThan">
      <formula>$D$37</formula>
    </cfRule>
  </conditionalFormatting>
  <conditionalFormatting sqref="E38">
    <cfRule type="cellIs" dxfId="41" priority="3" operator="greaterThan">
      <formula>$D$38</formula>
    </cfRule>
  </conditionalFormatting>
  <conditionalFormatting sqref="E39">
    <cfRule type="cellIs" dxfId="40" priority="2" operator="greaterThan">
      <formula>$D$39</formula>
    </cfRule>
  </conditionalFormatting>
  <pageMargins left="0.7" right="0.7" top="0.75" bottom="0.75" header="0.511811023622047" footer="0.511811023622047"/>
  <pageSetup paperSize="9" orientation="portrait" horizontalDpi="300" verticalDpi="300" r:id="rId1"/>
  <drawing r:id="rId2"/>
  <legacyDrawing r:id="rId3"/>
  <tableParts count="6">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3248B-6C8C-432D-99F1-D319018E0527}">
  <dimension ref="B1:V45"/>
  <sheetViews>
    <sheetView topLeftCell="J4" zoomScale="70" zoomScaleNormal="70" workbookViewId="0">
      <selection activeCell="AD17" sqref="AD17"/>
    </sheetView>
  </sheetViews>
  <sheetFormatPr defaultRowHeight="14.4" x14ac:dyDescent="0.3"/>
  <cols>
    <col min="1" max="1" width="14.5546875" style="5" customWidth="1"/>
    <col min="2" max="2" width="15.33203125" style="5" customWidth="1"/>
    <col min="3" max="3" width="17.44140625" style="5" bestFit="1" customWidth="1"/>
    <col min="4" max="4" width="11.6640625" style="5" bestFit="1" customWidth="1"/>
    <col min="5" max="5" width="12" style="5" customWidth="1"/>
    <col min="6" max="6" width="10" style="5" bestFit="1" customWidth="1"/>
    <col min="7" max="8" width="11.6640625" style="5" bestFit="1" customWidth="1"/>
    <col min="9" max="9" width="14.88671875" style="5" bestFit="1" customWidth="1"/>
    <col min="10" max="10" width="15.6640625" style="5" customWidth="1"/>
    <col min="11" max="11" width="17.44140625" style="5" bestFit="1" customWidth="1"/>
    <col min="12" max="12" width="15.6640625" style="5" bestFit="1" customWidth="1"/>
    <col min="13" max="13" width="16.88671875" style="5" customWidth="1"/>
    <col min="14" max="14" width="18.33203125" style="5" bestFit="1" customWidth="1"/>
    <col min="15" max="15" width="23.88671875" style="5" bestFit="1" customWidth="1"/>
    <col min="16" max="16" width="18" style="5" bestFit="1" customWidth="1"/>
    <col min="17" max="17" width="13.33203125" style="5" bestFit="1" customWidth="1"/>
    <col min="18" max="19" width="9.33203125" style="5" bestFit="1" customWidth="1"/>
    <col min="20" max="21" width="13.33203125" style="5" bestFit="1" customWidth="1"/>
    <col min="22" max="22" width="16.88671875" style="5" bestFit="1" customWidth="1"/>
    <col min="23" max="23" width="18.33203125" style="5" bestFit="1" customWidth="1"/>
    <col min="24" max="24" width="23.88671875" style="5" bestFit="1" customWidth="1"/>
    <col min="25" max="25" width="18" style="5" bestFit="1" customWidth="1"/>
    <col min="26" max="16384" width="8.88671875" style="5"/>
  </cols>
  <sheetData>
    <row r="1" spans="2:22" ht="33.6" x14ac:dyDescent="0.3">
      <c r="B1" s="67" t="s">
        <v>135</v>
      </c>
      <c r="C1" s="67"/>
      <c r="D1" s="67"/>
      <c r="E1" s="67"/>
      <c r="F1" s="67"/>
      <c r="G1" s="67"/>
      <c r="H1" s="67"/>
      <c r="I1" s="67"/>
      <c r="J1" s="67"/>
      <c r="K1" s="67"/>
      <c r="L1" s="67"/>
      <c r="M1" s="67"/>
      <c r="N1" s="67"/>
      <c r="O1" s="67"/>
      <c r="P1" s="67"/>
      <c r="Q1" s="67"/>
      <c r="R1" s="67"/>
      <c r="S1" s="67"/>
      <c r="T1" s="67"/>
      <c r="U1" s="67"/>
      <c r="V1" s="67"/>
    </row>
    <row r="3" spans="2:22" x14ac:dyDescent="0.3">
      <c r="T3" s="6" t="s">
        <v>134</v>
      </c>
      <c r="U3" s="6" t="s">
        <v>133</v>
      </c>
    </row>
    <row r="4" spans="2:22" ht="15" thickBot="1" x14ac:dyDescent="0.35">
      <c r="B4" s="106" t="s">
        <v>98</v>
      </c>
      <c r="C4" s="2" t="s">
        <v>99</v>
      </c>
      <c r="D4" s="105" t="s">
        <v>110</v>
      </c>
      <c r="E4" s="105" t="s">
        <v>111</v>
      </c>
      <c r="F4" s="6" t="s">
        <v>132</v>
      </c>
      <c r="G4" s="6" t="s">
        <v>131</v>
      </c>
      <c r="H4" s="6" t="s">
        <v>130</v>
      </c>
      <c r="I4" s="6" t="s">
        <v>129</v>
      </c>
      <c r="J4" s="6" t="s">
        <v>128</v>
      </c>
      <c r="K4" s="6" t="s">
        <v>30</v>
      </c>
      <c r="L4" s="6" t="s">
        <v>72</v>
      </c>
      <c r="M4" s="6" t="s">
        <v>73</v>
      </c>
      <c r="N4" s="6" t="s">
        <v>74</v>
      </c>
      <c r="O4" s="6" t="s">
        <v>75</v>
      </c>
      <c r="P4" s="6" t="s">
        <v>122</v>
      </c>
      <c r="Q4" s="6" t="s">
        <v>112</v>
      </c>
      <c r="R4" s="6"/>
      <c r="S4" s="6"/>
      <c r="T4" s="5">
        <f>AVERAGE(Tablo3[TOTAL])</f>
        <v>4.6366666666666667</v>
      </c>
      <c r="U4" s="5">
        <f>_xlfn.STDEV.P(Tablo3[TOTAL])</f>
        <v>1.8974515072122995</v>
      </c>
    </row>
    <row r="5" spans="2:22" ht="15.6" thickTop="1" thickBot="1" x14ac:dyDescent="0.35">
      <c r="B5" s="104">
        <v>1</v>
      </c>
      <c r="C5" s="17">
        <v>1</v>
      </c>
      <c r="D5" s="71" t="s">
        <v>110</v>
      </c>
      <c r="E5" s="71" t="s">
        <v>111</v>
      </c>
      <c r="F5" s="5">
        <v>5</v>
      </c>
      <c r="G5" s="5">
        <v>2</v>
      </c>
      <c r="H5" s="5">
        <v>7</v>
      </c>
      <c r="I5" s="5">
        <v>8</v>
      </c>
      <c r="J5" s="5">
        <v>6</v>
      </c>
      <c r="K5" s="10">
        <f>(Tablo3[[#This Row],[HW1]]+Tablo3[[#This Row],[HW2]]+Tablo3[[#This Row],[HW3]]+Tablo3[[#This Row],[HW4]]+Tablo3[[#This Row],[HW5]])/5</f>
        <v>5.6</v>
      </c>
      <c r="L5" s="10" cm="1">
        <f t="array" ref="L5">Tablo3[[#This Row],[HW1]]*$D$38/Tablo11[HW1]+Tablo3[[#This Row],[HW2]]*$E$38/Tablo11[HW2]+Tablo3[[#This Row],[HW3]]*$F$38/Tablo11[HW3]+Tablo3[[#This Row],[HW4]]*$G$38/Tablo11[HW4]+Tablo3[[#This Row],[HW5]]*$H$38/Tablo11[HW5]</f>
        <v>12.833333333333332</v>
      </c>
      <c r="M5" s="10" cm="1">
        <f t="array" ref="M5">Tablo3[[#This Row],[HW1]]*$D$39/Tablo11[HW1]+Tablo3[[#This Row],[HW2]]*$E$39/Tablo11[HW2]+Tablo3[[#This Row],[HW3]]*$F$39/Tablo11[HW3]+Tablo3[[#This Row],[HW4]]*$G$39/Tablo11[HW4]+Tablo3[[#This Row],[HW5]]*$H$39/Tablo11[HW5]</f>
        <v>2</v>
      </c>
      <c r="N5" s="10" cm="1">
        <f t="array" ref="N5">Tablo3[[#This Row],[HW1]]*$D$40/Tablo11[HW1]+Tablo3[[#This Row],[HW2]]*$E$40/Tablo11[HW2]+Tablo3[[#This Row],[HW3]]*$F$40/Tablo11[HW3]+Tablo3[[#This Row],[HW4]]*$G$40/Tablo11[HW4]+Tablo3[[#This Row],[HW5]]*$H$40/Tablo11[HW5]</f>
        <v>5.083333333333333</v>
      </c>
      <c r="O5" s="10" cm="1">
        <f t="array" ref="O5">Tablo3[[#This Row],[HW1]]*$D$41/Tablo11[HW1]+Tablo3[[#This Row],[HW2]]*$E$41/Tablo11[HW2]+Tablo3[[#This Row],[HW3]]*$F$41/Tablo11[HW3]+Tablo3[[#This Row],[HW4]]*$G$41/Tablo11[HW4]+Tablo3[[#This Row],[HW5]]*$H$41/Tablo11[HW5]</f>
        <v>2.5</v>
      </c>
      <c r="P5" s="10">
        <f>SUM(L5,M5,N5,O5)</f>
        <v>22.416666666666664</v>
      </c>
      <c r="Q5" s="10">
        <f>_xlfn.NORM.DIST(Tablo3[[#This Row],[TOTAL]],$T$4,$U$4,FALSE)</f>
        <v>0.18482809471308614</v>
      </c>
    </row>
    <row r="6" spans="2:22" ht="15.6" thickTop="1" thickBot="1" x14ac:dyDescent="0.35">
      <c r="B6" s="103">
        <v>2</v>
      </c>
      <c r="C6" s="17">
        <v>2</v>
      </c>
      <c r="D6" s="75" t="s">
        <v>110</v>
      </c>
      <c r="E6" s="71" t="s">
        <v>111</v>
      </c>
      <c r="F6" s="5">
        <v>0</v>
      </c>
      <c r="G6" s="5">
        <v>5</v>
      </c>
      <c r="H6" s="5">
        <v>8</v>
      </c>
      <c r="I6" s="5">
        <v>9</v>
      </c>
      <c r="J6" s="5">
        <v>8</v>
      </c>
      <c r="K6" s="10">
        <f>(Tablo3[[#This Row],[HW1]]+Tablo3[[#This Row],[HW2]]+Tablo3[[#This Row],[HW3]]+Tablo3[[#This Row],[HW4]]+Tablo3[[#This Row],[HW5]])/5</f>
        <v>6</v>
      </c>
      <c r="L6" s="10" cm="1">
        <f t="array" ref="L6">Tablo3[[#This Row],[HW1]]*$D$38/Tablo11[HW1]+Tablo3[[#This Row],[HW2]]*$E$38/Tablo11[HW2]+Tablo3[[#This Row],[HW3]]*$F$38/Tablo11[HW3]+Tablo3[[#This Row],[HW4]]*$G$38/Tablo11[HW4]+Tablo3[[#This Row],[HW5]]*$H$38/Tablo11[HW5]</f>
        <v>16.5</v>
      </c>
      <c r="M6" s="10" cm="1">
        <f t="array" ref="M6">Tablo3[[#This Row],[HW1]]*$D$39/Tablo11[HW1]+Tablo3[[#This Row],[HW2]]*$E$39/Tablo11[HW2]+Tablo3[[#This Row],[HW3]]*$F$39/Tablo11[HW3]+Tablo3[[#This Row],[HW4]]*$G$39/Tablo11[HW4]+Tablo3[[#This Row],[HW5]]*$H$39/Tablo11[HW5]</f>
        <v>5</v>
      </c>
      <c r="N6" s="10" cm="1">
        <f t="array" ref="N6">Tablo3[[#This Row],[HW1]]*$D$40/Tablo11[HW1]+Tablo3[[#This Row],[HW2]]*$E$40/Tablo11[HW2]+Tablo3[[#This Row],[HW3]]*$F$40/Tablo11[HW3]+Tablo3[[#This Row],[HW4]]*$G$40/Tablo11[HW4]+Tablo3[[#This Row],[HW5]]*$H$40/Tablo11[HW5]</f>
        <v>6</v>
      </c>
      <c r="O6" s="10" cm="1">
        <f t="array" ref="O6">Tablo3[[#This Row],[HW1]]*$D$41/Tablo11[HW1]+Tablo3[[#This Row],[HW2]]*$E$41/Tablo11[HW2]+Tablo3[[#This Row],[HW3]]*$F$41/Tablo11[HW3]+Tablo3[[#This Row],[HW4]]*$G$41/Tablo11[HW4]+Tablo3[[#This Row],[HW5]]*$H$41/Tablo11[HW5]</f>
        <v>0</v>
      </c>
      <c r="P6" s="10">
        <f>SUM(L6,M6,N6,O6)</f>
        <v>27.5</v>
      </c>
      <c r="Q6" s="10">
        <f>_xlfn.NORM.DIST(Tablo3[[#This Row],[TOTAL]],$T$4,$U$4,FALSE)</f>
        <v>0.16241884871807255</v>
      </c>
    </row>
    <row r="7" spans="2:22" ht="15.6" thickTop="1" thickBot="1" x14ac:dyDescent="0.35">
      <c r="B7" s="104">
        <v>3</v>
      </c>
      <c r="C7" s="17">
        <v>3</v>
      </c>
      <c r="D7" s="75" t="s">
        <v>110</v>
      </c>
      <c r="E7" s="71" t="s">
        <v>111</v>
      </c>
      <c r="F7" s="5">
        <v>8</v>
      </c>
      <c r="G7" s="5">
        <v>1</v>
      </c>
      <c r="H7" s="5">
        <v>8</v>
      </c>
      <c r="I7" s="5">
        <v>2</v>
      </c>
      <c r="J7" s="5">
        <v>2</v>
      </c>
      <c r="K7" s="10">
        <f>(Tablo3[[#This Row],[HW1]]+Tablo3[[#This Row],[HW2]]+Tablo3[[#This Row],[HW3]]+Tablo3[[#This Row],[HW4]]+Tablo3[[#This Row],[HW5]])/5</f>
        <v>4.2</v>
      </c>
      <c r="L7" s="10" cm="1">
        <f t="array" ref="L7">Tablo3[[#This Row],[HW1]]*$D$38/Tablo11[HW1]+Tablo3[[#This Row],[HW2]]*$E$38/Tablo11[HW2]+Tablo3[[#This Row],[HW3]]*$F$38/Tablo11[HW3]+Tablo3[[#This Row],[HW4]]*$G$38/Tablo11[HW4]+Tablo3[[#This Row],[HW5]]*$H$38/Tablo11[HW5]</f>
        <v>6.833333333333333</v>
      </c>
      <c r="M7" s="10" cm="1">
        <f t="array" ref="M7">Tablo3[[#This Row],[HW1]]*$D$39/Tablo11[HW1]+Tablo3[[#This Row],[HW2]]*$E$39/Tablo11[HW2]+Tablo3[[#This Row],[HW3]]*$F$39/Tablo11[HW3]+Tablo3[[#This Row],[HW4]]*$G$39/Tablo11[HW4]+Tablo3[[#This Row],[HW5]]*$H$39/Tablo11[HW5]</f>
        <v>1</v>
      </c>
      <c r="N7" s="10" cm="1">
        <f t="array" ref="N7">Tablo3[[#This Row],[HW1]]*$D$40/Tablo11[HW1]+Tablo3[[#This Row],[HW2]]*$E$40/Tablo11[HW2]+Tablo3[[#This Row],[HW3]]*$F$40/Tablo11[HW3]+Tablo3[[#This Row],[HW4]]*$G$40/Tablo11[HW4]+Tablo3[[#This Row],[HW5]]*$H$40/Tablo11[HW5]</f>
        <v>3.3333333333333335</v>
      </c>
      <c r="O7" s="10" cm="1">
        <f t="array" ref="O7">Tablo3[[#This Row],[HW1]]*$D$41/Tablo11[HW1]+Tablo3[[#This Row],[HW2]]*$E$41/Tablo11[HW2]+Tablo3[[#This Row],[HW3]]*$F$41/Tablo11[HW3]+Tablo3[[#This Row],[HW4]]*$G$41/Tablo11[HW4]+Tablo3[[#This Row],[HW5]]*$H$41/Tablo11[HW5]</f>
        <v>4</v>
      </c>
      <c r="P7" s="10">
        <f>SUM(L7,M7,N7,O7)</f>
        <v>15.166666666666666</v>
      </c>
      <c r="Q7" s="10">
        <f>_xlfn.NORM.DIST(Tablo3[[#This Row],[TOTAL]],$T$4,$U$4,FALSE)</f>
        <v>0.20475710386720047</v>
      </c>
    </row>
    <row r="8" spans="2:22" ht="15.6" thickTop="1" thickBot="1" x14ac:dyDescent="0.35">
      <c r="B8" s="103">
        <v>4</v>
      </c>
      <c r="C8" s="17">
        <v>4</v>
      </c>
      <c r="D8" s="71" t="s">
        <v>110</v>
      </c>
      <c r="E8" s="71" t="s">
        <v>111</v>
      </c>
      <c r="F8" s="5">
        <v>1</v>
      </c>
      <c r="G8" s="5">
        <v>1</v>
      </c>
      <c r="H8" s="5">
        <v>8</v>
      </c>
      <c r="I8" s="5">
        <v>9</v>
      </c>
      <c r="J8" s="5">
        <v>6</v>
      </c>
      <c r="K8" s="10">
        <f>(Tablo3[[#This Row],[HW1]]+Tablo3[[#This Row],[HW2]]+Tablo3[[#This Row],[HW3]]+Tablo3[[#This Row],[HW4]]+Tablo3[[#This Row],[HW5]])/5</f>
        <v>5</v>
      </c>
      <c r="L8" s="10" cm="1">
        <f t="array" ref="L8">Tablo3[[#This Row],[HW1]]*$D$38/Tablo11[HW1]+Tablo3[[#This Row],[HW2]]*$E$38/Tablo11[HW2]+Tablo3[[#This Row],[HW3]]*$F$38/Tablo11[HW3]+Tablo3[[#This Row],[HW4]]*$G$38/Tablo11[HW4]+Tablo3[[#This Row],[HW5]]*$H$38/Tablo11[HW5]</f>
        <v>13.5</v>
      </c>
      <c r="M8" s="10" cm="1">
        <f t="array" ref="M8">Tablo3[[#This Row],[HW1]]*$D$39/Tablo11[HW1]+Tablo3[[#This Row],[HW2]]*$E$39/Tablo11[HW2]+Tablo3[[#This Row],[HW3]]*$F$39/Tablo11[HW3]+Tablo3[[#This Row],[HW4]]*$G$39/Tablo11[HW4]+Tablo3[[#This Row],[HW5]]*$H$39/Tablo11[HW5]</f>
        <v>1</v>
      </c>
      <c r="N8" s="10" cm="1">
        <f t="array" ref="N8">Tablo3[[#This Row],[HW1]]*$D$40/Tablo11[HW1]+Tablo3[[#This Row],[HW2]]*$E$40/Tablo11[HW2]+Tablo3[[#This Row],[HW3]]*$F$40/Tablo11[HW3]+Tablo3[[#This Row],[HW4]]*$G$40/Tablo11[HW4]+Tablo3[[#This Row],[HW5]]*$H$40/Tablo11[HW5]</f>
        <v>3.75</v>
      </c>
      <c r="O8" s="10" cm="1">
        <f t="array" ref="O8">Tablo3[[#This Row],[HW1]]*$D$41/Tablo11[HW1]+Tablo3[[#This Row],[HW2]]*$E$41/Tablo11[HW2]+Tablo3[[#This Row],[HW3]]*$F$41/Tablo11[HW3]+Tablo3[[#This Row],[HW4]]*$G$41/Tablo11[HW4]+Tablo3[[#This Row],[HW5]]*$H$41/Tablo11[HW5]</f>
        <v>0.5</v>
      </c>
      <c r="P8" s="10">
        <f>SUM(L8,M8,N8,O8)</f>
        <v>18.75</v>
      </c>
      <c r="Q8" s="10">
        <f>_xlfn.NORM.DIST(Tablo3[[#This Row],[TOTAL]],$T$4,$U$4,FALSE)</f>
        <v>0.206432160192831</v>
      </c>
    </row>
    <row r="9" spans="2:22" ht="15.6" thickTop="1" thickBot="1" x14ac:dyDescent="0.35">
      <c r="B9" s="104">
        <v>5</v>
      </c>
      <c r="C9" s="17">
        <v>5</v>
      </c>
      <c r="D9" s="71" t="s">
        <v>110</v>
      </c>
      <c r="E9" s="71" t="s">
        <v>111</v>
      </c>
      <c r="F9" s="5">
        <v>0</v>
      </c>
      <c r="G9" s="5">
        <v>0</v>
      </c>
      <c r="H9" s="5">
        <v>0</v>
      </c>
      <c r="I9" s="5">
        <v>0</v>
      </c>
      <c r="J9" s="5">
        <v>0</v>
      </c>
      <c r="K9" s="10">
        <f>(Tablo3[[#This Row],[HW1]]+Tablo3[[#This Row],[HW2]]+Tablo3[[#This Row],[HW3]]+Tablo3[[#This Row],[HW4]]+Tablo3[[#This Row],[HW5]])/5</f>
        <v>0</v>
      </c>
      <c r="L9" s="10" cm="1">
        <f t="array" ref="L9">Tablo3[[#This Row],[HW1]]*$D$38/Tablo11[HW1]+Tablo3[[#This Row],[HW2]]*$E$38/Tablo11[HW2]+Tablo3[[#This Row],[HW3]]*$F$38/Tablo11[HW3]+Tablo3[[#This Row],[HW4]]*$G$38/Tablo11[HW4]+Tablo3[[#This Row],[HW5]]*$H$38/Tablo11[HW5]</f>
        <v>0</v>
      </c>
      <c r="M9" s="10" cm="1">
        <f t="array" ref="M9">Tablo3[[#This Row],[HW1]]*$D$39/Tablo11[HW1]+Tablo3[[#This Row],[HW2]]*$E$39/Tablo11[HW2]+Tablo3[[#This Row],[HW3]]*$F$39/Tablo11[HW3]+Tablo3[[#This Row],[HW4]]*$G$39/Tablo11[HW4]+Tablo3[[#This Row],[HW5]]*$H$39/Tablo11[HW5]</f>
        <v>0</v>
      </c>
      <c r="N9" s="10" cm="1">
        <f t="array" ref="N9">Tablo3[[#This Row],[HW1]]*$D$40/Tablo11[HW1]+Tablo3[[#This Row],[HW2]]*$E$40/Tablo11[HW2]+Tablo3[[#This Row],[HW3]]*$F$40/Tablo11[HW3]+Tablo3[[#This Row],[HW4]]*$G$40/Tablo11[HW4]+Tablo3[[#This Row],[HW5]]*$H$40/Tablo11[HW5]</f>
        <v>0</v>
      </c>
      <c r="O9" s="10" cm="1">
        <f t="array" ref="O9">Tablo3[[#This Row],[HW1]]*$D$41/Tablo11[HW1]+Tablo3[[#This Row],[HW2]]*$E$41/Tablo11[HW2]+Tablo3[[#This Row],[HW3]]*$F$41/Tablo11[HW3]+Tablo3[[#This Row],[HW4]]*$G$41/Tablo11[HW4]+Tablo3[[#This Row],[HW5]]*$H$41/Tablo11[HW5]</f>
        <v>0</v>
      </c>
      <c r="P9" s="10">
        <f>SUM(L9,M9,N9,O9)</f>
        <v>0</v>
      </c>
      <c r="Q9" s="10">
        <f>_xlfn.NORM.DIST(Tablo3[[#This Row],[TOTAL]],$T$4,$U$4,FALSE)</f>
        <v>1.0618999877097596E-2</v>
      </c>
    </row>
    <row r="10" spans="2:22" ht="15.6" thickTop="1" thickBot="1" x14ac:dyDescent="0.35">
      <c r="B10" s="103">
        <v>6</v>
      </c>
      <c r="C10" s="17">
        <v>6</v>
      </c>
      <c r="D10" s="71" t="s">
        <v>110</v>
      </c>
      <c r="E10" s="71" t="s">
        <v>111</v>
      </c>
      <c r="F10" s="5">
        <v>0</v>
      </c>
      <c r="G10" s="5">
        <v>0</v>
      </c>
      <c r="H10" s="5">
        <v>0</v>
      </c>
      <c r="I10" s="5">
        <v>0</v>
      </c>
      <c r="J10" s="5">
        <v>0</v>
      </c>
      <c r="K10" s="10">
        <f>(Tablo3[[#This Row],[HW1]]+Tablo3[[#This Row],[HW2]]+Tablo3[[#This Row],[HW3]]+Tablo3[[#This Row],[HW4]]+Tablo3[[#This Row],[HW5]])/5</f>
        <v>0</v>
      </c>
      <c r="L10" s="10" cm="1">
        <f t="array" ref="L10">Tablo3[[#This Row],[HW1]]*$D$38/Tablo11[HW1]+Tablo3[[#This Row],[HW2]]*$E$38/Tablo11[HW2]+Tablo3[[#This Row],[HW3]]*$F$38/Tablo11[HW3]+Tablo3[[#This Row],[HW4]]*$G$38/Tablo11[HW4]+Tablo3[[#This Row],[HW5]]*$H$38/Tablo11[HW5]</f>
        <v>0</v>
      </c>
      <c r="M10" s="10" cm="1">
        <f t="array" ref="M10">Tablo3[[#This Row],[HW1]]*$D$39/Tablo11[HW1]+Tablo3[[#This Row],[HW2]]*$E$39/Tablo11[HW2]+Tablo3[[#This Row],[HW3]]*$F$39/Tablo11[HW3]+Tablo3[[#This Row],[HW4]]*$G$39/Tablo11[HW4]+Tablo3[[#This Row],[HW5]]*$H$39/Tablo11[HW5]</f>
        <v>0</v>
      </c>
      <c r="N10" s="10" cm="1">
        <f t="array" ref="N10">Tablo3[[#This Row],[HW1]]*$D$40/Tablo11[HW1]+Tablo3[[#This Row],[HW2]]*$E$40/Tablo11[HW2]+Tablo3[[#This Row],[HW3]]*$F$40/Tablo11[HW3]+Tablo3[[#This Row],[HW4]]*$G$40/Tablo11[HW4]+Tablo3[[#This Row],[HW5]]*$H$40/Tablo11[HW5]</f>
        <v>0</v>
      </c>
      <c r="O10" s="10" cm="1">
        <f t="array" ref="O10">Tablo3[[#This Row],[HW1]]*$D$41/Tablo11[HW1]+Tablo3[[#This Row],[HW2]]*$E$41/Tablo11[HW2]+Tablo3[[#This Row],[HW3]]*$F$41/Tablo11[HW3]+Tablo3[[#This Row],[HW4]]*$G$41/Tablo11[HW4]+Tablo3[[#This Row],[HW5]]*$H$41/Tablo11[HW5]</f>
        <v>0</v>
      </c>
      <c r="P10" s="10">
        <f>SUM(L10,M10,N10,O10)</f>
        <v>0</v>
      </c>
      <c r="Q10" s="10">
        <f>_xlfn.NORM.DIST(Tablo3[[#This Row],[TOTAL]],$T$4,$U$4,FALSE)</f>
        <v>1.0618999877097596E-2</v>
      </c>
    </row>
    <row r="11" spans="2:22" ht="15.6" thickTop="1" thickBot="1" x14ac:dyDescent="0.35">
      <c r="B11" s="104">
        <v>7</v>
      </c>
      <c r="C11" s="17">
        <v>7</v>
      </c>
      <c r="D11" s="71" t="s">
        <v>110</v>
      </c>
      <c r="E11" s="71" t="s">
        <v>111</v>
      </c>
      <c r="F11" s="5">
        <v>1</v>
      </c>
      <c r="G11" s="5">
        <v>1</v>
      </c>
      <c r="H11" s="5">
        <v>9</v>
      </c>
      <c r="I11" s="5">
        <v>8</v>
      </c>
      <c r="J11" s="5">
        <v>8</v>
      </c>
      <c r="K11" s="10">
        <f>(Tablo3[[#This Row],[HW1]]+Tablo3[[#This Row],[HW2]]+Tablo3[[#This Row],[HW3]]+Tablo3[[#This Row],[HW4]]+Tablo3[[#This Row],[HW5]])/5</f>
        <v>5.4</v>
      </c>
      <c r="L11" s="10" cm="1">
        <f t="array" ref="L11">Tablo3[[#This Row],[HW1]]*$D$38/Tablo11[HW1]+Tablo3[[#This Row],[HW2]]*$E$38/Tablo11[HW2]+Tablo3[[#This Row],[HW3]]*$F$38/Tablo11[HW3]+Tablo3[[#This Row],[HW4]]*$G$38/Tablo11[HW4]+Tablo3[[#This Row],[HW5]]*$H$38/Tablo11[HW5]</f>
        <v>14.333333333333332</v>
      </c>
      <c r="M11" s="10" cm="1">
        <f t="array" ref="M11">Tablo3[[#This Row],[HW1]]*$D$39/Tablo11[HW1]+Tablo3[[#This Row],[HW2]]*$E$39/Tablo11[HW2]+Tablo3[[#This Row],[HW3]]*$F$39/Tablo11[HW3]+Tablo3[[#This Row],[HW4]]*$G$39/Tablo11[HW4]+Tablo3[[#This Row],[HW5]]*$H$39/Tablo11[HW5]</f>
        <v>1</v>
      </c>
      <c r="N11" s="10" cm="1">
        <f t="array" ref="N11">Tablo3[[#This Row],[HW1]]*$D$40/Tablo11[HW1]+Tablo3[[#This Row],[HW2]]*$E$40/Tablo11[HW2]+Tablo3[[#This Row],[HW3]]*$F$40/Tablo11[HW3]+Tablo3[[#This Row],[HW4]]*$G$40/Tablo11[HW4]+Tablo3[[#This Row],[HW5]]*$H$40/Tablo11[HW5]</f>
        <v>4.083333333333333</v>
      </c>
      <c r="O11" s="10" cm="1">
        <f t="array" ref="O11">Tablo3[[#This Row],[HW1]]*$D$41/Tablo11[HW1]+Tablo3[[#This Row],[HW2]]*$E$41/Tablo11[HW2]+Tablo3[[#This Row],[HW3]]*$F$41/Tablo11[HW3]+Tablo3[[#This Row],[HW4]]*$G$41/Tablo11[HW4]+Tablo3[[#This Row],[HW5]]*$H$41/Tablo11[HW5]</f>
        <v>0.5</v>
      </c>
      <c r="P11" s="10">
        <f>SUM(L11,M11,N11,O11)</f>
        <v>19.916666666666664</v>
      </c>
      <c r="Q11" s="10">
        <f>_xlfn.NORM.DIST(Tablo3[[#This Row],[TOTAL]],$T$4,$U$4,FALSE)</f>
        <v>0.19390819893198236</v>
      </c>
    </row>
    <row r="12" spans="2:22" ht="15.6" thickTop="1" thickBot="1" x14ac:dyDescent="0.35">
      <c r="B12" s="103">
        <v>8</v>
      </c>
      <c r="C12" s="17">
        <v>8</v>
      </c>
      <c r="D12" s="71" t="s">
        <v>110</v>
      </c>
      <c r="E12" s="71" t="s">
        <v>111</v>
      </c>
      <c r="F12" s="5">
        <v>1</v>
      </c>
      <c r="G12" s="5">
        <v>1</v>
      </c>
      <c r="H12" s="5">
        <v>9</v>
      </c>
      <c r="I12" s="5">
        <v>10</v>
      </c>
      <c r="J12" s="5">
        <v>6</v>
      </c>
      <c r="K12" s="10">
        <f>(Tablo3[[#This Row],[HW1]]+Tablo3[[#This Row],[HW2]]+Tablo3[[#This Row],[HW3]]+Tablo3[[#This Row],[HW4]]+Tablo3[[#This Row],[HW5]])/5</f>
        <v>5.4</v>
      </c>
      <c r="L12" s="10" cm="1">
        <f t="array" ref="L12">Tablo3[[#This Row],[HW1]]*$D$38/Tablo11[HW1]+Tablo3[[#This Row],[HW2]]*$E$38/Tablo11[HW2]+Tablo3[[#This Row],[HW3]]*$F$38/Tablo11[HW3]+Tablo3[[#This Row],[HW4]]*$G$38/Tablo11[HW4]+Tablo3[[#This Row],[HW5]]*$H$38/Tablo11[HW5]</f>
        <v>14.666666666666668</v>
      </c>
      <c r="M12" s="10" cm="1">
        <f t="array" ref="M12">Tablo3[[#This Row],[HW1]]*$D$39/Tablo11[HW1]+Tablo3[[#This Row],[HW2]]*$E$39/Tablo11[HW2]+Tablo3[[#This Row],[HW3]]*$F$39/Tablo11[HW3]+Tablo3[[#This Row],[HW4]]*$G$39/Tablo11[HW4]+Tablo3[[#This Row],[HW5]]*$H$39/Tablo11[HW5]</f>
        <v>1</v>
      </c>
      <c r="N12" s="10" cm="1">
        <f t="array" ref="N12">Tablo3[[#This Row],[HW1]]*$D$40/Tablo11[HW1]+Tablo3[[#This Row],[HW2]]*$E$40/Tablo11[HW2]+Tablo3[[#This Row],[HW3]]*$F$40/Tablo11[HW3]+Tablo3[[#This Row],[HW4]]*$G$40/Tablo11[HW4]+Tablo3[[#This Row],[HW5]]*$H$40/Tablo11[HW5]</f>
        <v>3.916666666666667</v>
      </c>
      <c r="O12" s="10" cm="1">
        <f t="array" ref="O12">Tablo3[[#This Row],[HW1]]*$D$41/Tablo11[HW1]+Tablo3[[#This Row],[HW2]]*$E$41/Tablo11[HW2]+Tablo3[[#This Row],[HW3]]*$F$41/Tablo11[HW3]+Tablo3[[#This Row],[HW4]]*$G$41/Tablo11[HW4]+Tablo3[[#This Row],[HW5]]*$H$41/Tablo11[HW5]</f>
        <v>0.5</v>
      </c>
      <c r="P12" s="10">
        <f>SUM(L12,M12,N12,O12)</f>
        <v>20.083333333333336</v>
      </c>
      <c r="Q12" s="10">
        <f>_xlfn.NORM.DIST(Tablo3[[#This Row],[TOTAL]],$T$4,$U$4,FALSE)</f>
        <v>0.19390819893198236</v>
      </c>
    </row>
    <row r="13" spans="2:22" ht="15.6" thickTop="1" thickBot="1" x14ac:dyDescent="0.35">
      <c r="B13" s="104">
        <v>9</v>
      </c>
      <c r="C13" s="17">
        <v>9</v>
      </c>
      <c r="D13" s="71" t="s">
        <v>110</v>
      </c>
      <c r="E13" s="71" t="s">
        <v>111</v>
      </c>
      <c r="F13" s="5">
        <v>0</v>
      </c>
      <c r="G13" s="5">
        <v>2</v>
      </c>
      <c r="H13" s="5">
        <v>8</v>
      </c>
      <c r="I13" s="5">
        <v>5</v>
      </c>
      <c r="J13" s="5">
        <v>5</v>
      </c>
      <c r="K13" s="10">
        <f>(Tablo3[[#This Row],[HW1]]+Tablo3[[#This Row],[HW2]]+Tablo3[[#This Row],[HW3]]+Tablo3[[#This Row],[HW4]]+Tablo3[[#This Row],[HW5]])/5</f>
        <v>4</v>
      </c>
      <c r="L13" s="10" cm="1">
        <f t="array" ref="L13">Tablo3[[#This Row],[HW1]]*$D$38/Tablo11[HW1]+Tablo3[[#This Row],[HW2]]*$E$38/Tablo11[HW2]+Tablo3[[#This Row],[HW3]]*$F$38/Tablo11[HW3]+Tablo3[[#This Row],[HW4]]*$G$38/Tablo11[HW4]+Tablo3[[#This Row],[HW5]]*$H$38/Tablo11[HW5]</f>
        <v>10.833333333333334</v>
      </c>
      <c r="M13" s="10" cm="1">
        <f t="array" ref="M13">Tablo3[[#This Row],[HW1]]*$D$39/Tablo11[HW1]+Tablo3[[#This Row],[HW2]]*$E$39/Tablo11[HW2]+Tablo3[[#This Row],[HW3]]*$F$39/Tablo11[HW3]+Tablo3[[#This Row],[HW4]]*$G$39/Tablo11[HW4]+Tablo3[[#This Row],[HW5]]*$H$39/Tablo11[HW5]</f>
        <v>2</v>
      </c>
      <c r="N13" s="10" cm="1">
        <f t="array" ref="N13">Tablo3[[#This Row],[HW1]]*$D$40/Tablo11[HW1]+Tablo3[[#This Row],[HW2]]*$E$40/Tablo11[HW2]+Tablo3[[#This Row],[HW3]]*$F$40/Tablo11[HW3]+Tablo3[[#This Row],[HW4]]*$G$40/Tablo11[HW4]+Tablo3[[#This Row],[HW5]]*$H$40/Tablo11[HW5]</f>
        <v>3.0833333333333335</v>
      </c>
      <c r="O13" s="10" cm="1">
        <f t="array" ref="O13">Tablo3[[#This Row],[HW1]]*$D$41/Tablo11[HW1]+Tablo3[[#This Row],[HW2]]*$E$41/Tablo11[HW2]+Tablo3[[#This Row],[HW3]]*$F$41/Tablo11[HW3]+Tablo3[[#This Row],[HW4]]*$G$41/Tablo11[HW4]+Tablo3[[#This Row],[HW5]]*$H$41/Tablo11[HW5]</f>
        <v>0</v>
      </c>
      <c r="P13" s="10">
        <f>SUM(L13,M13,N13,O13)</f>
        <v>15.916666666666668</v>
      </c>
      <c r="Q13" s="10">
        <f>_xlfn.NORM.DIST(Tablo3[[#This Row],[TOTAL]],$T$4,$U$4,FALSE)</f>
        <v>0.19874294797332623</v>
      </c>
    </row>
    <row r="14" spans="2:22" ht="15.6" thickTop="1" thickBot="1" x14ac:dyDescent="0.35">
      <c r="B14" s="103">
        <v>10</v>
      </c>
      <c r="C14" s="17">
        <v>10</v>
      </c>
      <c r="D14" s="71" t="s">
        <v>110</v>
      </c>
      <c r="E14" s="71" t="s">
        <v>111</v>
      </c>
      <c r="F14" s="5">
        <v>4</v>
      </c>
      <c r="G14" s="5">
        <v>1</v>
      </c>
      <c r="H14" s="5">
        <v>8</v>
      </c>
      <c r="I14" s="5">
        <v>8</v>
      </c>
      <c r="J14" s="5">
        <v>8</v>
      </c>
      <c r="K14" s="10">
        <f>(Tablo3[[#This Row],[HW1]]+Tablo3[[#This Row],[HW2]]+Tablo3[[#This Row],[HW3]]+Tablo3[[#This Row],[HW4]]+Tablo3[[#This Row],[HW5]])/5</f>
        <v>5.8</v>
      </c>
      <c r="L14" s="10" cm="1">
        <f t="array" ref="L14">Tablo3[[#This Row],[HW1]]*$D$38/Tablo11[HW1]+Tablo3[[#This Row],[HW2]]*$E$38/Tablo11[HW2]+Tablo3[[#This Row],[HW3]]*$F$38/Tablo11[HW3]+Tablo3[[#This Row],[HW4]]*$G$38/Tablo11[HW4]+Tablo3[[#This Row],[HW5]]*$H$38/Tablo11[HW5]</f>
        <v>13.833333333333332</v>
      </c>
      <c r="M14" s="10" cm="1">
        <f t="array" ref="M14">Tablo3[[#This Row],[HW1]]*$D$39/Tablo11[HW1]+Tablo3[[#This Row],[HW2]]*$E$39/Tablo11[HW2]+Tablo3[[#This Row],[HW3]]*$F$39/Tablo11[HW3]+Tablo3[[#This Row],[HW4]]*$G$39/Tablo11[HW4]+Tablo3[[#This Row],[HW5]]*$H$39/Tablo11[HW5]</f>
        <v>1</v>
      </c>
      <c r="N14" s="10" cm="1">
        <f t="array" ref="N14">Tablo3[[#This Row],[HW1]]*$D$40/Tablo11[HW1]+Tablo3[[#This Row],[HW2]]*$E$40/Tablo11[HW2]+Tablo3[[#This Row],[HW3]]*$F$40/Tablo11[HW3]+Tablo3[[#This Row],[HW4]]*$G$40/Tablo11[HW4]+Tablo3[[#This Row],[HW5]]*$H$40/Tablo11[HW5]</f>
        <v>4.833333333333333</v>
      </c>
      <c r="O14" s="10" cm="1">
        <f t="array" ref="O14">Tablo3[[#This Row],[HW1]]*$D$41/Tablo11[HW1]+Tablo3[[#This Row],[HW2]]*$E$41/Tablo11[HW2]+Tablo3[[#This Row],[HW3]]*$F$41/Tablo11[HW3]+Tablo3[[#This Row],[HW4]]*$G$41/Tablo11[HW4]+Tablo3[[#This Row],[HW5]]*$H$41/Tablo11[HW5]</f>
        <v>2</v>
      </c>
      <c r="P14" s="10">
        <f>SUM(L14,M14,N14,O14)</f>
        <v>21.666666666666664</v>
      </c>
      <c r="Q14" s="10">
        <f>_xlfn.NORM.DIST(Tablo3[[#This Row],[TOTAL]],$T$4,$U$4,FALSE)</f>
        <v>0.17422671106222606</v>
      </c>
    </row>
    <row r="15" spans="2:22" ht="15.6" thickTop="1" thickBot="1" x14ac:dyDescent="0.35">
      <c r="B15" s="104">
        <v>11</v>
      </c>
      <c r="C15" s="17">
        <v>11</v>
      </c>
      <c r="D15" s="71" t="s">
        <v>110</v>
      </c>
      <c r="E15" s="71" t="s">
        <v>111</v>
      </c>
      <c r="F15" s="5">
        <v>6</v>
      </c>
      <c r="G15" s="5">
        <v>2</v>
      </c>
      <c r="H15" s="5">
        <v>0</v>
      </c>
      <c r="I15" s="5">
        <v>8</v>
      </c>
      <c r="J15" s="5">
        <v>8</v>
      </c>
      <c r="K15" s="10">
        <f>(Tablo3[[#This Row],[HW1]]+Tablo3[[#This Row],[HW2]]+Tablo3[[#This Row],[HW3]]+Tablo3[[#This Row],[HW4]]+Tablo3[[#This Row],[HW5]])/5</f>
        <v>4.8</v>
      </c>
      <c r="L15" s="10" cm="1">
        <f t="array" ref="L15">Tablo3[[#This Row],[HW1]]*$D$38/Tablo11[HW1]+Tablo3[[#This Row],[HW2]]*$E$38/Tablo11[HW2]+Tablo3[[#This Row],[HW3]]*$F$38/Tablo11[HW3]+Tablo3[[#This Row],[HW4]]*$G$38/Tablo11[HW4]+Tablo3[[#This Row],[HW5]]*$H$38/Tablo11[HW5]</f>
        <v>10.333333333333332</v>
      </c>
      <c r="M15" s="10" cm="1">
        <f t="array" ref="M15">Tablo3[[#This Row],[HW1]]*$D$39/Tablo11[HW1]+Tablo3[[#This Row],[HW2]]*$E$39/Tablo11[HW2]+Tablo3[[#This Row],[HW3]]*$F$39/Tablo11[HW3]+Tablo3[[#This Row],[HW4]]*$G$39/Tablo11[HW4]+Tablo3[[#This Row],[HW5]]*$H$39/Tablo11[HW5]</f>
        <v>2</v>
      </c>
      <c r="N15" s="10" cm="1">
        <f t="array" ref="N15">Tablo3[[#This Row],[HW1]]*$D$40/Tablo11[HW1]+Tablo3[[#This Row],[HW2]]*$E$40/Tablo11[HW2]+Tablo3[[#This Row],[HW3]]*$F$40/Tablo11[HW3]+Tablo3[[#This Row],[HW4]]*$G$40/Tablo11[HW4]+Tablo3[[#This Row],[HW5]]*$H$40/Tablo11[HW5]</f>
        <v>5.833333333333333</v>
      </c>
      <c r="O15" s="10" cm="1">
        <f t="array" ref="O15">Tablo3[[#This Row],[HW1]]*$D$41/Tablo11[HW1]+Tablo3[[#This Row],[HW2]]*$E$41/Tablo11[HW2]+Tablo3[[#This Row],[HW3]]*$F$41/Tablo11[HW3]+Tablo3[[#This Row],[HW4]]*$G$41/Tablo11[HW4]+Tablo3[[#This Row],[HW5]]*$H$41/Tablo11[HW5]</f>
        <v>3</v>
      </c>
      <c r="P15" s="10">
        <f>SUM(L15,M15,N15,O15)</f>
        <v>21.166666666666664</v>
      </c>
      <c r="Q15" s="10">
        <f>_xlfn.NORM.DIST(Tablo3[[#This Row],[TOTAL]],$T$4,$U$4,FALSE)</f>
        <v>0.20947411102404484</v>
      </c>
    </row>
    <row r="16" spans="2:22" ht="15.6" thickTop="1" thickBot="1" x14ac:dyDescent="0.35">
      <c r="B16" s="103">
        <v>12</v>
      </c>
      <c r="C16" s="17">
        <v>12</v>
      </c>
      <c r="D16" s="71" t="s">
        <v>110</v>
      </c>
      <c r="E16" s="71" t="s">
        <v>111</v>
      </c>
      <c r="F16" s="5">
        <v>0</v>
      </c>
      <c r="G16" s="5">
        <v>2</v>
      </c>
      <c r="H16" s="5">
        <v>7</v>
      </c>
      <c r="I16" s="5">
        <v>8</v>
      </c>
      <c r="J16" s="5">
        <v>8</v>
      </c>
      <c r="K16" s="10">
        <f>(Tablo3[[#This Row],[HW1]]+Tablo3[[#This Row],[HW2]]+Tablo3[[#This Row],[HW3]]+Tablo3[[#This Row],[HW4]]+Tablo3[[#This Row],[HW5]])/5</f>
        <v>5</v>
      </c>
      <c r="L16" s="10" cm="1">
        <f t="array" ref="L16">Tablo3[[#This Row],[HW1]]*$D$38/Tablo11[HW1]+Tablo3[[#This Row],[HW2]]*$E$38/Tablo11[HW2]+Tablo3[[#This Row],[HW3]]*$F$38/Tablo11[HW3]+Tablo3[[#This Row],[HW4]]*$G$38/Tablo11[HW4]+Tablo3[[#This Row],[HW5]]*$H$38/Tablo11[HW5]</f>
        <v>13.833333333333332</v>
      </c>
      <c r="M16" s="10" cm="1">
        <f t="array" ref="M16">Tablo3[[#This Row],[HW1]]*$D$39/Tablo11[HW1]+Tablo3[[#This Row],[HW2]]*$E$39/Tablo11[HW2]+Tablo3[[#This Row],[HW3]]*$F$39/Tablo11[HW3]+Tablo3[[#This Row],[HW4]]*$G$39/Tablo11[HW4]+Tablo3[[#This Row],[HW5]]*$H$39/Tablo11[HW5]</f>
        <v>2</v>
      </c>
      <c r="N16" s="10" cm="1">
        <f t="array" ref="N16">Tablo3[[#This Row],[HW1]]*$D$40/Tablo11[HW1]+Tablo3[[#This Row],[HW2]]*$E$40/Tablo11[HW2]+Tablo3[[#This Row],[HW3]]*$F$40/Tablo11[HW3]+Tablo3[[#This Row],[HW4]]*$G$40/Tablo11[HW4]+Tablo3[[#This Row],[HW5]]*$H$40/Tablo11[HW5]</f>
        <v>4.333333333333333</v>
      </c>
      <c r="O16" s="10" cm="1">
        <f t="array" ref="O16">Tablo3[[#This Row],[HW1]]*$D$41/Tablo11[HW1]+Tablo3[[#This Row],[HW2]]*$E$41/Tablo11[HW2]+Tablo3[[#This Row],[HW3]]*$F$41/Tablo11[HW3]+Tablo3[[#This Row],[HW4]]*$G$41/Tablo11[HW4]+Tablo3[[#This Row],[HW5]]*$H$41/Tablo11[HW5]</f>
        <v>0</v>
      </c>
      <c r="P16" s="10">
        <f>SUM(L16,M16,N16,O16)</f>
        <v>20.166666666666664</v>
      </c>
      <c r="Q16" s="10">
        <f>_xlfn.NORM.DIST(Tablo3[[#This Row],[TOTAL]],$T$4,$U$4,FALSE)</f>
        <v>0.206432160192831</v>
      </c>
    </row>
    <row r="17" spans="2:17" ht="15.6" thickTop="1" thickBot="1" x14ac:dyDescent="0.35">
      <c r="B17" s="104">
        <v>13</v>
      </c>
      <c r="C17" s="17">
        <v>13</v>
      </c>
      <c r="D17" s="71" t="s">
        <v>110</v>
      </c>
      <c r="E17" s="71" t="s">
        <v>111</v>
      </c>
      <c r="F17" s="5">
        <v>3</v>
      </c>
      <c r="G17" s="5">
        <v>1</v>
      </c>
      <c r="H17" s="5">
        <v>1</v>
      </c>
      <c r="I17" s="5">
        <v>8</v>
      </c>
      <c r="J17" s="5">
        <v>9</v>
      </c>
      <c r="K17" s="10">
        <f>(Tablo3[[#This Row],[HW1]]+Tablo3[[#This Row],[HW2]]+Tablo3[[#This Row],[HW3]]+Tablo3[[#This Row],[HW4]]+Tablo3[[#This Row],[HW5]])/5</f>
        <v>4.4000000000000004</v>
      </c>
      <c r="L17" s="10" cm="1">
        <f t="array" ref="L17">Tablo3[[#This Row],[HW1]]*$D$38/Tablo11[HW1]+Tablo3[[#This Row],[HW2]]*$E$38/Tablo11[HW2]+Tablo3[[#This Row],[HW3]]*$F$38/Tablo11[HW3]+Tablo3[[#This Row],[HW4]]*$G$38/Tablo11[HW4]+Tablo3[[#This Row],[HW5]]*$H$38/Tablo11[HW5]</f>
        <v>10.833333333333332</v>
      </c>
      <c r="M17" s="10" cm="1">
        <f t="array" ref="M17">Tablo3[[#This Row],[HW1]]*$D$39/Tablo11[HW1]+Tablo3[[#This Row],[HW2]]*$E$39/Tablo11[HW2]+Tablo3[[#This Row],[HW3]]*$F$39/Tablo11[HW3]+Tablo3[[#This Row],[HW4]]*$G$39/Tablo11[HW4]+Tablo3[[#This Row],[HW5]]*$H$39/Tablo11[HW5]</f>
        <v>1</v>
      </c>
      <c r="N17" s="10" cm="1">
        <f t="array" ref="N17">Tablo3[[#This Row],[HW1]]*$D$40/Tablo11[HW1]+Tablo3[[#This Row],[HW2]]*$E$40/Tablo11[HW2]+Tablo3[[#This Row],[HW3]]*$F$40/Tablo11[HW3]+Tablo3[[#This Row],[HW4]]*$G$40/Tablo11[HW4]+Tablo3[[#This Row],[HW5]]*$H$40/Tablo11[HW5]</f>
        <v>4.833333333333333</v>
      </c>
      <c r="O17" s="10" cm="1">
        <f t="array" ref="O17">Tablo3[[#This Row],[HW1]]*$D$41/Tablo11[HW1]+Tablo3[[#This Row],[HW2]]*$E$41/Tablo11[HW2]+Tablo3[[#This Row],[HW3]]*$F$41/Tablo11[HW3]+Tablo3[[#This Row],[HW4]]*$G$41/Tablo11[HW4]+Tablo3[[#This Row],[HW5]]*$H$41/Tablo11[HW5]</f>
        <v>1.5</v>
      </c>
      <c r="P17" s="10">
        <f>SUM(L17,M17,N17,O17)</f>
        <v>18.166666666666664</v>
      </c>
      <c r="Q17" s="10">
        <f>_xlfn.NORM.DIST(Tablo3[[#This Row],[TOTAL]],$T$4,$U$4,FALSE)</f>
        <v>0.2086225101230515</v>
      </c>
    </row>
    <row r="18" spans="2:17" ht="15.6" thickTop="1" thickBot="1" x14ac:dyDescent="0.35">
      <c r="B18" s="103">
        <v>14</v>
      </c>
      <c r="C18" s="17">
        <v>14</v>
      </c>
      <c r="D18" s="71" t="s">
        <v>110</v>
      </c>
      <c r="E18" s="71" t="s">
        <v>111</v>
      </c>
      <c r="F18" s="5">
        <v>0</v>
      </c>
      <c r="G18" s="5">
        <v>1</v>
      </c>
      <c r="H18" s="5">
        <v>8</v>
      </c>
      <c r="I18" s="5">
        <v>3</v>
      </c>
      <c r="J18" s="5">
        <v>5</v>
      </c>
      <c r="K18" s="10">
        <f>(Tablo3[[#This Row],[HW1]]+Tablo3[[#This Row],[HW2]]+Tablo3[[#This Row],[HW3]]+Tablo3[[#This Row],[HW4]]+Tablo3[[#This Row],[HW5]])/5</f>
        <v>3.4</v>
      </c>
      <c r="L18" s="10" cm="1">
        <f t="array" ref="L18">Tablo3[[#This Row],[HW1]]*$D$38/Tablo11[HW1]+Tablo3[[#This Row],[HW2]]*$E$38/Tablo11[HW2]+Tablo3[[#This Row],[HW3]]*$F$38/Tablo11[HW3]+Tablo3[[#This Row],[HW4]]*$G$38/Tablo11[HW4]+Tablo3[[#This Row],[HW5]]*$H$38/Tablo11[HW5]</f>
        <v>9</v>
      </c>
      <c r="M18" s="10" cm="1">
        <f t="array" ref="M18">Tablo3[[#This Row],[HW1]]*$D$39/Tablo11[HW1]+Tablo3[[#This Row],[HW2]]*$E$39/Tablo11[HW2]+Tablo3[[#This Row],[HW3]]*$F$39/Tablo11[HW3]+Tablo3[[#This Row],[HW4]]*$G$39/Tablo11[HW4]+Tablo3[[#This Row],[HW5]]*$H$39/Tablo11[HW5]</f>
        <v>1</v>
      </c>
      <c r="N18" s="10" cm="1">
        <f t="array" ref="N18">Tablo3[[#This Row],[HW1]]*$D$40/Tablo11[HW1]+Tablo3[[#This Row],[HW2]]*$E$40/Tablo11[HW2]+Tablo3[[#This Row],[HW3]]*$F$40/Tablo11[HW3]+Tablo3[[#This Row],[HW4]]*$G$40/Tablo11[HW4]+Tablo3[[#This Row],[HW5]]*$H$40/Tablo11[HW5]</f>
        <v>2.25</v>
      </c>
      <c r="O18" s="10" cm="1">
        <f t="array" ref="O18">Tablo3[[#This Row],[HW1]]*$D$41/Tablo11[HW1]+Tablo3[[#This Row],[HW2]]*$E$41/Tablo11[HW2]+Tablo3[[#This Row],[HW3]]*$F$41/Tablo11[HW3]+Tablo3[[#This Row],[HW4]]*$G$41/Tablo11[HW4]+Tablo3[[#This Row],[HW5]]*$H$41/Tablo11[HW5]</f>
        <v>0</v>
      </c>
      <c r="P18" s="10">
        <f>SUM(L18,M18,N18,O18)</f>
        <v>12.25</v>
      </c>
      <c r="Q18" s="10">
        <f>_xlfn.NORM.DIST(Tablo3[[#This Row],[TOTAL]],$T$4,$U$4,FALSE)</f>
        <v>0.17001983922354486</v>
      </c>
    </row>
    <row r="19" spans="2:17" ht="15.6" thickTop="1" thickBot="1" x14ac:dyDescent="0.35">
      <c r="B19" s="104">
        <v>15</v>
      </c>
      <c r="C19" s="17">
        <v>15</v>
      </c>
      <c r="D19" s="71" t="s">
        <v>110</v>
      </c>
      <c r="E19" s="71" t="s">
        <v>111</v>
      </c>
      <c r="F19" s="5">
        <v>6</v>
      </c>
      <c r="G19" s="5">
        <v>3.5</v>
      </c>
      <c r="H19" s="5">
        <v>8</v>
      </c>
      <c r="I19" s="5">
        <v>10</v>
      </c>
      <c r="J19" s="5">
        <v>6</v>
      </c>
      <c r="K19" s="10">
        <f>(Tablo3[[#This Row],[HW1]]+Tablo3[[#This Row],[HW2]]+Tablo3[[#This Row],[HW3]]+Tablo3[[#This Row],[HW4]]+Tablo3[[#This Row],[HW5]])/5</f>
        <v>6.7</v>
      </c>
      <c r="L19" s="10" cm="1">
        <f t="array" ref="L19">Tablo3[[#This Row],[HW1]]*$D$38/Tablo11[HW1]+Tablo3[[#This Row],[HW2]]*$E$38/Tablo11[HW2]+Tablo3[[#This Row],[HW3]]*$F$38/Tablo11[HW3]+Tablo3[[#This Row],[HW4]]*$G$38/Tablo11[HW4]+Tablo3[[#This Row],[HW5]]*$H$38/Tablo11[HW5]</f>
        <v>15.416666666666668</v>
      </c>
      <c r="M19" s="10" cm="1">
        <f t="array" ref="M19">Tablo3[[#This Row],[HW1]]*$D$39/Tablo11[HW1]+Tablo3[[#This Row],[HW2]]*$E$39/Tablo11[HW2]+Tablo3[[#This Row],[HW3]]*$F$39/Tablo11[HW3]+Tablo3[[#This Row],[HW4]]*$G$39/Tablo11[HW4]+Tablo3[[#This Row],[HW5]]*$H$39/Tablo11[HW5]</f>
        <v>3.5</v>
      </c>
      <c r="N19" s="10" cm="1">
        <f t="array" ref="N19">Tablo3[[#This Row],[HW1]]*$D$40/Tablo11[HW1]+Tablo3[[#This Row],[HW2]]*$E$40/Tablo11[HW2]+Tablo3[[#This Row],[HW3]]*$F$40/Tablo11[HW3]+Tablo3[[#This Row],[HW4]]*$G$40/Tablo11[HW4]+Tablo3[[#This Row],[HW5]]*$H$40/Tablo11[HW5]</f>
        <v>6.416666666666667</v>
      </c>
      <c r="O19" s="10" cm="1">
        <f t="array" ref="O19">Tablo3[[#This Row],[HW1]]*$D$41/Tablo11[HW1]+Tablo3[[#This Row],[HW2]]*$E$41/Tablo11[HW2]+Tablo3[[#This Row],[HW3]]*$F$41/Tablo11[HW3]+Tablo3[[#This Row],[HW4]]*$G$41/Tablo11[HW4]+Tablo3[[#This Row],[HW5]]*$H$41/Tablo11[HW5]</f>
        <v>3</v>
      </c>
      <c r="P19" s="10">
        <f>SUM(L19,M19,N19,O19)</f>
        <v>28.333333333333336</v>
      </c>
      <c r="Q19" s="10">
        <f>_xlfn.NORM.DIST(Tablo3[[#This Row],[TOTAL]],$T$4,$U$4,FALSE)</f>
        <v>0.11640321468986572</v>
      </c>
    </row>
    <row r="20" spans="2:17" ht="15.6" thickTop="1" thickBot="1" x14ac:dyDescent="0.35">
      <c r="B20" s="103">
        <v>16</v>
      </c>
      <c r="C20" s="17">
        <v>16</v>
      </c>
      <c r="D20" s="71" t="s">
        <v>110</v>
      </c>
      <c r="E20" s="71" t="s">
        <v>111</v>
      </c>
      <c r="F20" s="5">
        <v>10</v>
      </c>
      <c r="G20" s="5">
        <v>10</v>
      </c>
      <c r="H20" s="5">
        <v>10</v>
      </c>
      <c r="I20" s="5">
        <v>10</v>
      </c>
      <c r="J20" s="5">
        <v>10</v>
      </c>
      <c r="K20" s="10">
        <f>(Tablo3[[#This Row],[HW1]]+Tablo3[[#This Row],[HW2]]+Tablo3[[#This Row],[HW3]]+Tablo3[[#This Row],[HW4]]+Tablo3[[#This Row],[HW5]])/5</f>
        <v>10</v>
      </c>
      <c r="L20" s="10" cm="1">
        <f t="array" ref="L20">Tablo3[[#This Row],[HW1]]*$D$38/Tablo11[HW1]+Tablo3[[#This Row],[HW2]]*$E$38/Tablo11[HW2]+Tablo3[[#This Row],[HW3]]*$F$38/Tablo11[HW3]+Tablo3[[#This Row],[HW4]]*$G$38/Tablo11[HW4]+Tablo3[[#This Row],[HW5]]*$H$38/Tablo11[HW5]</f>
        <v>21.666666666666668</v>
      </c>
      <c r="M20" s="10" cm="1">
        <f t="array" ref="M20">Tablo3[[#This Row],[HW1]]*$D$39/Tablo11[HW1]+Tablo3[[#This Row],[HW2]]*$E$39/Tablo11[HW2]+Tablo3[[#This Row],[HW3]]*$F$39/Tablo11[HW3]+Tablo3[[#This Row],[HW4]]*$G$39/Tablo11[HW4]+Tablo3[[#This Row],[HW5]]*$H$39/Tablo11[HW5]</f>
        <v>10</v>
      </c>
      <c r="N20" s="10" cm="1">
        <f t="array" ref="N20">Tablo3[[#This Row],[HW1]]*$D$40/Tablo11[HW1]+Tablo3[[#This Row],[HW2]]*$E$40/Tablo11[HW2]+Tablo3[[#This Row],[HW3]]*$F$40/Tablo11[HW3]+Tablo3[[#This Row],[HW4]]*$G$40/Tablo11[HW4]+Tablo3[[#This Row],[HW5]]*$H$40/Tablo11[HW5]</f>
        <v>11.666666666666666</v>
      </c>
      <c r="O20" s="10" cm="1">
        <f t="array" ref="O20">Tablo3[[#This Row],[HW1]]*$D$41/Tablo11[HW1]+Tablo3[[#This Row],[HW2]]*$E$41/Tablo11[HW2]+Tablo3[[#This Row],[HW3]]*$F$41/Tablo11[HW3]+Tablo3[[#This Row],[HW4]]*$G$41/Tablo11[HW4]+Tablo3[[#This Row],[HW5]]*$H$41/Tablo11[HW5]</f>
        <v>5</v>
      </c>
      <c r="P20" s="10">
        <f>SUM(L20,M20,N20,O20)</f>
        <v>48.333333333333336</v>
      </c>
      <c r="Q20" s="10">
        <f>_xlfn.NORM.DIST(Tablo3[[#This Row],[TOTAL]],$T$4,$U$4,FALSE)</f>
        <v>3.870856906647231E-3</v>
      </c>
    </row>
    <row r="21" spans="2:17" ht="15.6" thickTop="1" thickBot="1" x14ac:dyDescent="0.35">
      <c r="B21" s="104">
        <v>17</v>
      </c>
      <c r="C21" s="17">
        <v>17</v>
      </c>
      <c r="D21" s="71" t="s">
        <v>110</v>
      </c>
      <c r="E21" s="71" t="s">
        <v>111</v>
      </c>
      <c r="F21" s="5">
        <v>0</v>
      </c>
      <c r="G21" s="5">
        <v>2</v>
      </c>
      <c r="H21" s="5">
        <v>8</v>
      </c>
      <c r="I21" s="5">
        <v>9</v>
      </c>
      <c r="J21" s="5">
        <v>6</v>
      </c>
      <c r="K21" s="10">
        <f>(Tablo3[[#This Row],[HW1]]+Tablo3[[#This Row],[HW2]]+Tablo3[[#This Row],[HW3]]+Tablo3[[#This Row],[HW4]]+Tablo3[[#This Row],[HW5]])/5</f>
        <v>5</v>
      </c>
      <c r="L21" s="10" cm="1">
        <f t="array" ref="L21">Tablo3[[#This Row],[HW1]]*$D$38/Tablo11[HW1]+Tablo3[[#This Row],[HW2]]*$E$38/Tablo11[HW2]+Tablo3[[#This Row],[HW3]]*$F$38/Tablo11[HW3]+Tablo3[[#This Row],[HW4]]*$G$38/Tablo11[HW4]+Tablo3[[#This Row],[HW5]]*$H$38/Tablo11[HW5]</f>
        <v>14</v>
      </c>
      <c r="M21" s="10" cm="1">
        <f t="array" ref="M21">Tablo3[[#This Row],[HW1]]*$D$39/Tablo11[HW1]+Tablo3[[#This Row],[HW2]]*$E$39/Tablo11[HW2]+Tablo3[[#This Row],[HW3]]*$F$39/Tablo11[HW3]+Tablo3[[#This Row],[HW4]]*$G$39/Tablo11[HW4]+Tablo3[[#This Row],[HW5]]*$H$39/Tablo11[HW5]</f>
        <v>2</v>
      </c>
      <c r="N21" s="10" cm="1">
        <f t="array" ref="N21">Tablo3[[#This Row],[HW1]]*$D$40/Tablo11[HW1]+Tablo3[[#This Row],[HW2]]*$E$40/Tablo11[HW2]+Tablo3[[#This Row],[HW3]]*$F$40/Tablo11[HW3]+Tablo3[[#This Row],[HW4]]*$G$40/Tablo11[HW4]+Tablo3[[#This Row],[HW5]]*$H$40/Tablo11[HW5]</f>
        <v>4</v>
      </c>
      <c r="O21" s="10" cm="1">
        <f t="array" ref="O21">Tablo3[[#This Row],[HW1]]*$D$41/Tablo11[HW1]+Tablo3[[#This Row],[HW2]]*$E$41/Tablo11[HW2]+Tablo3[[#This Row],[HW3]]*$F$41/Tablo11[HW3]+Tablo3[[#This Row],[HW4]]*$G$41/Tablo11[HW4]+Tablo3[[#This Row],[HW5]]*$H$41/Tablo11[HW5]</f>
        <v>0</v>
      </c>
      <c r="P21" s="10">
        <f>SUM(L21,M21,N21,O21)</f>
        <v>20</v>
      </c>
      <c r="Q21" s="10">
        <f>_xlfn.NORM.DIST(Tablo3[[#This Row],[TOTAL]],$T$4,$U$4,FALSE)</f>
        <v>0.206432160192831</v>
      </c>
    </row>
    <row r="22" spans="2:17" ht="15.6" thickTop="1" thickBot="1" x14ac:dyDescent="0.35">
      <c r="B22" s="103">
        <v>18</v>
      </c>
      <c r="C22" s="17">
        <v>18</v>
      </c>
      <c r="D22" s="71" t="s">
        <v>110</v>
      </c>
      <c r="E22" s="71" t="s">
        <v>111</v>
      </c>
      <c r="F22" s="5">
        <v>0</v>
      </c>
      <c r="G22" s="5">
        <v>0</v>
      </c>
      <c r="H22" s="5">
        <v>6</v>
      </c>
      <c r="I22" s="5">
        <v>6</v>
      </c>
      <c r="J22" s="5">
        <v>2</v>
      </c>
      <c r="K22" s="10">
        <f>(Tablo3[[#This Row],[HW1]]+Tablo3[[#This Row],[HW2]]+Tablo3[[#This Row],[HW3]]+Tablo3[[#This Row],[HW4]]+Tablo3[[#This Row],[HW5]])/5</f>
        <v>2.8</v>
      </c>
      <c r="L22" s="10" cm="1">
        <f t="array" ref="L22">Tablo3[[#This Row],[HW1]]*$D$38/Tablo11[HW1]+Tablo3[[#This Row],[HW2]]*$E$38/Tablo11[HW2]+Tablo3[[#This Row],[HW3]]*$F$38/Tablo11[HW3]+Tablo3[[#This Row],[HW4]]*$G$38/Tablo11[HW4]+Tablo3[[#This Row],[HW5]]*$H$38/Tablo11[HW5]</f>
        <v>8</v>
      </c>
      <c r="M22" s="10" cm="1">
        <f t="array" ref="M22">Tablo3[[#This Row],[HW1]]*$D$39/Tablo11[HW1]+Tablo3[[#This Row],[HW2]]*$E$39/Tablo11[HW2]+Tablo3[[#This Row],[HW3]]*$F$39/Tablo11[HW3]+Tablo3[[#This Row],[HW4]]*$G$39/Tablo11[HW4]+Tablo3[[#This Row],[HW5]]*$H$39/Tablo11[HW5]</f>
        <v>0</v>
      </c>
      <c r="N22" s="10" cm="1">
        <f t="array" ref="N22">Tablo3[[#This Row],[HW1]]*$D$40/Tablo11[HW1]+Tablo3[[#This Row],[HW2]]*$E$40/Tablo11[HW2]+Tablo3[[#This Row],[HW3]]*$F$40/Tablo11[HW3]+Tablo3[[#This Row],[HW4]]*$G$40/Tablo11[HW4]+Tablo3[[#This Row],[HW5]]*$H$40/Tablo11[HW5]</f>
        <v>1.5</v>
      </c>
      <c r="O22" s="10" cm="1">
        <f t="array" ref="O22">Tablo3[[#This Row],[HW1]]*$D$41/Tablo11[HW1]+Tablo3[[#This Row],[HW2]]*$E$41/Tablo11[HW2]+Tablo3[[#This Row],[HW3]]*$F$41/Tablo11[HW3]+Tablo3[[#This Row],[HW4]]*$G$41/Tablo11[HW4]+Tablo3[[#This Row],[HW5]]*$H$41/Tablo11[HW5]</f>
        <v>0</v>
      </c>
      <c r="P22" s="10">
        <f>SUM(L22,M22,N22,O22)</f>
        <v>9.5</v>
      </c>
      <c r="Q22" s="10">
        <f>_xlfn.NORM.DIST(Tablo3[[#This Row],[TOTAL]],$T$4,$U$4,FALSE)</f>
        <v>0.13160788610670934</v>
      </c>
    </row>
    <row r="23" spans="2:17" ht="15.6" thickTop="1" thickBot="1" x14ac:dyDescent="0.35">
      <c r="B23" s="104">
        <v>19</v>
      </c>
      <c r="C23" s="17">
        <v>19</v>
      </c>
      <c r="D23" s="71" t="s">
        <v>110</v>
      </c>
      <c r="E23" s="71" t="s">
        <v>111</v>
      </c>
      <c r="F23" s="5">
        <v>2</v>
      </c>
      <c r="G23" s="5">
        <v>1</v>
      </c>
      <c r="H23" s="5">
        <v>8</v>
      </c>
      <c r="I23" s="5">
        <v>8</v>
      </c>
      <c r="J23" s="5">
        <v>6</v>
      </c>
      <c r="K23" s="10">
        <f>(Tablo3[[#This Row],[HW1]]+Tablo3[[#This Row],[HW2]]+Tablo3[[#This Row],[HW3]]+Tablo3[[#This Row],[HW4]]+Tablo3[[#This Row],[HW5]])/5</f>
        <v>5</v>
      </c>
      <c r="L23" s="10" cm="1">
        <f t="array" ref="L23">Tablo3[[#This Row],[HW1]]*$D$38/Tablo11[HW1]+Tablo3[[#This Row],[HW2]]*$E$38/Tablo11[HW2]+Tablo3[[#This Row],[HW3]]*$F$38/Tablo11[HW3]+Tablo3[[#This Row],[HW4]]*$G$38/Tablo11[HW4]+Tablo3[[#This Row],[HW5]]*$H$38/Tablo11[HW5]</f>
        <v>12.833333333333332</v>
      </c>
      <c r="M23" s="10" cm="1">
        <f t="array" ref="M23">Tablo3[[#This Row],[HW1]]*$D$39/Tablo11[HW1]+Tablo3[[#This Row],[HW2]]*$E$39/Tablo11[HW2]+Tablo3[[#This Row],[HW3]]*$F$39/Tablo11[HW3]+Tablo3[[#This Row],[HW4]]*$G$39/Tablo11[HW4]+Tablo3[[#This Row],[HW5]]*$H$39/Tablo11[HW5]</f>
        <v>1</v>
      </c>
      <c r="N23" s="10" cm="1">
        <f t="array" ref="N23">Tablo3[[#This Row],[HW1]]*$D$40/Tablo11[HW1]+Tablo3[[#This Row],[HW2]]*$E$40/Tablo11[HW2]+Tablo3[[#This Row],[HW3]]*$F$40/Tablo11[HW3]+Tablo3[[#This Row],[HW4]]*$G$40/Tablo11[HW4]+Tablo3[[#This Row],[HW5]]*$H$40/Tablo11[HW5]</f>
        <v>3.833333333333333</v>
      </c>
      <c r="O23" s="10" cm="1">
        <f t="array" ref="O23">Tablo3[[#This Row],[HW1]]*$D$41/Tablo11[HW1]+Tablo3[[#This Row],[HW2]]*$E$41/Tablo11[HW2]+Tablo3[[#This Row],[HW3]]*$F$41/Tablo11[HW3]+Tablo3[[#This Row],[HW4]]*$G$41/Tablo11[HW4]+Tablo3[[#This Row],[HW5]]*$H$41/Tablo11[HW5]</f>
        <v>1</v>
      </c>
      <c r="P23" s="10">
        <f>SUM(L23,M23,N23,O23)</f>
        <v>18.666666666666664</v>
      </c>
      <c r="Q23" s="10">
        <f>_xlfn.NORM.DIST(Tablo3[[#This Row],[TOTAL]],$T$4,$U$4,FALSE)</f>
        <v>0.206432160192831</v>
      </c>
    </row>
    <row r="24" spans="2:17" ht="15.6" thickTop="1" thickBot="1" x14ac:dyDescent="0.35">
      <c r="B24" s="103">
        <v>20</v>
      </c>
      <c r="C24" s="17">
        <v>20</v>
      </c>
      <c r="D24" s="71" t="s">
        <v>110</v>
      </c>
      <c r="E24" s="71" t="s">
        <v>111</v>
      </c>
      <c r="F24" s="5">
        <v>2</v>
      </c>
      <c r="G24" s="5">
        <v>1</v>
      </c>
      <c r="H24" s="5">
        <v>0</v>
      </c>
      <c r="I24" s="5">
        <v>4</v>
      </c>
      <c r="J24" s="5">
        <v>3</v>
      </c>
      <c r="K24" s="10">
        <f>(Tablo3[[#This Row],[HW1]]+Tablo3[[#This Row],[HW2]]+Tablo3[[#This Row],[HW3]]+Tablo3[[#This Row],[HW4]]+Tablo3[[#This Row],[HW5]])/5</f>
        <v>2</v>
      </c>
      <c r="L24" s="10" cm="1">
        <f t="array" ref="L24">Tablo3[[#This Row],[HW1]]*$D$38/Tablo11[HW1]+Tablo3[[#This Row],[HW2]]*$E$38/Tablo11[HW2]+Tablo3[[#This Row],[HW3]]*$F$38/Tablo11[HW3]+Tablo3[[#This Row],[HW4]]*$G$38/Tablo11[HW4]+Tablo3[[#This Row],[HW5]]*$H$38/Tablo11[HW5]</f>
        <v>4.6666666666666661</v>
      </c>
      <c r="M24" s="10" cm="1">
        <f t="array" ref="M24">Tablo3[[#This Row],[HW1]]*$D$39/Tablo11[HW1]+Tablo3[[#This Row],[HW2]]*$E$39/Tablo11[HW2]+Tablo3[[#This Row],[HW3]]*$F$39/Tablo11[HW3]+Tablo3[[#This Row],[HW4]]*$G$39/Tablo11[HW4]+Tablo3[[#This Row],[HW5]]*$H$39/Tablo11[HW5]</f>
        <v>1</v>
      </c>
      <c r="N24" s="10" cm="1">
        <f t="array" ref="N24">Tablo3[[#This Row],[HW1]]*$D$40/Tablo11[HW1]+Tablo3[[#This Row],[HW2]]*$E$40/Tablo11[HW2]+Tablo3[[#This Row],[HW3]]*$F$40/Tablo11[HW3]+Tablo3[[#This Row],[HW4]]*$G$40/Tablo11[HW4]+Tablo3[[#This Row],[HW5]]*$H$40/Tablo11[HW5]</f>
        <v>2.4166666666666665</v>
      </c>
      <c r="O24" s="10" cm="1">
        <f t="array" ref="O24">Tablo3[[#This Row],[HW1]]*$D$41/Tablo11[HW1]+Tablo3[[#This Row],[HW2]]*$E$41/Tablo11[HW2]+Tablo3[[#This Row],[HW3]]*$F$41/Tablo11[HW3]+Tablo3[[#This Row],[HW4]]*$G$41/Tablo11[HW4]+Tablo3[[#This Row],[HW5]]*$H$41/Tablo11[HW5]</f>
        <v>1</v>
      </c>
      <c r="P24" s="10">
        <f>SUM(L24,M24,N24,O24)</f>
        <v>9.0833333333333321</v>
      </c>
      <c r="Q24" s="10">
        <f>_xlfn.NORM.DIST(Tablo3[[#This Row],[TOTAL]],$T$4,$U$4,FALSE)</f>
        <v>8.0064646434437253E-2</v>
      </c>
    </row>
    <row r="25" spans="2:17" ht="15.6" thickTop="1" thickBot="1" x14ac:dyDescent="0.35">
      <c r="B25" s="104">
        <v>21</v>
      </c>
      <c r="C25" s="17">
        <v>21</v>
      </c>
      <c r="D25" s="71" t="s">
        <v>110</v>
      </c>
      <c r="E25" s="71" t="s">
        <v>111</v>
      </c>
      <c r="F25" s="5">
        <v>1</v>
      </c>
      <c r="G25" s="5">
        <v>3</v>
      </c>
      <c r="H25" s="5">
        <v>8</v>
      </c>
      <c r="I25" s="5">
        <v>10</v>
      </c>
      <c r="J25" s="5">
        <v>8</v>
      </c>
      <c r="K25" s="10">
        <f>(Tablo3[[#This Row],[HW1]]+Tablo3[[#This Row],[HW2]]+Tablo3[[#This Row],[HW3]]+Tablo3[[#This Row],[HW4]]+Tablo3[[#This Row],[HW5]])/5</f>
        <v>6</v>
      </c>
      <c r="L25" s="10" cm="1">
        <f t="array" ref="L25">Tablo3[[#This Row],[HW1]]*$D$38/Tablo11[HW1]+Tablo3[[#This Row],[HW2]]*$E$38/Tablo11[HW2]+Tablo3[[#This Row],[HW3]]*$F$38/Tablo11[HW3]+Tablo3[[#This Row],[HW4]]*$G$38/Tablo11[HW4]+Tablo3[[#This Row],[HW5]]*$H$38/Tablo11[HW5]</f>
        <v>16.166666666666668</v>
      </c>
      <c r="M25" s="10" cm="1">
        <f t="array" ref="M25">Tablo3[[#This Row],[HW1]]*$D$39/Tablo11[HW1]+Tablo3[[#This Row],[HW2]]*$E$39/Tablo11[HW2]+Tablo3[[#This Row],[HW3]]*$F$39/Tablo11[HW3]+Tablo3[[#This Row],[HW4]]*$G$39/Tablo11[HW4]+Tablo3[[#This Row],[HW5]]*$H$39/Tablo11[HW5]</f>
        <v>3</v>
      </c>
      <c r="N25" s="10" cm="1">
        <f t="array" ref="N25">Tablo3[[#This Row],[HW1]]*$D$40/Tablo11[HW1]+Tablo3[[#This Row],[HW2]]*$E$40/Tablo11[HW2]+Tablo3[[#This Row],[HW3]]*$F$40/Tablo11[HW3]+Tablo3[[#This Row],[HW4]]*$G$40/Tablo11[HW4]+Tablo3[[#This Row],[HW5]]*$H$40/Tablo11[HW5]</f>
        <v>5.416666666666667</v>
      </c>
      <c r="O25" s="10" cm="1">
        <f t="array" ref="O25">Tablo3[[#This Row],[HW1]]*$D$41/Tablo11[HW1]+Tablo3[[#This Row],[HW2]]*$E$41/Tablo11[HW2]+Tablo3[[#This Row],[HW3]]*$F$41/Tablo11[HW3]+Tablo3[[#This Row],[HW4]]*$G$41/Tablo11[HW4]+Tablo3[[#This Row],[HW5]]*$H$41/Tablo11[HW5]</f>
        <v>0.5</v>
      </c>
      <c r="P25" s="10">
        <f>SUM(L25,M25,N25,O25)</f>
        <v>25.083333333333336</v>
      </c>
      <c r="Q25" s="10">
        <f>_xlfn.NORM.DIST(Tablo3[[#This Row],[TOTAL]],$T$4,$U$4,FALSE)</f>
        <v>0.16241884871807255</v>
      </c>
    </row>
    <row r="26" spans="2:17" ht="15.6" thickTop="1" thickBot="1" x14ac:dyDescent="0.35">
      <c r="B26" s="103">
        <v>22</v>
      </c>
      <c r="C26" s="17">
        <v>22</v>
      </c>
      <c r="D26" s="71" t="s">
        <v>110</v>
      </c>
      <c r="E26" s="71" t="s">
        <v>111</v>
      </c>
      <c r="F26" s="5">
        <v>1</v>
      </c>
      <c r="G26" s="5">
        <v>1</v>
      </c>
      <c r="H26" s="5">
        <v>8</v>
      </c>
      <c r="I26" s="5">
        <v>9</v>
      </c>
      <c r="J26" s="5">
        <v>3</v>
      </c>
      <c r="K26" s="10">
        <f>(Tablo3[[#This Row],[HW1]]+Tablo3[[#This Row],[HW2]]+Tablo3[[#This Row],[HW3]]+Tablo3[[#This Row],[HW4]]+Tablo3[[#This Row],[HW5]])/5</f>
        <v>4.4000000000000004</v>
      </c>
      <c r="L26" s="10" cm="1">
        <f t="array" ref="L26">Tablo3[[#This Row],[HW1]]*$D$38/Tablo11[HW1]+Tablo3[[#This Row],[HW2]]*$E$38/Tablo11[HW2]+Tablo3[[#This Row],[HW3]]*$F$38/Tablo11[HW3]+Tablo3[[#This Row],[HW4]]*$G$38/Tablo11[HW4]+Tablo3[[#This Row],[HW5]]*$H$38/Tablo11[HW5]</f>
        <v>12</v>
      </c>
      <c r="M26" s="10" cm="1">
        <f t="array" ref="M26">Tablo3[[#This Row],[HW1]]*$D$39/Tablo11[HW1]+Tablo3[[#This Row],[HW2]]*$E$39/Tablo11[HW2]+Tablo3[[#This Row],[HW3]]*$F$39/Tablo11[HW3]+Tablo3[[#This Row],[HW4]]*$G$39/Tablo11[HW4]+Tablo3[[#This Row],[HW5]]*$H$39/Tablo11[HW5]</f>
        <v>1</v>
      </c>
      <c r="N26" s="10" cm="1">
        <f t="array" ref="N26">Tablo3[[#This Row],[HW1]]*$D$40/Tablo11[HW1]+Tablo3[[#This Row],[HW2]]*$E$40/Tablo11[HW2]+Tablo3[[#This Row],[HW3]]*$F$40/Tablo11[HW3]+Tablo3[[#This Row],[HW4]]*$G$40/Tablo11[HW4]+Tablo3[[#This Row],[HW5]]*$H$40/Tablo11[HW5]</f>
        <v>3</v>
      </c>
      <c r="O26" s="10" cm="1">
        <f t="array" ref="O26">Tablo3[[#This Row],[HW1]]*$D$41/Tablo11[HW1]+Tablo3[[#This Row],[HW2]]*$E$41/Tablo11[HW2]+Tablo3[[#This Row],[HW3]]*$F$41/Tablo11[HW3]+Tablo3[[#This Row],[HW4]]*$G$41/Tablo11[HW4]+Tablo3[[#This Row],[HW5]]*$H$41/Tablo11[HW5]</f>
        <v>0.5</v>
      </c>
      <c r="P26" s="10">
        <f>SUM(L26,M26,N26,O26)</f>
        <v>16.5</v>
      </c>
      <c r="Q26" s="10">
        <f>_xlfn.NORM.DIST(Tablo3[[#This Row],[TOTAL]],$T$4,$U$4,FALSE)</f>
        <v>0.2086225101230515</v>
      </c>
    </row>
    <row r="27" spans="2:17" ht="15.6" thickTop="1" thickBot="1" x14ac:dyDescent="0.35">
      <c r="B27" s="104">
        <v>23</v>
      </c>
      <c r="C27" s="17">
        <v>23</v>
      </c>
      <c r="D27" s="71" t="s">
        <v>110</v>
      </c>
      <c r="E27" s="71" t="s">
        <v>111</v>
      </c>
      <c r="F27" s="5">
        <v>3</v>
      </c>
      <c r="G27" s="5">
        <v>4</v>
      </c>
      <c r="H27" s="5">
        <v>8</v>
      </c>
      <c r="I27" s="5">
        <v>10</v>
      </c>
      <c r="J27" s="5">
        <v>6</v>
      </c>
      <c r="K27" s="10">
        <f>(Tablo3[[#This Row],[HW1]]+Tablo3[[#This Row],[HW2]]+Tablo3[[#This Row],[HW3]]+Tablo3[[#This Row],[HW4]]+Tablo3[[#This Row],[HW5]])/5</f>
        <v>6.2</v>
      </c>
      <c r="L27" s="10" cm="1">
        <f t="array" ref="L27">Tablo3[[#This Row],[HW1]]*$D$38/Tablo11[HW1]+Tablo3[[#This Row],[HW2]]*$E$38/Tablo11[HW2]+Tablo3[[#This Row],[HW3]]*$F$38/Tablo11[HW3]+Tablo3[[#This Row],[HW4]]*$G$38/Tablo11[HW4]+Tablo3[[#This Row],[HW5]]*$H$38/Tablo11[HW5]</f>
        <v>15.666666666666668</v>
      </c>
      <c r="M27" s="10" cm="1">
        <f t="array" ref="M27">Tablo3[[#This Row],[HW1]]*$D$39/Tablo11[HW1]+Tablo3[[#This Row],[HW2]]*$E$39/Tablo11[HW2]+Tablo3[[#This Row],[HW3]]*$F$39/Tablo11[HW3]+Tablo3[[#This Row],[HW4]]*$G$39/Tablo11[HW4]+Tablo3[[#This Row],[HW5]]*$H$39/Tablo11[HW5]</f>
        <v>4</v>
      </c>
      <c r="N27" s="10" cm="1">
        <f t="array" ref="N27">Tablo3[[#This Row],[HW1]]*$D$40/Tablo11[HW1]+Tablo3[[#This Row],[HW2]]*$E$40/Tablo11[HW2]+Tablo3[[#This Row],[HW3]]*$F$40/Tablo11[HW3]+Tablo3[[#This Row],[HW4]]*$G$40/Tablo11[HW4]+Tablo3[[#This Row],[HW5]]*$H$40/Tablo11[HW5]</f>
        <v>5.916666666666667</v>
      </c>
      <c r="O27" s="10" cm="1">
        <f t="array" ref="O27">Tablo3[[#This Row],[HW1]]*$D$41/Tablo11[HW1]+Tablo3[[#This Row],[HW2]]*$E$41/Tablo11[HW2]+Tablo3[[#This Row],[HW3]]*$F$41/Tablo11[HW3]+Tablo3[[#This Row],[HW4]]*$G$41/Tablo11[HW4]+Tablo3[[#This Row],[HW5]]*$H$41/Tablo11[HW5]</f>
        <v>1.5</v>
      </c>
      <c r="P27" s="10">
        <f>SUM(L27,M27,N27,O27)</f>
        <v>27.083333333333336</v>
      </c>
      <c r="Q27" s="10">
        <f>_xlfn.NORM.DIST(Tablo3[[#This Row],[TOTAL]],$T$4,$U$4,FALSE)</f>
        <v>0.14973835396183971</v>
      </c>
    </row>
    <row r="28" spans="2:17" ht="15.6" thickTop="1" thickBot="1" x14ac:dyDescent="0.35">
      <c r="B28" s="103">
        <v>24</v>
      </c>
      <c r="C28" s="17">
        <v>24</v>
      </c>
      <c r="D28" s="71" t="s">
        <v>110</v>
      </c>
      <c r="E28" s="71" t="s">
        <v>111</v>
      </c>
      <c r="F28" s="5">
        <v>2</v>
      </c>
      <c r="G28" s="5">
        <v>2</v>
      </c>
      <c r="H28" s="5">
        <v>8</v>
      </c>
      <c r="I28" s="5">
        <v>8</v>
      </c>
      <c r="J28" s="5">
        <v>8</v>
      </c>
      <c r="K28" s="10">
        <f>(Tablo3[[#This Row],[HW1]]+Tablo3[[#This Row],[HW2]]+Tablo3[[#This Row],[HW3]]+Tablo3[[#This Row],[HW4]]+Tablo3[[#This Row],[HW5]])/5</f>
        <v>5.6</v>
      </c>
      <c r="L28" s="10" cm="1">
        <f t="array" ref="L28">Tablo3[[#This Row],[HW1]]*$D$38/Tablo11[HW1]+Tablo3[[#This Row],[HW2]]*$E$38/Tablo11[HW2]+Tablo3[[#This Row],[HW3]]*$F$38/Tablo11[HW3]+Tablo3[[#This Row],[HW4]]*$G$38/Tablo11[HW4]+Tablo3[[#This Row],[HW5]]*$H$38/Tablo11[HW5]</f>
        <v>14.333333333333332</v>
      </c>
      <c r="M28" s="10" cm="1">
        <f t="array" ref="M28">Tablo3[[#This Row],[HW1]]*$D$39/Tablo11[HW1]+Tablo3[[#This Row],[HW2]]*$E$39/Tablo11[HW2]+Tablo3[[#This Row],[HW3]]*$F$39/Tablo11[HW3]+Tablo3[[#This Row],[HW4]]*$G$39/Tablo11[HW4]+Tablo3[[#This Row],[HW5]]*$H$39/Tablo11[HW5]</f>
        <v>2</v>
      </c>
      <c r="N28" s="10" cm="1">
        <f t="array" ref="N28">Tablo3[[#This Row],[HW1]]*$D$40/Tablo11[HW1]+Tablo3[[#This Row],[HW2]]*$E$40/Tablo11[HW2]+Tablo3[[#This Row],[HW3]]*$F$40/Tablo11[HW3]+Tablo3[[#This Row],[HW4]]*$G$40/Tablo11[HW4]+Tablo3[[#This Row],[HW5]]*$H$40/Tablo11[HW5]</f>
        <v>4.833333333333333</v>
      </c>
      <c r="O28" s="10" cm="1">
        <f t="array" ref="O28">Tablo3[[#This Row],[HW1]]*$D$41/Tablo11[HW1]+Tablo3[[#This Row],[HW2]]*$E$41/Tablo11[HW2]+Tablo3[[#This Row],[HW3]]*$F$41/Tablo11[HW3]+Tablo3[[#This Row],[HW4]]*$G$41/Tablo11[HW4]+Tablo3[[#This Row],[HW5]]*$H$41/Tablo11[HW5]</f>
        <v>1</v>
      </c>
      <c r="P28" s="10">
        <f>SUM(L28,M28,N28,O28)</f>
        <v>22.166666666666664</v>
      </c>
      <c r="Q28" s="10">
        <f>_xlfn.NORM.DIST(Tablo3[[#This Row],[TOTAL]],$T$4,$U$4,FALSE)</f>
        <v>0.18482809471308614</v>
      </c>
    </row>
    <row r="29" spans="2:17" ht="15.6" thickTop="1" thickBot="1" x14ac:dyDescent="0.35">
      <c r="B29" s="104">
        <v>25</v>
      </c>
      <c r="C29" s="17">
        <v>25</v>
      </c>
      <c r="D29" s="71" t="s">
        <v>110</v>
      </c>
      <c r="E29" s="71" t="s">
        <v>111</v>
      </c>
      <c r="F29" s="5">
        <v>0</v>
      </c>
      <c r="G29" s="5">
        <v>0</v>
      </c>
      <c r="H29" s="5">
        <v>5</v>
      </c>
      <c r="I29" s="5">
        <v>0</v>
      </c>
      <c r="J29" s="5">
        <v>6</v>
      </c>
      <c r="K29" s="10">
        <f>(Tablo3[[#This Row],[HW1]]+Tablo3[[#This Row],[HW2]]+Tablo3[[#This Row],[HW3]]+Tablo3[[#This Row],[HW4]]+Tablo3[[#This Row],[HW5]])/5</f>
        <v>2.2000000000000002</v>
      </c>
      <c r="L29" s="10" cm="1">
        <f t="array" ref="L29">Tablo3[[#This Row],[HW1]]*$D$38/Tablo11[HW1]+Tablo3[[#This Row],[HW2]]*$E$38/Tablo11[HW2]+Tablo3[[#This Row],[HW3]]*$F$38/Tablo11[HW3]+Tablo3[[#This Row],[HW4]]*$G$38/Tablo11[HW4]+Tablo3[[#This Row],[HW5]]*$H$38/Tablo11[HW5]</f>
        <v>5.5</v>
      </c>
      <c r="M29" s="10" cm="1">
        <f t="array" ref="M29">Tablo3[[#This Row],[HW1]]*$D$39/Tablo11[HW1]+Tablo3[[#This Row],[HW2]]*$E$39/Tablo11[HW2]+Tablo3[[#This Row],[HW3]]*$F$39/Tablo11[HW3]+Tablo3[[#This Row],[HW4]]*$G$39/Tablo11[HW4]+Tablo3[[#This Row],[HW5]]*$H$39/Tablo11[HW5]</f>
        <v>0</v>
      </c>
      <c r="N29" s="10" cm="1">
        <f t="array" ref="N29">Tablo3[[#This Row],[HW1]]*$D$40/Tablo11[HW1]+Tablo3[[#This Row],[HW2]]*$E$40/Tablo11[HW2]+Tablo3[[#This Row],[HW3]]*$F$40/Tablo11[HW3]+Tablo3[[#This Row],[HW4]]*$G$40/Tablo11[HW4]+Tablo3[[#This Row],[HW5]]*$H$40/Tablo11[HW5]</f>
        <v>1.5</v>
      </c>
      <c r="O29" s="10" cm="1">
        <f t="array" ref="O29">Tablo3[[#This Row],[HW1]]*$D$41/Tablo11[HW1]+Tablo3[[#This Row],[HW2]]*$E$41/Tablo11[HW2]+Tablo3[[#This Row],[HW3]]*$F$41/Tablo11[HW3]+Tablo3[[#This Row],[HW4]]*$G$41/Tablo11[HW4]+Tablo3[[#This Row],[HW5]]*$H$41/Tablo11[HW5]</f>
        <v>0</v>
      </c>
      <c r="P29" s="10">
        <f>SUM(L29,M29,N29,O29)</f>
        <v>7</v>
      </c>
      <c r="Q29" s="10">
        <f>_xlfn.NORM.DIST(Tablo3[[#This Row],[TOTAL]],$T$4,$U$4,FALSE)</f>
        <v>9.2180416175694543E-2</v>
      </c>
    </row>
    <row r="30" spans="2:17" ht="15.6" thickTop="1" thickBot="1" x14ac:dyDescent="0.35">
      <c r="B30" s="103">
        <v>26</v>
      </c>
      <c r="C30" s="17">
        <v>26</v>
      </c>
      <c r="D30" s="71" t="s">
        <v>110</v>
      </c>
      <c r="E30" s="71" t="s">
        <v>111</v>
      </c>
      <c r="F30" s="5">
        <v>0</v>
      </c>
      <c r="G30" s="5">
        <v>2</v>
      </c>
      <c r="H30" s="5">
        <v>8</v>
      </c>
      <c r="I30" s="5">
        <v>8</v>
      </c>
      <c r="J30" s="5">
        <v>8</v>
      </c>
      <c r="K30" s="10">
        <f>(Tablo3[[#This Row],[HW1]]+Tablo3[[#This Row],[HW2]]+Tablo3[[#This Row],[HW3]]+Tablo3[[#This Row],[HW4]]+Tablo3[[#This Row],[HW5]])/5</f>
        <v>5.2</v>
      </c>
      <c r="L30" s="10" cm="1">
        <f t="array" ref="L30">Tablo3[[#This Row],[HW1]]*$D$38/Tablo11[HW1]+Tablo3[[#This Row],[HW2]]*$E$38/Tablo11[HW2]+Tablo3[[#This Row],[HW3]]*$F$38/Tablo11[HW3]+Tablo3[[#This Row],[HW4]]*$G$38/Tablo11[HW4]+Tablo3[[#This Row],[HW5]]*$H$38/Tablo11[HW5]</f>
        <v>14.333333333333332</v>
      </c>
      <c r="M30" s="10" cm="1">
        <f t="array" ref="M30">Tablo3[[#This Row],[HW1]]*$D$39/Tablo11[HW1]+Tablo3[[#This Row],[HW2]]*$E$39/Tablo11[HW2]+Tablo3[[#This Row],[HW3]]*$F$39/Tablo11[HW3]+Tablo3[[#This Row],[HW4]]*$G$39/Tablo11[HW4]+Tablo3[[#This Row],[HW5]]*$H$39/Tablo11[HW5]</f>
        <v>2</v>
      </c>
      <c r="N30" s="10" cm="1">
        <f t="array" ref="N30">Tablo3[[#This Row],[HW1]]*$D$40/Tablo11[HW1]+Tablo3[[#This Row],[HW2]]*$E$40/Tablo11[HW2]+Tablo3[[#This Row],[HW3]]*$F$40/Tablo11[HW3]+Tablo3[[#This Row],[HW4]]*$G$40/Tablo11[HW4]+Tablo3[[#This Row],[HW5]]*$H$40/Tablo11[HW5]</f>
        <v>4.333333333333333</v>
      </c>
      <c r="O30" s="10" cm="1">
        <f t="array" ref="O30">Tablo3[[#This Row],[HW1]]*$D$41/Tablo11[HW1]+Tablo3[[#This Row],[HW2]]*$E$41/Tablo11[HW2]+Tablo3[[#This Row],[HW3]]*$F$41/Tablo11[HW3]+Tablo3[[#This Row],[HW4]]*$G$41/Tablo11[HW4]+Tablo3[[#This Row],[HW5]]*$H$41/Tablo11[HW5]</f>
        <v>0</v>
      </c>
      <c r="P30" s="10">
        <f>SUM(L30,M30,N30,O30)</f>
        <v>20.666666666666664</v>
      </c>
      <c r="Q30" s="10">
        <f>_xlfn.NORM.DIST(Tablo3[[#This Row],[TOTAL]],$T$4,$U$4,FALSE)</f>
        <v>0.20118671342007627</v>
      </c>
    </row>
    <row r="31" spans="2:17" ht="15.6" thickTop="1" thickBot="1" x14ac:dyDescent="0.35">
      <c r="B31" s="104">
        <v>27</v>
      </c>
      <c r="C31" s="17">
        <v>27</v>
      </c>
      <c r="D31" s="71" t="s">
        <v>110</v>
      </c>
      <c r="E31" s="71" t="s">
        <v>111</v>
      </c>
      <c r="F31" s="5">
        <v>1</v>
      </c>
      <c r="G31" s="5">
        <v>1</v>
      </c>
      <c r="H31" s="5">
        <v>7</v>
      </c>
      <c r="I31" s="5">
        <v>5</v>
      </c>
      <c r="J31" s="5">
        <v>6</v>
      </c>
      <c r="K31" s="10">
        <f>(Tablo3[[#This Row],[HW1]]+Tablo3[[#This Row],[HW2]]+Tablo3[[#This Row],[HW3]]+Tablo3[[#This Row],[HW4]]+Tablo3[[#This Row],[HW5]])/5</f>
        <v>4</v>
      </c>
      <c r="L31" s="10" cm="1">
        <f t="array" ref="L31">Tablo3[[#This Row],[HW1]]*$D$38/Tablo11[HW1]+Tablo3[[#This Row],[HW2]]*$E$38/Tablo11[HW2]+Tablo3[[#This Row],[HW3]]*$F$38/Tablo11[HW3]+Tablo3[[#This Row],[HW4]]*$G$38/Tablo11[HW4]+Tablo3[[#This Row],[HW5]]*$H$38/Tablo11[HW5]</f>
        <v>10.333333333333334</v>
      </c>
      <c r="M31" s="10" cm="1">
        <f t="array" ref="M31">Tablo3[[#This Row],[HW1]]*$D$39/Tablo11[HW1]+Tablo3[[#This Row],[HW2]]*$E$39/Tablo11[HW2]+Tablo3[[#This Row],[HW3]]*$F$39/Tablo11[HW3]+Tablo3[[#This Row],[HW4]]*$G$39/Tablo11[HW4]+Tablo3[[#This Row],[HW5]]*$H$39/Tablo11[HW5]</f>
        <v>1</v>
      </c>
      <c r="N31" s="10" cm="1">
        <f t="array" ref="N31">Tablo3[[#This Row],[HW1]]*$D$40/Tablo11[HW1]+Tablo3[[#This Row],[HW2]]*$E$40/Tablo11[HW2]+Tablo3[[#This Row],[HW3]]*$F$40/Tablo11[HW3]+Tablo3[[#This Row],[HW4]]*$G$40/Tablo11[HW4]+Tablo3[[#This Row],[HW5]]*$H$40/Tablo11[HW5]</f>
        <v>3.0833333333333335</v>
      </c>
      <c r="O31" s="10" cm="1">
        <f t="array" ref="O31">Tablo3[[#This Row],[HW1]]*$D$41/Tablo11[HW1]+Tablo3[[#This Row],[HW2]]*$E$41/Tablo11[HW2]+Tablo3[[#This Row],[HW3]]*$F$41/Tablo11[HW3]+Tablo3[[#This Row],[HW4]]*$G$41/Tablo11[HW4]+Tablo3[[#This Row],[HW5]]*$H$41/Tablo11[HW5]</f>
        <v>0.5</v>
      </c>
      <c r="P31" s="10">
        <f>SUM(L31,M31,N31,O31)</f>
        <v>14.916666666666668</v>
      </c>
      <c r="Q31" s="10">
        <f>_xlfn.NORM.DIST(Tablo3[[#This Row],[TOTAL]],$T$4,$U$4,FALSE)</f>
        <v>0.19874294797332623</v>
      </c>
    </row>
    <row r="32" spans="2:17" ht="15.6" thickTop="1" thickBot="1" x14ac:dyDescent="0.35">
      <c r="B32" s="103">
        <v>28</v>
      </c>
      <c r="C32" s="17">
        <v>28</v>
      </c>
      <c r="D32" s="71" t="s">
        <v>110</v>
      </c>
      <c r="E32" s="71" t="s">
        <v>111</v>
      </c>
      <c r="F32" s="5">
        <v>3</v>
      </c>
      <c r="G32" s="5">
        <v>1</v>
      </c>
      <c r="H32" s="5">
        <v>7</v>
      </c>
      <c r="I32" s="5">
        <v>9</v>
      </c>
      <c r="J32" s="5">
        <v>5</v>
      </c>
      <c r="K32" s="10">
        <f>(Tablo3[[#This Row],[HW1]]+Tablo3[[#This Row],[HW2]]+Tablo3[[#This Row],[HW3]]+Tablo3[[#This Row],[HW4]]+Tablo3[[#This Row],[HW5]])/5</f>
        <v>5</v>
      </c>
      <c r="L32" s="10" cm="1">
        <f t="array" ref="L32">Tablo3[[#This Row],[HW1]]*$D$38/Tablo11[HW1]+Tablo3[[#This Row],[HW2]]*$E$38/Tablo11[HW2]+Tablo3[[#This Row],[HW3]]*$F$38/Tablo11[HW3]+Tablo3[[#This Row],[HW4]]*$G$38/Tablo11[HW4]+Tablo3[[#This Row],[HW5]]*$H$38/Tablo11[HW5]</f>
        <v>12.5</v>
      </c>
      <c r="M32" s="10" cm="1">
        <f t="array" ref="M32">Tablo3[[#This Row],[HW1]]*$D$39/Tablo11[HW1]+Tablo3[[#This Row],[HW2]]*$E$39/Tablo11[HW2]+Tablo3[[#This Row],[HW3]]*$F$39/Tablo11[HW3]+Tablo3[[#This Row],[HW4]]*$G$39/Tablo11[HW4]+Tablo3[[#This Row],[HW5]]*$H$39/Tablo11[HW5]</f>
        <v>1</v>
      </c>
      <c r="N32" s="10" cm="1">
        <f t="array" ref="N32">Tablo3[[#This Row],[HW1]]*$D$40/Tablo11[HW1]+Tablo3[[#This Row],[HW2]]*$E$40/Tablo11[HW2]+Tablo3[[#This Row],[HW3]]*$F$40/Tablo11[HW3]+Tablo3[[#This Row],[HW4]]*$G$40/Tablo11[HW4]+Tablo3[[#This Row],[HW5]]*$H$40/Tablo11[HW5]</f>
        <v>4</v>
      </c>
      <c r="O32" s="10" cm="1">
        <f t="array" ref="O32">Tablo3[[#This Row],[HW1]]*$D$41/Tablo11[HW1]+Tablo3[[#This Row],[HW2]]*$E$41/Tablo11[HW2]+Tablo3[[#This Row],[HW3]]*$F$41/Tablo11[HW3]+Tablo3[[#This Row],[HW4]]*$G$41/Tablo11[HW4]+Tablo3[[#This Row],[HW5]]*$H$41/Tablo11[HW5]</f>
        <v>1.5</v>
      </c>
      <c r="P32" s="10">
        <f>SUM(L32,M32,N32,O32)</f>
        <v>19</v>
      </c>
      <c r="Q32" s="10">
        <f>_xlfn.NORM.DIST(Tablo3[[#This Row],[TOTAL]],$T$4,$U$4,FALSE)</f>
        <v>0.206432160192831</v>
      </c>
    </row>
    <row r="33" spans="2:17" ht="15.6" thickTop="1" thickBot="1" x14ac:dyDescent="0.35">
      <c r="B33" s="104">
        <v>29</v>
      </c>
      <c r="C33" s="17">
        <v>29</v>
      </c>
      <c r="D33" s="71" t="s">
        <v>110</v>
      </c>
      <c r="E33" s="71" t="s">
        <v>111</v>
      </c>
      <c r="F33" s="5">
        <v>0</v>
      </c>
      <c r="G33" s="5">
        <v>0</v>
      </c>
      <c r="H33" s="5">
        <v>7</v>
      </c>
      <c r="I33" s="5">
        <v>8</v>
      </c>
      <c r="J33" s="5">
        <v>6</v>
      </c>
      <c r="K33" s="10">
        <f>(Tablo3[[#This Row],[HW1]]+Tablo3[[#This Row],[HW2]]+Tablo3[[#This Row],[HW3]]+Tablo3[[#This Row],[HW4]]+Tablo3[[#This Row],[HW5]])/5</f>
        <v>4.2</v>
      </c>
      <c r="L33" s="10" cm="1">
        <f t="array" ref="L33">Tablo3[[#This Row],[HW1]]*$D$38/Tablo11[HW1]+Tablo3[[#This Row],[HW2]]*$E$38/Tablo11[HW2]+Tablo3[[#This Row],[HW3]]*$F$38/Tablo11[HW3]+Tablo3[[#This Row],[HW4]]*$G$38/Tablo11[HW4]+Tablo3[[#This Row],[HW5]]*$H$38/Tablo11[HW5]</f>
        <v>11.833333333333332</v>
      </c>
      <c r="M33" s="10" cm="1">
        <f t="array" ref="M33">Tablo3[[#This Row],[HW1]]*$D$39/Tablo11[HW1]+Tablo3[[#This Row],[HW2]]*$E$39/Tablo11[HW2]+Tablo3[[#This Row],[HW3]]*$F$39/Tablo11[HW3]+Tablo3[[#This Row],[HW4]]*$G$39/Tablo11[HW4]+Tablo3[[#This Row],[HW5]]*$H$39/Tablo11[HW5]</f>
        <v>0</v>
      </c>
      <c r="N33" s="10" cm="1">
        <f t="array" ref="N33">Tablo3[[#This Row],[HW1]]*$D$40/Tablo11[HW1]+Tablo3[[#This Row],[HW2]]*$E$40/Tablo11[HW2]+Tablo3[[#This Row],[HW3]]*$F$40/Tablo11[HW3]+Tablo3[[#This Row],[HW4]]*$G$40/Tablo11[HW4]+Tablo3[[#This Row],[HW5]]*$H$40/Tablo11[HW5]</f>
        <v>2.833333333333333</v>
      </c>
      <c r="O33" s="10" cm="1">
        <f t="array" ref="O33">Tablo3[[#This Row],[HW1]]*$D$41/Tablo11[HW1]+Tablo3[[#This Row],[HW2]]*$E$41/Tablo11[HW2]+Tablo3[[#This Row],[HW3]]*$F$41/Tablo11[HW3]+Tablo3[[#This Row],[HW4]]*$G$41/Tablo11[HW4]+Tablo3[[#This Row],[HW5]]*$H$41/Tablo11[HW5]</f>
        <v>0</v>
      </c>
      <c r="P33" s="10">
        <f>SUM(L33,M33,N33,O33)</f>
        <v>14.666666666666664</v>
      </c>
      <c r="Q33" s="10">
        <f>_xlfn.NORM.DIST(Tablo3[[#This Row],[TOTAL]],$T$4,$U$4,FALSE)</f>
        <v>0.20475710386720047</v>
      </c>
    </row>
    <row r="34" spans="2:17" ht="15.6" thickTop="1" thickBot="1" x14ac:dyDescent="0.35">
      <c r="B34" s="103">
        <v>30</v>
      </c>
      <c r="C34" s="17">
        <v>30</v>
      </c>
      <c r="D34" s="71" t="s">
        <v>110</v>
      </c>
      <c r="E34" s="71" t="s">
        <v>111</v>
      </c>
      <c r="F34" s="5">
        <v>3</v>
      </c>
      <c r="G34" s="5">
        <v>2</v>
      </c>
      <c r="H34" s="5">
        <v>8</v>
      </c>
      <c r="I34" s="5">
        <v>8</v>
      </c>
      <c r="J34" s="5">
        <v>8</v>
      </c>
      <c r="K34" s="10">
        <f>(Tablo3[[#This Row],[HW1]]+Tablo3[[#This Row],[HW2]]+Tablo3[[#This Row],[HW3]]+Tablo3[[#This Row],[HW4]]+Tablo3[[#This Row],[HW5]])/5</f>
        <v>5.8</v>
      </c>
      <c r="L34" s="10" cm="1">
        <f t="array" ref="L34">Tablo3[[#This Row],[HW1]]*$D$38/Tablo11[HW1]+Tablo3[[#This Row],[HW2]]*$E$38/Tablo11[HW2]+Tablo3[[#This Row],[HW3]]*$F$38/Tablo11[HW3]+Tablo3[[#This Row],[HW4]]*$G$38/Tablo11[HW4]+Tablo3[[#This Row],[HW5]]*$H$38/Tablo11[HW5]</f>
        <v>14.333333333333332</v>
      </c>
      <c r="M34" s="10" cm="1">
        <f t="array" ref="M34">Tablo3[[#This Row],[HW1]]*$D$39/Tablo11[HW1]+Tablo3[[#This Row],[HW2]]*$E$39/Tablo11[HW2]+Tablo3[[#This Row],[HW3]]*$F$39/Tablo11[HW3]+Tablo3[[#This Row],[HW4]]*$G$39/Tablo11[HW4]+Tablo3[[#This Row],[HW5]]*$H$39/Tablo11[HW5]</f>
        <v>2</v>
      </c>
      <c r="N34" s="10" cm="1">
        <f t="array" ref="N34">Tablo3[[#This Row],[HW1]]*$D$40/Tablo11[HW1]+Tablo3[[#This Row],[HW2]]*$E$40/Tablo11[HW2]+Tablo3[[#This Row],[HW3]]*$F$40/Tablo11[HW3]+Tablo3[[#This Row],[HW4]]*$G$40/Tablo11[HW4]+Tablo3[[#This Row],[HW5]]*$H$40/Tablo11[HW5]</f>
        <v>5.083333333333333</v>
      </c>
      <c r="O34" s="10" cm="1">
        <f t="array" ref="O34">Tablo3[[#This Row],[HW1]]*$D$41/Tablo11[HW1]+Tablo3[[#This Row],[HW2]]*$E$41/Tablo11[HW2]+Tablo3[[#This Row],[HW3]]*$F$41/Tablo11[HW3]+Tablo3[[#This Row],[HW4]]*$G$41/Tablo11[HW4]+Tablo3[[#This Row],[HW5]]*$H$41/Tablo11[HW5]</f>
        <v>1.5</v>
      </c>
      <c r="P34" s="10">
        <f>SUM(L34,M34,N34,O34)</f>
        <v>22.916666666666664</v>
      </c>
      <c r="Q34" s="10">
        <f>_xlfn.NORM.DIST(Tablo3[[#This Row],[TOTAL]],$T$4,$U$4,FALSE)</f>
        <v>0.17422671106222606</v>
      </c>
    </row>
    <row r="35" spans="2:17" ht="15" thickTop="1" x14ac:dyDescent="0.3"/>
    <row r="37" spans="2:17" ht="15" thickBot="1" x14ac:dyDescent="0.35">
      <c r="C37" s="6" t="s">
        <v>89</v>
      </c>
      <c r="D37" s="12" t="s">
        <v>132</v>
      </c>
      <c r="E37" s="12" t="s">
        <v>131</v>
      </c>
      <c r="F37" s="12" t="s">
        <v>130</v>
      </c>
      <c r="G37" s="12" t="s">
        <v>129</v>
      </c>
      <c r="H37" s="12" t="s">
        <v>128</v>
      </c>
      <c r="I37" s="49" t="s">
        <v>90</v>
      </c>
      <c r="J37" s="13" t="s">
        <v>91</v>
      </c>
      <c r="K37" s="6" t="s">
        <v>92</v>
      </c>
      <c r="M37" s="43" t="s">
        <v>77</v>
      </c>
      <c r="N37" s="43" t="s">
        <v>78</v>
      </c>
      <c r="O37" s="6" t="s">
        <v>124</v>
      </c>
      <c r="P37" s="6" t="s">
        <v>125</v>
      </c>
    </row>
    <row r="38" spans="2:17" ht="15.6" thickTop="1" thickBot="1" x14ac:dyDescent="0.35">
      <c r="C38" s="50">
        <v>1</v>
      </c>
      <c r="D38" s="51">
        <v>0</v>
      </c>
      <c r="E38" s="51">
        <v>5</v>
      </c>
      <c r="F38" s="51">
        <v>10</v>
      </c>
      <c r="G38" s="51">
        <v>20</v>
      </c>
      <c r="H38" s="51">
        <v>10</v>
      </c>
      <c r="I38" s="52">
        <f>SUM(Tablo163719[[#This Row],[HW1]:[HW5]])</f>
        <v>45</v>
      </c>
      <c r="J38" s="53">
        <f>IF(Tablo163719[[#This Row],[TOPLAM]]=0,"0",SUM(Tablo3[DÇ1])/(30*Tablo415[[#This Row],[DERS ÇIKTISI KATSAYISI]]))</f>
        <v>0.25993827160493815</v>
      </c>
      <c r="K38" s="102">
        <f>$J38*Tablo415[[#This Row],[DERS ÇIKTISI KATSAYISI]]</f>
        <v>11.697222222222218</v>
      </c>
      <c r="M38" s="45">
        <v>1</v>
      </c>
      <c r="N38" s="5" t="str">
        <f>[1]MAIN!$O38</f>
        <v>Çıktı-1</v>
      </c>
      <c r="O38" s="46">
        <f>[1]MAIN!S38</f>
        <v>45</v>
      </c>
      <c r="P38" s="46">
        <f>Tablo415[[#This Row],[DERS ÇIKTISI KATSAYISI]]-Tablo163719[[#This Row],[TOPLAM]]</f>
        <v>0</v>
      </c>
    </row>
    <row r="39" spans="2:17" ht="15.6" thickTop="1" thickBot="1" x14ac:dyDescent="0.35">
      <c r="C39" s="17">
        <v>2</v>
      </c>
      <c r="D39" s="54">
        <v>0</v>
      </c>
      <c r="E39" s="54">
        <v>10</v>
      </c>
      <c r="F39" s="54">
        <v>0</v>
      </c>
      <c r="G39" s="54">
        <v>0</v>
      </c>
      <c r="H39" s="54">
        <v>0</v>
      </c>
      <c r="I39" s="52">
        <f>SUM(Tablo163719[[#This Row],[HW1]:[HW5]])</f>
        <v>10</v>
      </c>
      <c r="J39" s="53">
        <f>IF(Tablo163719[[#This Row],[TOPLAM]]=0,"0",SUM(Tablo3[DÇ2])/(30*Tablo415[[#This Row],[DERS ÇIKTISI KATSAYISI]]))</f>
        <v>0.17833333333333334</v>
      </c>
      <c r="K39" s="102">
        <f>$J39*Tablo415[[#This Row],[DERS ÇIKTISI KATSAYISI]]</f>
        <v>1.7833333333333334</v>
      </c>
      <c r="M39" s="45">
        <v>2</v>
      </c>
      <c r="N39" s="5" t="str">
        <f>[1]MAIN!$O39</f>
        <v>Çıktı-2</v>
      </c>
      <c r="O39" s="46">
        <f>[1]MAIN!S39</f>
        <v>10</v>
      </c>
      <c r="P39" s="46">
        <f>Tablo415[[#This Row],[DERS ÇIKTISI KATSAYISI]]-Tablo163719[[#This Row],[TOPLAM]]</f>
        <v>0</v>
      </c>
    </row>
    <row r="40" spans="2:17" ht="15.6" thickTop="1" thickBot="1" x14ac:dyDescent="0.35">
      <c r="C40" s="17">
        <v>3</v>
      </c>
      <c r="D40" s="54">
        <v>5</v>
      </c>
      <c r="E40" s="54">
        <v>5</v>
      </c>
      <c r="F40" s="54">
        <v>0</v>
      </c>
      <c r="G40" s="54">
        <v>5</v>
      </c>
      <c r="H40" s="54">
        <v>5</v>
      </c>
      <c r="I40" s="52">
        <f>SUM(Tablo163719[[#This Row],[HW1]:[HW5]])</f>
        <v>20</v>
      </c>
      <c r="J40" s="53">
        <f>IF(Tablo163719[[#This Row],[TOPLAM]]=0,"0",SUM(Tablo3[DÇ3])/(30*Tablo415[[#This Row],[DERS ÇIKTISI KATSAYISI]]))</f>
        <v>0.20194444444444443</v>
      </c>
      <c r="K40" s="102">
        <f>$J40*Tablo415[[#This Row],[DERS ÇIKTISI KATSAYISI]]</f>
        <v>4.0388888888888888</v>
      </c>
      <c r="M40" s="45">
        <v>3</v>
      </c>
      <c r="N40" s="5" t="str">
        <f>[1]MAIN!$O40</f>
        <v>Çıktı-3</v>
      </c>
      <c r="O40" s="46">
        <f>[1]MAIN!S40</f>
        <v>20</v>
      </c>
      <c r="P40" s="46">
        <f>Tablo415[[#This Row],[DERS ÇIKTISI KATSAYISI]]-Tablo163719[[#This Row],[TOPLAM]]</f>
        <v>0</v>
      </c>
    </row>
    <row r="41" spans="2:17" ht="15.6" thickTop="1" thickBot="1" x14ac:dyDescent="0.35">
      <c r="C41" s="17">
        <v>4</v>
      </c>
      <c r="D41" s="54">
        <v>10</v>
      </c>
      <c r="E41" s="54">
        <v>0</v>
      </c>
      <c r="F41" s="54">
        <v>0</v>
      </c>
      <c r="G41" s="54">
        <v>0</v>
      </c>
      <c r="H41" s="54">
        <v>0</v>
      </c>
      <c r="I41" s="52">
        <f>SUM(Tablo163719[[#This Row],[HW1]:[HW5]])</f>
        <v>10</v>
      </c>
      <c r="J41" s="53">
        <f>IF(Tablo163719[[#This Row],[TOPLAM]]=0,"0",SUM(Tablo3[DÇ4])/(30*Tablo415[[#This Row],[DERS ÇIKTISI KATSAYISI]]))</f>
        <v>0.105</v>
      </c>
      <c r="K41" s="102">
        <f>$J41*Tablo415[[#This Row],[DERS ÇIKTISI KATSAYISI]]</f>
        <v>1.05</v>
      </c>
      <c r="M41" s="1">
        <v>4</v>
      </c>
      <c r="N41" s="5" t="str">
        <f>[1]MAIN!$O41</f>
        <v>Çıktı-4</v>
      </c>
      <c r="O41" s="46">
        <f>[1]MAIN!S41</f>
        <v>10</v>
      </c>
      <c r="P41" s="46">
        <f>Tablo415[[#This Row],[DERS ÇIKTISI KATSAYISI]]-Tablo163719[[#This Row],[TOPLAM]]</f>
        <v>0</v>
      </c>
    </row>
    <row r="42" spans="2:17" ht="15" thickTop="1" x14ac:dyDescent="0.3"/>
    <row r="44" spans="2:17" x14ac:dyDescent="0.3">
      <c r="C44" s="101" t="s">
        <v>132</v>
      </c>
      <c r="D44" s="101" t="s">
        <v>131</v>
      </c>
      <c r="E44" s="101" t="s">
        <v>130</v>
      </c>
      <c r="F44" s="101" t="s">
        <v>129</v>
      </c>
      <c r="G44" s="101" t="s">
        <v>128</v>
      </c>
      <c r="H44" s="101" t="s">
        <v>30</v>
      </c>
    </row>
    <row r="45" spans="2:17" x14ac:dyDescent="0.3">
      <c r="C45" s="1">
        <v>20</v>
      </c>
      <c r="D45" s="1">
        <v>10</v>
      </c>
      <c r="E45" s="1">
        <v>20</v>
      </c>
      <c r="F45" s="1">
        <v>30</v>
      </c>
      <c r="G45" s="1">
        <v>20</v>
      </c>
      <c r="H45" s="1">
        <f>SUM(C45,D45,E45,F45,G45)</f>
        <v>100</v>
      </c>
    </row>
  </sheetData>
  <mergeCells count="1">
    <mergeCell ref="B1:V1"/>
  </mergeCells>
  <conditionalFormatting sqref="P38:P41">
    <cfRule type="cellIs" dxfId="39" priority="17" operator="equal">
      <formula>0</formula>
    </cfRule>
    <cfRule type="cellIs" dxfId="38" priority="18" operator="lessThan">
      <formula>0</formula>
    </cfRule>
  </conditionalFormatting>
  <conditionalFormatting sqref="P38">
    <cfRule type="cellIs" dxfId="37" priority="16" operator="greaterThan">
      <formula>$D$37</formula>
    </cfRule>
  </conditionalFormatting>
  <conditionalFormatting sqref="P39">
    <cfRule type="cellIs" dxfId="36" priority="15" operator="greaterThan">
      <formula>$D$38</formula>
    </cfRule>
  </conditionalFormatting>
  <conditionalFormatting sqref="P40">
    <cfRule type="cellIs" dxfId="35" priority="14" operator="greaterThan">
      <formula>$D$39</formula>
    </cfRule>
  </conditionalFormatting>
  <conditionalFormatting sqref="P41">
    <cfRule type="cellIs" dxfId="34" priority="13" operator="greaterThan">
      <formula>$D$40</formula>
    </cfRule>
  </conditionalFormatting>
  <conditionalFormatting sqref="I38">
    <cfRule type="cellIs" dxfId="33" priority="4" operator="equal">
      <formula>45</formula>
    </cfRule>
    <cfRule type="cellIs" dxfId="32" priority="8" operator="lessThan">
      <formula>$O$38</formula>
    </cfRule>
    <cfRule type="cellIs" dxfId="31" priority="12" operator="greaterThan">
      <formula>$O$38</formula>
    </cfRule>
  </conditionalFormatting>
  <conditionalFormatting sqref="I39">
    <cfRule type="cellIs" dxfId="30" priority="3" operator="equal">
      <formula>$O$39</formula>
    </cfRule>
    <cfRule type="cellIs" dxfId="29" priority="7" operator="lessThan">
      <formula>$O$39</formula>
    </cfRule>
    <cfRule type="cellIs" dxfId="28" priority="11" operator="greaterThan">
      <formula>$O$39</formula>
    </cfRule>
  </conditionalFormatting>
  <conditionalFormatting sqref="I40">
    <cfRule type="cellIs" dxfId="27" priority="2" operator="equal">
      <formula>$O$40</formula>
    </cfRule>
    <cfRule type="cellIs" dxfId="26" priority="6" operator="lessThan">
      <formula>$O$40</formula>
    </cfRule>
    <cfRule type="cellIs" dxfId="25" priority="10" operator="greaterThan">
      <formula>$O$40</formula>
    </cfRule>
  </conditionalFormatting>
  <conditionalFormatting sqref="I41">
    <cfRule type="cellIs" dxfId="24" priority="1" operator="equal">
      <formula>$O$41</formula>
    </cfRule>
    <cfRule type="cellIs" dxfId="23" priority="5" operator="lessThan">
      <formula>$O$41</formula>
    </cfRule>
    <cfRule type="cellIs" dxfId="22" priority="9" operator="greaterThan">
      <formula>$O$41</formula>
    </cfRule>
  </conditionalFormatting>
  <pageMargins left="0.7" right="0.7" top="0.75" bottom="0.75" header="0.3" footer="0.3"/>
  <pageSetup paperSize="9" orientation="portrait" r:id="rId1"/>
  <drawing r:id="rId2"/>
  <legacyDrawing r:id="rId3"/>
  <tableParts count="6">
    <tablePart r:id="rId4"/>
    <tablePart r:id="rId5"/>
    <tablePart r:id="rId6"/>
    <tablePart r:id="rId7"/>
    <tablePart r:id="rId8"/>
    <tablePart r:id="rId9"/>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F25C-592C-4758-B7F5-6398276DA8CA}">
  <dimension ref="B1:Z49"/>
  <sheetViews>
    <sheetView tabSelected="1" zoomScale="70" zoomScaleNormal="70" workbookViewId="0">
      <selection activeCell="AI52" sqref="AI52"/>
    </sheetView>
  </sheetViews>
  <sheetFormatPr defaultRowHeight="14.4" x14ac:dyDescent="0.3"/>
  <cols>
    <col min="1" max="1" width="8.88671875" style="5"/>
    <col min="2" max="2" width="15.21875" style="5" bestFit="1" customWidth="1"/>
    <col min="3" max="3" width="17.44140625" style="5" bestFit="1" customWidth="1"/>
    <col min="4" max="4" width="21" style="5" bestFit="1" customWidth="1"/>
    <col min="5" max="5" width="14.88671875" style="5" bestFit="1" customWidth="1"/>
    <col min="6" max="6" width="8.21875" style="5" bestFit="1" customWidth="1"/>
    <col min="7" max="7" width="15.33203125" style="5" bestFit="1" customWidth="1"/>
    <col min="8" max="12" width="11.6640625" style="5" bestFit="1" customWidth="1"/>
    <col min="13" max="13" width="14.88671875" style="5" bestFit="1" customWidth="1"/>
    <col min="14" max="14" width="15.6640625" style="5" bestFit="1" customWidth="1"/>
    <col min="15" max="15" width="17.44140625" style="5" bestFit="1" customWidth="1"/>
    <col min="16" max="16" width="10" style="5" bestFit="1" customWidth="1"/>
    <col min="17" max="17" width="10.109375" style="5" customWidth="1"/>
    <col min="18" max="18" width="15" style="5" bestFit="1" customWidth="1"/>
    <col min="19" max="19" width="19.33203125" style="5" bestFit="1" customWidth="1"/>
    <col min="20" max="20" width="9.6640625" style="5" customWidth="1"/>
    <col min="21" max="24" width="8.88671875" style="5"/>
    <col min="25" max="25" width="10.6640625" style="5" customWidth="1"/>
    <col min="26" max="26" width="13.6640625" style="5" customWidth="1"/>
    <col min="27" max="16384" width="8.88671875" style="5"/>
  </cols>
  <sheetData>
    <row r="1" spans="2:26" ht="33.6" x14ac:dyDescent="0.3">
      <c r="B1" s="67" t="s">
        <v>152</v>
      </c>
      <c r="C1" s="67"/>
      <c r="D1" s="67"/>
      <c r="E1" s="67"/>
      <c r="F1" s="67"/>
      <c r="G1" s="67"/>
      <c r="H1" s="67"/>
      <c r="I1" s="67"/>
      <c r="J1" s="67"/>
      <c r="K1" s="67"/>
      <c r="L1" s="67"/>
      <c r="M1" s="67"/>
      <c r="N1" s="67"/>
      <c r="O1" s="67"/>
      <c r="P1" s="67"/>
      <c r="Q1" s="67"/>
      <c r="R1" s="67"/>
      <c r="S1" s="67"/>
      <c r="T1" s="67"/>
      <c r="U1" s="67"/>
      <c r="V1" s="67"/>
    </row>
    <row r="4" spans="2:26" ht="15" thickBot="1" x14ac:dyDescent="0.35">
      <c r="B4" s="106" t="s">
        <v>98</v>
      </c>
      <c r="C4" s="2" t="s">
        <v>99</v>
      </c>
      <c r="D4" s="105" t="s">
        <v>110</v>
      </c>
      <c r="E4" s="105" t="s">
        <v>111</v>
      </c>
      <c r="F4" s="6" t="s">
        <v>150</v>
      </c>
      <c r="G4" s="6" t="s">
        <v>149</v>
      </c>
      <c r="H4" s="6" t="s">
        <v>148</v>
      </c>
      <c r="I4" s="6" t="s">
        <v>147</v>
      </c>
      <c r="J4" s="6" t="s">
        <v>146</v>
      </c>
      <c r="K4" s="6" t="s">
        <v>145</v>
      </c>
      <c r="L4" s="6" t="s">
        <v>144</v>
      </c>
      <c r="M4" s="6" t="s">
        <v>143</v>
      </c>
      <c r="N4" s="6" t="s">
        <v>142</v>
      </c>
      <c r="O4" s="6" t="s">
        <v>141</v>
      </c>
      <c r="P4" s="6" t="s">
        <v>140</v>
      </c>
      <c r="Q4" s="6" t="s">
        <v>139</v>
      </c>
      <c r="R4" s="6" t="s">
        <v>138</v>
      </c>
      <c r="S4" s="6" t="s">
        <v>137</v>
      </c>
      <c r="T4" s="6" t="s">
        <v>30</v>
      </c>
      <c r="U4" s="6" t="s">
        <v>72</v>
      </c>
      <c r="V4" s="6" t="s">
        <v>73</v>
      </c>
      <c r="W4" s="6" t="s">
        <v>74</v>
      </c>
      <c r="X4" s="6" t="s">
        <v>75</v>
      </c>
      <c r="Y4" s="6" t="s">
        <v>151</v>
      </c>
      <c r="Z4" s="2" t="s">
        <v>112</v>
      </c>
    </row>
    <row r="5" spans="2:26" ht="15.6" thickTop="1" thickBot="1" x14ac:dyDescent="0.35">
      <c r="B5" s="104">
        <v>1</v>
      </c>
      <c r="C5" s="17">
        <v>1</v>
      </c>
      <c r="D5" s="71" t="s">
        <v>110</v>
      </c>
      <c r="E5" s="71" t="s">
        <v>111</v>
      </c>
      <c r="F5" s="5">
        <v>1</v>
      </c>
      <c r="G5" s="5">
        <v>4</v>
      </c>
      <c r="H5" s="5">
        <v>2</v>
      </c>
      <c r="I5" s="5">
        <v>3</v>
      </c>
      <c r="J5" s="5">
        <v>4</v>
      </c>
      <c r="K5" s="5">
        <v>2</v>
      </c>
      <c r="L5" s="5">
        <v>5</v>
      </c>
      <c r="M5" s="5">
        <v>5</v>
      </c>
      <c r="N5" s="5">
        <v>1</v>
      </c>
      <c r="O5" s="5">
        <v>3</v>
      </c>
      <c r="P5" s="5">
        <v>0</v>
      </c>
      <c r="Q5" s="5">
        <v>2</v>
      </c>
      <c r="R5" s="5">
        <v>2</v>
      </c>
      <c r="S5" s="5">
        <v>1</v>
      </c>
      <c r="T5" s="10">
        <f>SUM(Tablo314[[#This Row],[LW1]:[LW14]])</f>
        <v>35</v>
      </c>
      <c r="U5" s="10" cm="1">
        <f t="array" ref="U5">F5/Tablo27[LW1]*$C$37+Tablo314[[#This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9</v>
      </c>
      <c r="V5" s="10" cm="1">
        <f t="array" ref="V5">F5/Tablo27[LW1]*$C$38+Tablo314[[#This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18.5</v>
      </c>
      <c r="W5" s="10" cm="1">
        <f t="array" ref="W5">F5/Tablo27[LW1]*$C$39+Tablo314[[#This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20</v>
      </c>
      <c r="X5" s="10" cm="1">
        <f t="array" ref="X5">F5/Tablo27[LW1]*$C$40+Tablo314[[#This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23</v>
      </c>
      <c r="Y5" s="10">
        <f>SUM(Tablo314[[#This Row],[DÇ1]],Tablo314[[#This Row],[DÇ2]],Tablo314[[#This Row],[DÇ3]],Tablo314[[#This Row],[DÇ4]])</f>
        <v>70.5</v>
      </c>
      <c r="Z5" s="24" cm="1">
        <f t="array" ref="Z5">_xlfn.NORM.DIST(Tablo314[[#This Row],[TOTAL]],Tablo29[Mean],Tablo29[Variance],FALSE)</f>
        <v>4.2432936677509877E-3</v>
      </c>
    </row>
    <row r="6" spans="2:26" ht="15.6" thickTop="1" thickBot="1" x14ac:dyDescent="0.35">
      <c r="B6" s="103">
        <v>2</v>
      </c>
      <c r="C6" s="17">
        <v>2</v>
      </c>
      <c r="D6" s="75" t="s">
        <v>110</v>
      </c>
      <c r="E6" s="71" t="s">
        <v>111</v>
      </c>
      <c r="F6" s="5">
        <v>5</v>
      </c>
      <c r="G6" s="5">
        <v>1</v>
      </c>
      <c r="H6" s="5">
        <v>3</v>
      </c>
      <c r="I6" s="5">
        <v>0</v>
      </c>
      <c r="J6" s="5">
        <v>1</v>
      </c>
      <c r="K6" s="5">
        <v>6</v>
      </c>
      <c r="L6" s="5">
        <v>4</v>
      </c>
      <c r="M6" s="5">
        <v>5</v>
      </c>
      <c r="N6" s="5">
        <v>2</v>
      </c>
      <c r="O6" s="5">
        <v>3</v>
      </c>
      <c r="P6" s="5">
        <v>2</v>
      </c>
      <c r="Q6" s="5">
        <v>2</v>
      </c>
      <c r="R6" s="5">
        <v>0</v>
      </c>
      <c r="S6" s="5">
        <v>1</v>
      </c>
      <c r="T6" s="10">
        <f>SUM(Tablo314[[#This Row],[LW1]:[LW14]])</f>
        <v>35</v>
      </c>
      <c r="U6" s="10" cm="1">
        <f t="array" ref="U6">F6/Tablo27[LW1]*$C$37+Tablo314[[#This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17</v>
      </c>
      <c r="V6" s="10" cm="1">
        <f t="array" ref="V6">F6/Tablo27[LW1]*$C$38+Tablo314[[#This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16.5</v>
      </c>
      <c r="W6" s="10" cm="1">
        <f t="array" ref="W6">F6/Tablo27[LW1]*$C$39+Tablo314[[#This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19</v>
      </c>
      <c r="X6" s="10" cm="1">
        <f t="array" ref="X6">F6/Tablo27[LW1]*$C$40+Tablo314[[#This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19</v>
      </c>
      <c r="Y6" s="10">
        <f>SUM(Tablo314[[#This Row],[DÇ1]],Tablo314[[#This Row],[DÇ2]],Tablo314[[#This Row],[DÇ3]],Tablo314[[#This Row],[DÇ4]])</f>
        <v>71.5</v>
      </c>
      <c r="Z6" s="24" cm="1">
        <f t="array" ref="Z6">_xlfn.NORM.DIST(Tablo314[[#This Row],[TOTAL]],Tablo29[Mean],Tablo29[Variance],FALSE)</f>
        <v>4.2432936677509877E-3</v>
      </c>
    </row>
    <row r="7" spans="2:26" ht="15.6" thickTop="1" thickBot="1" x14ac:dyDescent="0.35">
      <c r="B7" s="104">
        <v>3</v>
      </c>
      <c r="C7" s="17">
        <v>3</v>
      </c>
      <c r="D7" s="75" t="s">
        <v>110</v>
      </c>
      <c r="E7" s="71" t="s">
        <v>111</v>
      </c>
      <c r="F7" s="5">
        <v>5</v>
      </c>
      <c r="G7" s="5">
        <v>2</v>
      </c>
      <c r="H7" s="5">
        <v>5</v>
      </c>
      <c r="I7" s="5">
        <v>5</v>
      </c>
      <c r="J7" s="5">
        <v>1</v>
      </c>
      <c r="K7" s="5">
        <v>7</v>
      </c>
      <c r="L7" s="5">
        <v>5</v>
      </c>
      <c r="M7" s="5">
        <v>1</v>
      </c>
      <c r="N7" s="5">
        <v>3</v>
      </c>
      <c r="O7" s="5">
        <v>2</v>
      </c>
      <c r="P7" s="5">
        <v>1</v>
      </c>
      <c r="Q7" s="5">
        <v>1</v>
      </c>
      <c r="R7" s="5">
        <v>2</v>
      </c>
      <c r="S7" s="5">
        <v>0</v>
      </c>
      <c r="T7" s="10">
        <f>SUM(Tablo314[[#This Row],[LW1]:[LW14]])</f>
        <v>40</v>
      </c>
      <c r="U7" s="10" cm="1">
        <f t="array" ref="U7">F7/Tablo27[LW1]*$C$37+Tablo314[[#This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15</v>
      </c>
      <c r="V7" s="10" cm="1">
        <f t="array" ref="V7">F7/Tablo27[LW1]*$C$38+Tablo314[[#This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21</v>
      </c>
      <c r="W7" s="10" cm="1">
        <f t="array" ref="W7">F7/Tablo27[LW1]*$C$39+Tablo314[[#This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16.5</v>
      </c>
      <c r="X7" s="10" cm="1">
        <f t="array" ref="X7">F7/Tablo27[LW1]*$C$40+Tablo314[[#This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21.5</v>
      </c>
      <c r="Y7" s="10">
        <f>SUM(Tablo314[[#This Row],[DÇ1]],Tablo314[[#This Row],[DÇ2]],Tablo314[[#This Row],[DÇ3]],Tablo314[[#This Row],[DÇ4]])</f>
        <v>74</v>
      </c>
      <c r="Z7" s="24" cm="1">
        <f t="array" ref="Z7">_xlfn.NORM.DIST(Tablo314[[#This Row],[TOTAL]],Tablo29[Mean],Tablo29[Variance],FALSE)</f>
        <v>4.2790060550299217E-3</v>
      </c>
    </row>
    <row r="8" spans="2:26" ht="15.6" thickTop="1" thickBot="1" x14ac:dyDescent="0.35">
      <c r="B8" s="103">
        <v>4</v>
      </c>
      <c r="C8" s="17">
        <v>4</v>
      </c>
      <c r="D8" s="71" t="s">
        <v>110</v>
      </c>
      <c r="E8" s="71" t="s">
        <v>111</v>
      </c>
      <c r="F8" s="5">
        <v>5</v>
      </c>
      <c r="G8" s="5">
        <v>5</v>
      </c>
      <c r="H8" s="5">
        <v>5</v>
      </c>
      <c r="I8" s="5">
        <v>5</v>
      </c>
      <c r="J8" s="5">
        <v>5</v>
      </c>
      <c r="K8" s="5">
        <v>4</v>
      </c>
      <c r="L8" s="5">
        <v>2</v>
      </c>
      <c r="M8" s="5">
        <v>5</v>
      </c>
      <c r="N8" s="5">
        <v>1</v>
      </c>
      <c r="O8" s="5">
        <v>6</v>
      </c>
      <c r="P8" s="5">
        <v>8</v>
      </c>
      <c r="Q8" s="5">
        <v>4</v>
      </c>
      <c r="R8" s="5">
        <v>9</v>
      </c>
      <c r="S8" s="5">
        <v>0</v>
      </c>
      <c r="T8" s="10">
        <f>SUM(Tablo314[[#This Row],[LW1]:[LW14]])</f>
        <v>64</v>
      </c>
      <c r="U8" s="10" cm="1">
        <f t="array" ref="U8">F8/Tablo27[LW1]*$C$37+Tablo314[[#This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21</v>
      </c>
      <c r="V8" s="10" cm="1">
        <f t="array" ref="V8">F8/Tablo27[LW1]*$C$38+Tablo314[[#This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27</v>
      </c>
      <c r="W8" s="10" cm="1">
        <f t="array" ref="W8">F8/Tablo27[LW1]*$C$39+Tablo314[[#This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28.5</v>
      </c>
      <c r="X8" s="10" cm="1">
        <f t="array" ref="X8">F8/Tablo27[LW1]*$C$40+Tablo314[[#This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33.5</v>
      </c>
      <c r="Y8" s="10">
        <f>SUM(Tablo314[[#This Row],[DÇ1]],Tablo314[[#This Row],[DÇ2]],Tablo314[[#This Row],[DÇ3]],Tablo314[[#This Row],[DÇ4]])</f>
        <v>110</v>
      </c>
      <c r="Z8" s="24" cm="1">
        <f t="array" ref="Z8">_xlfn.NORM.DIST(Tablo314[[#This Row],[TOTAL]],Tablo29[Mean],Tablo29[Variance],FALSE)</f>
        <v>4.2770049092314341E-3</v>
      </c>
    </row>
    <row r="9" spans="2:26" ht="15.6" thickTop="1" thickBot="1" x14ac:dyDescent="0.35">
      <c r="B9" s="104">
        <v>5</v>
      </c>
      <c r="C9" s="17">
        <v>5</v>
      </c>
      <c r="D9" s="71" t="s">
        <v>110</v>
      </c>
      <c r="E9" s="71" t="s">
        <v>111</v>
      </c>
      <c r="F9" s="5">
        <v>5</v>
      </c>
      <c r="G9" s="5">
        <v>3</v>
      </c>
      <c r="H9" s="5">
        <v>2</v>
      </c>
      <c r="I9" s="5">
        <v>1</v>
      </c>
      <c r="J9" s="5">
        <v>0</v>
      </c>
      <c r="K9" s="5">
        <v>8</v>
      </c>
      <c r="L9" s="5">
        <v>5</v>
      </c>
      <c r="M9" s="5">
        <v>2</v>
      </c>
      <c r="N9" s="5">
        <v>0</v>
      </c>
      <c r="O9" s="5">
        <v>7</v>
      </c>
      <c r="P9" s="5">
        <v>2</v>
      </c>
      <c r="Q9" s="5">
        <v>9</v>
      </c>
      <c r="R9" s="5">
        <v>3</v>
      </c>
      <c r="S9" s="5">
        <v>7</v>
      </c>
      <c r="T9" s="10">
        <f>SUM(Tablo314[[#This Row],[LW1]:[LW14]])</f>
        <v>54</v>
      </c>
      <c r="U9" s="10" cm="1">
        <f t="array" ref="U9">F9/Tablo27[LW1]*$C$37+Tablo314[[#This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14</v>
      </c>
      <c r="V9" s="10" cm="1">
        <f t="array" ref="V9">F9/Tablo27[LW1]*$C$38+Tablo314[[#This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18.5</v>
      </c>
      <c r="W9" s="10" cm="1">
        <f t="array" ref="W9">F9/Tablo27[LW1]*$C$39+Tablo314[[#This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25</v>
      </c>
      <c r="X9" s="10" cm="1">
        <f t="array" ref="X9">F9/Tablo27[LW1]*$C$40+Tablo314[[#This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26</v>
      </c>
      <c r="Y9" s="10">
        <f>SUM(Tablo314[[#This Row],[DÇ1]],Tablo314[[#This Row],[DÇ2]],Tablo314[[#This Row],[DÇ3]],Tablo314[[#This Row],[DÇ4]])</f>
        <v>83.5</v>
      </c>
      <c r="Z9" s="24" cm="1">
        <f t="array" ref="Z9">_xlfn.NORM.DIST(Tablo314[[#This Row],[TOTAL]],Tablo29[Mean],Tablo29[Variance],FALSE)</f>
        <v>4.3130010168949727E-3</v>
      </c>
    </row>
    <row r="10" spans="2:26" ht="15.6" thickTop="1" thickBot="1" x14ac:dyDescent="0.35">
      <c r="B10" s="103">
        <v>6</v>
      </c>
      <c r="C10" s="17">
        <v>6</v>
      </c>
      <c r="D10" s="71" t="s">
        <v>110</v>
      </c>
      <c r="E10" s="71" t="s">
        <v>111</v>
      </c>
      <c r="F10" s="5">
        <v>0</v>
      </c>
      <c r="G10" s="5">
        <v>3</v>
      </c>
      <c r="H10" s="5">
        <v>5</v>
      </c>
      <c r="I10" s="5">
        <v>0</v>
      </c>
      <c r="J10" s="5">
        <v>2</v>
      </c>
      <c r="K10" s="5">
        <v>8</v>
      </c>
      <c r="L10" s="5">
        <v>1</v>
      </c>
      <c r="M10" s="5">
        <v>4</v>
      </c>
      <c r="N10" s="5">
        <v>5</v>
      </c>
      <c r="O10" s="5">
        <v>0</v>
      </c>
      <c r="P10" s="5">
        <v>7</v>
      </c>
      <c r="Q10" s="5">
        <v>3</v>
      </c>
      <c r="R10" s="5">
        <v>2</v>
      </c>
      <c r="S10" s="5">
        <v>9</v>
      </c>
      <c r="T10" s="10">
        <f>SUM(Tablo314[[#This Row],[LW1]:[LW14]])</f>
        <v>49</v>
      </c>
      <c r="U10" s="10" cm="1">
        <f t="array" ref="U10">F10/Tablo27[LW1]*$C$37+Tablo314[[#This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16.5</v>
      </c>
      <c r="V10" s="10" cm="1">
        <f t="array" ref="V10">F10/Tablo27[LW1]*$C$38+Tablo314[[#This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23.5</v>
      </c>
      <c r="W10" s="10" cm="1">
        <f t="array" ref="W10">F10/Tablo27[LW1]*$C$39+Tablo314[[#This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26.5</v>
      </c>
      <c r="X10" s="10" cm="1">
        <f t="array" ref="X10">F10/Tablo27[LW1]*$C$40+Tablo314[[#This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26.5</v>
      </c>
      <c r="Y10" s="10">
        <f>SUM(Tablo314[[#This Row],[DÇ1]],Tablo314[[#This Row],[DÇ2]],Tablo314[[#This Row],[DÇ3]],Tablo314[[#This Row],[DÇ4]])</f>
        <v>93</v>
      </c>
      <c r="Z10" s="24" cm="1">
        <f t="array" ref="Z10">_xlfn.NORM.DIST(Tablo314[[#This Row],[TOTAL]],Tablo29[Mean],Tablo29[Variance],FALSE)</f>
        <v>4.3121604671926758E-3</v>
      </c>
    </row>
    <row r="11" spans="2:26" ht="15.6" thickTop="1" thickBot="1" x14ac:dyDescent="0.35">
      <c r="B11" s="104">
        <v>7</v>
      </c>
      <c r="C11" s="17">
        <v>7</v>
      </c>
      <c r="D11" s="71" t="s">
        <v>110</v>
      </c>
      <c r="E11" s="71" t="s">
        <v>111</v>
      </c>
      <c r="F11" s="5">
        <v>1</v>
      </c>
      <c r="G11" s="5">
        <v>2</v>
      </c>
      <c r="H11" s="5">
        <v>5</v>
      </c>
      <c r="I11" s="5">
        <v>3</v>
      </c>
      <c r="J11" s="5">
        <v>5</v>
      </c>
      <c r="K11" s="5">
        <v>4</v>
      </c>
      <c r="L11" s="5">
        <v>2</v>
      </c>
      <c r="M11" s="5">
        <v>5</v>
      </c>
      <c r="N11" s="5">
        <v>5</v>
      </c>
      <c r="O11" s="5">
        <v>7</v>
      </c>
      <c r="P11" s="5">
        <v>0</v>
      </c>
      <c r="Q11" s="5">
        <v>8</v>
      </c>
      <c r="R11" s="5">
        <v>8</v>
      </c>
      <c r="S11" s="5">
        <v>7</v>
      </c>
      <c r="T11" s="10">
        <f>SUM(Tablo314[[#This Row],[LW1]:[LW14]])</f>
        <v>62</v>
      </c>
      <c r="U11" s="10" cm="1">
        <f t="array" ref="U11">F11/Tablo27[LW1]*$C$37+Tablo314[[#This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13</v>
      </c>
      <c r="V11" s="10" cm="1">
        <f t="array" ref="V11">F11/Tablo27[LW1]*$C$38+Tablo314[[#This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24.5</v>
      </c>
      <c r="W11" s="10" cm="1">
        <f t="array" ref="W11">F11/Tablo27[LW1]*$C$39+Tablo314[[#This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34</v>
      </c>
      <c r="X11" s="10" cm="1">
        <f t="array" ref="X11">F11/Tablo27[LW1]*$C$40+Tablo314[[#This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37</v>
      </c>
      <c r="Y11" s="10">
        <f>SUM(Tablo314[[#This Row],[DÇ1]],Tablo314[[#This Row],[DÇ2]],Tablo314[[#This Row],[DÇ3]],Tablo314[[#This Row],[DÇ4]])</f>
        <v>108.5</v>
      </c>
      <c r="Z11" s="24" cm="1">
        <f t="array" ref="Z11">_xlfn.NORM.DIST(Tablo314[[#This Row],[TOTAL]],Tablo29[Mean],Tablo29[Variance],FALSE)</f>
        <v>4.2881899601330403E-3</v>
      </c>
    </row>
    <row r="12" spans="2:26" ht="15.6" thickTop="1" thickBot="1" x14ac:dyDescent="0.35">
      <c r="B12" s="103">
        <v>8</v>
      </c>
      <c r="C12" s="17">
        <v>8</v>
      </c>
      <c r="D12" s="71" t="s">
        <v>110</v>
      </c>
      <c r="E12" s="71" t="s">
        <v>111</v>
      </c>
      <c r="F12" s="5">
        <v>4</v>
      </c>
      <c r="G12" s="5">
        <v>3</v>
      </c>
      <c r="H12" s="5">
        <v>5</v>
      </c>
      <c r="I12" s="5">
        <v>5</v>
      </c>
      <c r="J12" s="5">
        <v>1</v>
      </c>
      <c r="K12" s="5">
        <v>8</v>
      </c>
      <c r="L12" s="5">
        <v>5</v>
      </c>
      <c r="M12" s="5">
        <v>0</v>
      </c>
      <c r="N12" s="5">
        <v>0</v>
      </c>
      <c r="O12" s="5">
        <v>3</v>
      </c>
      <c r="P12" s="5">
        <v>6</v>
      </c>
      <c r="Q12" s="5">
        <v>2</v>
      </c>
      <c r="R12" s="5">
        <v>6</v>
      </c>
      <c r="S12" s="5">
        <v>2</v>
      </c>
      <c r="T12" s="10">
        <f>SUM(Tablo314[[#This Row],[LW1]:[LW14]])</f>
        <v>50</v>
      </c>
      <c r="U12" s="10" cm="1">
        <f t="array" ref="U12">F12/Tablo27[LW1]*$C$37+Tablo314[[#This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16</v>
      </c>
      <c r="V12" s="10" cm="1">
        <f t="array" ref="V12">F12/Tablo27[LW1]*$C$38+Tablo314[[#This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22.5</v>
      </c>
      <c r="W12" s="10" cm="1">
        <f t="array" ref="W12">F12/Tablo27[LW1]*$C$39+Tablo314[[#This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19.5</v>
      </c>
      <c r="X12" s="10" cm="1">
        <f t="array" ref="X12">F12/Tablo27[LW1]*$C$40+Tablo314[[#This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24.5</v>
      </c>
      <c r="Y12" s="10">
        <f>SUM(Tablo314[[#This Row],[DÇ1]],Tablo314[[#This Row],[DÇ2]],Tablo314[[#This Row],[DÇ3]],Tablo314[[#This Row],[DÇ4]])</f>
        <v>82.5</v>
      </c>
      <c r="Z12" s="24" cm="1">
        <f t="array" ref="Z12">_xlfn.NORM.DIST(Tablo314[[#This Row],[TOTAL]],Tablo29[Mean],Tablo29[Variance],FALSE)</f>
        <v>4.313337282650564E-3</v>
      </c>
    </row>
    <row r="13" spans="2:26" ht="15.6" thickTop="1" thickBot="1" x14ac:dyDescent="0.35">
      <c r="B13" s="104">
        <v>9</v>
      </c>
      <c r="C13" s="17">
        <v>9</v>
      </c>
      <c r="D13" s="71" t="s">
        <v>110</v>
      </c>
      <c r="E13" s="71" t="s">
        <v>111</v>
      </c>
      <c r="F13" s="5">
        <v>4</v>
      </c>
      <c r="G13" s="5">
        <v>5</v>
      </c>
      <c r="H13" s="5">
        <v>5</v>
      </c>
      <c r="I13" s="5">
        <v>5</v>
      </c>
      <c r="J13" s="5">
        <v>1</v>
      </c>
      <c r="K13" s="5">
        <v>4</v>
      </c>
      <c r="L13" s="5">
        <v>0</v>
      </c>
      <c r="M13" s="5">
        <v>5</v>
      </c>
      <c r="N13" s="5">
        <v>5</v>
      </c>
      <c r="O13" s="5">
        <v>7</v>
      </c>
      <c r="P13" s="5">
        <v>0</v>
      </c>
      <c r="Q13" s="5">
        <v>0</v>
      </c>
      <c r="R13" s="5">
        <v>7</v>
      </c>
      <c r="S13" s="5">
        <v>1</v>
      </c>
      <c r="T13" s="10">
        <f>SUM(Tablo314[[#This Row],[LW1]:[LW14]])</f>
        <v>49</v>
      </c>
      <c r="U13" s="10" cm="1">
        <f t="array" ref="U13">F13/Tablo27[LW1]*$C$37+Tablo314[[#This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16</v>
      </c>
      <c r="V13" s="10" cm="1">
        <f t="array" ref="V13">F13/Tablo27[LW1]*$C$38+Tablo314[[#This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21.5</v>
      </c>
      <c r="W13" s="10" cm="1">
        <f t="array" ref="W13">F13/Tablo27[LW1]*$C$39+Tablo314[[#This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20.5</v>
      </c>
      <c r="X13" s="10" cm="1">
        <f t="array" ref="X13">F13/Tablo27[LW1]*$C$40+Tablo314[[#This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25.5</v>
      </c>
      <c r="Y13" s="10">
        <f>SUM(Tablo314[[#This Row],[DÇ1]],Tablo314[[#This Row],[DÇ2]],Tablo314[[#This Row],[DÇ3]],Tablo314[[#This Row],[DÇ4]])</f>
        <v>83.5</v>
      </c>
      <c r="Z13" s="24" cm="1">
        <f t="array" ref="Z13">_xlfn.NORM.DIST(Tablo314[[#This Row],[TOTAL]],Tablo29[Mean],Tablo29[Variance],FALSE)</f>
        <v>4.3121604671926758E-3</v>
      </c>
    </row>
    <row r="14" spans="2:26" ht="15.6" thickTop="1" thickBot="1" x14ac:dyDescent="0.35">
      <c r="B14" s="103">
        <v>10</v>
      </c>
      <c r="C14" s="17">
        <v>10</v>
      </c>
      <c r="D14" s="71" t="s">
        <v>110</v>
      </c>
      <c r="E14" s="71" t="s">
        <v>111</v>
      </c>
      <c r="F14" s="5">
        <v>0</v>
      </c>
      <c r="G14" s="5">
        <v>5</v>
      </c>
      <c r="H14" s="5">
        <v>1</v>
      </c>
      <c r="I14" s="5">
        <v>3</v>
      </c>
      <c r="J14" s="5">
        <v>0</v>
      </c>
      <c r="K14" s="5">
        <v>5</v>
      </c>
      <c r="L14" s="5">
        <v>0</v>
      </c>
      <c r="M14" s="5">
        <v>3</v>
      </c>
      <c r="N14" s="5">
        <v>9</v>
      </c>
      <c r="O14" s="5">
        <v>3</v>
      </c>
      <c r="P14" s="5">
        <v>7</v>
      </c>
      <c r="Q14" s="5">
        <v>2</v>
      </c>
      <c r="R14" s="5">
        <v>8</v>
      </c>
      <c r="S14" s="5">
        <v>8</v>
      </c>
      <c r="T14" s="10">
        <f>SUM(Tablo314[[#This Row],[LW1]:[LW14]])</f>
        <v>54</v>
      </c>
      <c r="U14" s="10" cm="1">
        <f t="array" ref="U14">F14/Tablo27[LW1]*$C$37+Tablo314[[#This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10</v>
      </c>
      <c r="V14" s="10" cm="1">
        <f t="array" ref="V14">F14/Tablo27[LW1]*$C$38+Tablo314[[#This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22.5</v>
      </c>
      <c r="W14" s="10" cm="1">
        <f t="array" ref="W14">F14/Tablo27[LW1]*$C$39+Tablo314[[#This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28.5</v>
      </c>
      <c r="X14" s="10" cm="1">
        <f t="array" ref="X14">F14/Tablo27[LW1]*$C$40+Tablo314[[#This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31.5</v>
      </c>
      <c r="Y14" s="10">
        <f>SUM(Tablo314[[#This Row],[DÇ1]],Tablo314[[#This Row],[DÇ2]],Tablo314[[#This Row],[DÇ3]],Tablo314[[#This Row],[DÇ4]])</f>
        <v>92.5</v>
      </c>
      <c r="Z14" s="24" cm="1">
        <f t="array" ref="Z14">_xlfn.NORM.DIST(Tablo314[[#This Row],[TOTAL]],Tablo29[Mean],Tablo29[Variance],FALSE)</f>
        <v>4.3130010168949727E-3</v>
      </c>
    </row>
    <row r="15" spans="2:26" ht="15.6" thickTop="1" thickBot="1" x14ac:dyDescent="0.35">
      <c r="B15" s="104">
        <v>11</v>
      </c>
      <c r="C15" s="17">
        <v>11</v>
      </c>
      <c r="D15" s="71" t="s">
        <v>110</v>
      </c>
      <c r="E15" s="71" t="s">
        <v>111</v>
      </c>
      <c r="F15" s="5">
        <v>5</v>
      </c>
      <c r="G15" s="5">
        <v>5</v>
      </c>
      <c r="H15" s="5">
        <v>1</v>
      </c>
      <c r="I15" s="5">
        <v>2</v>
      </c>
      <c r="J15" s="5">
        <v>1</v>
      </c>
      <c r="K15" s="5">
        <v>1</v>
      </c>
      <c r="L15" s="5">
        <v>3</v>
      </c>
      <c r="M15" s="5">
        <v>5</v>
      </c>
      <c r="N15" s="5">
        <v>0</v>
      </c>
      <c r="O15" s="5">
        <v>8</v>
      </c>
      <c r="P15" s="5">
        <v>7</v>
      </c>
      <c r="Q15" s="5">
        <v>2</v>
      </c>
      <c r="R15" s="5">
        <v>1</v>
      </c>
      <c r="S15" s="5">
        <v>2</v>
      </c>
      <c r="T15" s="10">
        <f>SUM(Tablo314[[#This Row],[LW1]:[LW14]])</f>
        <v>43</v>
      </c>
      <c r="U15" s="10" cm="1">
        <f t="array" ref="U15">F15/Tablo27[LW1]*$C$37+Tablo314[[#This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15</v>
      </c>
      <c r="V15" s="10" cm="1">
        <f t="array" ref="V15">F15/Tablo27[LW1]*$C$38+Tablo314[[#This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18</v>
      </c>
      <c r="W15" s="10" cm="1">
        <f t="array" ref="W15">F15/Tablo27[LW1]*$C$39+Tablo314[[#This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19.5</v>
      </c>
      <c r="X15" s="10" cm="1">
        <f t="array" ref="X15">F15/Tablo27[LW1]*$C$40+Tablo314[[#This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21.5</v>
      </c>
      <c r="Y15" s="10">
        <f>SUM(Tablo314[[#This Row],[DÇ1]],Tablo314[[#This Row],[DÇ2]],Tablo314[[#This Row],[DÇ3]],Tablo314[[#This Row],[DÇ4]])</f>
        <v>74</v>
      </c>
      <c r="Z15" s="24" cm="1">
        <f t="array" ref="Z15">_xlfn.NORM.DIST(Tablo314[[#This Row],[TOTAL]],Tablo29[Mean],Tablo29[Variance],FALSE)</f>
        <v>4.2945467150302128E-3</v>
      </c>
    </row>
    <row r="16" spans="2:26" ht="15.6" thickTop="1" thickBot="1" x14ac:dyDescent="0.35">
      <c r="B16" s="103">
        <v>12</v>
      </c>
      <c r="C16" s="17">
        <v>12</v>
      </c>
      <c r="D16" s="71" t="s">
        <v>110</v>
      </c>
      <c r="E16" s="71" t="s">
        <v>111</v>
      </c>
      <c r="F16" s="5">
        <v>0</v>
      </c>
      <c r="G16" s="5">
        <v>2</v>
      </c>
      <c r="H16" s="5">
        <v>5</v>
      </c>
      <c r="I16" s="5">
        <v>3</v>
      </c>
      <c r="J16" s="5">
        <v>0</v>
      </c>
      <c r="K16" s="5">
        <v>0</v>
      </c>
      <c r="L16" s="5">
        <v>0</v>
      </c>
      <c r="M16" s="5">
        <v>3</v>
      </c>
      <c r="N16" s="5">
        <v>3</v>
      </c>
      <c r="O16" s="5">
        <v>0</v>
      </c>
      <c r="P16" s="5">
        <v>6</v>
      </c>
      <c r="Q16" s="5">
        <v>0</v>
      </c>
      <c r="R16" s="5">
        <v>6</v>
      </c>
      <c r="S16" s="5">
        <v>8</v>
      </c>
      <c r="T16" s="10">
        <f>SUM(Tablo314[[#This Row],[LW1]:[LW14]])</f>
        <v>36</v>
      </c>
      <c r="U16" s="10" cm="1">
        <f t="array" ref="U16">F16/Tablo27[LW1]*$C$37+Tablo314[[#This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11</v>
      </c>
      <c r="V16" s="10" cm="1">
        <f t="array" ref="V16">F16/Tablo27[LW1]*$C$38+Tablo314[[#This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13</v>
      </c>
      <c r="W16" s="10" cm="1">
        <f t="array" ref="W16">F16/Tablo27[LW1]*$C$39+Tablo314[[#This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16</v>
      </c>
      <c r="X16" s="10" cm="1">
        <f t="array" ref="X16">F16/Tablo27[LW1]*$C$40+Tablo314[[#This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19</v>
      </c>
      <c r="Y16" s="10">
        <f>SUM(Tablo314[[#This Row],[DÇ1]],Tablo314[[#This Row],[DÇ2]],Tablo314[[#This Row],[DÇ3]],Tablo314[[#This Row],[DÇ4]])</f>
        <v>59</v>
      </c>
      <c r="Z16" s="24" cm="1">
        <f t="array" ref="Z16">_xlfn.NORM.DIST(Tablo314[[#This Row],[TOTAL]],Tablo29[Mean],Tablo29[Variance],FALSE)</f>
        <v>4.251406456380895E-3</v>
      </c>
    </row>
    <row r="17" spans="2:26" ht="15.6" thickTop="1" thickBot="1" x14ac:dyDescent="0.35">
      <c r="B17" s="104">
        <v>13</v>
      </c>
      <c r="C17" s="17">
        <v>13</v>
      </c>
      <c r="D17" s="71" t="s">
        <v>110</v>
      </c>
      <c r="E17" s="71" t="s">
        <v>111</v>
      </c>
      <c r="F17" s="5">
        <v>1</v>
      </c>
      <c r="G17" s="5">
        <v>5</v>
      </c>
      <c r="H17" s="5">
        <v>0</v>
      </c>
      <c r="I17" s="5">
        <v>1</v>
      </c>
      <c r="J17" s="5">
        <v>2</v>
      </c>
      <c r="K17" s="5">
        <v>4</v>
      </c>
      <c r="L17" s="5">
        <v>4</v>
      </c>
      <c r="M17" s="5">
        <v>5</v>
      </c>
      <c r="N17" s="5">
        <v>5</v>
      </c>
      <c r="O17" s="5">
        <v>9</v>
      </c>
      <c r="P17" s="5">
        <v>8</v>
      </c>
      <c r="Q17" s="5">
        <v>5</v>
      </c>
      <c r="R17" s="5">
        <v>4</v>
      </c>
      <c r="S17" s="5">
        <v>8</v>
      </c>
      <c r="T17" s="10">
        <f>SUM(Tablo314[[#This Row],[LW1]:[LW14]])</f>
        <v>61</v>
      </c>
      <c r="U17" s="10" cm="1">
        <f t="array" ref="U17">F17/Tablo27[LW1]*$C$37+Tablo314[[#This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12</v>
      </c>
      <c r="V17" s="10" cm="1">
        <f t="array" ref="V17">F17/Tablo27[LW1]*$C$38+Tablo314[[#This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26.5</v>
      </c>
      <c r="W17" s="10" cm="1">
        <f t="array" ref="W17">F17/Tablo27[LW1]*$C$39+Tablo314[[#This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35</v>
      </c>
      <c r="X17" s="10" cm="1">
        <f t="array" ref="X17">F17/Tablo27[LW1]*$C$40+Tablo314[[#This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36</v>
      </c>
      <c r="Y17" s="10">
        <f>SUM(Tablo314[[#This Row],[DÇ1]],Tablo314[[#This Row],[DÇ2]],Tablo314[[#This Row],[DÇ3]],Tablo314[[#This Row],[DÇ4]])</f>
        <v>109.5</v>
      </c>
      <c r="Z17" s="24" cm="1">
        <f t="array" ref="Z17">_xlfn.NORM.DIST(Tablo314[[#This Row],[TOTAL]],Tablo29[Mean],Tablo29[Variance],FALSE)</f>
        <v>4.2930403167287757E-3</v>
      </c>
    </row>
    <row r="18" spans="2:26" ht="15.6" thickTop="1" thickBot="1" x14ac:dyDescent="0.35">
      <c r="B18" s="103">
        <v>14</v>
      </c>
      <c r="C18" s="17">
        <v>14</v>
      </c>
      <c r="D18" s="71" t="s">
        <v>110</v>
      </c>
      <c r="E18" s="71" t="s">
        <v>111</v>
      </c>
      <c r="F18" s="5">
        <v>3</v>
      </c>
      <c r="G18" s="5">
        <v>3</v>
      </c>
      <c r="H18" s="5">
        <v>5</v>
      </c>
      <c r="I18" s="5">
        <v>5</v>
      </c>
      <c r="J18" s="5">
        <v>5</v>
      </c>
      <c r="K18" s="5">
        <v>3</v>
      </c>
      <c r="L18" s="5">
        <v>5</v>
      </c>
      <c r="M18" s="5">
        <v>5</v>
      </c>
      <c r="N18" s="5">
        <v>0</v>
      </c>
      <c r="O18" s="5">
        <v>5</v>
      </c>
      <c r="P18" s="5">
        <v>7</v>
      </c>
      <c r="Q18" s="5">
        <v>5</v>
      </c>
      <c r="R18" s="5">
        <v>4</v>
      </c>
      <c r="S18" s="5">
        <v>5</v>
      </c>
      <c r="T18" s="10">
        <f>SUM(Tablo314[[#This Row],[LW1]:[LW14]])</f>
        <v>60</v>
      </c>
      <c r="U18" s="10" cm="1">
        <f t="array" ref="U18">F18/Tablo27[LW1]*$C$37+Tablo314[[#This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18</v>
      </c>
      <c r="V18" s="10" cm="1">
        <f t="array" ref="V18">F18/Tablo27[LW1]*$C$38+Tablo314[[#This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25.5</v>
      </c>
      <c r="W18" s="10" cm="1">
        <f t="array" ref="W18">F18/Tablo27[LW1]*$C$39+Tablo314[[#This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29.5</v>
      </c>
      <c r="X18" s="10" cm="1">
        <f t="array" ref="X18">F18/Tablo27[LW1]*$C$40+Tablo314[[#This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34.5</v>
      </c>
      <c r="Y18" s="10">
        <f>SUM(Tablo314[[#This Row],[DÇ1]],Tablo314[[#This Row],[DÇ2]],Tablo314[[#This Row],[DÇ3]],Tablo314[[#This Row],[DÇ4]])</f>
        <v>107.5</v>
      </c>
      <c r="Z18" s="24" cm="1">
        <f t="array" ref="Z18">_xlfn.NORM.DIST(Tablo314[[#This Row],[TOTAL]],Tablo29[Mean],Tablo29[Variance],FALSE)</f>
        <v>4.2973935763821261E-3</v>
      </c>
    </row>
    <row r="19" spans="2:26" ht="15.6" thickTop="1" thickBot="1" x14ac:dyDescent="0.35">
      <c r="B19" s="104">
        <v>15</v>
      </c>
      <c r="C19" s="17">
        <v>15</v>
      </c>
      <c r="D19" s="71" t="s">
        <v>110</v>
      </c>
      <c r="E19" s="71" t="s">
        <v>111</v>
      </c>
      <c r="F19" s="5">
        <v>3</v>
      </c>
      <c r="G19" s="5">
        <v>5</v>
      </c>
      <c r="H19" s="5">
        <v>5</v>
      </c>
      <c r="I19" s="5">
        <v>5</v>
      </c>
      <c r="J19" s="5">
        <v>1</v>
      </c>
      <c r="K19" s="5">
        <v>3</v>
      </c>
      <c r="L19" s="5">
        <v>2</v>
      </c>
      <c r="M19" s="5">
        <v>5</v>
      </c>
      <c r="N19" s="5">
        <v>5</v>
      </c>
      <c r="O19" s="5">
        <v>8</v>
      </c>
      <c r="P19" s="5">
        <v>7</v>
      </c>
      <c r="Q19" s="5">
        <v>3</v>
      </c>
      <c r="R19" s="5">
        <v>6</v>
      </c>
      <c r="S19" s="5">
        <v>4</v>
      </c>
      <c r="T19" s="10">
        <f>SUM(Tablo314[[#This Row],[LW1]:[LW14]])</f>
        <v>62</v>
      </c>
      <c r="U19" s="10" cm="1">
        <f t="array" ref="U19">F19/Tablo27[LW1]*$C$37+Tablo314[[#This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18</v>
      </c>
      <c r="V19" s="10" cm="1">
        <f t="array" ref="V19">F19/Tablo27[LW1]*$C$38+Tablo314[[#This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27</v>
      </c>
      <c r="W19" s="10" cm="1">
        <f t="array" ref="W19">F19/Tablo27[LW1]*$C$39+Tablo314[[#This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28.5</v>
      </c>
      <c r="X19" s="10" cm="1">
        <f t="array" ref="X19">F19/Tablo27[LW1]*$C$40+Tablo314[[#This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33.5</v>
      </c>
      <c r="Y19" s="10">
        <f>SUM(Tablo314[[#This Row],[DÇ1]],Tablo314[[#This Row],[DÇ2]],Tablo314[[#This Row],[DÇ3]],Tablo314[[#This Row],[DÇ4]])</f>
        <v>107</v>
      </c>
      <c r="Z19" s="24" cm="1">
        <f t="array" ref="Z19">_xlfn.NORM.DIST(Tablo314[[#This Row],[TOTAL]],Tablo29[Mean],Tablo29[Variance],FALSE)</f>
        <v>4.2881899601330403E-3</v>
      </c>
    </row>
    <row r="20" spans="2:26" ht="15.6" thickTop="1" thickBot="1" x14ac:dyDescent="0.35">
      <c r="B20" s="103">
        <v>16</v>
      </c>
      <c r="C20" s="17">
        <v>16</v>
      </c>
      <c r="D20" s="71" t="s">
        <v>110</v>
      </c>
      <c r="E20" s="71" t="s">
        <v>111</v>
      </c>
      <c r="F20" s="5">
        <v>3</v>
      </c>
      <c r="G20" s="5">
        <v>2</v>
      </c>
      <c r="H20" s="5">
        <v>0</v>
      </c>
      <c r="I20" s="5">
        <v>5</v>
      </c>
      <c r="J20" s="5">
        <v>5</v>
      </c>
      <c r="K20" s="5">
        <v>1</v>
      </c>
      <c r="L20" s="5">
        <v>2</v>
      </c>
      <c r="M20" s="5">
        <v>2</v>
      </c>
      <c r="N20" s="5">
        <v>2</v>
      </c>
      <c r="O20" s="5">
        <v>8</v>
      </c>
      <c r="P20" s="5">
        <v>2</v>
      </c>
      <c r="Q20" s="5">
        <v>8</v>
      </c>
      <c r="R20" s="5">
        <v>8</v>
      </c>
      <c r="S20" s="5">
        <v>8</v>
      </c>
      <c r="T20" s="10">
        <f>SUM(Tablo314[[#This Row],[LW1]:[LW14]])</f>
        <v>56</v>
      </c>
      <c r="U20" s="10" cm="1">
        <f t="array" ref="U20">F20/Tablo27[LW1]*$C$37+Tablo314[[#This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6.5</v>
      </c>
      <c r="V20" s="10" cm="1">
        <f t="array" ref="V20">F20/Tablo27[LW1]*$C$38+Tablo314[[#This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16.5</v>
      </c>
      <c r="W20" s="10" cm="1">
        <f t="array" ref="W20">F20/Tablo27[LW1]*$C$39+Tablo314[[#This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28.5</v>
      </c>
      <c r="X20" s="10" cm="1">
        <f t="array" ref="X20">F20/Tablo27[LW1]*$C$40+Tablo314[[#This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33.5</v>
      </c>
      <c r="Y20" s="10">
        <f>SUM(Tablo314[[#This Row],[DÇ1]],Tablo314[[#This Row],[DÇ2]],Tablo314[[#This Row],[DÇ3]],Tablo314[[#This Row],[DÇ4]])</f>
        <v>85</v>
      </c>
      <c r="Z20" s="24" cm="1">
        <f t="array" ref="Z20">_xlfn.NORM.DIST(Tablo314[[#This Row],[TOTAL]],Tablo29[Mean],Tablo29[Variance],FALSE)</f>
        <v>4.3098077994072441E-3</v>
      </c>
    </row>
    <row r="21" spans="2:26" ht="15.6" thickTop="1" thickBot="1" x14ac:dyDescent="0.35">
      <c r="B21" s="104">
        <v>17</v>
      </c>
      <c r="C21" s="17">
        <v>17</v>
      </c>
      <c r="D21" s="71" t="s">
        <v>110</v>
      </c>
      <c r="E21" s="71" t="s">
        <v>111</v>
      </c>
      <c r="F21" s="5">
        <v>5</v>
      </c>
      <c r="G21" s="5">
        <v>0</v>
      </c>
      <c r="H21" s="5">
        <v>4</v>
      </c>
      <c r="I21" s="5">
        <v>4</v>
      </c>
      <c r="J21" s="5">
        <v>2</v>
      </c>
      <c r="K21" s="5">
        <v>2</v>
      </c>
      <c r="L21" s="5">
        <v>1</v>
      </c>
      <c r="M21" s="5">
        <v>4</v>
      </c>
      <c r="N21" s="5">
        <v>5</v>
      </c>
      <c r="O21" s="5">
        <v>0</v>
      </c>
      <c r="P21" s="5">
        <v>3</v>
      </c>
      <c r="Q21" s="5">
        <v>2</v>
      </c>
      <c r="R21" s="5">
        <v>0</v>
      </c>
      <c r="S21" s="5">
        <v>1</v>
      </c>
      <c r="T21" s="10">
        <f>SUM(Tablo314[[#This Row],[LW1]:[LW14]])</f>
        <v>33</v>
      </c>
      <c r="U21" s="10" cm="1">
        <f t="array" ref="U21">F21/Tablo27[LW1]*$C$37+Tablo314[[#This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15.5</v>
      </c>
      <c r="V21" s="10" cm="1">
        <f t="array" ref="V21">F21/Tablo27[LW1]*$C$38+Tablo314[[#This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14.5</v>
      </c>
      <c r="W21" s="10" cm="1">
        <f t="array" ref="W21">F21/Tablo27[LW1]*$C$39+Tablo314[[#This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16</v>
      </c>
      <c r="X21" s="10" cm="1">
        <f t="array" ref="X21">F21/Tablo27[LW1]*$C$40+Tablo314[[#This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20</v>
      </c>
      <c r="Y21" s="10">
        <f>SUM(Tablo314[[#This Row],[DÇ1]],Tablo314[[#This Row],[DÇ2]],Tablo314[[#This Row],[DÇ3]],Tablo314[[#This Row],[DÇ4]])</f>
        <v>66</v>
      </c>
      <c r="Z21" s="24" cm="1">
        <f t="array" ref="Z21">_xlfn.NORM.DIST(Tablo314[[#This Row],[TOTAL]],Tablo29[Mean],Tablo29[Variance],FALSE)</f>
        <v>4.2256317597747228E-3</v>
      </c>
    </row>
    <row r="22" spans="2:26" ht="15.6" thickTop="1" thickBot="1" x14ac:dyDescent="0.35">
      <c r="B22" s="103">
        <v>18</v>
      </c>
      <c r="C22" s="17">
        <v>18</v>
      </c>
      <c r="D22" s="71" t="s">
        <v>110</v>
      </c>
      <c r="E22" s="71" t="s">
        <v>111</v>
      </c>
      <c r="F22" s="5">
        <v>5</v>
      </c>
      <c r="G22" s="5">
        <v>1</v>
      </c>
      <c r="H22" s="5">
        <v>5</v>
      </c>
      <c r="I22" s="5">
        <v>5</v>
      </c>
      <c r="J22" s="5">
        <v>5</v>
      </c>
      <c r="K22" s="5">
        <v>6</v>
      </c>
      <c r="L22" s="5">
        <v>5</v>
      </c>
      <c r="M22" s="5">
        <v>2</v>
      </c>
      <c r="N22" s="5">
        <v>3</v>
      </c>
      <c r="O22" s="5">
        <v>3</v>
      </c>
      <c r="P22" s="5">
        <v>1</v>
      </c>
      <c r="Q22" s="5">
        <v>2</v>
      </c>
      <c r="R22" s="5">
        <v>2</v>
      </c>
      <c r="S22" s="5">
        <v>4</v>
      </c>
      <c r="T22" s="10">
        <f>SUM(Tablo314[[#This Row],[LW1]:[LW14]])</f>
        <v>49</v>
      </c>
      <c r="U22" s="10" cm="1">
        <f t="array" ref="U22">F22/Tablo27[LW1]*$C$37+Tablo314[[#This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15.5</v>
      </c>
      <c r="V22" s="10" cm="1">
        <f t="array" ref="V22">F22/Tablo27[LW1]*$C$38+Tablo314[[#This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24</v>
      </c>
      <c r="W22" s="10" cm="1">
        <f t="array" ref="W22">F22/Tablo27[LW1]*$C$39+Tablo314[[#This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24</v>
      </c>
      <c r="X22" s="10" cm="1">
        <f t="array" ref="X22">F22/Tablo27[LW1]*$C$40+Tablo314[[#This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29</v>
      </c>
      <c r="Y22" s="10">
        <f>SUM(Tablo314[[#This Row],[DÇ1]],Tablo314[[#This Row],[DÇ2]],Tablo314[[#This Row],[DÇ3]],Tablo314[[#This Row],[DÇ4]])</f>
        <v>92.5</v>
      </c>
      <c r="Z22" s="24" cm="1">
        <f t="array" ref="Z22">_xlfn.NORM.DIST(Tablo314[[#This Row],[TOTAL]],Tablo29[Mean],Tablo29[Variance],FALSE)</f>
        <v>4.3121604671926758E-3</v>
      </c>
    </row>
    <row r="23" spans="2:26" ht="15.6" thickTop="1" thickBot="1" x14ac:dyDescent="0.35">
      <c r="B23" s="104">
        <v>19</v>
      </c>
      <c r="C23" s="17">
        <v>19</v>
      </c>
      <c r="D23" s="71" t="s">
        <v>110</v>
      </c>
      <c r="E23" s="71" t="s">
        <v>111</v>
      </c>
      <c r="F23" s="5">
        <v>3</v>
      </c>
      <c r="G23" s="5">
        <v>5</v>
      </c>
      <c r="H23" s="5">
        <v>5</v>
      </c>
      <c r="I23" s="5">
        <v>3</v>
      </c>
      <c r="J23" s="5">
        <v>1</v>
      </c>
      <c r="K23" s="5">
        <v>8</v>
      </c>
      <c r="L23" s="5">
        <v>4</v>
      </c>
      <c r="M23" s="5">
        <v>4</v>
      </c>
      <c r="N23" s="5">
        <v>5</v>
      </c>
      <c r="O23" s="5">
        <v>8</v>
      </c>
      <c r="P23" s="5">
        <v>6</v>
      </c>
      <c r="Q23" s="5">
        <v>7</v>
      </c>
      <c r="R23" s="5">
        <v>0</v>
      </c>
      <c r="S23" s="5">
        <v>7</v>
      </c>
      <c r="T23" s="10">
        <f>SUM(Tablo314[[#This Row],[LW1]:[LW14]])</f>
        <v>66</v>
      </c>
      <c r="U23" s="10" cm="1">
        <f t="array" ref="U23">F23/Tablo27[LW1]*$C$37+Tablo314[[#This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19</v>
      </c>
      <c r="V23" s="10" cm="1">
        <f t="array" ref="V23">F23/Tablo27[LW1]*$C$38+Tablo314[[#This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31</v>
      </c>
      <c r="W23" s="10" cm="1">
        <f t="array" ref="W23">F23/Tablo27[LW1]*$C$39+Tablo314[[#This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32</v>
      </c>
      <c r="X23" s="10" cm="1">
        <f t="array" ref="X23">F23/Tablo27[LW1]*$C$40+Tablo314[[#This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35</v>
      </c>
      <c r="Y23" s="10">
        <f>SUM(Tablo314[[#This Row],[DÇ1]],Tablo314[[#This Row],[DÇ2]],Tablo314[[#This Row],[DÇ3]],Tablo314[[#This Row],[DÇ4]])</f>
        <v>117</v>
      </c>
      <c r="Z23" s="24" cm="1">
        <f t="array" ref="Z23">_xlfn.NORM.DIST(Tablo314[[#This Row],[TOTAL]],Tablo29[Mean],Tablo29[Variance],FALSE)</f>
        <v>4.2638540400225184E-3</v>
      </c>
    </row>
    <row r="24" spans="2:26" ht="15.6" thickTop="1" thickBot="1" x14ac:dyDescent="0.35">
      <c r="B24" s="103">
        <v>20</v>
      </c>
      <c r="C24" s="17">
        <v>20</v>
      </c>
      <c r="D24" s="71" t="s">
        <v>110</v>
      </c>
      <c r="E24" s="71" t="s">
        <v>111</v>
      </c>
      <c r="F24" s="5">
        <v>0</v>
      </c>
      <c r="G24" s="5">
        <v>5</v>
      </c>
      <c r="H24" s="5">
        <v>0</v>
      </c>
      <c r="I24" s="5">
        <v>4</v>
      </c>
      <c r="J24" s="5">
        <v>5</v>
      </c>
      <c r="K24" s="5">
        <v>0</v>
      </c>
      <c r="L24" s="5">
        <v>1</v>
      </c>
      <c r="M24" s="5">
        <v>5</v>
      </c>
      <c r="N24" s="5">
        <v>3</v>
      </c>
      <c r="O24" s="5">
        <v>9</v>
      </c>
      <c r="P24" s="5">
        <v>4</v>
      </c>
      <c r="Q24" s="5">
        <v>2</v>
      </c>
      <c r="R24" s="5">
        <v>9</v>
      </c>
      <c r="S24" s="5">
        <v>9</v>
      </c>
      <c r="T24" s="10">
        <f>SUM(Tablo314[[#This Row],[LW1]:[LW14]])</f>
        <v>56</v>
      </c>
      <c r="U24" s="10" cm="1">
        <f t="array" ref="U24">F24/Tablo27[LW1]*$C$37+Tablo314[[#This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7</v>
      </c>
      <c r="V24" s="10" cm="1">
        <f t="array" ref="V24">F24/Tablo27[LW1]*$C$38+Tablo314[[#This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20.5</v>
      </c>
      <c r="W24" s="10" cm="1">
        <f t="array" ref="W24">F24/Tablo27[LW1]*$C$39+Tablo314[[#This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30.5</v>
      </c>
      <c r="X24" s="10" cm="1">
        <f t="array" ref="X24">F24/Tablo27[LW1]*$C$40+Tablo314[[#This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34.5</v>
      </c>
      <c r="Y24" s="10">
        <f>SUM(Tablo314[[#This Row],[DÇ1]],Tablo314[[#This Row],[DÇ2]],Tablo314[[#This Row],[DÇ3]],Tablo314[[#This Row],[DÇ4]])</f>
        <v>92.5</v>
      </c>
      <c r="Z24" s="24" cm="1">
        <f t="array" ref="Z24">_xlfn.NORM.DIST(Tablo314[[#This Row],[TOTAL]],Tablo29[Mean],Tablo29[Variance],FALSE)</f>
        <v>4.3098077994072441E-3</v>
      </c>
    </row>
    <row r="25" spans="2:26" ht="15.6" thickTop="1" thickBot="1" x14ac:dyDescent="0.35">
      <c r="B25" s="104">
        <v>21</v>
      </c>
      <c r="C25" s="17">
        <v>21</v>
      </c>
      <c r="D25" s="71" t="s">
        <v>110</v>
      </c>
      <c r="E25" s="71" t="s">
        <v>111</v>
      </c>
      <c r="F25" s="5">
        <v>5</v>
      </c>
      <c r="G25" s="5">
        <v>0</v>
      </c>
      <c r="H25" s="5">
        <v>4</v>
      </c>
      <c r="I25" s="5">
        <v>1</v>
      </c>
      <c r="J25" s="5">
        <v>5</v>
      </c>
      <c r="K25" s="5">
        <v>3</v>
      </c>
      <c r="L25" s="5">
        <v>5</v>
      </c>
      <c r="M25" s="5">
        <v>3</v>
      </c>
      <c r="N25" s="5">
        <v>2</v>
      </c>
      <c r="O25" s="5">
        <v>3</v>
      </c>
      <c r="P25" s="5">
        <v>7</v>
      </c>
      <c r="Q25" s="5">
        <v>5</v>
      </c>
      <c r="R25" s="5">
        <v>1</v>
      </c>
      <c r="S25" s="5">
        <v>9</v>
      </c>
      <c r="T25" s="10">
        <f>SUM(Tablo314[[#This Row],[LW1]:[LW14]])</f>
        <v>53</v>
      </c>
      <c r="U25" s="10" cm="1">
        <f t="array" ref="U25">F25/Tablo27[LW1]*$C$37+Tablo314[[#This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17</v>
      </c>
      <c r="V25" s="10" cm="1">
        <f t="array" ref="V25">F25/Tablo27[LW1]*$C$38+Tablo314[[#This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22.5</v>
      </c>
      <c r="W25" s="10" cm="1">
        <f t="array" ref="W25">F25/Tablo27[LW1]*$C$39+Tablo314[[#This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29</v>
      </c>
      <c r="X25" s="10" cm="1">
        <f t="array" ref="X25">F25/Tablo27[LW1]*$C$40+Tablo314[[#This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30</v>
      </c>
      <c r="Y25" s="10">
        <f>SUM(Tablo314[[#This Row],[DÇ1]],Tablo314[[#This Row],[DÇ2]],Tablo314[[#This Row],[DÇ3]],Tablo314[[#This Row],[DÇ4]])</f>
        <v>98.5</v>
      </c>
      <c r="Z25" s="24" cm="1">
        <f t="array" ref="Z25">_xlfn.NORM.DIST(Tablo314[[#This Row],[TOTAL]],Tablo29[Mean],Tablo29[Variance],FALSE)</f>
        <v>4.3138417304417745E-3</v>
      </c>
    </row>
    <row r="26" spans="2:26" ht="15.6" thickTop="1" thickBot="1" x14ac:dyDescent="0.35">
      <c r="B26" s="103">
        <v>22</v>
      </c>
      <c r="C26" s="17">
        <v>22</v>
      </c>
      <c r="D26" s="71" t="s">
        <v>110</v>
      </c>
      <c r="E26" s="71" t="s">
        <v>111</v>
      </c>
      <c r="F26" s="5">
        <v>5</v>
      </c>
      <c r="G26" s="5">
        <v>5</v>
      </c>
      <c r="H26" s="5">
        <v>2</v>
      </c>
      <c r="I26" s="5">
        <v>0</v>
      </c>
      <c r="J26" s="5">
        <v>0</v>
      </c>
      <c r="K26" s="5">
        <v>8</v>
      </c>
      <c r="L26" s="5">
        <v>5</v>
      </c>
      <c r="M26" s="5">
        <v>5</v>
      </c>
      <c r="N26" s="5">
        <v>5</v>
      </c>
      <c r="O26" s="5">
        <v>2</v>
      </c>
      <c r="P26" s="5">
        <v>2</v>
      </c>
      <c r="Q26" s="5">
        <v>0</v>
      </c>
      <c r="R26" s="5">
        <v>3</v>
      </c>
      <c r="S26" s="5">
        <v>0</v>
      </c>
      <c r="T26" s="10">
        <f>SUM(Tablo314[[#This Row],[LW1]:[LW14]])</f>
        <v>42</v>
      </c>
      <c r="U26" s="10" cm="1">
        <f t="array" ref="U26">F26/Tablo27[LW1]*$C$37+Tablo314[[#This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17</v>
      </c>
      <c r="V26" s="10" cm="1">
        <f t="array" ref="V26">F26/Tablo27[LW1]*$C$38+Tablo314[[#This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23</v>
      </c>
      <c r="W26" s="10" cm="1">
        <f t="array" ref="W26">F26/Tablo27[LW1]*$C$39+Tablo314[[#This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22.5</v>
      </c>
      <c r="X26" s="10" cm="1">
        <f t="array" ref="X26">F26/Tablo27[LW1]*$C$40+Tablo314[[#This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22.5</v>
      </c>
      <c r="Y26" s="10">
        <f>SUM(Tablo314[[#This Row],[DÇ1]],Tablo314[[#This Row],[DÇ2]],Tablo314[[#This Row],[DÇ3]],Tablo314[[#This Row],[DÇ4]])</f>
        <v>85</v>
      </c>
      <c r="Z26" s="24" cm="1">
        <f t="array" ref="Z26">_xlfn.NORM.DIST(Tablo314[[#This Row],[TOTAL]],Tablo29[Mean],Tablo29[Variance],FALSE)</f>
        <v>4.2898618775489101E-3</v>
      </c>
    </row>
    <row r="27" spans="2:26" ht="15.6" thickTop="1" thickBot="1" x14ac:dyDescent="0.35">
      <c r="B27" s="104">
        <v>23</v>
      </c>
      <c r="C27" s="17">
        <v>23</v>
      </c>
      <c r="D27" s="71" t="s">
        <v>110</v>
      </c>
      <c r="E27" s="71" t="s">
        <v>111</v>
      </c>
      <c r="F27" s="5">
        <v>5</v>
      </c>
      <c r="G27" s="5">
        <v>1</v>
      </c>
      <c r="H27" s="5">
        <v>2</v>
      </c>
      <c r="I27" s="5">
        <v>3</v>
      </c>
      <c r="J27" s="5">
        <v>5</v>
      </c>
      <c r="K27" s="5">
        <v>3</v>
      </c>
      <c r="L27" s="5">
        <v>4</v>
      </c>
      <c r="M27" s="5">
        <v>5</v>
      </c>
      <c r="N27" s="5">
        <v>2</v>
      </c>
      <c r="O27" s="5">
        <v>8</v>
      </c>
      <c r="P27" s="5">
        <v>8</v>
      </c>
      <c r="Q27" s="5">
        <v>8</v>
      </c>
      <c r="R27" s="5">
        <v>6</v>
      </c>
      <c r="S27" s="5">
        <v>9</v>
      </c>
      <c r="T27" s="10">
        <f>SUM(Tablo314[[#This Row],[LW1]:[LW14]])</f>
        <v>69</v>
      </c>
      <c r="U27" s="10" cm="1">
        <f t="array" ref="U27">F27/Tablo27[LW1]*$C$37+Tablo314[[#This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17.5</v>
      </c>
      <c r="V27" s="10" cm="1">
        <f t="array" ref="V27">F27/Tablo27[LW1]*$C$38+Tablo314[[#This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23.5</v>
      </c>
      <c r="W27" s="10" cm="1">
        <f t="array" ref="W27">F27/Tablo27[LW1]*$C$39+Tablo314[[#This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37</v>
      </c>
      <c r="X27" s="10" cm="1">
        <f t="array" ref="X27">F27/Tablo27[LW1]*$C$40+Tablo314[[#This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40</v>
      </c>
      <c r="Y27" s="10">
        <f>SUM(Tablo314[[#This Row],[DÇ1]],Tablo314[[#This Row],[DÇ2]],Tablo314[[#This Row],[DÇ3]],Tablo314[[#This Row],[DÇ4]])</f>
        <v>118</v>
      </c>
      <c r="Z27" s="24" cm="1">
        <f t="array" ref="Z27">_xlfn.NORM.DIST(Tablo314[[#This Row],[TOTAL]],Tablo29[Mean],Tablo29[Variance],FALSE)</f>
        <v>4.2404826455504779E-3</v>
      </c>
    </row>
    <row r="28" spans="2:26" ht="15.6" thickTop="1" thickBot="1" x14ac:dyDescent="0.35">
      <c r="B28" s="103">
        <v>24</v>
      </c>
      <c r="C28" s="17">
        <v>24</v>
      </c>
      <c r="D28" s="71" t="s">
        <v>110</v>
      </c>
      <c r="E28" s="71" t="s">
        <v>111</v>
      </c>
      <c r="F28" s="5">
        <v>5</v>
      </c>
      <c r="G28" s="5">
        <v>5</v>
      </c>
      <c r="H28" s="5">
        <v>5</v>
      </c>
      <c r="I28" s="5">
        <v>0</v>
      </c>
      <c r="J28" s="5">
        <v>5</v>
      </c>
      <c r="K28" s="5">
        <v>0</v>
      </c>
      <c r="L28" s="5">
        <v>2</v>
      </c>
      <c r="M28" s="5">
        <v>3</v>
      </c>
      <c r="N28" s="5">
        <v>4</v>
      </c>
      <c r="O28" s="5">
        <v>6</v>
      </c>
      <c r="P28" s="5">
        <v>4</v>
      </c>
      <c r="Q28" s="5">
        <v>6</v>
      </c>
      <c r="R28" s="5">
        <v>9</v>
      </c>
      <c r="S28" s="5">
        <v>3</v>
      </c>
      <c r="T28" s="10">
        <f>SUM(Tablo314[[#This Row],[LW1]:[LW14]])</f>
        <v>57</v>
      </c>
      <c r="U28" s="10" cm="1">
        <f t="array" ref="U28">F28/Tablo27[LW1]*$C$37+Tablo314[[#This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15</v>
      </c>
      <c r="V28" s="10" cm="1">
        <f t="array" ref="V28">F28/Tablo27[LW1]*$C$38+Tablo314[[#This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26</v>
      </c>
      <c r="W28" s="10" cm="1">
        <f t="array" ref="W28">F28/Tablo27[LW1]*$C$39+Tablo314[[#This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28</v>
      </c>
      <c r="X28" s="10" cm="1">
        <f t="array" ref="X28">F28/Tablo27[LW1]*$C$40+Tablo314[[#This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28</v>
      </c>
      <c r="Y28" s="10">
        <f>SUM(Tablo314[[#This Row],[DÇ1]],Tablo314[[#This Row],[DÇ2]],Tablo314[[#This Row],[DÇ3]],Tablo314[[#This Row],[DÇ4]])</f>
        <v>97</v>
      </c>
      <c r="Z28" s="24" cm="1">
        <f t="array" ref="Z28">_xlfn.NORM.DIST(Tablo314[[#This Row],[TOTAL]],Tablo29[Mean],Tablo29[Variance],FALSE)</f>
        <v>4.3074564152117325E-3</v>
      </c>
    </row>
    <row r="29" spans="2:26" ht="15.6" thickTop="1" thickBot="1" x14ac:dyDescent="0.35">
      <c r="B29" s="104">
        <v>25</v>
      </c>
      <c r="C29" s="17">
        <v>25</v>
      </c>
      <c r="D29" s="71" t="s">
        <v>110</v>
      </c>
      <c r="E29" s="71" t="s">
        <v>111</v>
      </c>
      <c r="F29" s="5">
        <v>5</v>
      </c>
      <c r="G29" s="5">
        <v>5</v>
      </c>
      <c r="H29" s="5">
        <v>2</v>
      </c>
      <c r="I29" s="5">
        <v>5</v>
      </c>
      <c r="J29" s="5">
        <v>2</v>
      </c>
      <c r="K29" s="5">
        <v>2</v>
      </c>
      <c r="L29" s="5">
        <v>5</v>
      </c>
      <c r="M29" s="5">
        <v>0</v>
      </c>
      <c r="N29" s="5">
        <v>5</v>
      </c>
      <c r="O29" s="5">
        <v>3</v>
      </c>
      <c r="P29" s="5">
        <v>4</v>
      </c>
      <c r="Q29" s="5">
        <v>4</v>
      </c>
      <c r="R29" s="5">
        <v>5</v>
      </c>
      <c r="S29" s="5">
        <v>9</v>
      </c>
      <c r="T29" s="10">
        <f>SUM(Tablo314[[#This Row],[LW1]:[LW14]])</f>
        <v>56</v>
      </c>
      <c r="U29" s="10" cm="1">
        <f t="array" ref="U29">F29/Tablo27[LW1]*$C$37+Tablo314[[#This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10</v>
      </c>
      <c r="V29" s="10" cm="1">
        <f t="array" ref="V29">F29/Tablo27[LW1]*$C$38+Tablo314[[#This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23.5</v>
      </c>
      <c r="W29" s="10" cm="1">
        <f t="array" ref="W29">F29/Tablo27[LW1]*$C$39+Tablo314[[#This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25.5</v>
      </c>
      <c r="X29" s="10" cm="1">
        <f t="array" ref="X29">F29/Tablo27[LW1]*$C$40+Tablo314[[#This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30.5</v>
      </c>
      <c r="Y29" s="10">
        <f>SUM(Tablo314[[#This Row],[DÇ1]],Tablo314[[#This Row],[DÇ2]],Tablo314[[#This Row],[DÇ3]],Tablo314[[#This Row],[DÇ4]])</f>
        <v>89.5</v>
      </c>
      <c r="Z29" s="24" cm="1">
        <f t="array" ref="Z29">_xlfn.NORM.DIST(Tablo314[[#This Row],[TOTAL]],Tablo29[Mean],Tablo29[Variance],FALSE)</f>
        <v>4.3098077994072441E-3</v>
      </c>
    </row>
    <row r="30" spans="2:26" ht="15.6" thickTop="1" thickBot="1" x14ac:dyDescent="0.35">
      <c r="B30" s="103">
        <v>26</v>
      </c>
      <c r="C30" s="17">
        <v>26</v>
      </c>
      <c r="D30" s="71" t="s">
        <v>110</v>
      </c>
      <c r="E30" s="71" t="s">
        <v>111</v>
      </c>
      <c r="F30" s="5">
        <v>5</v>
      </c>
      <c r="G30" s="5">
        <v>5</v>
      </c>
      <c r="H30" s="5">
        <v>9</v>
      </c>
      <c r="I30" s="5">
        <v>5</v>
      </c>
      <c r="J30" s="5">
        <v>1</v>
      </c>
      <c r="K30" s="5">
        <v>3</v>
      </c>
      <c r="L30" s="5">
        <v>5</v>
      </c>
      <c r="M30" s="5">
        <v>5</v>
      </c>
      <c r="N30" s="5">
        <v>5</v>
      </c>
      <c r="O30" s="5">
        <v>2</v>
      </c>
      <c r="P30" s="5">
        <v>1</v>
      </c>
      <c r="Q30" s="5">
        <v>3</v>
      </c>
      <c r="R30" s="5">
        <v>3</v>
      </c>
      <c r="S30" s="5">
        <v>7</v>
      </c>
      <c r="T30" s="10">
        <f>SUM(Tablo314[[#This Row],[LW1]:[LW14]])</f>
        <v>59</v>
      </c>
      <c r="U30" s="10" cm="1">
        <f t="array" ref="U30">F30/Tablo27[LW1]*$C$37+Tablo314[[#This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21</v>
      </c>
      <c r="V30" s="10" cm="1">
        <f t="array" ref="V30">F30/Tablo27[LW1]*$C$38+Tablo314[[#This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28</v>
      </c>
      <c r="W30" s="10" cm="1">
        <f t="array" ref="W30">F30/Tablo27[LW1]*$C$39+Tablo314[[#This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25.5</v>
      </c>
      <c r="X30" s="10" cm="1">
        <f t="array" ref="X30">F30/Tablo27[LW1]*$C$40+Tablo314[[#This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30.5</v>
      </c>
      <c r="Y30" s="10">
        <f>SUM(Tablo314[[#This Row],[DÇ1]],Tablo314[[#This Row],[DÇ2]],Tablo314[[#This Row],[DÇ3]],Tablo314[[#This Row],[DÇ4]])</f>
        <v>105</v>
      </c>
      <c r="Z30" s="24" cm="1">
        <f t="array" ref="Z30">_xlfn.NORM.DIST(Tablo314[[#This Row],[TOTAL]],Tablo29[Mean],Tablo29[Variance],FALSE)</f>
        <v>4.3012482163926596E-3</v>
      </c>
    </row>
    <row r="31" spans="2:26" ht="15.6" thickTop="1" thickBot="1" x14ac:dyDescent="0.35">
      <c r="B31" s="104">
        <v>27</v>
      </c>
      <c r="C31" s="17">
        <v>27</v>
      </c>
      <c r="D31" s="71" t="s">
        <v>110</v>
      </c>
      <c r="E31" s="71" t="s">
        <v>111</v>
      </c>
      <c r="F31" s="5">
        <v>3</v>
      </c>
      <c r="G31" s="5">
        <v>5</v>
      </c>
      <c r="H31" s="5">
        <v>4</v>
      </c>
      <c r="I31" s="5">
        <v>3</v>
      </c>
      <c r="J31" s="5">
        <v>4</v>
      </c>
      <c r="K31" s="5">
        <v>8</v>
      </c>
      <c r="L31" s="5">
        <v>5</v>
      </c>
      <c r="M31" s="5">
        <v>5</v>
      </c>
      <c r="N31" s="5">
        <v>5</v>
      </c>
      <c r="O31" s="5">
        <v>2</v>
      </c>
      <c r="P31" s="5">
        <v>1</v>
      </c>
      <c r="Q31" s="5">
        <v>1</v>
      </c>
      <c r="R31" s="5">
        <v>6</v>
      </c>
      <c r="S31" s="5">
        <v>3</v>
      </c>
      <c r="T31" s="10">
        <f>SUM(Tablo314[[#This Row],[LW1]:[LW14]])</f>
        <v>55</v>
      </c>
      <c r="U31" s="10" cm="1">
        <f t="array" ref="U31">F31/Tablo27[LW1]*$C$37+Tablo314[[#This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16.5</v>
      </c>
      <c r="V31" s="10" cm="1">
        <f t="array" ref="V31">F31/Tablo27[LW1]*$C$38+Tablo314[[#This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28.5</v>
      </c>
      <c r="W31" s="10" cm="1">
        <f t="array" ref="W31">F31/Tablo27[LW1]*$C$39+Tablo314[[#This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29.5</v>
      </c>
      <c r="X31" s="10" cm="1">
        <f t="array" ref="X31">F31/Tablo27[LW1]*$C$40+Tablo314[[#This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32.5</v>
      </c>
      <c r="Y31" s="10">
        <f>SUM(Tablo314[[#This Row],[DÇ1]],Tablo314[[#This Row],[DÇ2]],Tablo314[[#This Row],[DÇ3]],Tablo314[[#This Row],[DÇ4]])</f>
        <v>107</v>
      </c>
      <c r="Z31" s="24" cm="1">
        <f t="array" ref="Z31">_xlfn.NORM.DIST(Tablo314[[#This Row],[TOTAL]],Tablo29[Mean],Tablo29[Variance],FALSE)</f>
        <v>4.311656216003378E-3</v>
      </c>
    </row>
    <row r="32" spans="2:26" ht="15.6" thickTop="1" thickBot="1" x14ac:dyDescent="0.35">
      <c r="B32" s="103">
        <v>28</v>
      </c>
      <c r="C32" s="17">
        <v>28</v>
      </c>
      <c r="D32" s="71" t="s">
        <v>110</v>
      </c>
      <c r="E32" s="71" t="s">
        <v>111</v>
      </c>
      <c r="F32" s="5">
        <v>5</v>
      </c>
      <c r="G32" s="5">
        <v>5</v>
      </c>
      <c r="H32" s="5">
        <v>4</v>
      </c>
      <c r="I32" s="5">
        <v>2</v>
      </c>
      <c r="J32" s="5">
        <v>5</v>
      </c>
      <c r="K32" s="5">
        <v>9</v>
      </c>
      <c r="L32" s="5">
        <v>5</v>
      </c>
      <c r="M32" s="5">
        <v>3</v>
      </c>
      <c r="N32" s="5">
        <v>5</v>
      </c>
      <c r="O32" s="5">
        <v>2</v>
      </c>
      <c r="P32" s="5">
        <v>7</v>
      </c>
      <c r="Q32" s="5">
        <v>0</v>
      </c>
      <c r="R32" s="5">
        <v>1</v>
      </c>
      <c r="S32" s="5">
        <v>5</v>
      </c>
      <c r="T32" s="10">
        <f>SUM(Tablo314[[#This Row],[LW1]:[LW14]])</f>
        <v>58</v>
      </c>
      <c r="U32" s="10" cm="1">
        <f t="array" ref="U32">F32/Tablo27[LW1]*$C$37+Tablo314[[#This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20</v>
      </c>
      <c r="V32" s="10" cm="1">
        <f t="array" ref="V32">F32/Tablo27[LW1]*$C$38+Tablo314[[#This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33</v>
      </c>
      <c r="W32" s="10" cm="1">
        <f t="array" ref="W32">F32/Tablo27[LW1]*$C$39+Tablo314[[#This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30</v>
      </c>
      <c r="X32" s="10" cm="1">
        <f t="array" ref="X32">F32/Tablo27[LW1]*$C$40+Tablo314[[#This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32</v>
      </c>
      <c r="Y32" s="10">
        <f>SUM(Tablo314[[#This Row],[DÇ1]],Tablo314[[#This Row],[DÇ2]],Tablo314[[#This Row],[DÇ3]],Tablo314[[#This Row],[DÇ4]])</f>
        <v>115</v>
      </c>
      <c r="Z32" s="24" cm="1">
        <f t="array" ref="Z32">_xlfn.NORM.DIST(Tablo314[[#This Row],[TOTAL]],Tablo29[Mean],Tablo29[Variance],FALSE)</f>
        <v>4.3046028876081843E-3</v>
      </c>
    </row>
    <row r="33" spans="2:26" ht="15.6" thickTop="1" thickBot="1" x14ac:dyDescent="0.35">
      <c r="B33" s="104">
        <v>29</v>
      </c>
      <c r="C33" s="17">
        <v>29</v>
      </c>
      <c r="D33" s="71" t="s">
        <v>110</v>
      </c>
      <c r="E33" s="71" t="s">
        <v>111</v>
      </c>
      <c r="F33" s="5">
        <v>0</v>
      </c>
      <c r="G33" s="5">
        <v>5</v>
      </c>
      <c r="H33" s="5">
        <v>1</v>
      </c>
      <c r="I33" s="5">
        <v>0</v>
      </c>
      <c r="J33" s="5">
        <v>5</v>
      </c>
      <c r="K33" s="5">
        <v>1</v>
      </c>
      <c r="L33" s="5">
        <v>3</v>
      </c>
      <c r="M33" s="5">
        <v>5</v>
      </c>
      <c r="N33" s="5">
        <v>5</v>
      </c>
      <c r="O33" s="5">
        <v>6</v>
      </c>
      <c r="P33" s="5">
        <v>4</v>
      </c>
      <c r="Q33" s="5">
        <v>1</v>
      </c>
      <c r="R33" s="5">
        <v>4</v>
      </c>
      <c r="S33" s="5">
        <v>7</v>
      </c>
      <c r="T33" s="10">
        <f>SUM(Tablo314[[#This Row],[LW1]:[LW14]])</f>
        <v>47</v>
      </c>
      <c r="U33" s="10" cm="1">
        <f t="array" ref="U33">F33/Tablo27[LW1]*$C$37+Tablo314[[#This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8.5</v>
      </c>
      <c r="V33" s="10" cm="1">
        <f t="array" ref="V33">F33/Tablo27[LW1]*$C$38+Tablo314[[#This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24.5</v>
      </c>
      <c r="W33" s="10" cm="1">
        <f t="array" ref="W33">F33/Tablo27[LW1]*$C$39+Tablo314[[#This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29.5</v>
      </c>
      <c r="X33" s="10" cm="1">
        <f t="array" ref="X33">F33/Tablo27[LW1]*$C$40+Tablo314[[#This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29.5</v>
      </c>
      <c r="Y33" s="10">
        <f>SUM(Tablo314[[#This Row],[DÇ1]],Tablo314[[#This Row],[DÇ2]],Tablo314[[#This Row],[DÇ3]],Tablo314[[#This Row],[DÇ4]])</f>
        <v>92</v>
      </c>
      <c r="Z33" s="24" cm="1">
        <f t="array" ref="Z33">_xlfn.NORM.DIST(Tablo314[[#This Row],[TOTAL]],Tablo29[Mean],Tablo29[Variance],FALSE)</f>
        <v>4.3082960479747072E-3</v>
      </c>
    </row>
    <row r="34" spans="2:26" ht="15.6" thickTop="1" thickBot="1" x14ac:dyDescent="0.35">
      <c r="B34" s="103">
        <v>30</v>
      </c>
      <c r="C34" s="17">
        <v>30</v>
      </c>
      <c r="D34" s="71" t="s">
        <v>110</v>
      </c>
      <c r="E34" s="71" t="s">
        <v>111</v>
      </c>
      <c r="F34" s="5">
        <v>2</v>
      </c>
      <c r="G34" s="5">
        <v>1</v>
      </c>
      <c r="H34" s="5">
        <v>5</v>
      </c>
      <c r="I34" s="5">
        <v>4</v>
      </c>
      <c r="J34" s="5">
        <v>5</v>
      </c>
      <c r="K34" s="5">
        <v>9</v>
      </c>
      <c r="L34" s="5">
        <v>5</v>
      </c>
      <c r="M34" s="5">
        <v>5</v>
      </c>
      <c r="N34" s="5">
        <v>0</v>
      </c>
      <c r="O34" s="5">
        <v>0</v>
      </c>
      <c r="P34" s="5">
        <v>1</v>
      </c>
      <c r="Q34" s="5">
        <v>1</v>
      </c>
      <c r="R34" s="5">
        <v>5</v>
      </c>
      <c r="S34" s="5">
        <v>2</v>
      </c>
      <c r="T34" s="10">
        <f>SUM(Tablo314[[#This Row],[LW1]:[LW14]])</f>
        <v>45</v>
      </c>
      <c r="U34" s="10" cm="1">
        <f t="array" ref="U34">F34/Tablo27[LW1]*$C$37+Tablo314[[#This Row],[LW2]]/Tablo27[LW2]*$D$37+Tablo314[[#This Row],[LW3]]/Tablo27[LW3]*$E$37+Tablo314[[#This Row],[LW4]]/Tablo27[LW4]*$F$37+Tablo314[[#This Row],[LW5]]/Tablo27[LW5]*$G$37+Tablo314[[#This Row],[LW6]]/Tablo27[LW6]*$H$37+Tablo314[[#This Row],[LW7]]/Tablo27[LW7]*$I$37+Tablo314[[#This Row],[LW8]]/Tablo27[LW8]*$J$37+Tablo314[[#This Row],[LW9]]/Tablo27[LW9]*$K$37+Tablo314[[#This Row],[LW10]]/Tablo27[LW10]*$L$37+Tablo314[[#This Row],[LW11]]/Tablo27[LW11]*$M$37+Tablo314[[#This Row],[LW12]]/Tablo27[LW12]*$N$37+Tablo314[[#This Row],[LW13]]/Tablo27[LW13]*$O$37+Tablo314[[#This Row],[LW14]]/Tablo27[LW14]*$P$37</f>
        <v>17</v>
      </c>
      <c r="V34" s="10" cm="1">
        <f t="array" ref="V34">F34/Tablo27[LW1]*$C$38+Tablo314[[#This Row],[LW2]]/Tablo27[LW2]*$D$38+Tablo314[[#This Row],[LW3]]/Tablo27[LW3]*$E$38+Tablo314[[#This Row],[LW4]]/Tablo27[LW4]*$F$38+Tablo314[[#This Row],[LW5]]/Tablo27[LW5]*$G$38+Tablo314[[#This Row],[LW6]]/Tablo27[LW6]*$H$38+Tablo314[[#This Row],[LW7]]/Tablo27[LW7]*$I$38+Tablo314[[#This Row],[LW8]]/Tablo27[LW8]*$J$38+Tablo314[[#This Row],[LW9]]/Tablo27[LW9]*$K$38+Tablo314[[#This Row],[LW10]]/Tablo27[LW10]*$L$38+Tablo314[[#This Row],[LW11]]/Tablo27[LW11]*$M$38+Tablo314[[#This Row],[LW12]]/Tablo27[LW12]*$N$38+Tablo314[[#This Row],[LW13]]/Tablo27[LW13]*$O$38+Tablo314[[#This Row],[LW14]]/Tablo27[LW14]*$P$38</f>
        <v>21</v>
      </c>
      <c r="W34" s="10" cm="1">
        <f t="array" ref="W34">F34/Tablo27[LW1]*$C$39+Tablo314[[#This Row],[LW2]]/Tablo27[LW2]*$D$39+Tablo314[[#This Row],[LW3]]/Tablo27[LW3]*$E$39+Tablo314[[#This Row],[LW4]]/Tablo27[LW4]*$F$39+Tablo314[[#This Row],[LW5]]/Tablo27[LW5]*$G$39+Tablo314[[#This Row],[LW6]]/Tablo27[LW6]*$H$39+Tablo314[[#This Row],[LW7]]/Tablo27[LW7]*$I$39+Tablo314[[#This Row],[LW8]]/Tablo27[LW8]*$J$39+Tablo314[[#This Row],[LW9]]/Tablo27[LW9]*$K$39+Tablo314[[#This Row],[LW10]]/Tablo27[LW10]*$L$39+Tablo314[[#This Row],[LW11]]/Tablo27[LW11]*$M$39+Tablo314[[#This Row],[LW12]]/Tablo27[LW12]*$N$39+Tablo314[[#This Row],[LW13]]/Tablo27[LW13]*$O$39+Tablo314[[#This Row],[LW14]]/Tablo27[LW14]*$P$39</f>
        <v>24</v>
      </c>
      <c r="X34" s="10" cm="1">
        <f t="array" ref="X34">F34/Tablo27[LW1]*$C$40+Tablo314[[#This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28</v>
      </c>
      <c r="Y34" s="10">
        <f>SUM(Tablo314[[#This Row],[DÇ1]],Tablo314[[#This Row],[DÇ2]],Tablo314[[#This Row],[DÇ3]],Tablo314[[#This Row],[DÇ4]])</f>
        <v>90</v>
      </c>
      <c r="Z34" s="24" cm="1">
        <f t="array" ref="Z34">_xlfn.NORM.DIST(Tablo314[[#This Row],[TOTAL]],Tablo29[Mean],Tablo29[Variance],FALSE)</f>
        <v>4.3024220538293171E-3</v>
      </c>
    </row>
    <row r="35" spans="2:26" ht="15" thickTop="1" x14ac:dyDescent="0.3"/>
    <row r="36" spans="2:26" ht="15" thickBot="1" x14ac:dyDescent="0.35">
      <c r="B36" s="5" t="s">
        <v>89</v>
      </c>
      <c r="C36" s="5" t="s">
        <v>150</v>
      </c>
      <c r="D36" s="5" t="s">
        <v>149</v>
      </c>
      <c r="E36" s="5" t="s">
        <v>148</v>
      </c>
      <c r="F36" s="5" t="s">
        <v>147</v>
      </c>
      <c r="G36" s="5" t="s">
        <v>146</v>
      </c>
      <c r="H36" s="5" t="s">
        <v>145</v>
      </c>
      <c r="I36" s="5" t="s">
        <v>144</v>
      </c>
      <c r="J36" s="5" t="s">
        <v>143</v>
      </c>
      <c r="K36" s="5" t="s">
        <v>142</v>
      </c>
      <c r="L36" s="5" t="s">
        <v>141</v>
      </c>
      <c r="M36" s="5" t="s">
        <v>140</v>
      </c>
      <c r="N36" s="5" t="s">
        <v>139</v>
      </c>
      <c r="O36" s="5" t="s">
        <v>138</v>
      </c>
      <c r="P36" s="5" t="s">
        <v>137</v>
      </c>
      <c r="Q36" s="49" t="s">
        <v>90</v>
      </c>
      <c r="R36" s="6" t="s">
        <v>91</v>
      </c>
      <c r="S36" s="6" t="s">
        <v>92</v>
      </c>
      <c r="X36" s="6" t="s">
        <v>114</v>
      </c>
      <c r="Y36" s="6" t="s">
        <v>115</v>
      </c>
    </row>
    <row r="37" spans="2:26" ht="15.6" thickTop="1" thickBot="1" x14ac:dyDescent="0.35">
      <c r="B37" s="5">
        <v>1</v>
      </c>
      <c r="C37" s="5">
        <v>5</v>
      </c>
      <c r="D37" s="5">
        <v>0</v>
      </c>
      <c r="E37" s="5">
        <v>5</v>
      </c>
      <c r="F37" s="5">
        <v>0</v>
      </c>
      <c r="G37" s="5">
        <v>0</v>
      </c>
      <c r="H37" s="5">
        <v>5</v>
      </c>
      <c r="I37" s="5">
        <v>0</v>
      </c>
      <c r="J37" s="5">
        <v>5</v>
      </c>
      <c r="K37" s="5">
        <v>0</v>
      </c>
      <c r="L37" s="5">
        <v>0</v>
      </c>
      <c r="M37" s="5">
        <v>5</v>
      </c>
      <c r="N37" s="5">
        <v>0</v>
      </c>
      <c r="O37" s="5">
        <v>0</v>
      </c>
      <c r="P37" s="5">
        <v>0</v>
      </c>
      <c r="Q37" s="52">
        <f>SUM(Tablo26[[#This Row],[LW1]:[LW14]])</f>
        <v>25</v>
      </c>
      <c r="R37" s="53">
        <f>IF(Q37=0,"0",SUM(Tablo314[DÇ1])/(30*D46))</f>
        <v>0.59266666666666667</v>
      </c>
      <c r="S37" s="102">
        <f>Tablo26[[#This Row],[TOTAL DÇ]]*D46</f>
        <v>14.816666666666666</v>
      </c>
      <c r="X37" s="5">
        <f>AVERAGE(Tablo314[TOTAL])</f>
        <v>51.833333333333336</v>
      </c>
      <c r="Y37" s="5">
        <f>_xlfn.VAR.P(Tablo314[TOTAL])</f>
        <v>92.472222222222229</v>
      </c>
    </row>
    <row r="38" spans="2:26" ht="15.6" thickTop="1" thickBot="1" x14ac:dyDescent="0.35">
      <c r="B38" s="5">
        <v>2</v>
      </c>
      <c r="C38" s="5">
        <v>0</v>
      </c>
      <c r="D38" s="5">
        <v>5</v>
      </c>
      <c r="E38" s="5">
        <v>5</v>
      </c>
      <c r="F38" s="5">
        <v>0</v>
      </c>
      <c r="G38" s="5">
        <v>5</v>
      </c>
      <c r="H38" s="5">
        <v>5</v>
      </c>
      <c r="I38" s="5">
        <v>5</v>
      </c>
      <c r="J38" s="5">
        <v>0</v>
      </c>
      <c r="K38" s="5">
        <v>5</v>
      </c>
      <c r="L38" s="5">
        <v>5</v>
      </c>
      <c r="M38" s="5">
        <v>5</v>
      </c>
      <c r="N38" s="5">
        <v>0</v>
      </c>
      <c r="O38" s="5">
        <v>0</v>
      </c>
      <c r="P38" s="5">
        <v>0</v>
      </c>
      <c r="Q38" s="52">
        <f>SUM(Tablo26[[#This Row],[LW1]:[LW14]])</f>
        <v>40</v>
      </c>
      <c r="R38" s="53">
        <f>IF(Q38=0,"0",SUM(Tablo314[DÇ2])/(30*D47))</f>
        <v>0.57166666666666666</v>
      </c>
      <c r="S38" s="102">
        <f>Tablo26[[#This Row],[TOTAL DÇ]]*D47</f>
        <v>22.866666666666667</v>
      </c>
    </row>
    <row r="39" spans="2:26" ht="15.6" thickTop="1" thickBot="1" x14ac:dyDescent="0.35">
      <c r="B39" s="5">
        <v>3</v>
      </c>
      <c r="C39" s="5">
        <v>0</v>
      </c>
      <c r="D39" s="5">
        <v>0</v>
      </c>
      <c r="E39" s="5">
        <v>0</v>
      </c>
      <c r="F39" s="5">
        <v>0</v>
      </c>
      <c r="G39" s="5">
        <v>5</v>
      </c>
      <c r="H39" s="5">
        <v>5</v>
      </c>
      <c r="I39" s="5">
        <v>5</v>
      </c>
      <c r="J39" s="5">
        <v>5</v>
      </c>
      <c r="K39" s="5">
        <v>5</v>
      </c>
      <c r="L39" s="5">
        <v>5</v>
      </c>
      <c r="M39" s="5">
        <v>5</v>
      </c>
      <c r="N39" s="5">
        <v>5</v>
      </c>
      <c r="O39" s="5">
        <v>5</v>
      </c>
      <c r="P39" s="5">
        <v>5</v>
      </c>
      <c r="Q39" s="52">
        <f>SUM(Tablo26[[#This Row],[LW1]:[LW14]])</f>
        <v>50</v>
      </c>
      <c r="R39" s="53">
        <f>IF(Q39=0,"0",SUM(Tablo314[DÇ3])/(30*D48))</f>
        <v>0.51866666666666672</v>
      </c>
      <c r="S39" s="102">
        <f>Tablo26[[#This Row],[TOTAL DÇ]]*D48</f>
        <v>25.933333333333337</v>
      </c>
    </row>
    <row r="40" spans="2:26" ht="15.6" thickTop="1" thickBot="1" x14ac:dyDescent="0.35">
      <c r="B40" s="5">
        <v>4</v>
      </c>
      <c r="C40" s="5">
        <v>0</v>
      </c>
      <c r="D40" s="5">
        <v>0</v>
      </c>
      <c r="E40" s="5">
        <v>0</v>
      </c>
      <c r="F40" s="5">
        <v>5</v>
      </c>
      <c r="G40" s="5">
        <v>5</v>
      </c>
      <c r="H40" s="5">
        <v>5</v>
      </c>
      <c r="I40" s="5">
        <v>5</v>
      </c>
      <c r="J40" s="5">
        <v>5</v>
      </c>
      <c r="K40" s="5">
        <v>5</v>
      </c>
      <c r="L40" s="5">
        <v>5</v>
      </c>
      <c r="M40" s="5">
        <v>5</v>
      </c>
      <c r="N40" s="5">
        <v>5</v>
      </c>
      <c r="O40" s="5">
        <v>5</v>
      </c>
      <c r="P40" s="5">
        <v>5</v>
      </c>
      <c r="Q40" s="52">
        <f>SUM(Tablo26[[#This Row],[LW1]:[LW14]])</f>
        <v>55</v>
      </c>
      <c r="R40" s="53">
        <f>IF(Q40=0,"0",SUM(Tablo314[DÇ4])/(30*D49))</f>
        <v>0.52606060606060601</v>
      </c>
      <c r="S40" s="102">
        <f>Tablo26[[#This Row],[TOTAL DÇ]]*D49</f>
        <v>28.93333333333333</v>
      </c>
    </row>
    <row r="41" spans="2:26" ht="15" thickTop="1" x14ac:dyDescent="0.3"/>
    <row r="42" spans="2:26" x14ac:dyDescent="0.3">
      <c r="B42" s="6" t="s">
        <v>0</v>
      </c>
      <c r="C42" s="5" t="s">
        <v>150</v>
      </c>
      <c r="D42" s="5" t="s">
        <v>149</v>
      </c>
      <c r="E42" s="5" t="s">
        <v>148</v>
      </c>
      <c r="F42" s="5" t="s">
        <v>147</v>
      </c>
      <c r="G42" s="5" t="s">
        <v>146</v>
      </c>
      <c r="H42" s="5" t="s">
        <v>145</v>
      </c>
      <c r="I42" s="5" t="s">
        <v>144</v>
      </c>
      <c r="J42" s="5" t="s">
        <v>143</v>
      </c>
      <c r="K42" s="5" t="s">
        <v>142</v>
      </c>
      <c r="L42" s="5" t="s">
        <v>141</v>
      </c>
      <c r="M42" s="5" t="s">
        <v>140</v>
      </c>
      <c r="N42" s="5" t="s">
        <v>139</v>
      </c>
      <c r="O42" s="5" t="s">
        <v>138</v>
      </c>
      <c r="P42" s="5" t="s">
        <v>137</v>
      </c>
      <c r="Q42" s="5" t="s">
        <v>90</v>
      </c>
    </row>
    <row r="43" spans="2:26" x14ac:dyDescent="0.3">
      <c r="B43" s="6" t="s">
        <v>136</v>
      </c>
      <c r="C43" s="5">
        <v>5</v>
      </c>
      <c r="D43" s="5">
        <v>5</v>
      </c>
      <c r="E43" s="5">
        <v>5</v>
      </c>
      <c r="F43" s="5">
        <v>5</v>
      </c>
      <c r="G43" s="5">
        <v>5</v>
      </c>
      <c r="H43" s="5">
        <v>10</v>
      </c>
      <c r="I43" s="5">
        <v>5</v>
      </c>
      <c r="J43" s="5">
        <v>5</v>
      </c>
      <c r="K43" s="5">
        <v>5</v>
      </c>
      <c r="L43" s="5">
        <v>10</v>
      </c>
      <c r="M43" s="5">
        <v>10</v>
      </c>
      <c r="N43" s="5">
        <v>10</v>
      </c>
      <c r="O43" s="5">
        <v>10</v>
      </c>
      <c r="P43" s="5">
        <v>10</v>
      </c>
      <c r="Q43" s="5">
        <f>SUM(Tablo27[[#This Row],[LW1]:[LW14]])</f>
        <v>100</v>
      </c>
    </row>
    <row r="44" spans="2:26" x14ac:dyDescent="0.3">
      <c r="G44" s="50"/>
      <c r="H44" s="51"/>
      <c r="I44" s="51"/>
      <c r="J44" s="51"/>
      <c r="K44" s="51"/>
      <c r="L44" s="51"/>
      <c r="M44" s="54"/>
      <c r="N44" s="108"/>
      <c r="O44" s="109"/>
    </row>
    <row r="45" spans="2:26" x14ac:dyDescent="0.3">
      <c r="B45" s="43" t="s">
        <v>77</v>
      </c>
      <c r="C45" s="43" t="s">
        <v>78</v>
      </c>
      <c r="D45" s="6" t="s">
        <v>124</v>
      </c>
      <c r="E45" s="6" t="s">
        <v>125</v>
      </c>
      <c r="G45" s="17"/>
      <c r="H45" s="54"/>
      <c r="I45" s="54"/>
      <c r="J45" s="54"/>
      <c r="K45" s="54"/>
      <c r="L45" s="54"/>
      <c r="M45" s="54"/>
      <c r="N45" s="108"/>
      <c r="O45" s="107"/>
    </row>
    <row r="46" spans="2:26" x14ac:dyDescent="0.3">
      <c r="B46" s="45">
        <v>1</v>
      </c>
      <c r="C46" s="5" t="str">
        <f>[1]MAIN!$O38</f>
        <v>Çıktı-1</v>
      </c>
      <c r="D46" s="46">
        <f>[1]MAIN!T38</f>
        <v>25</v>
      </c>
      <c r="E46" s="46">
        <f>Tablo41525[[#This Row],[DERS ÇIKTISI KATSAYISI]]-Q37</f>
        <v>0</v>
      </c>
      <c r="G46" s="17"/>
      <c r="H46" s="54"/>
      <c r="I46" s="54"/>
      <c r="J46" s="54"/>
      <c r="K46" s="54"/>
      <c r="L46" s="54"/>
      <c r="M46" s="54"/>
      <c r="N46" s="108"/>
      <c r="O46" s="107"/>
    </row>
    <row r="47" spans="2:26" x14ac:dyDescent="0.3">
      <c r="B47" s="45">
        <v>2</v>
      </c>
      <c r="C47" s="5" t="str">
        <f>[1]MAIN!$O39</f>
        <v>Çıktı-2</v>
      </c>
      <c r="D47" s="46">
        <f>[1]MAIN!T39</f>
        <v>40</v>
      </c>
      <c r="E47" s="46">
        <f>Tablo41525[[#This Row],[DERS ÇIKTISI KATSAYISI]]-Q38</f>
        <v>0</v>
      </c>
      <c r="G47" s="17"/>
      <c r="H47" s="54"/>
      <c r="I47" s="54"/>
      <c r="J47" s="54"/>
      <c r="K47" s="54"/>
      <c r="L47" s="54"/>
      <c r="M47" s="54"/>
      <c r="N47" s="108"/>
      <c r="O47" s="107"/>
    </row>
    <row r="48" spans="2:26" x14ac:dyDescent="0.3">
      <c r="B48" s="45">
        <v>3</v>
      </c>
      <c r="C48" s="5" t="str">
        <f>[1]MAIN!$O40</f>
        <v>Çıktı-3</v>
      </c>
      <c r="D48" s="46">
        <f>[1]MAIN!T40</f>
        <v>50</v>
      </c>
      <c r="E48" s="46">
        <f>Tablo41525[[#This Row],[DERS ÇIKTISI KATSAYISI]]-Q39</f>
        <v>0</v>
      </c>
    </row>
    <row r="49" spans="2:5" x14ac:dyDescent="0.3">
      <c r="B49" s="1">
        <v>4</v>
      </c>
      <c r="C49" s="5" t="str">
        <f>[1]MAIN!$O41</f>
        <v>Çıktı-4</v>
      </c>
      <c r="D49" s="46">
        <f>[1]MAIN!T41</f>
        <v>55</v>
      </c>
      <c r="E49" s="46">
        <f>Tablo41525[[#This Row],[DERS ÇIKTISI KATSAYISI]]-Q40</f>
        <v>0</v>
      </c>
    </row>
  </sheetData>
  <mergeCells count="1">
    <mergeCell ref="B1:V1"/>
  </mergeCells>
  <conditionalFormatting sqref="E46:E49">
    <cfRule type="cellIs" dxfId="21" priority="5" operator="equal">
      <formula>0</formula>
    </cfRule>
    <cfRule type="cellIs" dxfId="20" priority="6" operator="lessThan">
      <formula>0</formula>
    </cfRule>
  </conditionalFormatting>
  <conditionalFormatting sqref="E46">
    <cfRule type="cellIs" dxfId="19" priority="7" operator="greaterThan">
      <formula>$I$43</formula>
    </cfRule>
  </conditionalFormatting>
  <conditionalFormatting sqref="E47">
    <cfRule type="cellIs" dxfId="18" priority="8" operator="greaterThan">
      <formula>$I$44</formula>
    </cfRule>
  </conditionalFormatting>
  <conditionalFormatting sqref="E48">
    <cfRule type="cellIs" dxfId="17" priority="9" operator="greaterThan">
      <formula>$I$45</formula>
    </cfRule>
  </conditionalFormatting>
  <conditionalFormatting sqref="E49">
    <cfRule type="cellIs" dxfId="16" priority="10" operator="greaterThan">
      <formula>$I$46</formula>
    </cfRule>
  </conditionalFormatting>
  <conditionalFormatting sqref="Q38">
    <cfRule type="cellIs" dxfId="15" priority="2" operator="lessThan">
      <formula>$D$47</formula>
    </cfRule>
    <cfRule type="cellIs" dxfId="14" priority="3" operator="greaterThan">
      <formula>$D$47</formula>
    </cfRule>
    <cfRule type="cellIs" dxfId="13" priority="4" operator="equal">
      <formula>$D$47</formula>
    </cfRule>
  </conditionalFormatting>
  <conditionalFormatting sqref="M44">
    <cfRule type="cellIs" dxfId="12" priority="11" operator="equal">
      <formula>45</formula>
    </cfRule>
    <cfRule type="cellIs" dxfId="11" priority="12" operator="lessThan">
      <formula>$E$46</formula>
    </cfRule>
    <cfRule type="cellIs" dxfId="10" priority="13" operator="greaterThan">
      <formula>$E$46</formula>
    </cfRule>
  </conditionalFormatting>
  <conditionalFormatting sqref="Q37">
    <cfRule type="cellIs" dxfId="9" priority="14" operator="greaterThan">
      <formula>$D$46</formula>
    </cfRule>
    <cfRule type="cellIs" dxfId="8" priority="15" operator="lessThan">
      <formula>$D$46</formula>
    </cfRule>
    <cfRule type="cellIs" dxfId="7" priority="16" operator="equal">
      <formula>$D$46</formula>
    </cfRule>
  </conditionalFormatting>
  <conditionalFormatting sqref="Q39">
    <cfRule type="cellIs" dxfId="6" priority="17" operator="lessThan">
      <formula>$D$48</formula>
    </cfRule>
    <cfRule type="cellIs" dxfId="5" priority="18" operator="greaterThan">
      <formula>$D$48</formula>
    </cfRule>
    <cfRule type="cellIs" dxfId="4" priority="19" operator="equal">
      <formula>$D$48</formula>
    </cfRule>
  </conditionalFormatting>
  <conditionalFormatting sqref="Q40">
    <cfRule type="cellIs" dxfId="3" priority="20" operator="lessThan">
      <formula>$D$49</formula>
    </cfRule>
    <cfRule type="cellIs" dxfId="2" priority="21" operator="greaterThan">
      <formula>$D$49</formula>
    </cfRule>
    <cfRule type="cellIs" dxfId="1" priority="22" operator="equal">
      <formula>$D$49</formula>
    </cfRule>
  </conditionalFormatting>
  <conditionalFormatting sqref="Y5:Y34">
    <cfRule type="cellIs" dxfId="0" priority="1" operator="greaterThan">
      <formula>$D$46+$D$47+$D$48+$D$49</formula>
    </cfRule>
  </conditionalFormatting>
  <pageMargins left="0.7" right="0.7" top="0.75" bottom="0.75" header="0.3" footer="0.3"/>
  <pageSetup paperSize="9" orientation="portrait" r:id="rId1"/>
  <drawing r:id="rId2"/>
  <legacyDrawing r:id="rId3"/>
  <tableParts count="6">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READ ME</vt:lpstr>
      <vt:lpstr>MAIN</vt:lpstr>
      <vt:lpstr>MIDTERM</vt:lpstr>
      <vt:lpstr>FINAL</vt:lpstr>
      <vt:lpstr>HOMEWORK</vt:lpstr>
      <vt:lpstr>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Alperen</dc:creator>
  <cp:lastModifiedBy>Alperen</cp:lastModifiedBy>
  <dcterms:created xsi:type="dcterms:W3CDTF">2015-06-05T18:19:34Z</dcterms:created>
  <dcterms:modified xsi:type="dcterms:W3CDTF">2022-12-14T21:56:30Z</dcterms:modified>
</cp:coreProperties>
</file>