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xampp\htdocs\po-mgmt\docs\"/>
    </mc:Choice>
  </mc:AlternateContent>
  <xr:revisionPtr revIDLastSave="0" documentId="13_ncr:1_{FF31C0D7-636D-49E6-9F71-AEB726ED678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racker Updates" sheetId="1" r:id="rId1"/>
    <sheet name="SO Form" sheetId="6" r:id="rId2"/>
    <sheet name="PO Details" sheetId="2" r:id="rId3"/>
    <sheet name="Billing and Payment Details" sheetId="5" r:id="rId4"/>
    <sheet name="Outsourcing Details" sheetId="3" r:id="rId5"/>
    <sheet name="PO Utilization" sheetId="7" r:id="rId6"/>
    <sheet name="Vendor Payment Processed" sheetId="9" r:id="rId7"/>
    <sheet name="Tracker Flow Chart" sheetId="8" r:id="rId8"/>
    <sheet name="Vendor Outstanding" sheetId="10" r:id="rId9"/>
  </sheets>
  <definedNames>
    <definedName name="_xlnm._FilterDatabase" localSheetId="3" hidden="1">'Billing and Payment Details'!$A$2:$M$219</definedName>
    <definedName name="_xlnm._FilterDatabase" localSheetId="4" hidden="1">'Outsourcing Details'!$A$2:$S$175</definedName>
    <definedName name="_xlnm._FilterDatabase" localSheetId="2" hidden="1">'PO Details'!$A$2:$N$33</definedName>
    <definedName name="_xlnm._FilterDatabase" localSheetId="5" hidden="1">'PO Utilization'!$A$2:$K$93</definedName>
    <definedName name="_xlnm._FilterDatabase" localSheetId="1" hidden="1">'SO Form'!$B$3:$O$33</definedName>
    <definedName name="_xlnm._FilterDatabase" localSheetId="6" hidden="1">'Vendor Payment Processed'!$A$1:$M$10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15" i="6" l="1"/>
  <c r="L14" i="6"/>
  <c r="H172" i="3"/>
  <c r="H155" i="3"/>
  <c r="H14" i="3"/>
  <c r="H13" i="3"/>
  <c r="H12" i="3"/>
  <c r="H11" i="3"/>
  <c r="H10" i="3"/>
  <c r="H9" i="3"/>
  <c r="H8" i="3"/>
  <c r="K21" i="2"/>
  <c r="R173" i="3"/>
  <c r="R169" i="3"/>
  <c r="M175" i="3"/>
  <c r="N175" i="3" s="1"/>
  <c r="R175" i="3" s="1"/>
  <c r="M174" i="3"/>
  <c r="N174" i="3" s="1"/>
  <c r="R174" i="3" s="1"/>
  <c r="M170" i="3"/>
  <c r="N170" i="3" s="1"/>
  <c r="R170" i="3" s="1"/>
  <c r="J3" i="7"/>
  <c r="H3" i="7"/>
  <c r="D55" i="7"/>
  <c r="J33" i="6"/>
  <c r="J18" i="6"/>
  <c r="I33" i="6"/>
  <c r="K33" i="6" s="1"/>
  <c r="N33" i="2"/>
  <c r="H33" i="6" s="1"/>
  <c r="N32" i="2"/>
  <c r="H32" i="6" s="1"/>
  <c r="P19" i="3"/>
  <c r="D63" i="7"/>
  <c r="E63" i="7"/>
  <c r="H63" i="7"/>
  <c r="J63" i="7"/>
  <c r="M216" i="5"/>
  <c r="M217" i="5"/>
  <c r="M218" i="5"/>
  <c r="M219" i="5"/>
  <c r="M213" i="5"/>
  <c r="M214" i="5"/>
  <c r="M215" i="5"/>
  <c r="M212" i="5"/>
  <c r="M208" i="5"/>
  <c r="M209" i="5"/>
  <c r="M210" i="5"/>
  <c r="M211" i="5"/>
  <c r="M205" i="5"/>
  <c r="M206" i="5"/>
  <c r="M207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190" i="5"/>
  <c r="M184" i="5"/>
  <c r="M185" i="5"/>
  <c r="M186" i="5"/>
  <c r="M187" i="5"/>
  <c r="M188" i="5"/>
  <c r="M189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54" i="5"/>
  <c r="M155" i="5"/>
  <c r="M156" i="5"/>
  <c r="M157" i="5"/>
  <c r="M158" i="5"/>
  <c r="M159" i="5"/>
  <c r="M161" i="5"/>
  <c r="M162" i="5"/>
  <c r="M164" i="5"/>
  <c r="M142" i="5"/>
  <c r="M143" i="5"/>
  <c r="M144" i="5"/>
  <c r="M145" i="5"/>
  <c r="M147" i="5"/>
  <c r="M148" i="5"/>
  <c r="M149" i="5"/>
  <c r="M150" i="5"/>
  <c r="M153" i="5"/>
  <c r="M129" i="5"/>
  <c r="M131" i="5"/>
  <c r="M132" i="5"/>
  <c r="M133" i="5"/>
  <c r="M134" i="5"/>
  <c r="M135" i="5"/>
  <c r="M136" i="5"/>
  <c r="M138" i="5"/>
  <c r="M139" i="5"/>
  <c r="M141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34" i="5"/>
  <c r="M35" i="5"/>
  <c r="M36" i="5"/>
  <c r="M31" i="5"/>
  <c r="M32" i="5"/>
  <c r="M33" i="5"/>
  <c r="M28" i="5"/>
  <c r="M29" i="5"/>
  <c r="M30" i="5"/>
  <c r="M22" i="5"/>
  <c r="M23" i="5"/>
  <c r="M24" i="5"/>
  <c r="M25" i="5"/>
  <c r="M26" i="5"/>
  <c r="M27" i="5"/>
  <c r="M15" i="5"/>
  <c r="M16" i="5"/>
  <c r="M17" i="5"/>
  <c r="M18" i="5"/>
  <c r="M19" i="5"/>
  <c r="M20" i="5"/>
  <c r="M21" i="5"/>
  <c r="M9" i="5"/>
  <c r="M10" i="5"/>
  <c r="M11" i="5"/>
  <c r="M12" i="5"/>
  <c r="M13" i="5"/>
  <c r="M14" i="5"/>
  <c r="M8" i="5"/>
  <c r="M4" i="5"/>
  <c r="M5" i="5"/>
  <c r="M6" i="5"/>
  <c r="M7" i="5"/>
  <c r="M3" i="5"/>
  <c r="J219" i="5"/>
  <c r="H219" i="5"/>
  <c r="I219" i="5" s="1"/>
  <c r="M158" i="3"/>
  <c r="N158" i="3" s="1"/>
  <c r="R158" i="3" s="1"/>
  <c r="F33" i="6"/>
  <c r="G33" i="6" s="1"/>
  <c r="K33" i="2"/>
  <c r="J218" i="5"/>
  <c r="H218" i="5"/>
  <c r="I218" i="5" s="1"/>
  <c r="M172" i="3"/>
  <c r="N172" i="3" s="1"/>
  <c r="R172" i="3" s="1"/>
  <c r="M160" i="3"/>
  <c r="N160" i="3" s="1"/>
  <c r="R160" i="3" s="1"/>
  <c r="P86" i="3"/>
  <c r="N171" i="3"/>
  <c r="R171" i="3" s="1"/>
  <c r="L12" i="9"/>
  <c r="L11" i="9"/>
  <c r="L10" i="9"/>
  <c r="I30" i="6"/>
  <c r="I31" i="6"/>
  <c r="I32" i="6"/>
  <c r="K32" i="6" s="1"/>
  <c r="J32" i="6"/>
  <c r="F32" i="6"/>
  <c r="G32" i="6" s="1"/>
  <c r="K32" i="2"/>
  <c r="L3" i="9"/>
  <c r="L2" i="9"/>
  <c r="L5" i="9"/>
  <c r="L6" i="9"/>
  <c r="L7" i="9"/>
  <c r="L8" i="9"/>
  <c r="L9" i="9"/>
  <c r="M183" i="5"/>
  <c r="J22" i="5"/>
  <c r="J23" i="5"/>
  <c r="J24" i="5"/>
  <c r="J25" i="5"/>
  <c r="J26" i="5"/>
  <c r="J27" i="5"/>
  <c r="J186" i="5"/>
  <c r="J217" i="5"/>
  <c r="J188" i="5"/>
  <c r="D62" i="7"/>
  <c r="E62" i="7"/>
  <c r="H62" i="7"/>
  <c r="J62" i="7"/>
  <c r="H217" i="5"/>
  <c r="I217" i="5" s="1"/>
  <c r="M168" i="3"/>
  <c r="N168" i="3" s="1"/>
  <c r="R168" i="3" s="1"/>
  <c r="L1" i="3"/>
  <c r="J216" i="5"/>
  <c r="H216" i="5"/>
  <c r="I216" i="5" s="1"/>
  <c r="M167" i="3"/>
  <c r="N167" i="3" s="1"/>
  <c r="R167" i="3" s="1"/>
  <c r="M162" i="3"/>
  <c r="N162" i="3" s="1"/>
  <c r="R162" i="3" s="1"/>
  <c r="M166" i="3"/>
  <c r="N166" i="3" s="1"/>
  <c r="R166" i="3" s="1"/>
  <c r="M165" i="3"/>
  <c r="N165" i="3" s="1"/>
  <c r="R165" i="3" s="1"/>
  <c r="J213" i="5"/>
  <c r="J214" i="5"/>
  <c r="J215" i="5"/>
  <c r="H214" i="5"/>
  <c r="I214" i="5" s="1"/>
  <c r="H215" i="5"/>
  <c r="I215" i="5" s="1"/>
  <c r="H213" i="5"/>
  <c r="I213" i="5" s="1"/>
  <c r="J189" i="5"/>
  <c r="J212" i="5"/>
  <c r="H212" i="5"/>
  <c r="I212" i="5" s="1"/>
  <c r="M164" i="3"/>
  <c r="N164" i="3" s="1"/>
  <c r="R164" i="3" s="1"/>
  <c r="J211" i="5"/>
  <c r="M163" i="3"/>
  <c r="N163" i="3" s="1"/>
  <c r="R163" i="3" s="1"/>
  <c r="D60" i="7"/>
  <c r="E60" i="7"/>
  <c r="H60" i="7"/>
  <c r="J60" i="7"/>
  <c r="D61" i="7"/>
  <c r="E61" i="7"/>
  <c r="H61" i="7"/>
  <c r="J61" i="7"/>
  <c r="H211" i="5"/>
  <c r="I211" i="5" s="1"/>
  <c r="J210" i="5"/>
  <c r="H210" i="5"/>
  <c r="I210" i="5" s="1"/>
  <c r="J209" i="5"/>
  <c r="H209" i="5"/>
  <c r="I209" i="5" s="1"/>
  <c r="M159" i="3"/>
  <c r="N159" i="3" s="1"/>
  <c r="R159" i="3" s="1"/>
  <c r="J59" i="7"/>
  <c r="D59" i="7"/>
  <c r="E59" i="7"/>
  <c r="H59" i="7"/>
  <c r="J208" i="5"/>
  <c r="H208" i="5"/>
  <c r="I208" i="5" s="1"/>
  <c r="J72" i="5"/>
  <c r="M161" i="3"/>
  <c r="N161" i="3" s="1"/>
  <c r="R161" i="3" s="1"/>
  <c r="K31" i="6"/>
  <c r="J31" i="6"/>
  <c r="K30" i="6"/>
  <c r="K31" i="2"/>
  <c r="N31" i="2"/>
  <c r="H31" i="6" s="1"/>
  <c r="F31" i="6"/>
  <c r="E30" i="6"/>
  <c r="D195" i="5" s="1"/>
  <c r="E31" i="6"/>
  <c r="K30" i="2"/>
  <c r="J30" i="6"/>
  <c r="F30" i="6"/>
  <c r="N30" i="2"/>
  <c r="H30" i="6" s="1"/>
  <c r="P18" i="3"/>
  <c r="D13" i="7"/>
  <c r="M33" i="3"/>
  <c r="N33" i="3" s="1"/>
  <c r="R33" i="3" s="1"/>
  <c r="D40" i="7"/>
  <c r="D41" i="7"/>
  <c r="E41" i="7"/>
  <c r="H41" i="7"/>
  <c r="J41" i="7"/>
  <c r="D42" i="7"/>
  <c r="E42" i="7"/>
  <c r="H42" i="7"/>
  <c r="J42" i="7"/>
  <c r="D43" i="7"/>
  <c r="E43" i="7"/>
  <c r="H43" i="7"/>
  <c r="J43" i="7"/>
  <c r="D44" i="7"/>
  <c r="E44" i="7"/>
  <c r="H44" i="7"/>
  <c r="J44" i="7"/>
  <c r="D45" i="7"/>
  <c r="E45" i="7"/>
  <c r="H45" i="7"/>
  <c r="J45" i="7"/>
  <c r="D46" i="7"/>
  <c r="E46" i="7"/>
  <c r="H46" i="7"/>
  <c r="J46" i="7"/>
  <c r="D47" i="7"/>
  <c r="E47" i="7"/>
  <c r="F47" i="7" s="1"/>
  <c r="G47" i="7" s="1"/>
  <c r="H47" i="7"/>
  <c r="J47" i="7"/>
  <c r="D48" i="7"/>
  <c r="E48" i="7"/>
  <c r="H48" i="7"/>
  <c r="J48" i="7"/>
  <c r="D49" i="7"/>
  <c r="E49" i="7"/>
  <c r="H49" i="7"/>
  <c r="J49" i="7"/>
  <c r="D50" i="7"/>
  <c r="E50" i="7"/>
  <c r="H50" i="7"/>
  <c r="J50" i="7"/>
  <c r="D51" i="7"/>
  <c r="E51" i="7"/>
  <c r="F51" i="7" s="1"/>
  <c r="G51" i="7" s="1"/>
  <c r="H51" i="7"/>
  <c r="J51" i="7"/>
  <c r="D52" i="7"/>
  <c r="E52" i="7"/>
  <c r="H52" i="7"/>
  <c r="J52" i="7"/>
  <c r="D53" i="7"/>
  <c r="E53" i="7"/>
  <c r="H53" i="7"/>
  <c r="J53" i="7"/>
  <c r="D54" i="7"/>
  <c r="E54" i="7"/>
  <c r="H54" i="7"/>
  <c r="J54" i="7"/>
  <c r="E55" i="7"/>
  <c r="H55" i="7"/>
  <c r="J55" i="7"/>
  <c r="D56" i="7"/>
  <c r="E56" i="7"/>
  <c r="H56" i="7"/>
  <c r="J56" i="7"/>
  <c r="D57" i="7"/>
  <c r="E57" i="7"/>
  <c r="H57" i="7"/>
  <c r="J57" i="7"/>
  <c r="D58" i="7"/>
  <c r="E58" i="7"/>
  <c r="H58" i="7"/>
  <c r="J58" i="7"/>
  <c r="J110" i="5"/>
  <c r="M75" i="3"/>
  <c r="N75" i="3" s="1"/>
  <c r="R75" i="3" s="1"/>
  <c r="J38" i="7"/>
  <c r="M85" i="3"/>
  <c r="N85" i="3" s="1"/>
  <c r="R85" i="3" s="1"/>
  <c r="M81" i="3"/>
  <c r="N81" i="3" s="1"/>
  <c r="R81" i="3" s="1"/>
  <c r="M80" i="3"/>
  <c r="N80" i="3" s="1"/>
  <c r="R80" i="3" s="1"/>
  <c r="M74" i="3"/>
  <c r="N74" i="3" s="1"/>
  <c r="R74" i="3" s="1"/>
  <c r="D34" i="7"/>
  <c r="E36" i="7"/>
  <c r="D36" i="7"/>
  <c r="H207" i="5"/>
  <c r="I207" i="5" s="1"/>
  <c r="H206" i="5"/>
  <c r="I206" i="5" s="1"/>
  <c r="H205" i="5"/>
  <c r="I205" i="5" s="1"/>
  <c r="J207" i="5"/>
  <c r="J206" i="5"/>
  <c r="J205" i="5"/>
  <c r="M157" i="3"/>
  <c r="N157" i="3" s="1"/>
  <c r="R157" i="3" s="1"/>
  <c r="A1" i="10" a="1"/>
  <c r="A1" i="10" s="1"/>
  <c r="P20" i="3"/>
  <c r="D39" i="7"/>
  <c r="J37" i="7"/>
  <c r="P70" i="3"/>
  <c r="M71" i="3"/>
  <c r="N71" i="3" s="1"/>
  <c r="R71" i="3" s="1"/>
  <c r="D38" i="7"/>
  <c r="E38" i="7"/>
  <c r="F38" i="7" s="1"/>
  <c r="G38" i="7" s="1"/>
  <c r="H38" i="7"/>
  <c r="E39" i="7"/>
  <c r="H39" i="7"/>
  <c r="J39" i="7"/>
  <c r="E40" i="7"/>
  <c r="H40" i="7"/>
  <c r="J40" i="7"/>
  <c r="M76" i="3"/>
  <c r="N76" i="3" s="1"/>
  <c r="R76" i="3" s="1"/>
  <c r="D35" i="7"/>
  <c r="J204" i="5"/>
  <c r="J185" i="5"/>
  <c r="J184" i="5"/>
  <c r="H204" i="5"/>
  <c r="I204" i="5" s="1"/>
  <c r="M156" i="3"/>
  <c r="N156" i="3" s="1"/>
  <c r="R156" i="3" s="1"/>
  <c r="M151" i="3"/>
  <c r="N151" i="3" s="1"/>
  <c r="R151" i="3" s="1"/>
  <c r="I15" i="6"/>
  <c r="F15" i="6"/>
  <c r="M15" i="6" s="1"/>
  <c r="O15" i="6" s="1"/>
  <c r="E15" i="6"/>
  <c r="K14" i="2"/>
  <c r="N14" i="2"/>
  <c r="H15" i="6" s="1"/>
  <c r="H13" i="7"/>
  <c r="M11" i="6"/>
  <c r="O11" i="6" s="1"/>
  <c r="J187" i="5"/>
  <c r="M31" i="3"/>
  <c r="N31" i="3" s="1"/>
  <c r="R31" i="3" s="1"/>
  <c r="J30" i="5"/>
  <c r="J29" i="5"/>
  <c r="J28" i="5"/>
  <c r="J11" i="6"/>
  <c r="L11" i="6" s="1"/>
  <c r="H187" i="5"/>
  <c r="I187" i="5" s="1"/>
  <c r="H184" i="5"/>
  <c r="I184" i="5" s="1"/>
  <c r="H185" i="5"/>
  <c r="I185" i="5" s="1"/>
  <c r="J200" i="5"/>
  <c r="J201" i="5"/>
  <c r="J202" i="5"/>
  <c r="J203" i="5"/>
  <c r="J199" i="5"/>
  <c r="J195" i="5"/>
  <c r="J196" i="5"/>
  <c r="J197" i="5"/>
  <c r="J198" i="5"/>
  <c r="J194" i="5"/>
  <c r="J192" i="5"/>
  <c r="J193" i="5"/>
  <c r="J191" i="5"/>
  <c r="H191" i="5"/>
  <c r="I191" i="5" s="1"/>
  <c r="H192" i="5"/>
  <c r="I192" i="5" s="1"/>
  <c r="H193" i="5"/>
  <c r="I193" i="5" s="1"/>
  <c r="H194" i="5"/>
  <c r="I194" i="5" s="1"/>
  <c r="H195" i="5"/>
  <c r="I195" i="5" s="1"/>
  <c r="H196" i="5"/>
  <c r="I196" i="5" s="1"/>
  <c r="H197" i="5"/>
  <c r="I197" i="5" s="1"/>
  <c r="H198" i="5"/>
  <c r="I198" i="5" s="1"/>
  <c r="H199" i="5"/>
  <c r="I199" i="5" s="1"/>
  <c r="H200" i="5"/>
  <c r="I200" i="5" s="1"/>
  <c r="H201" i="5"/>
  <c r="I201" i="5" s="1"/>
  <c r="H202" i="5"/>
  <c r="I202" i="5" s="1"/>
  <c r="H203" i="5"/>
  <c r="I203" i="5" s="1"/>
  <c r="M17" i="3"/>
  <c r="N17" i="3"/>
  <c r="R17" i="3" s="1"/>
  <c r="A4" i="8"/>
  <c r="A5" i="8" s="1"/>
  <c r="A6" i="8" s="1"/>
  <c r="A7" i="8" s="1"/>
  <c r="A8" i="8" s="1"/>
  <c r="A9" i="8" s="1"/>
  <c r="A10" i="8" s="1"/>
  <c r="A11" i="8" s="1"/>
  <c r="A12" i="8" s="1"/>
  <c r="A13" i="8" s="1"/>
  <c r="P15" i="3"/>
  <c r="J190" i="5"/>
  <c r="I24" i="6"/>
  <c r="K24" i="6" s="1"/>
  <c r="J24" i="6"/>
  <c r="H4" i="7"/>
  <c r="H5" i="7"/>
  <c r="H6" i="7"/>
  <c r="H7" i="7"/>
  <c r="H8" i="7"/>
  <c r="H9" i="7"/>
  <c r="H10" i="7"/>
  <c r="H11" i="7"/>
  <c r="H12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D4" i="7"/>
  <c r="E4" i="7"/>
  <c r="D5" i="7"/>
  <c r="E5" i="7"/>
  <c r="D6" i="7"/>
  <c r="E6" i="7"/>
  <c r="D7" i="7"/>
  <c r="E7" i="7"/>
  <c r="D8" i="7"/>
  <c r="E8" i="7"/>
  <c r="F8" i="7" s="1"/>
  <c r="G8" i="7" s="1"/>
  <c r="D9" i="7"/>
  <c r="E9" i="7"/>
  <c r="D10" i="7"/>
  <c r="E10" i="7"/>
  <c r="D11" i="7"/>
  <c r="E11" i="7"/>
  <c r="D12" i="7"/>
  <c r="E12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E34" i="7"/>
  <c r="E35" i="7"/>
  <c r="D37" i="7"/>
  <c r="E37" i="7"/>
  <c r="E3" i="7"/>
  <c r="D3" i="7"/>
  <c r="A1" i="7" a="1"/>
  <c r="N4" i="2"/>
  <c r="H5" i="6" s="1"/>
  <c r="N5" i="2"/>
  <c r="H6" i="6" s="1"/>
  <c r="N6" i="2"/>
  <c r="H7" i="6" s="1"/>
  <c r="N7" i="2"/>
  <c r="H8" i="6" s="1"/>
  <c r="N8" i="2"/>
  <c r="H9" i="6" s="1"/>
  <c r="N9" i="2"/>
  <c r="H10" i="6" s="1"/>
  <c r="N10" i="2"/>
  <c r="H11" i="6" s="1"/>
  <c r="N11" i="2"/>
  <c r="H12" i="6" s="1"/>
  <c r="N12" i="2"/>
  <c r="H13" i="6" s="1"/>
  <c r="N13" i="2"/>
  <c r="H14" i="6" s="1"/>
  <c r="N15" i="2"/>
  <c r="H16" i="6" s="1"/>
  <c r="N16" i="2"/>
  <c r="H17" i="6" s="1"/>
  <c r="N17" i="2"/>
  <c r="H18" i="6" s="1"/>
  <c r="N18" i="2"/>
  <c r="N19" i="2"/>
  <c r="N20" i="2"/>
  <c r="N21" i="2"/>
  <c r="H21" i="6" s="1"/>
  <c r="N22" i="2"/>
  <c r="H22" i="6" s="1"/>
  <c r="N23" i="2"/>
  <c r="H23" i="6" s="1"/>
  <c r="N24" i="2"/>
  <c r="H24" i="6" s="1"/>
  <c r="N25" i="2"/>
  <c r="H25" i="6" s="1"/>
  <c r="N26" i="2"/>
  <c r="H26" i="6" s="1"/>
  <c r="N27" i="2"/>
  <c r="H27" i="6" s="1"/>
  <c r="N28" i="2"/>
  <c r="H28" i="6" s="1"/>
  <c r="N29" i="2"/>
  <c r="H29" i="6" s="1"/>
  <c r="N3" i="2"/>
  <c r="K18" i="2"/>
  <c r="K19" i="2"/>
  <c r="K17" i="2"/>
  <c r="F18" i="6"/>
  <c r="E18" i="6"/>
  <c r="K29" i="2"/>
  <c r="E29" i="6"/>
  <c r="F29" i="6"/>
  <c r="I29" i="6"/>
  <c r="K29" i="6" s="1"/>
  <c r="J29" i="6"/>
  <c r="E28" i="6"/>
  <c r="F28" i="6"/>
  <c r="I28" i="6"/>
  <c r="K28" i="6" s="1"/>
  <c r="J28" i="6"/>
  <c r="K28" i="2"/>
  <c r="M150" i="3"/>
  <c r="N150" i="3" s="1"/>
  <c r="R150" i="3" s="1"/>
  <c r="K27" i="2"/>
  <c r="E27" i="6"/>
  <c r="F27" i="6"/>
  <c r="I27" i="6"/>
  <c r="K27" i="6" s="1"/>
  <c r="J27" i="6"/>
  <c r="L27" i="6" s="1"/>
  <c r="K23" i="2"/>
  <c r="K24" i="2"/>
  <c r="K25" i="2"/>
  <c r="K26" i="2"/>
  <c r="E23" i="6"/>
  <c r="F23" i="6"/>
  <c r="I23" i="6"/>
  <c r="K23" i="6" s="1"/>
  <c r="J23" i="6"/>
  <c r="E24" i="6"/>
  <c r="F24" i="6"/>
  <c r="E25" i="6"/>
  <c r="F25" i="6"/>
  <c r="I25" i="6"/>
  <c r="K25" i="6" s="1"/>
  <c r="J25" i="6"/>
  <c r="E26" i="6"/>
  <c r="F26" i="6"/>
  <c r="I26" i="6"/>
  <c r="K26" i="6" s="1"/>
  <c r="J26" i="6"/>
  <c r="K22" i="2"/>
  <c r="K9" i="2"/>
  <c r="K10" i="2"/>
  <c r="K11" i="2"/>
  <c r="K12" i="2"/>
  <c r="K13" i="2"/>
  <c r="K15" i="2"/>
  <c r="K16" i="2"/>
  <c r="K20" i="2"/>
  <c r="H190" i="5"/>
  <c r="I190" i="5" s="1"/>
  <c r="M152" i="3"/>
  <c r="N152" i="3" s="1"/>
  <c r="R152" i="3" s="1"/>
  <c r="J36" i="5"/>
  <c r="M153" i="3"/>
  <c r="N153" i="3" s="1"/>
  <c r="R153" i="3" s="1"/>
  <c r="M155" i="3"/>
  <c r="N155" i="3" s="1"/>
  <c r="R155" i="3" s="1"/>
  <c r="H189" i="5"/>
  <c r="I189" i="5" s="1"/>
  <c r="M154" i="3"/>
  <c r="N154" i="3" s="1"/>
  <c r="R154" i="3" s="1"/>
  <c r="H188" i="5"/>
  <c r="I188" i="5" s="1"/>
  <c r="H186" i="5"/>
  <c r="I186" i="5"/>
  <c r="G1" i="5"/>
  <c r="J21" i="6"/>
  <c r="J22" i="6"/>
  <c r="I21" i="6"/>
  <c r="K21" i="6" s="1"/>
  <c r="I22" i="6"/>
  <c r="K22" i="6" s="1"/>
  <c r="H19" i="6"/>
  <c r="H20" i="6"/>
  <c r="E10" i="6"/>
  <c r="E11" i="6"/>
  <c r="E12" i="6"/>
  <c r="E13" i="6"/>
  <c r="E14" i="6"/>
  <c r="E16" i="6"/>
  <c r="E17" i="6"/>
  <c r="E19" i="6"/>
  <c r="E20" i="6"/>
  <c r="E21" i="6"/>
  <c r="E22" i="6"/>
  <c r="F21" i="6"/>
  <c r="F22" i="6"/>
  <c r="I16" i="6"/>
  <c r="K16" i="6" s="1"/>
  <c r="J16" i="6"/>
  <c r="I17" i="6"/>
  <c r="K17" i="6" s="1"/>
  <c r="J17" i="6"/>
  <c r="E5" i="6"/>
  <c r="F5" i="6"/>
  <c r="I5" i="6"/>
  <c r="K5" i="6" s="1"/>
  <c r="J5" i="6"/>
  <c r="E6" i="6"/>
  <c r="F6" i="6"/>
  <c r="I6" i="6"/>
  <c r="K6" i="6" s="1"/>
  <c r="J6" i="6"/>
  <c r="E7" i="6"/>
  <c r="F7" i="6"/>
  <c r="I7" i="6"/>
  <c r="K7" i="6" s="1"/>
  <c r="J7" i="6"/>
  <c r="E8" i="6"/>
  <c r="F8" i="6"/>
  <c r="I8" i="6"/>
  <c r="K8" i="6" s="1"/>
  <c r="J8" i="6"/>
  <c r="E9" i="6"/>
  <c r="F9" i="6"/>
  <c r="I9" i="6"/>
  <c r="K9" i="6" s="1"/>
  <c r="J9" i="6"/>
  <c r="F10" i="6"/>
  <c r="I10" i="6"/>
  <c r="K10" i="6" s="1"/>
  <c r="J10" i="6"/>
  <c r="F11" i="6"/>
  <c r="I11" i="6"/>
  <c r="F12" i="6"/>
  <c r="I12" i="6"/>
  <c r="K12" i="6" s="1"/>
  <c r="J12" i="6"/>
  <c r="F13" i="6"/>
  <c r="I13" i="6"/>
  <c r="K13" i="6" s="1"/>
  <c r="J13" i="6"/>
  <c r="F14" i="6"/>
  <c r="I14" i="6"/>
  <c r="F16" i="6"/>
  <c r="F17" i="6"/>
  <c r="I18" i="6"/>
  <c r="K18" i="6" s="1"/>
  <c r="F19" i="6"/>
  <c r="I19" i="6"/>
  <c r="K19" i="6" s="1"/>
  <c r="J19" i="6"/>
  <c r="F20" i="6"/>
  <c r="I20" i="6"/>
  <c r="K20" i="6" s="1"/>
  <c r="J20" i="6"/>
  <c r="J16" i="5"/>
  <c r="J15" i="5"/>
  <c r="H114" i="5"/>
  <c r="I114" i="5" s="1"/>
  <c r="H115" i="5"/>
  <c r="I115" i="5" s="1"/>
  <c r="H116" i="5"/>
  <c r="I116" i="5" s="1"/>
  <c r="H117" i="5"/>
  <c r="I117" i="5" s="1"/>
  <c r="H118" i="5"/>
  <c r="I118" i="5"/>
  <c r="H119" i="5"/>
  <c r="I119" i="5"/>
  <c r="H120" i="5"/>
  <c r="I120" i="5" s="1"/>
  <c r="H121" i="5"/>
  <c r="I121" i="5" s="1"/>
  <c r="H122" i="5"/>
  <c r="I122" i="5" s="1"/>
  <c r="H123" i="5"/>
  <c r="I123" i="5" s="1"/>
  <c r="H124" i="5"/>
  <c r="I124" i="5" s="1"/>
  <c r="H125" i="5"/>
  <c r="I125" i="5" s="1"/>
  <c r="H126" i="5"/>
  <c r="I126" i="5"/>
  <c r="H127" i="5"/>
  <c r="I127" i="5" s="1"/>
  <c r="H128" i="5"/>
  <c r="I128" i="5" s="1"/>
  <c r="H129" i="5"/>
  <c r="I129" i="5" s="1"/>
  <c r="H130" i="5"/>
  <c r="I130" i="5" s="1"/>
  <c r="H131" i="5"/>
  <c r="I131" i="5" s="1"/>
  <c r="H132" i="5"/>
  <c r="I132" i="5" s="1"/>
  <c r="H133" i="5"/>
  <c r="I133" i="5" s="1"/>
  <c r="H134" i="5"/>
  <c r="I134" i="5" s="1"/>
  <c r="H135" i="5"/>
  <c r="I135" i="5" s="1"/>
  <c r="H136" i="5"/>
  <c r="I136" i="5" s="1"/>
  <c r="H137" i="5"/>
  <c r="I137" i="5" s="1"/>
  <c r="H138" i="5"/>
  <c r="I138" i="5" s="1"/>
  <c r="H139" i="5"/>
  <c r="I139" i="5"/>
  <c r="H140" i="5"/>
  <c r="I140" i="5" s="1"/>
  <c r="H141" i="5"/>
  <c r="I141" i="5" s="1"/>
  <c r="H142" i="5"/>
  <c r="I142" i="5" s="1"/>
  <c r="H143" i="5"/>
  <c r="I143" i="5" s="1"/>
  <c r="H144" i="5"/>
  <c r="I144" i="5" s="1"/>
  <c r="H145" i="5"/>
  <c r="I145" i="5" s="1"/>
  <c r="H146" i="5"/>
  <c r="I146" i="5" s="1"/>
  <c r="H147" i="5"/>
  <c r="I147" i="5" s="1"/>
  <c r="H148" i="5"/>
  <c r="I148" i="5" s="1"/>
  <c r="H149" i="5"/>
  <c r="I149" i="5" s="1"/>
  <c r="H150" i="5"/>
  <c r="I150" i="5"/>
  <c r="H151" i="5"/>
  <c r="I151" i="5" s="1"/>
  <c r="H152" i="5"/>
  <c r="I152" i="5" s="1"/>
  <c r="H153" i="5"/>
  <c r="I153" i="5" s="1"/>
  <c r="H154" i="5"/>
  <c r="I154" i="5" s="1"/>
  <c r="H155" i="5"/>
  <c r="I155" i="5"/>
  <c r="H156" i="5"/>
  <c r="I156" i="5"/>
  <c r="H157" i="5"/>
  <c r="I157" i="5" s="1"/>
  <c r="H158" i="5"/>
  <c r="I158" i="5" s="1"/>
  <c r="H159" i="5"/>
  <c r="I159" i="5"/>
  <c r="H160" i="5"/>
  <c r="I160" i="5" s="1"/>
  <c r="H161" i="5"/>
  <c r="I161" i="5" s="1"/>
  <c r="H162" i="5"/>
  <c r="I162" i="5"/>
  <c r="H163" i="5"/>
  <c r="I163" i="5" s="1"/>
  <c r="H164" i="5"/>
  <c r="I164" i="5" s="1"/>
  <c r="H165" i="5"/>
  <c r="I165" i="5" s="1"/>
  <c r="H166" i="5"/>
  <c r="I166" i="5" s="1"/>
  <c r="H167" i="5"/>
  <c r="I167" i="5"/>
  <c r="H168" i="5"/>
  <c r="I168" i="5" s="1"/>
  <c r="H169" i="5"/>
  <c r="I169" i="5" s="1"/>
  <c r="H170" i="5"/>
  <c r="I170" i="5" s="1"/>
  <c r="H171" i="5"/>
  <c r="I171" i="5"/>
  <c r="H172" i="5"/>
  <c r="I172" i="5" s="1"/>
  <c r="H173" i="5"/>
  <c r="I173" i="5" s="1"/>
  <c r="H174" i="5"/>
  <c r="I174" i="5"/>
  <c r="H175" i="5"/>
  <c r="I175" i="5" s="1"/>
  <c r="H176" i="5"/>
  <c r="I176" i="5" s="1"/>
  <c r="H177" i="5"/>
  <c r="I177" i="5" s="1"/>
  <c r="H178" i="5"/>
  <c r="I178" i="5" s="1"/>
  <c r="H179" i="5"/>
  <c r="I179" i="5"/>
  <c r="H180" i="5"/>
  <c r="I180" i="5" s="1"/>
  <c r="H181" i="5"/>
  <c r="I181" i="5" s="1"/>
  <c r="H182" i="5"/>
  <c r="I182" i="5"/>
  <c r="H183" i="5"/>
  <c r="I183" i="5" s="1"/>
  <c r="M88" i="3"/>
  <c r="N88" i="3" s="1"/>
  <c r="R88" i="3" s="1"/>
  <c r="M89" i="3"/>
  <c r="N89" i="3" s="1"/>
  <c r="R89" i="3" s="1"/>
  <c r="M90" i="3"/>
  <c r="N90" i="3" s="1"/>
  <c r="R90" i="3" s="1"/>
  <c r="M91" i="3"/>
  <c r="N91" i="3" s="1"/>
  <c r="R91" i="3" s="1"/>
  <c r="M92" i="3"/>
  <c r="N92" i="3"/>
  <c r="R92" i="3" s="1"/>
  <c r="M93" i="3"/>
  <c r="N93" i="3" s="1"/>
  <c r="R93" i="3" s="1"/>
  <c r="M94" i="3"/>
  <c r="N94" i="3" s="1"/>
  <c r="R94" i="3" s="1"/>
  <c r="M95" i="3"/>
  <c r="N95" i="3" s="1"/>
  <c r="R95" i="3" s="1"/>
  <c r="M96" i="3"/>
  <c r="N96" i="3" s="1"/>
  <c r="R96" i="3" s="1"/>
  <c r="M97" i="3"/>
  <c r="N97" i="3"/>
  <c r="R97" i="3" s="1"/>
  <c r="M98" i="3"/>
  <c r="N98" i="3" s="1"/>
  <c r="R98" i="3" s="1"/>
  <c r="M99" i="3"/>
  <c r="N99" i="3" s="1"/>
  <c r="R99" i="3" s="1"/>
  <c r="M100" i="3"/>
  <c r="N100" i="3"/>
  <c r="R100" i="3" s="1"/>
  <c r="M101" i="3"/>
  <c r="N101" i="3" s="1"/>
  <c r="R101" i="3" s="1"/>
  <c r="M102" i="3"/>
  <c r="N102" i="3" s="1"/>
  <c r="R102" i="3" s="1"/>
  <c r="M103" i="3"/>
  <c r="N103" i="3" s="1"/>
  <c r="R103" i="3" s="1"/>
  <c r="M104" i="3"/>
  <c r="N104" i="3" s="1"/>
  <c r="R104" i="3" s="1"/>
  <c r="M105" i="3"/>
  <c r="N105" i="3" s="1"/>
  <c r="R105" i="3" s="1"/>
  <c r="M106" i="3"/>
  <c r="N106" i="3" s="1"/>
  <c r="R106" i="3" s="1"/>
  <c r="M107" i="3"/>
  <c r="N107" i="3" s="1"/>
  <c r="R107" i="3" s="1"/>
  <c r="M108" i="3"/>
  <c r="N108" i="3" s="1"/>
  <c r="R108" i="3" s="1"/>
  <c r="M109" i="3"/>
  <c r="N109" i="3" s="1"/>
  <c r="R109" i="3" s="1"/>
  <c r="M110" i="3"/>
  <c r="N110" i="3"/>
  <c r="R110" i="3" s="1"/>
  <c r="M111" i="3"/>
  <c r="N111" i="3" s="1"/>
  <c r="R111" i="3" s="1"/>
  <c r="M112" i="3"/>
  <c r="N112" i="3" s="1"/>
  <c r="R112" i="3" s="1"/>
  <c r="M113" i="3"/>
  <c r="N113" i="3" s="1"/>
  <c r="R113" i="3" s="1"/>
  <c r="M114" i="3"/>
  <c r="N114" i="3" s="1"/>
  <c r="R114" i="3" s="1"/>
  <c r="M115" i="3"/>
  <c r="N115" i="3" s="1"/>
  <c r="R115" i="3" s="1"/>
  <c r="M116" i="3"/>
  <c r="N116" i="3" s="1"/>
  <c r="R116" i="3" s="1"/>
  <c r="M117" i="3"/>
  <c r="N117" i="3" s="1"/>
  <c r="R117" i="3" s="1"/>
  <c r="M118" i="3"/>
  <c r="N118" i="3" s="1"/>
  <c r="R118" i="3" s="1"/>
  <c r="M119" i="3"/>
  <c r="N119" i="3" s="1"/>
  <c r="R119" i="3" s="1"/>
  <c r="M120" i="3"/>
  <c r="N120" i="3" s="1"/>
  <c r="R120" i="3" s="1"/>
  <c r="M121" i="3"/>
  <c r="N121" i="3"/>
  <c r="R121" i="3" s="1"/>
  <c r="M122" i="3"/>
  <c r="N122" i="3" s="1"/>
  <c r="R122" i="3" s="1"/>
  <c r="M123" i="3"/>
  <c r="N123" i="3" s="1"/>
  <c r="R123" i="3" s="1"/>
  <c r="M124" i="3"/>
  <c r="N124" i="3" s="1"/>
  <c r="R124" i="3" s="1"/>
  <c r="M125" i="3"/>
  <c r="N125" i="3"/>
  <c r="R125" i="3" s="1"/>
  <c r="M126" i="3"/>
  <c r="N126" i="3" s="1"/>
  <c r="R126" i="3" s="1"/>
  <c r="M127" i="3"/>
  <c r="N127" i="3" s="1"/>
  <c r="R127" i="3" s="1"/>
  <c r="M128" i="3"/>
  <c r="N128" i="3" s="1"/>
  <c r="R128" i="3" s="1"/>
  <c r="M129" i="3"/>
  <c r="N129" i="3" s="1"/>
  <c r="R129" i="3" s="1"/>
  <c r="M130" i="3"/>
  <c r="N130" i="3" s="1"/>
  <c r="R130" i="3" s="1"/>
  <c r="M131" i="3"/>
  <c r="N131" i="3" s="1"/>
  <c r="R131" i="3" s="1"/>
  <c r="M132" i="3"/>
  <c r="N132" i="3" s="1"/>
  <c r="R132" i="3" s="1"/>
  <c r="M133" i="3"/>
  <c r="N133" i="3" s="1"/>
  <c r="R133" i="3" s="1"/>
  <c r="M134" i="3"/>
  <c r="N134" i="3"/>
  <c r="R134" i="3" s="1"/>
  <c r="M135" i="3"/>
  <c r="N135" i="3" s="1"/>
  <c r="R135" i="3" s="1"/>
  <c r="M136" i="3"/>
  <c r="N136" i="3" s="1"/>
  <c r="R136" i="3" s="1"/>
  <c r="M137" i="3"/>
  <c r="N137" i="3" s="1"/>
  <c r="R137" i="3" s="1"/>
  <c r="M138" i="3"/>
  <c r="N138" i="3" s="1"/>
  <c r="R138" i="3" s="1"/>
  <c r="M139" i="3"/>
  <c r="N139" i="3"/>
  <c r="R139" i="3" s="1"/>
  <c r="M140" i="3"/>
  <c r="N140" i="3" s="1"/>
  <c r="R140" i="3" s="1"/>
  <c r="M141" i="3"/>
  <c r="N141" i="3" s="1"/>
  <c r="R141" i="3" s="1"/>
  <c r="M142" i="3"/>
  <c r="N142" i="3" s="1"/>
  <c r="R142" i="3" s="1"/>
  <c r="M143" i="3"/>
  <c r="N143" i="3"/>
  <c r="R143" i="3" s="1"/>
  <c r="M144" i="3"/>
  <c r="N144" i="3" s="1"/>
  <c r="R144" i="3" s="1"/>
  <c r="M145" i="3"/>
  <c r="N145" i="3"/>
  <c r="R145" i="3" s="1"/>
  <c r="M146" i="3"/>
  <c r="N146" i="3" s="1"/>
  <c r="R146" i="3" s="1"/>
  <c r="M147" i="3"/>
  <c r="N147" i="3" s="1"/>
  <c r="R147" i="3" s="1"/>
  <c r="M148" i="3"/>
  <c r="N148" i="3" s="1"/>
  <c r="R148" i="3" s="1"/>
  <c r="M149" i="3"/>
  <c r="N149" i="3" s="1"/>
  <c r="R149" i="3" s="1"/>
  <c r="M87" i="3"/>
  <c r="N87" i="3" s="1"/>
  <c r="R87" i="3" s="1"/>
  <c r="H73" i="5"/>
  <c r="I73" i="5" s="1"/>
  <c r="H74" i="5"/>
  <c r="I74" i="5" s="1"/>
  <c r="H75" i="5"/>
  <c r="I75" i="5"/>
  <c r="H76" i="5"/>
  <c r="I76" i="5" s="1"/>
  <c r="H77" i="5"/>
  <c r="I77" i="5" s="1"/>
  <c r="H78" i="5"/>
  <c r="I78" i="5" s="1"/>
  <c r="H79" i="5"/>
  <c r="I79" i="5" s="1"/>
  <c r="H80" i="5"/>
  <c r="I80" i="5" s="1"/>
  <c r="H81" i="5"/>
  <c r="I81" i="5" s="1"/>
  <c r="H82" i="5"/>
  <c r="I82" i="5" s="1"/>
  <c r="H83" i="5"/>
  <c r="I83" i="5" s="1"/>
  <c r="H84" i="5"/>
  <c r="I84" i="5" s="1"/>
  <c r="H85" i="5"/>
  <c r="I85" i="5" s="1"/>
  <c r="H86" i="5"/>
  <c r="I86" i="5"/>
  <c r="H87" i="5"/>
  <c r="I87" i="5"/>
  <c r="H88" i="5"/>
  <c r="I88" i="5" s="1"/>
  <c r="H89" i="5"/>
  <c r="I89" i="5" s="1"/>
  <c r="H90" i="5"/>
  <c r="I90" i="5" s="1"/>
  <c r="H91" i="5"/>
  <c r="I91" i="5" s="1"/>
  <c r="H92" i="5"/>
  <c r="I92" i="5" s="1"/>
  <c r="H93" i="5"/>
  <c r="I93" i="5" s="1"/>
  <c r="H94" i="5"/>
  <c r="I94" i="5" s="1"/>
  <c r="H95" i="5"/>
  <c r="I95" i="5" s="1"/>
  <c r="H96" i="5"/>
  <c r="I96" i="5" s="1"/>
  <c r="H97" i="5"/>
  <c r="I97" i="5" s="1"/>
  <c r="H98" i="5"/>
  <c r="I98" i="5" s="1"/>
  <c r="H99" i="5"/>
  <c r="I99" i="5"/>
  <c r="H100" i="5"/>
  <c r="I100" i="5" s="1"/>
  <c r="H101" i="5"/>
  <c r="I101" i="5" s="1"/>
  <c r="H102" i="5"/>
  <c r="I102" i="5" s="1"/>
  <c r="H103" i="5"/>
  <c r="I103" i="5" s="1"/>
  <c r="H104" i="5"/>
  <c r="I104" i="5" s="1"/>
  <c r="H105" i="5"/>
  <c r="I105" i="5" s="1"/>
  <c r="H106" i="5"/>
  <c r="I106" i="5" s="1"/>
  <c r="H107" i="5"/>
  <c r="I107" i="5" s="1"/>
  <c r="H108" i="5"/>
  <c r="I108" i="5" s="1"/>
  <c r="H109" i="5"/>
  <c r="I109" i="5" s="1"/>
  <c r="H111" i="5"/>
  <c r="I111" i="5" s="1"/>
  <c r="H112" i="5"/>
  <c r="I112" i="5" s="1"/>
  <c r="H113" i="5"/>
  <c r="I113" i="5" s="1"/>
  <c r="P83" i="3"/>
  <c r="P79" i="3"/>
  <c r="M70" i="3"/>
  <c r="N70" i="3" s="1"/>
  <c r="M72" i="3"/>
  <c r="N72" i="3" s="1"/>
  <c r="R72" i="3" s="1"/>
  <c r="M73" i="3"/>
  <c r="N73" i="3" s="1"/>
  <c r="R73" i="3" s="1"/>
  <c r="M77" i="3"/>
  <c r="N77" i="3" s="1"/>
  <c r="M78" i="3"/>
  <c r="N78" i="3" s="1"/>
  <c r="R78" i="3" s="1"/>
  <c r="M79" i="3"/>
  <c r="N79" i="3" s="1"/>
  <c r="R79" i="3" s="1"/>
  <c r="M82" i="3"/>
  <c r="N82" i="3" s="1"/>
  <c r="R82" i="3" s="1"/>
  <c r="M83" i="3"/>
  <c r="N83" i="3" s="1"/>
  <c r="M84" i="3"/>
  <c r="N84" i="3" s="1"/>
  <c r="R84" i="3" s="1"/>
  <c r="M86" i="3"/>
  <c r="N86" i="3" s="1"/>
  <c r="M69" i="3"/>
  <c r="N69" i="3" s="1"/>
  <c r="R69" i="3" s="1"/>
  <c r="P48" i="3"/>
  <c r="P63" i="3"/>
  <c r="P66" i="3"/>
  <c r="P56" i="3"/>
  <c r="P44" i="3"/>
  <c r="H37" i="5"/>
  <c r="I37" i="5" s="1"/>
  <c r="H38" i="5"/>
  <c r="I38" i="5" s="1"/>
  <c r="H39" i="5"/>
  <c r="I39" i="5" s="1"/>
  <c r="H40" i="5"/>
  <c r="I40" i="5" s="1"/>
  <c r="H41" i="5"/>
  <c r="I41" i="5" s="1"/>
  <c r="H42" i="5"/>
  <c r="I42" i="5" s="1"/>
  <c r="H43" i="5"/>
  <c r="I43" i="5" s="1"/>
  <c r="H44" i="5"/>
  <c r="I44" i="5" s="1"/>
  <c r="H45" i="5"/>
  <c r="I45" i="5" s="1"/>
  <c r="H46" i="5"/>
  <c r="I46" i="5" s="1"/>
  <c r="H47" i="5"/>
  <c r="I47" i="5" s="1"/>
  <c r="H48" i="5"/>
  <c r="I48" i="5" s="1"/>
  <c r="H49" i="5"/>
  <c r="I49" i="5" s="1"/>
  <c r="H50" i="5"/>
  <c r="I50" i="5" s="1"/>
  <c r="H51" i="5"/>
  <c r="I51" i="5" s="1"/>
  <c r="H52" i="5"/>
  <c r="I52" i="5" s="1"/>
  <c r="H53" i="5"/>
  <c r="I53" i="5" s="1"/>
  <c r="H54" i="5"/>
  <c r="I54" i="5"/>
  <c r="H55" i="5"/>
  <c r="I55" i="5" s="1"/>
  <c r="H56" i="5"/>
  <c r="I56" i="5" s="1"/>
  <c r="H57" i="5"/>
  <c r="I57" i="5" s="1"/>
  <c r="H58" i="5"/>
  <c r="I58" i="5" s="1"/>
  <c r="H59" i="5"/>
  <c r="I59" i="5" s="1"/>
  <c r="H60" i="5"/>
  <c r="I60" i="5" s="1"/>
  <c r="H61" i="5"/>
  <c r="I61" i="5" s="1"/>
  <c r="H62" i="5"/>
  <c r="I62" i="5" s="1"/>
  <c r="H63" i="5"/>
  <c r="I63" i="5" s="1"/>
  <c r="H64" i="5"/>
  <c r="I64" i="5" s="1"/>
  <c r="H65" i="5"/>
  <c r="I65" i="5" s="1"/>
  <c r="H66" i="5"/>
  <c r="I66" i="5"/>
  <c r="H67" i="5"/>
  <c r="I67" i="5" s="1"/>
  <c r="H68" i="5"/>
  <c r="I68" i="5" s="1"/>
  <c r="H69" i="5"/>
  <c r="I69" i="5" s="1"/>
  <c r="H70" i="5"/>
  <c r="I70" i="5" s="1"/>
  <c r="H71" i="5"/>
  <c r="I71" i="5" s="1"/>
  <c r="H72" i="5"/>
  <c r="I72" i="5" s="1"/>
  <c r="R44" i="3"/>
  <c r="M45" i="3"/>
  <c r="N45" i="3" s="1"/>
  <c r="R45" i="3" s="1"/>
  <c r="M46" i="3"/>
  <c r="N46" i="3" s="1"/>
  <c r="R46" i="3" s="1"/>
  <c r="M47" i="3"/>
  <c r="N47" i="3" s="1"/>
  <c r="R47" i="3" s="1"/>
  <c r="M48" i="3"/>
  <c r="N48" i="3" s="1"/>
  <c r="R48" i="3" s="1"/>
  <c r="M49" i="3"/>
  <c r="N49" i="3" s="1"/>
  <c r="R49" i="3" s="1"/>
  <c r="M50" i="3"/>
  <c r="N50" i="3" s="1"/>
  <c r="R50" i="3" s="1"/>
  <c r="M51" i="3"/>
  <c r="N51" i="3" s="1"/>
  <c r="R51" i="3" s="1"/>
  <c r="M52" i="3"/>
  <c r="N52" i="3"/>
  <c r="R52" i="3" s="1"/>
  <c r="M53" i="3"/>
  <c r="N53" i="3" s="1"/>
  <c r="R53" i="3" s="1"/>
  <c r="M54" i="3"/>
  <c r="N54" i="3" s="1"/>
  <c r="R54" i="3" s="1"/>
  <c r="M55" i="3"/>
  <c r="N55" i="3" s="1"/>
  <c r="R55" i="3" s="1"/>
  <c r="M56" i="3"/>
  <c r="N56" i="3" s="1"/>
  <c r="R56" i="3" s="1"/>
  <c r="M57" i="3"/>
  <c r="N57" i="3" s="1"/>
  <c r="R57" i="3" s="1"/>
  <c r="M58" i="3"/>
  <c r="N58" i="3" s="1"/>
  <c r="R58" i="3" s="1"/>
  <c r="M59" i="3"/>
  <c r="N59" i="3" s="1"/>
  <c r="R59" i="3" s="1"/>
  <c r="M60" i="3"/>
  <c r="N60" i="3" s="1"/>
  <c r="R60" i="3" s="1"/>
  <c r="M61" i="3"/>
  <c r="N61" i="3" s="1"/>
  <c r="R61" i="3" s="1"/>
  <c r="M62" i="3"/>
  <c r="N62" i="3" s="1"/>
  <c r="R62" i="3" s="1"/>
  <c r="M63" i="3"/>
  <c r="N63" i="3" s="1"/>
  <c r="M64" i="3"/>
  <c r="N64" i="3"/>
  <c r="R64" i="3" s="1"/>
  <c r="M65" i="3"/>
  <c r="N65" i="3"/>
  <c r="R65" i="3" s="1"/>
  <c r="M66" i="3"/>
  <c r="N66" i="3" s="1"/>
  <c r="M67" i="3"/>
  <c r="N67" i="3" s="1"/>
  <c r="R67" i="3" s="1"/>
  <c r="M68" i="3"/>
  <c r="N68" i="3" s="1"/>
  <c r="R68" i="3" s="1"/>
  <c r="H31" i="5"/>
  <c r="I31" i="5" s="1"/>
  <c r="H32" i="5"/>
  <c r="I32" i="5" s="1"/>
  <c r="H33" i="5"/>
  <c r="I33" i="5" s="1"/>
  <c r="O3" i="3"/>
  <c r="K8" i="2"/>
  <c r="K7" i="2"/>
  <c r="K6" i="2"/>
  <c r="K5" i="2"/>
  <c r="K4" i="2"/>
  <c r="K3" i="2"/>
  <c r="F4" i="6"/>
  <c r="H29" i="5"/>
  <c r="I29" i="5" s="1"/>
  <c r="H30" i="5"/>
  <c r="I30" i="5"/>
  <c r="H28" i="5"/>
  <c r="I28" i="5"/>
  <c r="H22" i="5"/>
  <c r="I22" i="5" s="1"/>
  <c r="H23" i="5"/>
  <c r="I23" i="5" s="1"/>
  <c r="H24" i="5"/>
  <c r="I24" i="5" s="1"/>
  <c r="H25" i="5"/>
  <c r="I25" i="5"/>
  <c r="H26" i="5"/>
  <c r="I26" i="5" s="1"/>
  <c r="H27" i="5"/>
  <c r="I27" i="5" s="1"/>
  <c r="M35" i="3"/>
  <c r="N35" i="3" s="1"/>
  <c r="R35" i="3" s="1"/>
  <c r="M34" i="3"/>
  <c r="N34" i="3"/>
  <c r="R34" i="3" s="1"/>
  <c r="M32" i="3"/>
  <c r="N32" i="3" s="1"/>
  <c r="R32" i="3" s="1"/>
  <c r="H35" i="5"/>
  <c r="I35" i="5" s="1"/>
  <c r="H36" i="5"/>
  <c r="I36" i="5" s="1"/>
  <c r="H34" i="5"/>
  <c r="I34" i="5" s="1"/>
  <c r="M37" i="3"/>
  <c r="N37" i="3" s="1"/>
  <c r="R37" i="3" s="1"/>
  <c r="M38" i="3"/>
  <c r="N38" i="3" s="1"/>
  <c r="R38" i="3" s="1"/>
  <c r="M39" i="3"/>
  <c r="N39" i="3" s="1"/>
  <c r="R39" i="3" s="1"/>
  <c r="M40" i="3"/>
  <c r="N40" i="3" s="1"/>
  <c r="R40" i="3" s="1"/>
  <c r="M41" i="3"/>
  <c r="N41" i="3" s="1"/>
  <c r="R41" i="3" s="1"/>
  <c r="M42" i="3"/>
  <c r="N42" i="3" s="1"/>
  <c r="R42" i="3" s="1"/>
  <c r="M43" i="3"/>
  <c r="N43" i="3" s="1"/>
  <c r="R43" i="3" s="1"/>
  <c r="M36" i="3"/>
  <c r="N36" i="3" s="1"/>
  <c r="R36" i="3" s="1"/>
  <c r="M21" i="3"/>
  <c r="N21" i="3" s="1"/>
  <c r="R21" i="3" s="1"/>
  <c r="M22" i="3"/>
  <c r="N22" i="3"/>
  <c r="R22" i="3" s="1"/>
  <c r="M23" i="3"/>
  <c r="N23" i="3"/>
  <c r="R23" i="3" s="1"/>
  <c r="M24" i="3"/>
  <c r="N24" i="3" s="1"/>
  <c r="R24" i="3" s="1"/>
  <c r="M25" i="3"/>
  <c r="N25" i="3" s="1"/>
  <c r="R25" i="3" s="1"/>
  <c r="M26" i="3"/>
  <c r="N26" i="3" s="1"/>
  <c r="R26" i="3" s="1"/>
  <c r="M27" i="3"/>
  <c r="N27" i="3" s="1"/>
  <c r="R27" i="3" s="1"/>
  <c r="M28" i="3"/>
  <c r="N28" i="3" s="1"/>
  <c r="R28" i="3" s="1"/>
  <c r="M29" i="3"/>
  <c r="N29" i="3" s="1"/>
  <c r="R29" i="3" s="1"/>
  <c r="M30" i="3"/>
  <c r="N30" i="3" s="1"/>
  <c r="R30" i="3" s="1"/>
  <c r="H17" i="5"/>
  <c r="I17" i="5" s="1"/>
  <c r="H18" i="5"/>
  <c r="I18" i="5" s="1"/>
  <c r="H19" i="5"/>
  <c r="I19" i="5" s="1"/>
  <c r="H20" i="5"/>
  <c r="I20" i="5" s="1"/>
  <c r="H21" i="5"/>
  <c r="I21" i="5"/>
  <c r="M20" i="3"/>
  <c r="N20" i="3" s="1"/>
  <c r="M19" i="3"/>
  <c r="N19" i="3"/>
  <c r="R19" i="3" s="1"/>
  <c r="M18" i="3"/>
  <c r="N18" i="3" s="1"/>
  <c r="R18" i="3" s="1"/>
  <c r="M16" i="3"/>
  <c r="N16" i="3" s="1"/>
  <c r="R16" i="3" s="1"/>
  <c r="H15" i="5"/>
  <c r="I15" i="5"/>
  <c r="H16" i="5"/>
  <c r="I16" i="5" s="1"/>
  <c r="J4" i="6"/>
  <c r="M15" i="3"/>
  <c r="N15" i="3" s="1"/>
  <c r="I4" i="6"/>
  <c r="K4" i="6" s="1"/>
  <c r="E4" i="6"/>
  <c r="H3" i="5"/>
  <c r="I3" i="5" s="1"/>
  <c r="H7" i="5"/>
  <c r="I7" i="5" s="1"/>
  <c r="H6" i="5"/>
  <c r="I6" i="5" s="1"/>
  <c r="H5" i="5"/>
  <c r="I5" i="5" s="1"/>
  <c r="H4" i="5"/>
  <c r="I4" i="5" s="1"/>
  <c r="H8" i="5"/>
  <c r="I8" i="5" s="1"/>
  <c r="H9" i="5"/>
  <c r="I9" i="5" s="1"/>
  <c r="H10" i="5"/>
  <c r="I10" i="5" s="1"/>
  <c r="H11" i="5"/>
  <c r="I11" i="5" s="1"/>
  <c r="H12" i="5"/>
  <c r="I12" i="5" s="1"/>
  <c r="H13" i="5"/>
  <c r="I13" i="5" s="1"/>
  <c r="H14" i="5"/>
  <c r="I14" i="5" s="1"/>
  <c r="M9" i="3"/>
  <c r="N9" i="3" s="1"/>
  <c r="M10" i="3"/>
  <c r="N10" i="3" s="1"/>
  <c r="M11" i="3"/>
  <c r="N11" i="3" s="1"/>
  <c r="M12" i="3"/>
  <c r="N12" i="3" s="1"/>
  <c r="R12" i="3" s="1"/>
  <c r="M13" i="3"/>
  <c r="N13" i="3" s="1"/>
  <c r="R13" i="3" s="1"/>
  <c r="M14" i="3"/>
  <c r="N14" i="3" s="1"/>
  <c r="R14" i="3" s="1"/>
  <c r="M8" i="3"/>
  <c r="N8" i="3" s="1"/>
  <c r="J7" i="5"/>
  <c r="J6" i="5"/>
  <c r="J5" i="5"/>
  <c r="J4" i="5"/>
  <c r="M7" i="3"/>
  <c r="N7" i="3" s="1"/>
  <c r="R7" i="3" s="1"/>
  <c r="M6" i="3"/>
  <c r="N6" i="3" s="1"/>
  <c r="R6" i="3" s="1"/>
  <c r="M5" i="3"/>
  <c r="N5" i="3" s="1"/>
  <c r="M4" i="3"/>
  <c r="N4" i="3" s="1"/>
  <c r="M3" i="3"/>
  <c r="N3" i="3" s="1"/>
  <c r="R3" i="3" s="1"/>
  <c r="G18" i="6" l="1"/>
  <c r="F21" i="7"/>
  <c r="G21" i="7" s="1"/>
  <c r="I21" i="7" s="1"/>
  <c r="L8" i="6"/>
  <c r="L17" i="6"/>
  <c r="L25" i="6"/>
  <c r="L13" i="6"/>
  <c r="L6" i="6"/>
  <c r="F49" i="7"/>
  <c r="G49" i="7" s="1"/>
  <c r="I49" i="7" s="1"/>
  <c r="F45" i="7"/>
  <c r="G45" i="7" s="1"/>
  <c r="I45" i="7" s="1"/>
  <c r="L31" i="6"/>
  <c r="L10" i="6"/>
  <c r="F63" i="7"/>
  <c r="G63" i="7" s="1"/>
  <c r="I63" i="7" s="1"/>
  <c r="F18" i="7"/>
  <c r="G18" i="7" s="1"/>
  <c r="I18" i="7" s="1"/>
  <c r="F33" i="7"/>
  <c r="G33" i="7" s="1"/>
  <c r="I33" i="7" s="1"/>
  <c r="F17" i="7"/>
  <c r="G17" i="7" s="1"/>
  <c r="I17" i="7" s="1"/>
  <c r="L19" i="6"/>
  <c r="I8" i="7"/>
  <c r="E1" i="7"/>
  <c r="I51" i="7"/>
  <c r="I47" i="7"/>
  <c r="I38" i="7"/>
  <c r="F23" i="7"/>
  <c r="G23" i="7" s="1"/>
  <c r="I23" i="7" s="1"/>
  <c r="F19" i="7"/>
  <c r="G19" i="7" s="1"/>
  <c r="I19" i="7" s="1"/>
  <c r="G4" i="6"/>
  <c r="L23" i="6"/>
  <c r="G20" i="6"/>
  <c r="L28" i="6"/>
  <c r="L29" i="6"/>
  <c r="L32" i="6"/>
  <c r="L30" i="6"/>
  <c r="L4" i="6"/>
  <c r="L5" i="6"/>
  <c r="L24" i="6"/>
  <c r="F5" i="7"/>
  <c r="G5" i="7" s="1"/>
  <c r="I5" i="7" s="1"/>
  <c r="F43" i="7"/>
  <c r="G43" i="7" s="1"/>
  <c r="I43" i="7" s="1"/>
  <c r="G15" i="6"/>
  <c r="G6" i="6"/>
  <c r="F32" i="7"/>
  <c r="G32" i="7" s="1"/>
  <c r="I32" i="7" s="1"/>
  <c r="F28" i="7"/>
  <c r="G28" i="7" s="1"/>
  <c r="I28" i="7" s="1"/>
  <c r="F24" i="7"/>
  <c r="G24" i="7" s="1"/>
  <c r="I24" i="7" s="1"/>
  <c r="F20" i="7"/>
  <c r="G20" i="7" s="1"/>
  <c r="I20" i="7" s="1"/>
  <c r="F16" i="7"/>
  <c r="G16" i="7" s="1"/>
  <c r="I16" i="7" s="1"/>
  <c r="F4" i="7"/>
  <c r="G4" i="7" s="1"/>
  <c r="I4" i="7" s="1"/>
  <c r="F58" i="7"/>
  <c r="G58" i="7" s="1"/>
  <c r="I58" i="7" s="1"/>
  <c r="F61" i="7"/>
  <c r="G61" i="7" s="1"/>
  <c r="I61" i="7" s="1"/>
  <c r="F37" i="7"/>
  <c r="G37" i="7" s="1"/>
  <c r="I37" i="7" s="1"/>
  <c r="F7" i="7"/>
  <c r="G7" i="7" s="1"/>
  <c r="I7" i="7" s="1"/>
  <c r="F44" i="7"/>
  <c r="G44" i="7" s="1"/>
  <c r="I44" i="7" s="1"/>
  <c r="F30" i="7"/>
  <c r="G30" i="7" s="1"/>
  <c r="I30" i="7" s="1"/>
  <c r="F26" i="7"/>
  <c r="G26" i="7" s="1"/>
  <c r="I26" i="7" s="1"/>
  <c r="F22" i="7"/>
  <c r="G22" i="7" s="1"/>
  <c r="I22" i="7" s="1"/>
  <c r="F10" i="7"/>
  <c r="G10" i="7" s="1"/>
  <c r="I10" i="7" s="1"/>
  <c r="F53" i="7"/>
  <c r="G53" i="7" s="1"/>
  <c r="I53" i="7" s="1"/>
  <c r="G28" i="6"/>
  <c r="F12" i="7"/>
  <c r="G12" i="7" s="1"/>
  <c r="I12" i="7" s="1"/>
  <c r="F54" i="7"/>
  <c r="G54" i="7" s="1"/>
  <c r="I54" i="7" s="1"/>
  <c r="F52" i="7"/>
  <c r="G52" i="7" s="1"/>
  <c r="I52" i="7" s="1"/>
  <c r="F40" i="7"/>
  <c r="G40" i="7" s="1"/>
  <c r="I40" i="7" s="1"/>
  <c r="F11" i="7"/>
  <c r="G11" i="7" s="1"/>
  <c r="I11" i="7" s="1"/>
  <c r="G10" i="6"/>
  <c r="F14" i="7"/>
  <c r="G14" i="7" s="1"/>
  <c r="I14" i="7" s="1"/>
  <c r="F9" i="7"/>
  <c r="G9" i="7" s="1"/>
  <c r="I9" i="7" s="1"/>
  <c r="F34" i="7"/>
  <c r="G34" i="7" s="1"/>
  <c r="I34" i="7" s="1"/>
  <c r="F59" i="7"/>
  <c r="G59" i="7" s="1"/>
  <c r="I59" i="7" s="1"/>
  <c r="L12" i="6"/>
  <c r="G23" i="6"/>
  <c r="G27" i="6"/>
  <c r="G9" i="6"/>
  <c r="L16" i="6"/>
  <c r="L18" i="6"/>
  <c r="L20" i="6"/>
  <c r="G22" i="6"/>
  <c r="G12" i="6"/>
  <c r="L22" i="6"/>
  <c r="L26" i="6"/>
  <c r="G14" i="6"/>
  <c r="G30" i="6"/>
  <c r="G19" i="6"/>
  <c r="G21" i="6"/>
  <c r="G11" i="6"/>
  <c r="L21" i="6"/>
  <c r="G17" i="6"/>
  <c r="G26" i="6"/>
  <c r="L9" i="6"/>
  <c r="L7" i="6"/>
  <c r="G16" i="6"/>
  <c r="L33" i="6"/>
  <c r="G7" i="6"/>
  <c r="G5" i="6"/>
  <c r="G24" i="6"/>
  <c r="G29" i="6"/>
  <c r="G8" i="6"/>
  <c r="G13" i="6"/>
  <c r="G25" i="6"/>
  <c r="G31" i="6"/>
  <c r="D193" i="5"/>
  <c r="D194" i="5"/>
  <c r="D191" i="5"/>
  <c r="D192" i="5"/>
  <c r="F35" i="7"/>
  <c r="G35" i="7" s="1"/>
  <c r="I35" i="7" s="1"/>
  <c r="F62" i="7"/>
  <c r="G62" i="7" s="1"/>
  <c r="I62" i="7" s="1"/>
  <c r="R66" i="3"/>
  <c r="R15" i="3"/>
  <c r="R86" i="3"/>
  <c r="R20" i="3"/>
  <c r="B7" i="10" s="1"/>
  <c r="R63" i="3"/>
  <c r="R83" i="3"/>
  <c r="F41" i="7"/>
  <c r="G41" i="7" s="1"/>
  <c r="I41" i="7" s="1"/>
  <c r="F27" i="7"/>
  <c r="G27" i="7" s="1"/>
  <c r="I27" i="7" s="1"/>
  <c r="F6" i="7"/>
  <c r="G6" i="7" s="1"/>
  <c r="I6" i="7" s="1"/>
  <c r="F56" i="7"/>
  <c r="G56" i="7" s="1"/>
  <c r="I56" i="7" s="1"/>
  <c r="F42" i="7"/>
  <c r="G42" i="7" s="1"/>
  <c r="I42" i="7" s="1"/>
  <c r="R70" i="3"/>
  <c r="F13" i="7"/>
  <c r="G13" i="7" s="1"/>
  <c r="I13" i="7" s="1"/>
  <c r="F25" i="7"/>
  <c r="G25" i="7" s="1"/>
  <c r="I25" i="7" s="1"/>
  <c r="F39" i="7"/>
  <c r="G39" i="7" s="1"/>
  <c r="I39" i="7" s="1"/>
  <c r="F29" i="7"/>
  <c r="G29" i="7" s="1"/>
  <c r="I29" i="7" s="1"/>
  <c r="F15" i="7"/>
  <c r="G15" i="7" s="1"/>
  <c r="I15" i="7" s="1"/>
  <c r="F57" i="7"/>
  <c r="G57" i="7" s="1"/>
  <c r="I57" i="7" s="1"/>
  <c r="F55" i="7"/>
  <c r="G55" i="7" s="1"/>
  <c r="I55" i="7" s="1"/>
  <c r="F31" i="7"/>
  <c r="G31" i="7" s="1"/>
  <c r="I31" i="7" s="1"/>
  <c r="F50" i="7"/>
  <c r="G50" i="7" s="1"/>
  <c r="I50" i="7" s="1"/>
  <c r="F48" i="7"/>
  <c r="G48" i="7" s="1"/>
  <c r="I48" i="7" s="1"/>
  <c r="F60" i="7"/>
  <c r="G60" i="7" s="1"/>
  <c r="I60" i="7" s="1"/>
  <c r="B16" i="10"/>
  <c r="F46" i="7"/>
  <c r="G46" i="7" s="1"/>
  <c r="I46" i="7" s="1"/>
  <c r="M27" i="6"/>
  <c r="O27" i="6" s="1"/>
  <c r="O172" i="3"/>
  <c r="F36" i="7"/>
  <c r="G36" i="7" s="1"/>
  <c r="I36" i="7" s="1"/>
  <c r="M23" i="6"/>
  <c r="O23" i="6" s="1"/>
  <c r="M18" i="6"/>
  <c r="O18" i="6" s="1"/>
  <c r="M29" i="6"/>
  <c r="O29" i="6" s="1"/>
  <c r="M22" i="6"/>
  <c r="O22" i="6" s="1"/>
  <c r="M12" i="6"/>
  <c r="O12" i="6" s="1"/>
  <c r="M8" i="6"/>
  <c r="O8" i="6" s="1"/>
  <c r="M5" i="6"/>
  <c r="O5" i="6" s="1"/>
  <c r="M28" i="6"/>
  <c r="O28" i="6" s="1"/>
  <c r="M26" i="6"/>
  <c r="O26" i="6" s="1"/>
  <c r="M24" i="6"/>
  <c r="O24" i="6" s="1"/>
  <c r="M25" i="6"/>
  <c r="O25" i="6" s="1"/>
  <c r="M21" i="6"/>
  <c r="O21" i="6" s="1"/>
  <c r="E2" i="6"/>
  <c r="M32" i="6"/>
  <c r="O32" i="6" s="1"/>
  <c r="A1" i="7"/>
  <c r="C63" i="7"/>
  <c r="K63" i="7"/>
  <c r="M33" i="6"/>
  <c r="O33" i="6" s="1"/>
  <c r="M13" i="6"/>
  <c r="O13" i="6" s="1"/>
  <c r="M20" i="6"/>
  <c r="O20" i="6" s="1"/>
  <c r="M19" i="6"/>
  <c r="O19" i="6" s="1"/>
  <c r="M14" i="6"/>
  <c r="O14" i="6" s="1"/>
  <c r="M10" i="6"/>
  <c r="O10" i="6" s="1"/>
  <c r="M9" i="6"/>
  <c r="O9" i="6" s="1"/>
  <c r="M7" i="6"/>
  <c r="O7" i="6" s="1"/>
  <c r="M6" i="6"/>
  <c r="O6" i="6" s="1"/>
  <c r="O168" i="3"/>
  <c r="O167" i="3"/>
  <c r="O166" i="3"/>
  <c r="O165" i="3"/>
  <c r="O164" i="3"/>
  <c r="O163" i="3"/>
  <c r="O162" i="3"/>
  <c r="O158" i="3"/>
  <c r="O159" i="3"/>
  <c r="O160" i="3"/>
  <c r="O161" i="3"/>
  <c r="O33" i="3"/>
  <c r="C62" i="7"/>
  <c r="K62" i="7"/>
  <c r="K60" i="7"/>
  <c r="K61" i="7"/>
  <c r="C60" i="7"/>
  <c r="C61" i="7"/>
  <c r="K59" i="7"/>
  <c r="C59" i="7"/>
  <c r="M30" i="6"/>
  <c r="O30" i="6" s="1"/>
  <c r="M31" i="6"/>
  <c r="O31" i="6" s="1"/>
  <c r="C41" i="7"/>
  <c r="K41" i="7"/>
  <c r="C42" i="7"/>
  <c r="K42" i="7"/>
  <c r="C43" i="7"/>
  <c r="K43" i="7"/>
  <c r="C44" i="7"/>
  <c r="K44" i="7"/>
  <c r="C45" i="7"/>
  <c r="K45" i="7"/>
  <c r="C46" i="7"/>
  <c r="K46" i="7"/>
  <c r="C47" i="7"/>
  <c r="K47" i="7"/>
  <c r="C48" i="7"/>
  <c r="K48" i="7"/>
  <c r="C49" i="7"/>
  <c r="K49" i="7"/>
  <c r="C50" i="7"/>
  <c r="K50" i="7"/>
  <c r="C51" i="7"/>
  <c r="K51" i="7"/>
  <c r="C52" i="7"/>
  <c r="K52" i="7"/>
  <c r="C53" i="7"/>
  <c r="K53" i="7"/>
  <c r="C54" i="7"/>
  <c r="K54" i="7"/>
  <c r="C55" i="7"/>
  <c r="K55" i="7"/>
  <c r="C56" i="7"/>
  <c r="K56" i="7"/>
  <c r="C57" i="7"/>
  <c r="K57" i="7"/>
  <c r="C58" i="7"/>
  <c r="K58" i="7"/>
  <c r="M17" i="6"/>
  <c r="O17" i="6" s="1"/>
  <c r="M16" i="6"/>
  <c r="O16" i="6" s="1"/>
  <c r="K2" i="6"/>
  <c r="O157" i="3"/>
  <c r="M4" i="6"/>
  <c r="O4" i="6" s="1"/>
  <c r="R77" i="3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3" i="7"/>
  <c r="C38" i="7"/>
  <c r="C39" i="7"/>
  <c r="C40" i="7"/>
  <c r="B15" i="10"/>
  <c r="B14" i="10"/>
  <c r="B11" i="10"/>
  <c r="B10" i="10"/>
  <c r="B9" i="10"/>
  <c r="B8" i="10"/>
  <c r="B6" i="10"/>
  <c r="B5" i="10"/>
  <c r="O31" i="3"/>
  <c r="O156" i="3"/>
  <c r="O151" i="3"/>
  <c r="D1" i="7"/>
  <c r="O32" i="3"/>
  <c r="O34" i="3"/>
  <c r="O35" i="3"/>
  <c r="O152" i="3"/>
  <c r="O17" i="3"/>
  <c r="F3" i="7"/>
  <c r="C15" i="7"/>
  <c r="C4" i="7"/>
  <c r="C5" i="7"/>
  <c r="C6" i="7"/>
  <c r="C7" i="7"/>
  <c r="C8" i="7"/>
  <c r="C9" i="7"/>
  <c r="C10" i="7"/>
  <c r="C11" i="7"/>
  <c r="C12" i="7"/>
  <c r="C13" i="7"/>
  <c r="C14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" i="7"/>
  <c r="H1" i="5"/>
  <c r="N1" i="3"/>
  <c r="M1" i="3"/>
  <c r="O15" i="3"/>
  <c r="O155" i="3"/>
  <c r="O154" i="3"/>
  <c r="O4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6" i="3"/>
  <c r="O14" i="3"/>
  <c r="O13" i="3"/>
  <c r="O12" i="3"/>
  <c r="O11" i="3"/>
  <c r="O10" i="3"/>
  <c r="O9" i="3"/>
  <c r="O8" i="3"/>
  <c r="O7" i="3"/>
  <c r="O6" i="3"/>
  <c r="O5" i="3"/>
  <c r="F2" i="6"/>
  <c r="P4" i="3"/>
  <c r="P5" i="3"/>
  <c r="R5" i="3" s="1"/>
  <c r="P8" i="3"/>
  <c r="R8" i="3" s="1"/>
  <c r="P11" i="3"/>
  <c r="R11" i="3" s="1"/>
  <c r="P10" i="3"/>
  <c r="R10" i="3" s="1"/>
  <c r="P9" i="3"/>
  <c r="R9" i="3" s="1"/>
  <c r="B12" i="10" l="1"/>
  <c r="B13" i="10"/>
  <c r="H2" i="6"/>
  <c r="B4" i="10"/>
  <c r="M2" i="6"/>
  <c r="O2" i="6"/>
  <c r="G3" i="7"/>
  <c r="I3" i="7" s="1"/>
  <c r="F1" i="7"/>
  <c r="G1" i="7" s="1"/>
  <c r="R4" i="3"/>
  <c r="P1" i="3"/>
  <c r="R1" i="3" l="1"/>
  <c r="B3" i="10"/>
  <c r="B1" i="10" s="1"/>
  <c r="I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<sst xmlns="http://schemas.openxmlformats.org/spreadsheetml/2006/main" count="2493" uniqueCount="723">
  <si>
    <t>Action requested by</t>
  </si>
  <si>
    <t>Request date</t>
  </si>
  <si>
    <t>Cost Center</t>
  </si>
  <si>
    <t>Action Required</t>
  </si>
  <si>
    <t>Action Owner</t>
  </si>
  <si>
    <t>Status of Action</t>
  </si>
  <si>
    <t>Completion Date</t>
  </si>
  <si>
    <t>Remark</t>
  </si>
  <si>
    <t>Naveen</t>
  </si>
  <si>
    <t>Raptokos - PT</t>
  </si>
  <si>
    <t>Vratatech - Raptokos PT  One month payment to be released immediately</t>
  </si>
  <si>
    <t>Sanjay</t>
  </si>
  <si>
    <t>Renewal to be followed with Priya</t>
  </si>
  <si>
    <t>Sneha</t>
  </si>
  <si>
    <t>Completed</t>
  </si>
  <si>
    <t>No extension for Anuj Kushwaha</t>
  </si>
  <si>
    <t>BMW-OA</t>
  </si>
  <si>
    <t>Maneesh</t>
  </si>
  <si>
    <t>Finder Fees - PT</t>
  </si>
  <si>
    <t>Xpheno GST payment to be released</t>
  </si>
  <si>
    <t>PO # 4500092198 - Check billng status</t>
  </si>
  <si>
    <t>PO # 4500092198 - Check is payment has been made to vendor, else release PO</t>
  </si>
  <si>
    <t>AKshay</t>
  </si>
  <si>
    <t>Checked Invoice is pending from Vendor Auropro, Request Sanjay to issue PO once approved, hence the vendor can submit their invoice.</t>
  </si>
  <si>
    <t>26-06-2025</t>
  </si>
  <si>
    <t>HCIL PT</t>
  </si>
  <si>
    <t>25-26/10 - WinoVision Invoice - Get the CN Against the invoice</t>
  </si>
  <si>
    <t>To be select from drop down list already created</t>
  </si>
  <si>
    <t>Project Name</t>
  </si>
  <si>
    <t>Cost Centre</t>
  </si>
  <si>
    <t>Customer PO No</t>
  </si>
  <si>
    <t>Customer PO Value</t>
  </si>
  <si>
    <t>Billed till date</t>
  </si>
  <si>
    <t>Remaining Balance in PO</t>
  </si>
  <si>
    <t>Vendor Name</t>
  </si>
  <si>
    <t>cantik PO No</t>
  </si>
  <si>
    <t>Vendor PO Value</t>
  </si>
  <si>
    <t>Vendor Invocing Till Date</t>
  </si>
  <si>
    <t>Sale Margin Till date</t>
  </si>
  <si>
    <t>Target GM</t>
  </si>
  <si>
    <t>Varinace in GM</t>
  </si>
  <si>
    <t>Raptakos Resource Deployment - Anuj Kushwaha</t>
  </si>
  <si>
    <t>Raptakos PT</t>
  </si>
  <si>
    <t>VRATA TECH SOLUTIONS PRIVATE LIMITED</t>
  </si>
  <si>
    <t>Panasonic Resource Deploment - Shankar Bhuyan</t>
  </si>
  <si>
    <t>GGN-NTT-PANASONIC-PT-01</t>
  </si>
  <si>
    <t>HMSI Resource Deployment- Dotnet - Alok Kumar</t>
  </si>
  <si>
    <t>GGN-NTT-HMSI-DOTNET-PT-01</t>
  </si>
  <si>
    <t>Quess Corp Resource Deployment - Yallappa Satyappa Halagodi</t>
  </si>
  <si>
    <t>NTT-Quesscorp-PT-01</t>
  </si>
  <si>
    <t xml:space="preserve">Sun Phrma - Website AMC </t>
  </si>
  <si>
    <t>Sun Phrama PT</t>
  </si>
  <si>
    <t>HCIL - MDM - Soti</t>
  </si>
  <si>
    <t>HCIL - ITSM &amp; NMS</t>
  </si>
  <si>
    <t>Pay to Vendor - Finder Fee</t>
  </si>
  <si>
    <t>NTT -PT -Finder Fees</t>
  </si>
  <si>
    <t>GGN-NTT-BMW-RPA- PT 01</t>
  </si>
  <si>
    <t>GGN-NTT-HMSI-RPA-PT-01</t>
  </si>
  <si>
    <t>NTT-BMW- BMW-penetration Testing  - PT-0</t>
  </si>
  <si>
    <t>BMW</t>
  </si>
  <si>
    <t>Quess Corp Resource Deployment - Panchalal Yadav</t>
  </si>
  <si>
    <t>QuessCorp</t>
  </si>
  <si>
    <t>Need to fill target margin details from supporting</t>
  </si>
  <si>
    <t xml:space="preserve">ADP Resource Deployment-Nagothi Sumitranjali
</t>
  </si>
  <si>
    <t>Finder Fees – PT</t>
  </si>
  <si>
    <t xml:space="preserve">ADP Resource Deployment-Mounika Nandam
</t>
  </si>
  <si>
    <t xml:space="preserve">Alkem Laboratories  Resource Deployment - Krunal Khode
</t>
  </si>
  <si>
    <t>Alkem Laboratories - PT</t>
  </si>
  <si>
    <t>Need to check margin is it sale or purchase</t>
  </si>
  <si>
    <t xml:space="preserve">Raptakos Resource Deployment - Mayur Ghule
</t>
  </si>
  <si>
    <t xml:space="preserve">ADP Resource Deployment-Ankush Dilip Sangamwar
</t>
  </si>
  <si>
    <t>Sun Phrma - Website AMS- Ramu Verma</t>
  </si>
  <si>
    <t>GGN-NTT-BMW-OA - PT-01</t>
  </si>
  <si>
    <t xml:space="preserve">Saurabh Jamburgekar  Sreedhar Katakam
</t>
  </si>
  <si>
    <t>GGN-NTT-KTFL-PT-01</t>
  </si>
  <si>
    <t>HMSI Resource Deployment- Shubham Mishra</t>
  </si>
  <si>
    <t>HMSI Bot Support-RPA</t>
  </si>
  <si>
    <t>Project Description</t>
  </si>
  <si>
    <t>SOW Number</t>
  </si>
  <si>
    <t>Start Date</t>
  </si>
  <si>
    <t>End Date</t>
  </si>
  <si>
    <t>PO Number</t>
  </si>
  <si>
    <t>PO Date</t>
  </si>
  <si>
    <t>PO Value</t>
  </si>
  <si>
    <t>Billing Frequency</t>
  </si>
  <si>
    <t>Pending Amount in PO</t>
  </si>
  <si>
    <t>PO Status</t>
  </si>
  <si>
    <t>Remarks</t>
  </si>
  <si>
    <t>FC2024-497</t>
  </si>
  <si>
    <t>Monthly</t>
  </si>
  <si>
    <t>Closed</t>
  </si>
  <si>
    <t>Jan-39000, Feb &amp; Mar 68250</t>
  </si>
  <si>
    <t>FC2025-073</t>
  </si>
  <si>
    <t>Apr &amp; May 38250</t>
  </si>
  <si>
    <t>FC2024-391</t>
  </si>
  <si>
    <t>Open</t>
  </si>
  <si>
    <t>Monthly Billing Rate  - 166666</t>
  </si>
  <si>
    <t>FC2025-080</t>
  </si>
  <si>
    <t>Monthly Billing Rate  - 92040</t>
  </si>
  <si>
    <t>FC2024-390</t>
  </si>
  <si>
    <t>Monthly Billing Rate  - 175000</t>
  </si>
  <si>
    <t>FC2024-465</t>
  </si>
  <si>
    <t>Monthly Billing rate - 78967</t>
  </si>
  <si>
    <t>FC2024-251</t>
  </si>
  <si>
    <t>1-04-24</t>
  </si>
  <si>
    <t>31-03-25</t>
  </si>
  <si>
    <t>FC2024-003</t>
  </si>
  <si>
    <t>1-04-25</t>
  </si>
  <si>
    <t>31-03-26</t>
  </si>
  <si>
    <t>FC2025-010</t>
  </si>
  <si>
    <t>FC2024-243</t>
  </si>
  <si>
    <t>1-09-24</t>
  </si>
  <si>
    <t>FC2025-005</t>
  </si>
  <si>
    <t>FInder Fee - Pay to vendor</t>
  </si>
  <si>
    <t>FC2024-135</t>
  </si>
  <si>
    <t>29-08-24</t>
  </si>
  <si>
    <t>28-09-24</t>
  </si>
  <si>
    <t>FC2024-136</t>
  </si>
  <si>
    <t>30-09-24</t>
  </si>
  <si>
    <t>Actual PT Margin achieved 3.55% Total PO Value is 966000/- &amp; PT Value 525000/-</t>
  </si>
  <si>
    <t>Total PO Value is 966000/- &amp; PT Value 525000/-</t>
  </si>
  <si>
    <t>FC2024-253</t>
  </si>
  <si>
    <t>OPEN</t>
  </si>
  <si>
    <t>Resource Deployment - Panchalal Yadav</t>
  </si>
  <si>
    <t>FC2025-176</t>
  </si>
  <si>
    <t>24-06-2025</t>
  </si>
  <si>
    <t>FC2025-090</t>
  </si>
  <si>
    <t>FC2025-091</t>
  </si>
  <si>
    <t xml:space="preserve">FC2025-045 </t>
  </si>
  <si>
    <t>15-07-25</t>
  </si>
  <si>
    <t>Once</t>
  </si>
  <si>
    <t>FC2025-230</t>
  </si>
  <si>
    <t>Monthly Billing Rate - 175,000</t>
  </si>
  <si>
    <t>FC2025-257</t>
  </si>
  <si>
    <t xml:space="preserve">Monthly Billing Rate -  117,700 
</t>
  </si>
  <si>
    <t>FC2025-269</t>
  </si>
  <si>
    <t>17-07-25</t>
  </si>
  <si>
    <t>FC2025-137</t>
  </si>
  <si>
    <t>18-07-25</t>
  </si>
  <si>
    <t xml:space="preserve">Monthly Billing Rate- 205,833 
</t>
  </si>
  <si>
    <t>FC2025-180</t>
  </si>
  <si>
    <t>Additional PO required for Saurav for Apr'25 &amp; May' of 30000/-</t>
  </si>
  <si>
    <t>FC2024-416</t>
  </si>
  <si>
    <t>Monthly Billing-146000</t>
  </si>
  <si>
    <t>Project Details</t>
  </si>
  <si>
    <t>Customer PO</t>
  </si>
  <si>
    <t>Cantik Invoice No</t>
  </si>
  <si>
    <t>Cantik Invoice Date</t>
  </si>
  <si>
    <t>Cantik Inv Value Taxable</t>
  </si>
  <si>
    <t>TDS</t>
  </si>
  <si>
    <t>Receivable</t>
  </si>
  <si>
    <t>Against Vendor Inv Number</t>
  </si>
  <si>
    <t>Payment Recpt Date</t>
  </si>
  <si>
    <t>Payment Advise No.</t>
  </si>
  <si>
    <t>CTPL/24-25/1312</t>
  </si>
  <si>
    <t>MAH/464/24-25</t>
  </si>
  <si>
    <t>CTPL/24-25/1521</t>
  </si>
  <si>
    <t>CTPL/25-26/128</t>
  </si>
  <si>
    <t>CTPL/25-26/306</t>
  </si>
  <si>
    <t>CTPL/25-26/307</t>
  </si>
  <si>
    <t>CTPL/24-25/1543</t>
  </si>
  <si>
    <t>210502280378</t>
  </si>
  <si>
    <t>CTPL/24-25/1544</t>
  </si>
  <si>
    <t>210502280376</t>
  </si>
  <si>
    <t>CTPL/24-25/1545</t>
  </si>
  <si>
    <t>210502280377</t>
  </si>
  <si>
    <t>CTPL/24-25/1546</t>
  </si>
  <si>
    <t>210502280218</t>
  </si>
  <si>
    <t>CTPL/24-25/1547</t>
  </si>
  <si>
    <t>210604280034</t>
  </si>
  <si>
    <t>CTPL/25-26/239</t>
  </si>
  <si>
    <t>210605280035</t>
  </si>
  <si>
    <t>CTPL/25-26/279</t>
  </si>
  <si>
    <t>210606280030</t>
  </si>
  <si>
    <t>CTPL/25-26/247</t>
  </si>
  <si>
    <t>CTPL/25-26/248</t>
  </si>
  <si>
    <t>CTPL/25-26/119</t>
  </si>
  <si>
    <t>INV/24-25/000249</t>
  </si>
  <si>
    <t>CTPL/25-26/120</t>
  </si>
  <si>
    <t>CTPL/25-26/121</t>
  </si>
  <si>
    <t>CTPL/25-26/122</t>
  </si>
  <si>
    <t>CTPL/25-26/013</t>
  </si>
  <si>
    <t>GGN-NTT-Sunpharma-PT-01</t>
  </si>
  <si>
    <t>CTPL/24-25/1247</t>
  </si>
  <si>
    <t>CTPL/24-25/1248</t>
  </si>
  <si>
    <t>CTPL/24-25/1353</t>
  </si>
  <si>
    <t>CTPL/24-25/1527</t>
  </si>
  <si>
    <t>CTPL/25-26/008</t>
  </si>
  <si>
    <t>CTPL/25-26/246</t>
  </si>
  <si>
    <t>GGN-NTT-HCIL-PT-01</t>
  </si>
  <si>
    <t>CTPL/24-25/681</t>
  </si>
  <si>
    <t>CTPL/25-26/087</t>
  </si>
  <si>
    <t>CTPL/25-26/118</t>
  </si>
  <si>
    <t>CTPL/24-25/712</t>
  </si>
  <si>
    <t>CTPL/24-25/716</t>
  </si>
  <si>
    <t>CTPL/25-26/045</t>
  </si>
  <si>
    <t>GGN-NTT -PT-Finder fees</t>
  </si>
  <si>
    <t>CTPL/24-25/468</t>
  </si>
  <si>
    <t>CTPL/24-25/479</t>
  </si>
  <si>
    <t>CTPL/24-25/656</t>
  </si>
  <si>
    <t>CTPL/24-25/033</t>
  </si>
  <si>
    <t>CTPL/24-25/098</t>
  </si>
  <si>
    <t>CTPL/24-25/156</t>
  </si>
  <si>
    <t>CTPL/24-25/231</t>
  </si>
  <si>
    <t>CTPL/24-25/232</t>
  </si>
  <si>
    <t>CTPL/24-25/239</t>
  </si>
  <si>
    <t>CTPL/24-25/242</t>
  </si>
  <si>
    <t>CTPL/24-25/334</t>
  </si>
  <si>
    <t>CTPL/24-25/767</t>
  </si>
  <si>
    <t>CTPL/24-25/768</t>
  </si>
  <si>
    <t>CTPL/24-25/769</t>
  </si>
  <si>
    <t>CTPL/24-25/800</t>
  </si>
  <si>
    <t>CTPL/24-25/801</t>
  </si>
  <si>
    <t>CTPL/24-25/802</t>
  </si>
  <si>
    <t>CTPL/24-25/849</t>
  </si>
  <si>
    <t>CTPL/24-25/850</t>
  </si>
  <si>
    <t>CTPL/24-25/851</t>
  </si>
  <si>
    <t>CTPL/24-25/958</t>
  </si>
  <si>
    <t>CTPL/24-25/959</t>
  </si>
  <si>
    <t>CTPL/24-25/960</t>
  </si>
  <si>
    <t>CTPL/24-25/961</t>
  </si>
  <si>
    <t>CTPL/24-25/962</t>
  </si>
  <si>
    <t>CTPL/24-25/1111</t>
  </si>
  <si>
    <t>CTPL/24-25/1120</t>
  </si>
  <si>
    <t>CTPL/24-25/1121</t>
  </si>
  <si>
    <t>CTPL/24-25/1168</t>
  </si>
  <si>
    <t>CTPL/24-25/1169</t>
  </si>
  <si>
    <t>CTPL/24-25/1231</t>
  </si>
  <si>
    <t>CTPL/24-25/1315</t>
  </si>
  <si>
    <t>CTPL/24-25/1419</t>
  </si>
  <si>
    <t>CTPL/24-25/1568</t>
  </si>
  <si>
    <t>CTPL/25-26/035</t>
  </si>
  <si>
    <t>CTPL/25-26/041</t>
  </si>
  <si>
    <t>CTPL/25-26/042</t>
  </si>
  <si>
    <t>CTPL/25-26/043</t>
  </si>
  <si>
    <t>CTPL/25-26/189</t>
  </si>
  <si>
    <t>GGN-NTT-HMSI-PT-01</t>
  </si>
  <si>
    <t>CTPL/24-25/217</t>
  </si>
  <si>
    <t>CTPL/24-25/218</t>
  </si>
  <si>
    <t>CTPL/24-25/219</t>
  </si>
  <si>
    <t>CTPL/24-25/220</t>
  </si>
  <si>
    <t>CTPL/24-25/221</t>
  </si>
  <si>
    <t>CTPL/24-25/222</t>
  </si>
  <si>
    <t>CTPL/24-25/223</t>
  </si>
  <si>
    <t>CTPL/24-25/224</t>
  </si>
  <si>
    <t>CTPL/24-25/225</t>
  </si>
  <si>
    <t>CTPL/24-25/226</t>
  </si>
  <si>
    <t>GGN-NTT-Mylan-PT-01</t>
  </si>
  <si>
    <t>CTPL/24-25/1239</t>
  </si>
  <si>
    <t>CTPL/24-25/1240</t>
  </si>
  <si>
    <t>CTPL/24-25/1550</t>
  </si>
  <si>
    <t>CTPL/24-25/1551</t>
  </si>
  <si>
    <t>CTPL/24-25/1552</t>
  </si>
  <si>
    <t>CTPL/25-26/081</t>
  </si>
  <si>
    <t>CTPL/25-26/082</t>
  </si>
  <si>
    <t>4500096735-1</t>
  </si>
  <si>
    <t>CTPL/25-26/083</t>
  </si>
  <si>
    <t>CTPL/24-25/852</t>
  </si>
  <si>
    <t>CTPL/24-25/853</t>
  </si>
  <si>
    <t>CTPL/24-25/854</t>
  </si>
  <si>
    <t>CTPL/24-25/855</t>
  </si>
  <si>
    <t>4500090771-1</t>
  </si>
  <si>
    <t>CTPL/24-25/856</t>
  </si>
  <si>
    <t>CTPL/24-25/857</t>
  </si>
  <si>
    <t>CTPL/24-25/858</t>
  </si>
  <si>
    <t>CTPL/24-25/859</t>
  </si>
  <si>
    <t>CTPL/24-25/860</t>
  </si>
  <si>
    <t>CTPL/24-25/864</t>
  </si>
  <si>
    <t>CTPL/24-25/865</t>
  </si>
  <si>
    <t>Payment advise not found</t>
  </si>
  <si>
    <t>CTPL/24-25/1172</t>
  </si>
  <si>
    <t>CTPL/24-25/1173</t>
  </si>
  <si>
    <t>CTPL/24-25/1174</t>
  </si>
  <si>
    <t>CTPL/24-25/1410</t>
  </si>
  <si>
    <t>CTPL/24-25/1411</t>
  </si>
  <si>
    <t>CTPL/24-25/1412</t>
  </si>
  <si>
    <t>4500094640-1</t>
  </si>
  <si>
    <t>CTPL/24-25/1504</t>
  </si>
  <si>
    <t>CTPL/24-25/1505</t>
  </si>
  <si>
    <t>Duplicate Invoice for Oct'24 For Chandershekhar &amp; Shriniwas</t>
  </si>
  <si>
    <t>CTPL/24-25/1506</t>
  </si>
  <si>
    <t>CTPL/24-25/1522</t>
  </si>
  <si>
    <t>CTPL/24-25/1523</t>
  </si>
  <si>
    <t>CTPL/24-25/152</t>
  </si>
  <si>
    <t>KCS/24-2025/006</t>
  </si>
  <si>
    <t>CTPL/24-25/153</t>
  </si>
  <si>
    <t>KCS/24-2025/007</t>
  </si>
  <si>
    <t>CTPL/24-25/154</t>
  </si>
  <si>
    <t>KCS/24-2025/008</t>
  </si>
  <si>
    <t>CTPL/24-25/155</t>
  </si>
  <si>
    <t>CTPL/24-25/186</t>
  </si>
  <si>
    <t>KCS/24-2025/009</t>
  </si>
  <si>
    <t>CTPL/24-25/187</t>
  </si>
  <si>
    <t>CTPL/24-25/204</t>
  </si>
  <si>
    <t>KCS/24-2025/010</t>
  </si>
  <si>
    <t>CTPL/24-25/276</t>
  </si>
  <si>
    <t>KCS/24-2025/012</t>
  </si>
  <si>
    <t>CTPL/24-25/277</t>
  </si>
  <si>
    <t>KCS/24-2025/013</t>
  </si>
  <si>
    <t>CTPL/24-25/292</t>
  </si>
  <si>
    <t>KCS/24-2025/011</t>
  </si>
  <si>
    <t>CTPL/24-25/298</t>
  </si>
  <si>
    <t>KCS/24-2025/014</t>
  </si>
  <si>
    <t>CTPL/24-25/329</t>
  </si>
  <si>
    <t>KCS/24-2025/015</t>
  </si>
  <si>
    <t>CTPL/24-25/336</t>
  </si>
  <si>
    <t>KCS/24-2025/016</t>
  </si>
  <si>
    <t>CTPL/24-25/337</t>
  </si>
  <si>
    <t>KCS/24-2025/017</t>
  </si>
  <si>
    <t>CTPL/24-25/344</t>
  </si>
  <si>
    <t>KCS/24-2025/018</t>
  </si>
  <si>
    <t>CTPL/24-25/372</t>
  </si>
  <si>
    <t>KCS/24-2025/020</t>
  </si>
  <si>
    <t>CTPL/24-25/397</t>
  </si>
  <si>
    <t>KAPARTHI CONSULTANCY SERVICES</t>
  </si>
  <si>
    <t>CTPL/24-25/401</t>
  </si>
  <si>
    <t>KCS/24-2025/019</t>
  </si>
  <si>
    <t>CTPL/24-25/470</t>
  </si>
  <si>
    <t>KCS/24-2025/022</t>
  </si>
  <si>
    <t>CTPL/24-25/471</t>
  </si>
  <si>
    <t>KCS/24-2025/023</t>
  </si>
  <si>
    <t>CTPL/24-25/472</t>
  </si>
  <si>
    <t>CN Issue for the same</t>
  </si>
  <si>
    <t>CTPL/24-25/473</t>
  </si>
  <si>
    <t>KCS/24-2025/025</t>
  </si>
  <si>
    <t>CTPL/24-25/474</t>
  </si>
  <si>
    <t>KCS/24-2025/021</t>
  </si>
  <si>
    <t>CTPL/24-25/475</t>
  </si>
  <si>
    <t>KCS/24-2025/024</t>
  </si>
  <si>
    <t>19/2024-25</t>
  </si>
  <si>
    <t>CTPL/24-25/477</t>
  </si>
  <si>
    <t>CTPL/24-25/478</t>
  </si>
  <si>
    <t>CTPL/24-25/547</t>
  </si>
  <si>
    <t>KCS/24-2025/026</t>
  </si>
  <si>
    <t>CTPL/24-25/638</t>
  </si>
  <si>
    <t>KCS/24-2025/028</t>
  </si>
  <si>
    <t>CTPL/24-25/639</t>
  </si>
  <si>
    <t>KCS/24-2025/029</t>
  </si>
  <si>
    <t>CTPL/24-25/640</t>
  </si>
  <si>
    <t>KCS/24-2025/030</t>
  </si>
  <si>
    <t>CTPL/24-25/641</t>
  </si>
  <si>
    <t>KCS/24-2025/031</t>
  </si>
  <si>
    <t>CTPL/24-25/642</t>
  </si>
  <si>
    <t>CTPL/24-25/677</t>
  </si>
  <si>
    <t>KCS/24-2025/032</t>
  </si>
  <si>
    <t>CTPL/24-25/778</t>
  </si>
  <si>
    <t>KCS/24-2025/035</t>
  </si>
  <si>
    <t>CTPL/24-25/1217</t>
  </si>
  <si>
    <t>CTPL/24-25/1218</t>
  </si>
  <si>
    <t>KCS/24-2025/038</t>
  </si>
  <si>
    <t>CTPL/24-25/1219</t>
  </si>
  <si>
    <t>CTPL/24-25/1220</t>
  </si>
  <si>
    <t>KCS/24-2025/040</t>
  </si>
  <si>
    <t>CTPL/24-25/1221</t>
  </si>
  <si>
    <t>KCS/24-2025/036</t>
  </si>
  <si>
    <t>CTPL/24-25/1222</t>
  </si>
  <si>
    <t>CTPL/24-25/1223</t>
  </si>
  <si>
    <t>KCS/24-2025/027</t>
  </si>
  <si>
    <t>CTPL/24-25/1224</t>
  </si>
  <si>
    <t>KCS/24-2025/033</t>
  </si>
  <si>
    <t>CTPL/24-25/1225</t>
  </si>
  <si>
    <t>KCS/24-2025/037</t>
  </si>
  <si>
    <t>CTPL/24-25/1226</t>
  </si>
  <si>
    <t>KCS/24-2025/041</t>
  </si>
  <si>
    <t>CTPL/24-25/1227</t>
  </si>
  <si>
    <t>KCS/24-2025/043</t>
  </si>
  <si>
    <t>55/2024-25</t>
  </si>
  <si>
    <t>56/2024-25</t>
  </si>
  <si>
    <t>CTPL/24-25/1234</t>
  </si>
  <si>
    <t>KCS/24-2025/034</t>
  </si>
  <si>
    <t>CTPL/24-25/1235</t>
  </si>
  <si>
    <t>CTPL/24-25/1236</t>
  </si>
  <si>
    <t>CTPL/24-25/1243</t>
  </si>
  <si>
    <t>KCS/24-2025/039</t>
  </si>
  <si>
    <t>CTPL/24-25/1249</t>
  </si>
  <si>
    <t>KCS/24-2025/046</t>
  </si>
  <si>
    <t>CTPL/24-25/1250</t>
  </si>
  <si>
    <t>KCS/24-2025/044</t>
  </si>
  <si>
    <t>KCS/24-2025/051</t>
  </si>
  <si>
    <t>KCS/24-2025/055</t>
  </si>
  <si>
    <t>CTPL/24-25/1529</t>
  </si>
  <si>
    <t>KCS/24-2025/049</t>
  </si>
  <si>
    <t>CTPL/24-25/1530</t>
  </si>
  <si>
    <t>KCS/24-2025/053</t>
  </si>
  <si>
    <t>KCS/25-2026/003</t>
  </si>
  <si>
    <t>CTPL/25-26/084</t>
  </si>
  <si>
    <t>KCS/25-2026/001</t>
  </si>
  <si>
    <t>CTPL/25-26/191</t>
  </si>
  <si>
    <t>KCS/24-2025/047</t>
  </si>
  <si>
    <t>CTPL/25-26/192</t>
  </si>
  <si>
    <t>KCS/24-2025/048</t>
  </si>
  <si>
    <t>CTPL/25-26/193</t>
  </si>
  <si>
    <t>KCS/24-2025/052</t>
  </si>
  <si>
    <t>CTPL/25-26/194</t>
  </si>
  <si>
    <t>KCS/24-2025/057</t>
  </si>
  <si>
    <t>CTPL/25-26/195</t>
  </si>
  <si>
    <t>KCS/24-2025/056</t>
  </si>
  <si>
    <t>CTPL/25-26/196</t>
  </si>
  <si>
    <t>KCS/24-2025/058</t>
  </si>
  <si>
    <t>CTPL/25-26/197</t>
  </si>
  <si>
    <t>KCS/24-2025/059</t>
  </si>
  <si>
    <t>14/2025-26</t>
  </si>
  <si>
    <t>CTPL/25-26/308</t>
  </si>
  <si>
    <t>KCS/25-2026/004</t>
  </si>
  <si>
    <t>CTPL/25-26/309</t>
  </si>
  <si>
    <t>KCS/25-2026/006</t>
  </si>
  <si>
    <t>CTPL/25-26/358</t>
  </si>
  <si>
    <t>CTPL/25-26/357</t>
  </si>
  <si>
    <t>CTPL/25-26/316</t>
  </si>
  <si>
    <t>CTPL/25-26/405</t>
  </si>
  <si>
    <t>CTPL/25-26/393</t>
  </si>
  <si>
    <t>CTPL/25-26/397</t>
  </si>
  <si>
    <t>CTPL/25-26/329</t>
  </si>
  <si>
    <t>CTPL/24-25/099</t>
  </si>
  <si>
    <t>CTPL/24-25/189</t>
  </si>
  <si>
    <t>CTPL/24-25/265</t>
  </si>
  <si>
    <t>CTPL/24-25/338</t>
  </si>
  <si>
    <t>CTPL/24-25/462</t>
  </si>
  <si>
    <t>CTPL/24-25/1040</t>
  </si>
  <si>
    <t>CTPL/24-25/1041</t>
  </si>
  <si>
    <t>CTPL/24-25/1042</t>
  </si>
  <si>
    <t>CTPL/24-25/1043</t>
  </si>
  <si>
    <t>CTPL/24-25/1467</t>
  </si>
  <si>
    <t>CTPL/24-25/1468</t>
  </si>
  <si>
    <t>CTPL/24-25/1469</t>
  </si>
  <si>
    <t>CTPL/24-25/1470</t>
  </si>
  <si>
    <t>CTPL/25-26/403</t>
  </si>
  <si>
    <t>Krunal Khode Apr'25</t>
  </si>
  <si>
    <t>GGN-NTT-| Abhiyantatech -PT-01</t>
  </si>
  <si>
    <t>CTPL/25-26/417</t>
  </si>
  <si>
    <t>Pending as on 30 July</t>
  </si>
  <si>
    <t>Krunal Khode May'25</t>
  </si>
  <si>
    <t>CTPL/25-26/418</t>
  </si>
  <si>
    <t>Krunal Khode Jun'25</t>
  </si>
  <si>
    <t>CTPL/25-26/419</t>
  </si>
  <si>
    <t>CTPL/25-26/420</t>
  </si>
  <si>
    <t>Pending</t>
  </si>
  <si>
    <t>Mounika Nandam</t>
  </si>
  <si>
    <t>CTPL/25-26/446</t>
  </si>
  <si>
    <t>CTPL/25-26/416</t>
  </si>
  <si>
    <t>Krunal Khode Jul'25</t>
  </si>
  <si>
    <t>CTPL/25-26/447</t>
  </si>
  <si>
    <t>CTPL/25-26/471</t>
  </si>
  <si>
    <t>CTPL/25-26/455</t>
  </si>
  <si>
    <t>CTPL/25-26/456</t>
  </si>
  <si>
    <t>CTPL/25-26/457</t>
  </si>
  <si>
    <t>Panchalal Yadav</t>
  </si>
  <si>
    <t>CTPL/25-26/449</t>
  </si>
  <si>
    <t>CTPL/25-26/445</t>
  </si>
  <si>
    <t>CTPL/25-26/503</t>
  </si>
  <si>
    <t>Raptakos Resource Deployment - Mayur Ghule Jul'25</t>
  </si>
  <si>
    <t>CTPL/25-26/508</t>
  </si>
  <si>
    <t>Customer PO Number</t>
  </si>
  <si>
    <t>Cantik PO No</t>
  </si>
  <si>
    <t>Cantik PO Date</t>
  </si>
  <si>
    <t>Cantik PO Value</t>
  </si>
  <si>
    <t>Remaining Bal In PO</t>
  </si>
  <si>
    <t>Vendor Invoice Frequency</t>
  </si>
  <si>
    <t>Vendor Inv Number</t>
  </si>
  <si>
    <t>Vendor Inv Date</t>
  </si>
  <si>
    <t>Vendor Inv Value</t>
  </si>
  <si>
    <t>TDS Ded</t>
  </si>
  <si>
    <t>Net Payble</t>
  </si>
  <si>
    <t>Payment Status from NTT</t>
  </si>
  <si>
    <t>Payment Value</t>
  </si>
  <si>
    <t>Payment Date</t>
  </si>
  <si>
    <t>Pending Payment</t>
  </si>
  <si>
    <t>CTPL/PO/24-25/396</t>
  </si>
  <si>
    <t>MAH/558/24-25</t>
  </si>
  <si>
    <t>MAH/650/24-25</t>
  </si>
  <si>
    <t>CTPL/PO/25-26/104</t>
  </si>
  <si>
    <t>M/2526/Jun/024</t>
  </si>
  <si>
    <t>Payment Sent to finance on 01 Aug 25</t>
  </si>
  <si>
    <t>M/2526/Jun/025</t>
  </si>
  <si>
    <t>BCT Consulting Private Limited</t>
  </si>
  <si>
    <t>CTPL/PO/24-25/400</t>
  </si>
  <si>
    <t>Sent to Finance on 24 July 2025</t>
  </si>
  <si>
    <t>Sent to Finance on 11 July 2025</t>
  </si>
  <si>
    <t>CANTICLE TECHNOLOGIES PRIVATE LIMITED</t>
  </si>
  <si>
    <t>CTPL/PO/25-26/101</t>
  </si>
  <si>
    <t>86/2025-2026</t>
  </si>
  <si>
    <t>2 Jul &amp; 15 Jul</t>
  </si>
  <si>
    <t xml:space="preserve">Services - Proxy Server Management </t>
  </si>
  <si>
    <t>BMW - OA - PT</t>
  </si>
  <si>
    <t>Cinesonic Audio Visual Pvt Ltd</t>
  </si>
  <si>
    <t>Without PO-83044</t>
  </si>
  <si>
    <t>RI/24-25/029</t>
  </si>
  <si>
    <t>RI/24-25/063</t>
  </si>
  <si>
    <t>Round off 20/- by cash in last year</t>
  </si>
  <si>
    <t>Without PO-94598</t>
  </si>
  <si>
    <t>RI/25-26/006</t>
  </si>
  <si>
    <t>11 Jun 25 &amp; 12 Aug 25</t>
  </si>
  <si>
    <t>GST Payment released on 12 Aug 25</t>
  </si>
  <si>
    <t>TRIBAL SOLUTIONS CONSULTING SERVICES PVT</t>
  </si>
  <si>
    <t>CTPL/PO/25-26/081</t>
  </si>
  <si>
    <t>25 Jun 25 &amp; 28 Jul 25</t>
  </si>
  <si>
    <t>Mail to finance to release gst amount on 22 Jul 25</t>
  </si>
  <si>
    <t>CARMATEC IT SOLUTIONS PRIVATE LIMITED</t>
  </si>
  <si>
    <t>CTPL/PO/24-25/392</t>
  </si>
  <si>
    <t>28 Feb &amp; 29 Mar</t>
  </si>
  <si>
    <t>21 Mar &amp; 29 Mar</t>
  </si>
  <si>
    <t>Sent to Finance on 1 Aug 2025</t>
  </si>
  <si>
    <t>Winnovation Education Services Pvt</t>
  </si>
  <si>
    <t>CTPL/PO/24-25/247</t>
  </si>
  <si>
    <t>24-25/034</t>
  </si>
  <si>
    <t>25-26/002</t>
  </si>
  <si>
    <t>CTPL/PO/25-26/039</t>
  </si>
  <si>
    <t>25-26/08</t>
  </si>
  <si>
    <t>CTPL/PO/24-25/454</t>
  </si>
  <si>
    <t>25-26/10</t>
  </si>
  <si>
    <t>4494/- Need to hold against short PT Margin</t>
  </si>
  <si>
    <t>SeaInfonet Pvt Ltd</t>
  </si>
  <si>
    <t>CTPL/PO/24-25/235</t>
  </si>
  <si>
    <t>SEA/K0817/24-25</t>
  </si>
  <si>
    <t>SEA/K1407/24-25</t>
  </si>
  <si>
    <t>SEA/K0002/24-25</t>
  </si>
  <si>
    <t>AUROPRO SOFT SYSTEMS PVT LTD</t>
  </si>
  <si>
    <t>Without PO-1403</t>
  </si>
  <si>
    <t>-</t>
  </si>
  <si>
    <t>G144/2024-25</t>
  </si>
  <si>
    <t>No PO Issue to Vendor</t>
  </si>
  <si>
    <t>G145/2024-25</t>
  </si>
  <si>
    <t>Without PO-1408</t>
  </si>
  <si>
    <t>G146/2024-25</t>
  </si>
  <si>
    <t>G147/2024-25</t>
  </si>
  <si>
    <t>G149/2024-25</t>
  </si>
  <si>
    <t>G148/2024-25</t>
  </si>
  <si>
    <t>G150/2024-25</t>
  </si>
  <si>
    <t>G151/2024-25</t>
  </si>
  <si>
    <t>BUSYBOTS PRIVATE LIMITED</t>
  </si>
  <si>
    <t>Opening balance 1 Apr 24</t>
  </si>
  <si>
    <t>Recd.</t>
  </si>
  <si>
    <t>18 Apr &amp; 3 May</t>
  </si>
  <si>
    <t>08/2024</t>
  </si>
  <si>
    <t>15/2024</t>
  </si>
  <si>
    <t>26/2024</t>
  </si>
  <si>
    <t>29/2024</t>
  </si>
  <si>
    <t>1 Feb &amp; 30 Jun</t>
  </si>
  <si>
    <t>42/2024</t>
  </si>
  <si>
    <t>10/2024</t>
  </si>
  <si>
    <t>11/2024</t>
  </si>
  <si>
    <t>14/2024</t>
  </si>
  <si>
    <t>17/2024</t>
  </si>
  <si>
    <t>19/2024</t>
  </si>
  <si>
    <t>21/2024</t>
  </si>
  <si>
    <t>23/2024</t>
  </si>
  <si>
    <t>20 Dec or 15 Jan</t>
  </si>
  <si>
    <t>25/2024</t>
  </si>
  <si>
    <t>30/2024</t>
  </si>
  <si>
    <t>37/2024</t>
  </si>
  <si>
    <t>38/2024</t>
  </si>
  <si>
    <t>39/2024</t>
  </si>
  <si>
    <t>41/2024</t>
  </si>
  <si>
    <t>43/2024</t>
  </si>
  <si>
    <t>12 May &amp; 11 June &amp; 30 Jun</t>
  </si>
  <si>
    <t>33/2024</t>
  </si>
  <si>
    <t>32/2024</t>
  </si>
  <si>
    <t>34/2024</t>
  </si>
  <si>
    <t>15 Jan &amp; 11 June</t>
  </si>
  <si>
    <t>46/2025</t>
  </si>
  <si>
    <t>Sent to Finance on 01 July 2025</t>
  </si>
  <si>
    <t>47/2025</t>
  </si>
  <si>
    <t>Highsky IT Solutions Private Limited</t>
  </si>
  <si>
    <t>HSIT/24-25/138</t>
  </si>
  <si>
    <t>HSIT/24-25/224</t>
  </si>
  <si>
    <t>30 Dec &amp; 15 Jan 25</t>
  </si>
  <si>
    <t>Highsky &amp; Kaparthi Common PO</t>
  </si>
  <si>
    <t>HSIT/24-25/276</t>
  </si>
  <si>
    <t>HSIT/24-25/314</t>
  </si>
  <si>
    <t>28 Feb &amp; 31 Mar &amp; 19 Apr</t>
  </si>
  <si>
    <t>Dupilcate Invoice submit by vendor, will get the Credit note for the same</t>
  </si>
  <si>
    <t>HSIT/24-25/356</t>
  </si>
  <si>
    <t>19 Apr &amp; 25 Apr</t>
  </si>
  <si>
    <t>HSIT/24-25/357</t>
  </si>
  <si>
    <t>HSIT/24-25/287</t>
  </si>
  <si>
    <t>HSIT/25-26/109</t>
  </si>
  <si>
    <t>11 Jun 25 &amp; 14 Aug 25</t>
  </si>
  <si>
    <r>
      <rPr>
        <b/>
        <sz val="11"/>
        <color rgb="FFFF0000"/>
        <rFont val="Aptos Narrow"/>
      </rPr>
      <t>Payment adjust against (Credit Note-8)</t>
    </r>
    <r>
      <rPr>
        <sz val="11"/>
        <color rgb="FFFF0000"/>
        <rFont val="Aptos Narrow"/>
      </rPr>
      <t xml:space="preserve"> Pending due to duplicate invoice for the month of Oct'24 in Vendor Invoice HSIT/24-25/314 Paid 62242/- on 14 Aug 25</t>
    </r>
  </si>
  <si>
    <t>Paid</t>
  </si>
  <si>
    <t>Additional PO Required</t>
  </si>
  <si>
    <t>KCS/24-2025/045</t>
  </si>
  <si>
    <t>KCS/24-2025/050</t>
  </si>
  <si>
    <t>KCS/24-2025/054</t>
  </si>
  <si>
    <t>Against Credit Note</t>
  </si>
  <si>
    <t>Credit Note -1</t>
  </si>
  <si>
    <t>PO not received</t>
  </si>
  <si>
    <t>KCS/25-2026/002</t>
  </si>
  <si>
    <t>KCS/25-2026/005</t>
  </si>
  <si>
    <t>KCS/25-2026/007</t>
  </si>
  <si>
    <t>CTPL/PO/24-25/228</t>
  </si>
  <si>
    <t>KCS/25-2026/008</t>
  </si>
  <si>
    <t>Payment pending from NTT</t>
  </si>
  <si>
    <t>Credit Note KCS/25-2026/056</t>
  </si>
  <si>
    <t>KCS/25-2026/011</t>
  </si>
  <si>
    <t>CTPL/PO/25-26/139</t>
  </si>
  <si>
    <t>HSIT/25-26/202</t>
  </si>
  <si>
    <t>132/2025-2026</t>
  </si>
  <si>
    <t>Payment Sent to Finance 01 Aug 25</t>
  </si>
  <si>
    <t>CTPL/PO/25-26/140</t>
  </si>
  <si>
    <t>27-06-2025</t>
  </si>
  <si>
    <t>G90/2025-26</t>
  </si>
  <si>
    <t>Invoice to NTT is already raised last year……payment has to be released</t>
  </si>
  <si>
    <t>Sent to Finance on 12 Aug 2025</t>
  </si>
  <si>
    <t>Sent to Finance on 7 Aug 2025</t>
  </si>
  <si>
    <t>HSIT/25-26/217</t>
  </si>
  <si>
    <t>Payment adjust against (Credit Note-8)</t>
  </si>
  <si>
    <t>Krunal Khode (Apr,May&amp;Jun'25)</t>
  </si>
  <si>
    <t>Abhiyanta India Solution Private Limited</t>
  </si>
  <si>
    <t>CTPL/PO/25-26/160</t>
  </si>
  <si>
    <t>CTPL/PO/25-26/161</t>
  </si>
  <si>
    <t>M/2526/Jul/080</t>
  </si>
  <si>
    <t>CTPL/PO/25-26/158</t>
  </si>
  <si>
    <t>One time</t>
  </si>
  <si>
    <t>210607280266</t>
  </si>
  <si>
    <t xml:space="preserve"> Nagothi Sumitranjali</t>
  </si>
  <si>
    <t>CTPL/PO/25-26/159</t>
  </si>
  <si>
    <t>210607280267</t>
  </si>
  <si>
    <t>CTPL/PO/25-26/179</t>
  </si>
  <si>
    <t>21-07-25</t>
  </si>
  <si>
    <t>G96/2025-26</t>
  </si>
  <si>
    <t>ITSHRI SOLUTION LLP</t>
  </si>
  <si>
    <t>CTPL/PO/25-26/206</t>
  </si>
  <si>
    <t>30-07-25</t>
  </si>
  <si>
    <t>2508-01</t>
  </si>
  <si>
    <t>Krunal Khode (Jul'25)</t>
  </si>
  <si>
    <t>HMSI Resource Deployment- Dotnet - Alok Kumar Jul'25</t>
  </si>
  <si>
    <t>160/2025-2026</t>
  </si>
  <si>
    <t>2508-02</t>
  </si>
  <si>
    <t>2508-03</t>
  </si>
  <si>
    <t>HSIT/25-26/234</t>
  </si>
  <si>
    <t>CTPL/PO/24-25/229</t>
  </si>
  <si>
    <t>KCS/25-2026/009</t>
  </si>
  <si>
    <t>Srinivas Rasal &amp; Chandershekhar Oct'24</t>
  </si>
  <si>
    <t>HSIT/24-25/314 (CN-8)</t>
  </si>
  <si>
    <t>Credit note against, Dupilcate Invoice submit by vendor (Srinivas Rasal &amp; Chandershekhar Oct'24)</t>
  </si>
  <si>
    <t>210608280016</t>
  </si>
  <si>
    <t>Credit Note Recd. From Vendor KCS/24-2025/057 (KCS/25-2026/CN003)</t>
  </si>
  <si>
    <t>KCS/25-2026/010</t>
  </si>
  <si>
    <t>NTT PO</t>
  </si>
  <si>
    <t>Cantik PO No.</t>
  </si>
  <si>
    <t>Purchase Taxable</t>
  </si>
  <si>
    <t>Sale Taxable</t>
  </si>
  <si>
    <t>Margin</t>
  </si>
  <si>
    <t>Purchase Margin % Tili Date</t>
  </si>
  <si>
    <t>Target Margin %</t>
  </si>
  <si>
    <t>Difference</t>
  </si>
  <si>
    <t>True/False</t>
  </si>
  <si>
    <t>Margin High due to duplicate invoice received from vendor &amp; the same has been billed to NTT, now Credit note will be received from vendor</t>
  </si>
  <si>
    <t>Vendor Invoice no.</t>
  </si>
  <si>
    <t>Date</t>
  </si>
  <si>
    <t>Net Payable</t>
  </si>
  <si>
    <t>Cantik Invoice No.</t>
  </si>
  <si>
    <t>Cantik Invoice Value</t>
  </si>
  <si>
    <t>Advise Date</t>
  </si>
  <si>
    <t>NTT Payment Advise No.</t>
  </si>
  <si>
    <t>Invoice Margin% Purchase</t>
  </si>
  <si>
    <t>Payment Sent for approval on 24 Jul 25</t>
  </si>
  <si>
    <t>Done</t>
  </si>
  <si>
    <t>Payment Sent for approval on 01 Aug 25</t>
  </si>
  <si>
    <t> </t>
  </si>
  <si>
    <t>210607280029</t>
  </si>
  <si>
    <t>Payment Sent for approval on 07 Aug 25</t>
  </si>
  <si>
    <t>Not upload</t>
  </si>
  <si>
    <t>Payment Sent for approval on 12 Aug 25</t>
  </si>
  <si>
    <t>Net amount released of 62242/- after adjusting Credit note of 271637/- (219909+113970-271637=62242/-) (HSIT/25-26/109 = 113970/-)</t>
  </si>
  <si>
    <t>To be check before send to finance implementation fees every time</t>
  </si>
  <si>
    <t>Enterprise Mobility Management-</t>
  </si>
  <si>
    <t>S No.</t>
  </si>
  <si>
    <t>Steps to be follow</t>
  </si>
  <si>
    <t>Action taken by</t>
  </si>
  <si>
    <t>Share signed SOW with NTT</t>
  </si>
  <si>
    <t>Get the PO from NTT</t>
  </si>
  <si>
    <t>Generate SO form</t>
  </si>
  <si>
    <t>Based on signed SO form, generate Cantik PO &amp; raise billing to NTT</t>
  </si>
  <si>
    <t>Recheck Vendor PO with SO form and update PO details in tracker</t>
  </si>
  <si>
    <r>
      <rPr>
        <sz val="11"/>
        <color rgb="FF000000"/>
        <rFont val="Calibri"/>
        <scheme val="minor"/>
      </rPr>
      <t xml:space="preserve">Update SOW &amp; Vendor PO details in </t>
    </r>
    <r>
      <rPr>
        <b/>
        <sz val="11"/>
        <color rgb="FF000000"/>
        <rFont val="Calibri"/>
        <scheme val="minor"/>
      </rPr>
      <t>PO Details &amp; Outsourcing Sheet</t>
    </r>
  </si>
  <si>
    <t>Get invoice from Vendor against Cantik PO</t>
  </si>
  <si>
    <t>Cantik PO number &amp; service period should be mentioned on invoice and should be checked with PO</t>
  </si>
  <si>
    <t>Share vendor invoice with Finance</t>
  </si>
  <si>
    <t>Share payment advice received from NTT</t>
  </si>
  <si>
    <t>Before the payment sent for approval, update Outsourcing, Billing &amp; Payment details in tracker</t>
  </si>
  <si>
    <t>Akshay</t>
  </si>
  <si>
    <t>After vendor payment, update payment value &amp; date in outsourcing details sheet</t>
  </si>
  <si>
    <t>Note</t>
  </si>
  <si>
    <r>
      <rPr>
        <b/>
        <sz val="11"/>
        <color rgb="FFFF0000"/>
        <rFont val="Calibri"/>
        <scheme val="minor"/>
      </rPr>
      <t>Date Format:</t>
    </r>
    <r>
      <rPr>
        <sz val="11"/>
        <color rgb="FFFF0000"/>
        <rFont val="Calibri"/>
        <scheme val="minor"/>
      </rPr>
      <t xml:space="preserve"> Use the format (</t>
    </r>
    <r>
      <rPr>
        <i/>
        <sz val="11"/>
        <color rgb="FFFF0000"/>
        <rFont val="Calibri"/>
        <scheme val="minor"/>
      </rPr>
      <t>Month-Day-Year</t>
    </r>
    <r>
      <rPr>
        <sz val="11"/>
        <color rgb="FFFF0000"/>
        <rFont val="Calibri"/>
        <scheme val="minor"/>
      </rPr>
      <t>) across all trackers and communication.</t>
    </r>
  </si>
  <si>
    <r>
      <t xml:space="preserve">If any data loss occurs during update, </t>
    </r>
    <r>
      <rPr>
        <b/>
        <sz val="11"/>
        <color rgb="FFFF0000"/>
        <rFont val="Calibri"/>
        <family val="2"/>
        <scheme val="minor"/>
      </rPr>
      <t>immediately inform</t>
    </r>
    <r>
      <rPr>
        <sz val="11"/>
        <color rgb="FFFF0000"/>
        <rFont val="Calibri"/>
        <family val="2"/>
        <scheme val="minor"/>
      </rPr>
      <t xml:space="preserve"> the concerned person and restore the data using the saved backup file.</t>
    </r>
  </si>
  <si>
    <t>Just download &amp; save in your systems date &amp; time wise</t>
  </si>
  <si>
    <t>Outstanding till date</t>
  </si>
  <si>
    <t>Ok</t>
  </si>
  <si>
    <t>Invoice No.</t>
  </si>
  <si>
    <t>Purchase Invoice No.</t>
  </si>
  <si>
    <t xml:space="preserve"> Taxable Amount </t>
  </si>
  <si>
    <t xml:space="preserve"> Resource Name </t>
  </si>
  <si>
    <t xml:space="preserve"> Paid </t>
  </si>
  <si>
    <t xml:space="preserve"> Net Payable </t>
  </si>
  <si>
    <t xml:space="preserve"> Remark </t>
  </si>
  <si>
    <t xml:space="preserve"> Hold Remark </t>
  </si>
  <si>
    <t>Billing Date</t>
  </si>
  <si>
    <t xml:space="preserve">                            -  </t>
  </si>
  <si>
    <t xml:space="preserve"> Adjust as FIFO </t>
  </si>
  <si>
    <t>Need to check</t>
  </si>
  <si>
    <t xml:space="preserve"> GST release 9 Aug </t>
  </si>
  <si>
    <t>Last year implementation cost  50K invoice</t>
  </si>
  <si>
    <t>Not up to date reconciliation issue</t>
  </si>
  <si>
    <t xml:space="preserve"> Credit note -1 issued </t>
  </si>
  <si>
    <t xml:space="preserve"> Credit Note Recd. From Vendor KCS/24-2025/057 (KCS/25-2026/CN003) </t>
  </si>
  <si>
    <t>KCS/24-2025/CN01</t>
  </si>
  <si>
    <t xml:space="preserve"> Credit Note Issue against 24-25 Invoice and after that the Invoice raise for the same in FY 25-26 </t>
  </si>
  <si>
    <t xml:space="preserve"> Payment release (Credit Note Issue against 24-25 Invoice and after that the Invoice raise for the same in FY 25-26) </t>
  </si>
  <si>
    <t xml:space="preserve"> Payment hold against short PT Margin </t>
  </si>
  <si>
    <t xml:space="preserve"> Against Short PT Margin </t>
  </si>
  <si>
    <t xml:space="preserve"> Payment to released on 15 July including in 1238803/- okay on teams </t>
  </si>
  <si>
    <t xml:space="preserve"> Hold due to not recd. From NTT </t>
  </si>
  <si>
    <t xml:space="preserve"> CTPL/25-26/504 </t>
  </si>
  <si>
    <t>CN/14/2025-26 (Against Invoice 195)</t>
  </si>
  <si>
    <t>Credit Note against invoice no .KCS/24-2025/056</t>
  </si>
  <si>
    <t>CTPL/25-26/506</t>
  </si>
  <si>
    <t xml:space="preserve"> (Saurav Controling 3Lakh + Sreedhar Katakam 3.25 Lakh) </t>
  </si>
  <si>
    <t>CTPL/25-26/511</t>
  </si>
  <si>
    <t>CTPL/25-26/507</t>
  </si>
  <si>
    <t xml:space="preserve"> Saurav Controling </t>
  </si>
  <si>
    <t>CN/22/2025-26 (Against Invoice 194)</t>
  </si>
  <si>
    <t>CTPL/25-26/505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</si>
</sst>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[$-409]d\-mmm\-yy;@"/>
    <numFmt numFmtId="167" formatCode="[$-409]d/mmm/yyyy;@"/>
  </numFmts>
  <fonts count="4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 Narrow"/>
    </font>
    <font>
      <b/>
      <sz val="11"/>
      <color theme="1"/>
      <name val="Aptos Narrow"/>
    </font>
    <font>
      <sz val="11"/>
      <color rgb="FF000000"/>
      <name val="Calibri"/>
      <scheme val="minor"/>
    </font>
    <font>
      <sz val="10"/>
      <color rgb="FF32363A"/>
      <name val="Calibri"/>
      <scheme val="minor"/>
    </font>
    <font>
      <sz val="10"/>
      <name val="Calibri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242424"/>
      <name val="Calibri"/>
      <scheme val="minor"/>
    </font>
    <font>
      <sz val="11"/>
      <name val="Aptos Narrow"/>
    </font>
    <font>
      <sz val="11"/>
      <color rgb="FFFF0000"/>
      <name val="Aptos Narrow"/>
    </font>
    <font>
      <sz val="11"/>
      <color rgb="FF242424"/>
      <name val="Aptos Narrow"/>
    </font>
    <font>
      <sz val="10"/>
      <color rgb="FF000000"/>
      <name val="Calibri"/>
      <family val="2"/>
      <scheme val="minor"/>
    </font>
    <font>
      <sz val="11"/>
      <name val="Aptos Narrow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sz val="11"/>
      <color rgb="FFFF0000"/>
      <name val="Calibri"/>
      <scheme val="minor"/>
    </font>
    <font>
      <i/>
      <sz val="11"/>
      <color rgb="FFFF0000"/>
      <name val="Calibri"/>
      <scheme val="minor"/>
    </font>
    <font>
      <b/>
      <sz val="11"/>
      <color rgb="FFFF0000"/>
      <name val="Calibri"/>
      <family val="2"/>
      <scheme val="minor"/>
    </font>
    <font>
      <b/>
      <sz val="11"/>
      <color rgb="FF3F3F3F"/>
      <name val="Calibri"/>
      <scheme val="minor"/>
    </font>
    <font>
      <sz val="11"/>
      <color rgb="FFFF0000"/>
      <name val="Calibri"/>
      <family val="2"/>
    </font>
    <font>
      <sz val="11"/>
      <color rgb="FFFF0000"/>
      <name val="Aptos Narrow"/>
      <family val="2"/>
    </font>
    <font>
      <sz val="11"/>
      <color rgb="FF1D2D3E"/>
      <name val="Aptos Narrow"/>
      <family val="2"/>
    </font>
    <font>
      <b/>
      <sz val="11"/>
      <color rgb="FFFF0000"/>
      <name val="Aptos Narrow"/>
    </font>
    <font>
      <sz val="11"/>
      <color rgb="FF32363A"/>
      <name val="Aptos Narrow"/>
      <family val="2"/>
    </font>
    <font>
      <b/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EE0000"/>
      <name val="Calibri"/>
      <family val="2"/>
    </font>
    <font>
      <sz val="11"/>
      <name val="Calibri"/>
      <family val="2"/>
    </font>
    <font>
      <sz val="11"/>
      <color rgb="FF242424"/>
      <name val="Aptos Narrow"/>
      <charset val="1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E3C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9" fillId="8" borderId="5" applyNumberFormat="0" applyAlignment="0" applyProtection="0"/>
  </cellStyleXfs>
  <cellXfs count="317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65" fontId="0" fillId="0" borderId="0" xfId="0" applyNumberFormat="1"/>
    <xf numFmtId="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1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15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15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5" fillId="0" borderId="1" xfId="0" applyFont="1" applyBorder="1"/>
    <xf numFmtId="15" fontId="0" fillId="0" borderId="0" xfId="0" applyNumberFormat="1" applyAlignment="1">
      <alignment horizontal="center" vertical="center"/>
    </xf>
    <xf numFmtId="164" fontId="0" fillId="0" borderId="0" xfId="0" applyNumberFormat="1"/>
    <xf numFmtId="166" fontId="0" fillId="0" borderId="0" xfId="0" applyNumberFormat="1"/>
    <xf numFmtId="0" fontId="14" fillId="0" borderId="0" xfId="0" applyFont="1"/>
    <xf numFmtId="0" fontId="12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165" fontId="14" fillId="0" borderId="0" xfId="0" applyNumberFormat="1" applyFont="1"/>
    <xf numFmtId="0" fontId="14" fillId="0" borderId="2" xfId="0" applyFont="1" applyBorder="1" applyAlignment="1">
      <alignment horizontal="left"/>
    </xf>
    <xf numFmtId="165" fontId="14" fillId="0" borderId="2" xfId="0" applyNumberFormat="1" applyFont="1" applyBorder="1" applyAlignment="1">
      <alignment horizontal="left"/>
    </xf>
    <xf numFmtId="9" fontId="14" fillId="0" borderId="2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4" fillId="0" borderId="2" xfId="1" applyFont="1" applyBorder="1" applyAlignment="1">
      <alignment horizontal="left"/>
    </xf>
    <xf numFmtId="0" fontId="15" fillId="5" borderId="2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left" vertical="center" wrapText="1" indent="1"/>
    </xf>
    <xf numFmtId="164" fontId="4" fillId="0" borderId="2" xfId="0" applyNumberFormat="1" applyFont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4" fillId="0" borderId="2" xfId="0" applyFont="1" applyBorder="1" applyAlignment="1">
      <alignment horizontal="left" vertical="center"/>
    </xf>
    <xf numFmtId="164" fontId="0" fillId="0" borderId="2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0" fontId="0" fillId="0" borderId="2" xfId="0" applyNumberFormat="1" applyBorder="1" applyAlignment="1">
      <alignment horizontal="left"/>
    </xf>
    <xf numFmtId="0" fontId="7" fillId="0" borderId="2" xfId="0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8" fillId="5" borderId="2" xfId="0" applyFont="1" applyFill="1" applyBorder="1" applyAlignment="1">
      <alignment horizontal="left" wrapText="1"/>
    </xf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10" fontId="4" fillId="0" borderId="2" xfId="0" applyNumberFormat="1" applyFont="1" applyBorder="1" applyAlignment="1">
      <alignment horizontal="left" vertical="center" wrapText="1" indent="1"/>
    </xf>
    <xf numFmtId="10" fontId="0" fillId="0" borderId="0" xfId="0" applyNumberFormat="1" applyAlignment="1">
      <alignment horizontal="left"/>
    </xf>
    <xf numFmtId="0" fontId="0" fillId="6" borderId="2" xfId="0" applyFill="1" applyBorder="1" applyAlignment="1">
      <alignment horizontal="left"/>
    </xf>
    <xf numFmtId="164" fontId="0" fillId="6" borderId="2" xfId="0" applyNumberFormat="1" applyFill="1" applyBorder="1" applyAlignment="1">
      <alignment horizontal="left"/>
    </xf>
    <xf numFmtId="10" fontId="0" fillId="6" borderId="2" xfId="0" applyNumberFormat="1" applyFill="1" applyBorder="1" applyAlignment="1">
      <alignment horizontal="left"/>
    </xf>
    <xf numFmtId="164" fontId="7" fillId="0" borderId="0" xfId="0" applyNumberFormat="1" applyFont="1"/>
    <xf numFmtId="0" fontId="2" fillId="0" borderId="1" xfId="0" applyFont="1" applyBorder="1"/>
    <xf numFmtId="0" fontId="4" fillId="0" borderId="0" xfId="0" applyFont="1"/>
    <xf numFmtId="164" fontId="22" fillId="0" borderId="2" xfId="0" applyNumberFormat="1" applyFont="1" applyBorder="1" applyAlignment="1">
      <alignment horizontal="left"/>
    </xf>
    <xf numFmtId="0" fontId="0" fillId="0" borderId="0" xfId="0" applyAlignment="1">
      <alignment wrapText="1"/>
    </xf>
    <xf numFmtId="0" fontId="23" fillId="0" borderId="0" xfId="0" applyFont="1"/>
    <xf numFmtId="15" fontId="23" fillId="0" borderId="0" xfId="0" applyNumberFormat="1" applyFont="1"/>
    <xf numFmtId="9" fontId="7" fillId="0" borderId="2" xfId="0" applyNumberFormat="1" applyFont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165" fontId="8" fillId="2" borderId="2" xfId="0" applyNumberFormat="1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9" fontId="8" fillId="2" borderId="2" xfId="0" applyNumberFormat="1" applyFont="1" applyFill="1" applyBorder="1" applyAlignment="1">
      <alignment horizontal="left"/>
    </xf>
    <xf numFmtId="164" fontId="7" fillId="0" borderId="0" xfId="0" applyNumberFormat="1" applyFont="1" applyAlignment="1">
      <alignment horizontal="right"/>
    </xf>
    <xf numFmtId="0" fontId="0" fillId="0" borderId="2" xfId="0" applyBorder="1"/>
    <xf numFmtId="0" fontId="23" fillId="0" borderId="2" xfId="0" applyFont="1" applyBorder="1" applyAlignment="1">
      <alignment horizontal="left"/>
    </xf>
    <xf numFmtId="164" fontId="23" fillId="0" borderId="2" xfId="0" applyNumberFormat="1" applyFont="1" applyBorder="1" applyAlignment="1">
      <alignment horizontal="left"/>
    </xf>
    <xf numFmtId="10" fontId="23" fillId="0" borderId="2" xfId="0" applyNumberFormat="1" applyFont="1" applyBorder="1" applyAlignment="1">
      <alignment horizontal="left"/>
    </xf>
    <xf numFmtId="0" fontId="23" fillId="0" borderId="0" xfId="0" applyFont="1" applyAlignment="1">
      <alignment horizontal="left"/>
    </xf>
    <xf numFmtId="0" fontId="22" fillId="0" borderId="2" xfId="0" applyFont="1" applyBorder="1" applyAlignment="1">
      <alignment horizontal="left"/>
    </xf>
    <xf numFmtId="10" fontId="22" fillId="0" borderId="2" xfId="0" applyNumberFormat="1" applyFont="1" applyBorder="1" applyAlignment="1">
      <alignment horizontal="left"/>
    </xf>
    <xf numFmtId="0" fontId="9" fillId="0" borderId="0" xfId="0" applyFont="1"/>
    <xf numFmtId="15" fontId="0" fillId="0" borderId="0" xfId="0" applyNumberFormat="1"/>
    <xf numFmtId="0" fontId="25" fillId="0" borderId="0" xfId="0" applyFont="1"/>
    <xf numFmtId="164" fontId="0" fillId="0" borderId="3" xfId="0" applyNumberFormat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10" fontId="0" fillId="0" borderId="3" xfId="0" applyNumberFormat="1" applyBorder="1" applyAlignment="1">
      <alignment horizontal="left" vertical="center" wrapText="1" indent="1"/>
    </xf>
    <xf numFmtId="0" fontId="5" fillId="7" borderId="2" xfId="0" applyFont="1" applyFill="1" applyBorder="1" applyAlignment="1">
      <alignment horizontal="left"/>
    </xf>
    <xf numFmtId="10" fontId="0" fillId="0" borderId="0" xfId="0" applyNumberFormat="1"/>
    <xf numFmtId="0" fontId="29" fillId="8" borderId="2" xfId="2" applyBorder="1" applyAlignment="1">
      <alignment horizontal="center" vertical="center" wrapText="1"/>
    </xf>
    <xf numFmtId="166" fontId="29" fillId="8" borderId="2" xfId="2" applyNumberFormat="1" applyBorder="1" applyAlignment="1">
      <alignment horizontal="center" vertical="center" wrapText="1"/>
    </xf>
    <xf numFmtId="10" fontId="29" fillId="8" borderId="2" xfId="2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7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15" fontId="2" fillId="0" borderId="2" xfId="0" applyNumberFormat="1" applyFont="1" applyBorder="1"/>
    <xf numFmtId="0" fontId="7" fillId="0" borderId="2" xfId="0" applyFont="1" applyBorder="1"/>
    <xf numFmtId="164" fontId="7" fillId="0" borderId="2" xfId="0" applyNumberFormat="1" applyFont="1" applyBorder="1"/>
    <xf numFmtId="165" fontId="7" fillId="0" borderId="2" xfId="0" applyNumberFormat="1" applyFont="1" applyBorder="1"/>
    <xf numFmtId="15" fontId="3" fillId="0" borderId="2" xfId="0" applyNumberFormat="1" applyFont="1" applyBorder="1"/>
    <xf numFmtId="0" fontId="7" fillId="3" borderId="2" xfId="0" applyFont="1" applyFill="1" applyBorder="1"/>
    <xf numFmtId="164" fontId="7" fillId="3" borderId="2" xfId="0" applyNumberFormat="1" applyFont="1" applyFill="1" applyBorder="1"/>
    <xf numFmtId="0" fontId="3" fillId="0" borderId="2" xfId="0" applyFont="1" applyBorder="1"/>
    <xf numFmtId="49" fontId="3" fillId="0" borderId="2" xfId="0" quotePrefix="1" applyNumberFormat="1" applyFont="1" applyBorder="1"/>
    <xf numFmtId="164" fontId="3" fillId="0" borderId="2" xfId="0" applyNumberFormat="1" applyFont="1" applyBorder="1"/>
    <xf numFmtId="3" fontId="3" fillId="0" borderId="2" xfId="0" applyNumberFormat="1" applyFont="1" applyBorder="1"/>
    <xf numFmtId="0" fontId="9" fillId="0" borderId="2" xfId="0" applyFont="1" applyBorder="1"/>
    <xf numFmtId="17" fontId="3" fillId="0" borderId="2" xfId="0" quotePrefix="1" applyNumberFormat="1" applyFont="1" applyBorder="1"/>
    <xf numFmtId="0" fontId="3" fillId="0" borderId="2" xfId="0" quotePrefix="1" applyFont="1" applyBorder="1"/>
    <xf numFmtId="4" fontId="3" fillId="0" borderId="2" xfId="0" applyNumberFormat="1" applyFont="1" applyBorder="1"/>
    <xf numFmtId="0" fontId="17" fillId="0" borderId="2" xfId="0" applyFont="1" applyBorder="1"/>
    <xf numFmtId="0" fontId="31" fillId="0" borderId="1" xfId="0" applyFont="1" applyBorder="1"/>
    <xf numFmtId="164" fontId="17" fillId="0" borderId="2" xfId="0" applyNumberFormat="1" applyFont="1" applyBorder="1"/>
    <xf numFmtId="165" fontId="17" fillId="0" borderId="2" xfId="0" applyNumberFormat="1" applyFont="1" applyBorder="1"/>
    <xf numFmtId="4" fontId="17" fillId="0" borderId="2" xfId="0" applyNumberFormat="1" applyFont="1" applyBorder="1"/>
    <xf numFmtId="0" fontId="18" fillId="5" borderId="2" xfId="0" applyFont="1" applyFill="1" applyBorder="1" applyAlignment="1">
      <alignment wrapText="1"/>
    </xf>
    <xf numFmtId="0" fontId="12" fillId="0" borderId="2" xfId="0" applyFont="1" applyBorder="1"/>
    <xf numFmtId="0" fontId="14" fillId="0" borderId="2" xfId="0" applyFont="1" applyBorder="1"/>
    <xf numFmtId="164" fontId="9" fillId="0" borderId="2" xfId="0" applyNumberFormat="1" applyFont="1" applyBorder="1"/>
    <xf numFmtId="49" fontId="9" fillId="0" borderId="2" xfId="0" quotePrefix="1" applyNumberFormat="1" applyFont="1" applyBorder="1"/>
    <xf numFmtId="0" fontId="5" fillId="0" borderId="4" xfId="0" applyFont="1" applyBorder="1"/>
    <xf numFmtId="0" fontId="26" fillId="0" borderId="2" xfId="0" applyFont="1" applyBorder="1"/>
    <xf numFmtId="164" fontId="26" fillId="0" borderId="2" xfId="0" applyNumberFormat="1" applyFont="1" applyBorder="1"/>
    <xf numFmtId="0" fontId="30" fillId="0" borderId="4" xfId="0" applyFont="1" applyBorder="1"/>
    <xf numFmtId="164" fontId="22" fillId="0" borderId="2" xfId="0" applyNumberFormat="1" applyFont="1" applyBorder="1"/>
    <xf numFmtId="1" fontId="9" fillId="0" borderId="2" xfId="0" applyNumberFormat="1" applyFont="1" applyBorder="1"/>
    <xf numFmtId="0" fontId="21" fillId="0" borderId="2" xfId="0" applyFont="1" applyBorder="1"/>
    <xf numFmtId="15" fontId="21" fillId="0" borderId="2" xfId="0" applyNumberFormat="1" applyFont="1" applyBorder="1"/>
    <xf numFmtId="164" fontId="21" fillId="0" borderId="2" xfId="0" applyNumberFormat="1" applyFont="1" applyBorder="1"/>
    <xf numFmtId="164" fontId="0" fillId="0" borderId="2" xfId="0" applyNumberFormat="1" applyBorder="1"/>
    <xf numFmtId="49" fontId="3" fillId="9" borderId="2" xfId="0" quotePrefix="1" applyNumberFormat="1" applyFont="1" applyFill="1" applyBorder="1" applyAlignment="1">
      <alignment horizontal="left"/>
    </xf>
    <xf numFmtId="166" fontId="0" fillId="9" borderId="2" xfId="0" applyNumberFormat="1" applyFill="1" applyBorder="1"/>
    <xf numFmtId="0" fontId="0" fillId="9" borderId="2" xfId="0" applyFill="1" applyBorder="1"/>
    <xf numFmtId="0" fontId="2" fillId="9" borderId="2" xfId="0" applyFont="1" applyFill="1" applyBorder="1"/>
    <xf numFmtId="15" fontId="2" fillId="9" borderId="2" xfId="0" applyNumberFormat="1" applyFont="1" applyFill="1" applyBorder="1"/>
    <xf numFmtId="4" fontId="2" fillId="9" borderId="2" xfId="0" applyNumberFormat="1" applyFont="1" applyFill="1" applyBorder="1"/>
    <xf numFmtId="3" fontId="2" fillId="9" borderId="2" xfId="0" applyNumberFormat="1" applyFont="1" applyFill="1" applyBorder="1"/>
    <xf numFmtId="0" fontId="5" fillId="9" borderId="2" xfId="0" applyFont="1" applyFill="1" applyBorder="1"/>
    <xf numFmtId="15" fontId="5" fillId="9" borderId="2" xfId="0" applyNumberFormat="1" applyFont="1" applyFill="1" applyBorder="1"/>
    <xf numFmtId="4" fontId="5" fillId="9" borderId="2" xfId="0" applyNumberFormat="1" applyFont="1" applyFill="1" applyBorder="1"/>
    <xf numFmtId="0" fontId="3" fillId="9" borderId="2" xfId="0" applyFont="1" applyFill="1" applyBorder="1"/>
    <xf numFmtId="15" fontId="3" fillId="9" borderId="2" xfId="0" applyNumberFormat="1" applyFont="1" applyFill="1" applyBorder="1"/>
    <xf numFmtId="4" fontId="3" fillId="9" borderId="2" xfId="0" applyNumberFormat="1" applyFont="1" applyFill="1" applyBorder="1"/>
    <xf numFmtId="3" fontId="3" fillId="9" borderId="2" xfId="0" applyNumberFormat="1" applyFont="1" applyFill="1" applyBorder="1"/>
    <xf numFmtId="0" fontId="21" fillId="9" borderId="2" xfId="0" applyFont="1" applyFill="1" applyBorder="1"/>
    <xf numFmtId="15" fontId="21" fillId="9" borderId="2" xfId="0" applyNumberFormat="1" applyFont="1" applyFill="1" applyBorder="1"/>
    <xf numFmtId="4" fontId="21" fillId="9" borderId="2" xfId="0" applyNumberFormat="1" applyFont="1" applyFill="1" applyBorder="1"/>
    <xf numFmtId="0" fontId="2" fillId="9" borderId="2" xfId="0" applyFont="1" applyFill="1" applyBorder="1" applyAlignment="1">
      <alignment horizontal="left"/>
    </xf>
    <xf numFmtId="165" fontId="14" fillId="0" borderId="2" xfId="0" applyNumberFormat="1" applyFont="1" applyBorder="1"/>
    <xf numFmtId="3" fontId="2" fillId="0" borderId="2" xfId="0" applyNumberFormat="1" applyFont="1" applyBorder="1"/>
    <xf numFmtId="0" fontId="9" fillId="0" borderId="3" xfId="0" applyFont="1" applyBorder="1"/>
    <xf numFmtId="164" fontId="9" fillId="0" borderId="3" xfId="0" applyNumberFormat="1" applyFont="1" applyBorder="1"/>
    <xf numFmtId="164" fontId="9" fillId="0" borderId="6" xfId="0" applyNumberFormat="1" applyFont="1" applyBorder="1"/>
    <xf numFmtId="0" fontId="9" fillId="0" borderId="6" xfId="0" applyFont="1" applyBorder="1"/>
    <xf numFmtId="0" fontId="0" fillId="0" borderId="6" xfId="0" applyBorder="1"/>
    <xf numFmtId="0" fontId="3" fillId="0" borderId="6" xfId="0" applyFont="1" applyBorder="1"/>
    <xf numFmtId="164" fontId="0" fillId="0" borderId="6" xfId="0" applyNumberFormat="1" applyBorder="1"/>
    <xf numFmtId="164" fontId="22" fillId="0" borderId="6" xfId="0" applyNumberFormat="1" applyFont="1" applyBorder="1"/>
    <xf numFmtId="1" fontId="3" fillId="0" borderId="2" xfId="0" applyNumberFormat="1" applyFont="1" applyBorder="1" applyAlignment="1">
      <alignment horizontal="left"/>
    </xf>
    <xf numFmtId="164" fontId="9" fillId="0" borderId="6" xfId="0" applyNumberFormat="1" applyFont="1" applyBorder="1" applyAlignment="1">
      <alignment horizontal="left"/>
    </xf>
    <xf numFmtId="164" fontId="9" fillId="0" borderId="2" xfId="0" applyNumberFormat="1" applyFont="1" applyBorder="1" applyAlignment="1">
      <alignment horizontal="left"/>
    </xf>
    <xf numFmtId="0" fontId="31" fillId="0" borderId="2" xfId="0" applyFont="1" applyBorder="1"/>
    <xf numFmtId="0" fontId="20" fillId="0" borderId="2" xfId="0" applyFont="1" applyBorder="1"/>
    <xf numFmtId="0" fontId="9" fillId="0" borderId="2" xfId="0" applyFont="1" applyBorder="1" applyAlignment="1">
      <alignment horizontal="left"/>
    </xf>
    <xf numFmtId="0" fontId="7" fillId="0" borderId="2" xfId="0" quotePrefix="1" applyFont="1" applyBorder="1" applyAlignment="1">
      <alignment horizontal="left"/>
    </xf>
    <xf numFmtId="0" fontId="7" fillId="0" borderId="2" xfId="0" quotePrefix="1" applyFont="1" applyBorder="1"/>
    <xf numFmtId="0" fontId="5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49" fontId="9" fillId="0" borderId="3" xfId="0" quotePrefix="1" applyNumberFormat="1" applyFont="1" applyBorder="1"/>
    <xf numFmtId="0" fontId="7" fillId="0" borderId="3" xfId="0" applyFont="1" applyBorder="1"/>
    <xf numFmtId="0" fontId="3" fillId="0" borderId="3" xfId="0" applyFont="1" applyBorder="1"/>
    <xf numFmtId="164" fontId="0" fillId="0" borderId="3" xfId="0" applyNumberFormat="1" applyBorder="1"/>
    <xf numFmtId="164" fontId="22" fillId="0" borderId="3" xfId="0" applyNumberFormat="1" applyFont="1" applyBorder="1"/>
    <xf numFmtId="0" fontId="0" fillId="0" borderId="3" xfId="0" applyBorder="1"/>
    <xf numFmtId="0" fontId="21" fillId="0" borderId="6" xfId="0" applyFont="1" applyBorder="1"/>
    <xf numFmtId="164" fontId="21" fillId="0" borderId="6" xfId="0" applyNumberFormat="1" applyFont="1" applyBorder="1"/>
    <xf numFmtId="10" fontId="5" fillId="10" borderId="2" xfId="0" applyNumberFormat="1" applyFont="1" applyFill="1" applyBorder="1"/>
    <xf numFmtId="49" fontId="3" fillId="9" borderId="3" xfId="0" quotePrefix="1" applyNumberFormat="1" applyFont="1" applyFill="1" applyBorder="1"/>
    <xf numFmtId="15" fontId="3" fillId="9" borderId="3" xfId="0" applyNumberFormat="1" applyFont="1" applyFill="1" applyBorder="1"/>
    <xf numFmtId="4" fontId="3" fillId="9" borderId="3" xfId="0" applyNumberFormat="1" applyFont="1" applyFill="1" applyBorder="1"/>
    <xf numFmtId="3" fontId="3" fillId="9" borderId="3" xfId="0" applyNumberFormat="1" applyFont="1" applyFill="1" applyBorder="1"/>
    <xf numFmtId="0" fontId="5" fillId="9" borderId="3" xfId="0" applyFont="1" applyFill="1" applyBorder="1"/>
    <xf numFmtId="0" fontId="21" fillId="9" borderId="3" xfId="0" applyFont="1" applyFill="1" applyBorder="1"/>
    <xf numFmtId="15" fontId="21" fillId="9" borderId="3" xfId="0" applyNumberFormat="1" applyFont="1" applyFill="1" applyBorder="1"/>
    <xf numFmtId="4" fontId="21" fillId="9" borderId="3" xfId="0" applyNumberFormat="1" applyFont="1" applyFill="1" applyBorder="1"/>
    <xf numFmtId="10" fontId="5" fillId="9" borderId="3" xfId="0" applyNumberFormat="1" applyFont="1" applyFill="1" applyBorder="1"/>
    <xf numFmtId="0" fontId="20" fillId="0" borderId="1" xfId="0" applyFont="1" applyBorder="1"/>
    <xf numFmtId="3" fontId="2" fillId="0" borderId="1" xfId="0" applyNumberFormat="1" applyFont="1" applyBorder="1"/>
    <xf numFmtId="0" fontId="33" fillId="0" borderId="2" xfId="0" applyFont="1" applyBorder="1"/>
    <xf numFmtId="10" fontId="5" fillId="9" borderId="2" xfId="0" applyNumberFormat="1" applyFont="1" applyFill="1" applyBorder="1"/>
    <xf numFmtId="4" fontId="21" fillId="0" borderId="2" xfId="0" applyNumberFormat="1" applyFont="1" applyBorder="1"/>
    <xf numFmtId="0" fontId="3" fillId="9" borderId="3" xfId="0" applyFont="1" applyFill="1" applyBorder="1" applyAlignment="1">
      <alignment horizontal="left"/>
    </xf>
    <xf numFmtId="0" fontId="3" fillId="9" borderId="3" xfId="0" applyFont="1" applyFill="1" applyBorder="1"/>
    <xf numFmtId="0" fontId="23" fillId="11" borderId="2" xfId="0" applyFont="1" applyFill="1" applyBorder="1"/>
    <xf numFmtId="49" fontId="7" fillId="0" borderId="2" xfId="0" quotePrefix="1" applyNumberFormat="1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164" fontId="7" fillId="0" borderId="7" xfId="0" applyNumberFormat="1" applyFont="1" applyBorder="1"/>
    <xf numFmtId="165" fontId="7" fillId="0" borderId="7" xfId="0" applyNumberFormat="1" applyFont="1" applyBorder="1"/>
    <xf numFmtId="0" fontId="12" fillId="0" borderId="3" xfId="0" applyFont="1" applyBorder="1"/>
    <xf numFmtId="0" fontId="14" fillId="0" borderId="3" xfId="0" applyFont="1" applyBorder="1"/>
    <xf numFmtId="0" fontId="2" fillId="0" borderId="3" xfId="0" applyFont="1" applyBorder="1"/>
    <xf numFmtId="3" fontId="2" fillId="0" borderId="3" xfId="0" applyNumberFormat="1" applyFont="1" applyBorder="1"/>
    <xf numFmtId="164" fontId="7" fillId="0" borderId="3" xfId="0" applyNumberFormat="1" applyFont="1" applyBorder="1"/>
    <xf numFmtId="165" fontId="7" fillId="0" borderId="3" xfId="0" applyNumberFormat="1" applyFont="1" applyBorder="1"/>
    <xf numFmtId="164" fontId="7" fillId="0" borderId="2" xfId="0" applyNumberFormat="1" applyFont="1" applyBorder="1" applyAlignment="1">
      <alignment horizontal="right"/>
    </xf>
    <xf numFmtId="165" fontId="7" fillId="0" borderId="8" xfId="0" applyNumberFormat="1" applyFont="1" applyBorder="1"/>
    <xf numFmtId="4" fontId="17" fillId="0" borderId="9" xfId="0" applyNumberFormat="1" applyFont="1" applyBorder="1"/>
    <xf numFmtId="0" fontId="17" fillId="0" borderId="3" xfId="0" applyFont="1" applyBorder="1"/>
    <xf numFmtId="0" fontId="23" fillId="0" borderId="3" xfId="0" applyFont="1" applyBorder="1"/>
    <xf numFmtId="0" fontId="2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4" fillId="0" borderId="2" xfId="0" applyFont="1" applyBorder="1"/>
    <xf numFmtId="0" fontId="13" fillId="2" borderId="3" xfId="0" applyFont="1" applyFill="1" applyBorder="1" applyAlignment="1">
      <alignment horizontal="left"/>
    </xf>
    <xf numFmtId="165" fontId="13" fillId="2" borderId="3" xfId="0" applyNumberFormat="1" applyFont="1" applyFill="1" applyBorder="1" applyAlignment="1">
      <alignment horizontal="left"/>
    </xf>
    <xf numFmtId="0" fontId="9" fillId="0" borderId="10" xfId="0" applyFont="1" applyBorder="1"/>
    <xf numFmtId="0" fontId="3" fillId="0" borderId="10" xfId="0" applyFont="1" applyBorder="1"/>
    <xf numFmtId="164" fontId="0" fillId="0" borderId="10" xfId="0" applyNumberFormat="1" applyBorder="1"/>
    <xf numFmtId="164" fontId="22" fillId="0" borderId="10" xfId="0" applyNumberFormat="1" applyFont="1" applyBorder="1"/>
    <xf numFmtId="0" fontId="0" fillId="0" borderId="10" xfId="0" applyBorder="1"/>
    <xf numFmtId="0" fontId="5" fillId="0" borderId="6" xfId="0" applyFont="1" applyBorder="1"/>
    <xf numFmtId="0" fontId="2" fillId="0" borderId="10" xfId="0" applyFont="1" applyBorder="1"/>
    <xf numFmtId="164" fontId="9" fillId="0" borderId="10" xfId="0" applyNumberFormat="1" applyFont="1" applyBorder="1"/>
    <xf numFmtId="1" fontId="9" fillId="0" borderId="10" xfId="0" applyNumberFormat="1" applyFont="1" applyBorder="1" applyAlignment="1">
      <alignment horizontal="left"/>
    </xf>
    <xf numFmtId="0" fontId="35" fillId="12" borderId="1" xfId="0" applyFont="1" applyFill="1" applyBorder="1"/>
    <xf numFmtId="0" fontId="35" fillId="12" borderId="11" xfId="0" applyFont="1" applyFill="1" applyBorder="1"/>
    <xf numFmtId="0" fontId="35" fillId="13" borderId="11" xfId="0" applyFont="1" applyFill="1" applyBorder="1"/>
    <xf numFmtId="0" fontId="5" fillId="13" borderId="4" xfId="0" applyFont="1" applyFill="1" applyBorder="1"/>
    <xf numFmtId="0" fontId="5" fillId="13" borderId="12" xfId="0" applyFont="1" applyFill="1" applyBorder="1"/>
    <xf numFmtId="4" fontId="5" fillId="13" borderId="12" xfId="0" applyNumberFormat="1" applyFont="1" applyFill="1" applyBorder="1"/>
    <xf numFmtId="15" fontId="5" fillId="13" borderId="12" xfId="0" applyNumberFormat="1" applyFont="1" applyFill="1" applyBorder="1"/>
    <xf numFmtId="0" fontId="36" fillId="14" borderId="1" xfId="0" applyFont="1" applyFill="1" applyBorder="1"/>
    <xf numFmtId="0" fontId="35" fillId="13" borderId="12" xfId="0" applyFont="1" applyFill="1" applyBorder="1"/>
    <xf numFmtId="0" fontId="5" fillId="15" borderId="12" xfId="0" applyFont="1" applyFill="1" applyBorder="1"/>
    <xf numFmtId="4" fontId="5" fillId="15" borderId="12" xfId="0" applyNumberFormat="1" applyFont="1" applyFill="1" applyBorder="1"/>
    <xf numFmtId="15" fontId="5" fillId="15" borderId="12" xfId="0" applyNumberFormat="1" applyFont="1" applyFill="1" applyBorder="1"/>
    <xf numFmtId="0" fontId="5" fillId="15" borderId="4" xfId="0" applyFont="1" applyFill="1" applyBorder="1"/>
    <xf numFmtId="0" fontId="37" fillId="0" borderId="12" xfId="0" applyFont="1" applyBorder="1"/>
    <xf numFmtId="4" fontId="37" fillId="0" borderId="12" xfId="0" applyNumberFormat="1" applyFont="1" applyBorder="1"/>
    <xf numFmtId="15" fontId="37" fillId="0" borderId="12" xfId="0" applyNumberFormat="1" applyFont="1" applyBorder="1"/>
    <xf numFmtId="0" fontId="38" fillId="13" borderId="12" xfId="0" applyFont="1" applyFill="1" applyBorder="1"/>
    <xf numFmtId="4" fontId="38" fillId="13" borderId="12" xfId="0" applyNumberFormat="1" applyFont="1" applyFill="1" applyBorder="1"/>
    <xf numFmtId="15" fontId="38" fillId="13" borderId="12" xfId="0" applyNumberFormat="1" applyFont="1" applyFill="1" applyBorder="1"/>
    <xf numFmtId="0" fontId="5" fillId="0" borderId="12" xfId="0" applyFont="1" applyBorder="1"/>
    <xf numFmtId="4" fontId="5" fillId="0" borderId="12" xfId="0" applyNumberFormat="1" applyFont="1" applyBorder="1"/>
    <xf numFmtId="0" fontId="36" fillId="14" borderId="4" xfId="0" applyFont="1" applyFill="1" applyBorder="1"/>
    <xf numFmtId="0" fontId="5" fillId="16" borderId="12" xfId="0" applyFont="1" applyFill="1" applyBorder="1"/>
    <xf numFmtId="4" fontId="5" fillId="16" borderId="12" xfId="0" applyNumberFormat="1" applyFont="1" applyFill="1" applyBorder="1"/>
    <xf numFmtId="15" fontId="5" fillId="16" borderId="12" xfId="0" applyNumberFormat="1" applyFont="1" applyFill="1" applyBorder="1"/>
    <xf numFmtId="0" fontId="30" fillId="0" borderId="12" xfId="0" applyFont="1" applyBorder="1"/>
    <xf numFmtId="4" fontId="30" fillId="0" borderId="12" xfId="0" applyNumberFormat="1" applyFont="1" applyBorder="1"/>
    <xf numFmtId="0" fontId="5" fillId="16" borderId="4" xfId="0" applyFont="1" applyFill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1" fillId="0" borderId="0" xfId="0" applyFont="1"/>
    <xf numFmtId="0" fontId="7" fillId="3" borderId="2" xfId="0" applyFont="1" applyFill="1" applyBorder="1" applyAlignment="1">
      <alignment horizontal="center" wrapText="1"/>
    </xf>
    <xf numFmtId="9" fontId="8" fillId="2" borderId="2" xfId="0" applyNumberFormat="1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left"/>
    </xf>
    <xf numFmtId="165" fontId="7" fillId="6" borderId="2" xfId="0" applyNumberFormat="1" applyFont="1" applyFill="1" applyBorder="1" applyAlignment="1">
      <alignment horizontal="left"/>
    </xf>
    <xf numFmtId="10" fontId="7" fillId="6" borderId="2" xfId="0" applyNumberFormat="1" applyFont="1" applyFill="1" applyBorder="1" applyAlignment="1">
      <alignment horizontal="left"/>
    </xf>
    <xf numFmtId="0" fontId="39" fillId="0" borderId="0" xfId="0" applyFont="1"/>
    <xf numFmtId="0" fontId="1" fillId="0" borderId="3" xfId="0" applyFont="1" applyBorder="1"/>
    <xf numFmtId="164" fontId="1" fillId="0" borderId="3" xfId="0" applyNumberFormat="1" applyFont="1" applyBorder="1"/>
    <xf numFmtId="0" fontId="1" fillId="0" borderId="2" xfId="0" applyFont="1" applyBorder="1"/>
    <xf numFmtId="164" fontId="1" fillId="0" borderId="2" xfId="0" applyNumberFormat="1" applyFont="1" applyBorder="1"/>
    <xf numFmtId="164" fontId="1" fillId="0" borderId="2" xfId="0" applyNumberFormat="1" applyFont="1" applyBorder="1" applyAlignment="1">
      <alignment horizontal="left"/>
    </xf>
    <xf numFmtId="0" fontId="1" fillId="0" borderId="6" xfId="0" applyFont="1" applyBorder="1"/>
    <xf numFmtId="164" fontId="1" fillId="0" borderId="6" xfId="0" applyNumberFormat="1" applyFont="1" applyBorder="1"/>
    <xf numFmtId="0" fontId="1" fillId="0" borderId="10" xfId="0" applyFont="1" applyBorder="1"/>
    <xf numFmtId="165" fontId="14" fillId="0" borderId="2" xfId="0" applyNumberFormat="1" applyFont="1" applyBorder="1" applyAlignment="1"/>
    <xf numFmtId="3" fontId="11" fillId="0" borderId="2" xfId="0" applyNumberFormat="1" applyFont="1" applyBorder="1" applyAlignment="1"/>
    <xf numFmtId="3" fontId="10" fillId="0" borderId="2" xfId="0" applyNumberFormat="1" applyFont="1" applyBorder="1" applyAlignment="1"/>
    <xf numFmtId="4" fontId="12" fillId="0" borderId="2" xfId="0" applyNumberFormat="1" applyFont="1" applyBorder="1" applyAlignment="1"/>
    <xf numFmtId="3" fontId="12" fillId="0" borderId="2" xfId="0" applyNumberFormat="1" applyFont="1" applyBorder="1" applyAlignment="1"/>
    <xf numFmtId="3" fontId="11" fillId="0" borderId="2" xfId="0" applyNumberFormat="1" applyFont="1" applyBorder="1" applyAlignment="1">
      <alignment wrapText="1"/>
    </xf>
    <xf numFmtId="3" fontId="5" fillId="0" borderId="2" xfId="0" applyNumberFormat="1" applyFont="1" applyBorder="1" applyAlignment="1"/>
    <xf numFmtId="3" fontId="2" fillId="0" borderId="2" xfId="0" applyNumberFormat="1" applyFont="1" applyBorder="1" applyAlignment="1"/>
    <xf numFmtId="167" fontId="13" fillId="2" borderId="3" xfId="0" applyNumberFormat="1" applyFont="1" applyFill="1" applyBorder="1" applyAlignment="1">
      <alignment horizontal="left"/>
    </xf>
    <xf numFmtId="167" fontId="14" fillId="0" borderId="2" xfId="0" applyNumberFormat="1" applyFont="1" applyBorder="1" applyAlignment="1">
      <alignment horizontal="left"/>
    </xf>
    <xf numFmtId="167" fontId="11" fillId="0" borderId="2" xfId="0" applyNumberFormat="1" applyFont="1" applyBorder="1" applyAlignment="1">
      <alignment horizontal="left"/>
    </xf>
    <xf numFmtId="167" fontId="12" fillId="0" borderId="2" xfId="0" applyNumberFormat="1" applyFont="1" applyBorder="1" applyAlignment="1">
      <alignment horizontal="left"/>
    </xf>
    <xf numFmtId="167" fontId="2" fillId="0" borderId="2" xfId="0" applyNumberFormat="1" applyFont="1" applyBorder="1" applyAlignment="1">
      <alignment horizontal="left"/>
    </xf>
    <xf numFmtId="167" fontId="14" fillId="0" borderId="0" xfId="0" applyNumberFormat="1" applyFont="1" applyAlignment="1">
      <alignment horizontal="left"/>
    </xf>
    <xf numFmtId="167" fontId="12" fillId="0" borderId="2" xfId="0" applyNumberFormat="1" applyFont="1" applyBorder="1" applyAlignment="1">
      <alignment horizontal="left" wrapText="1"/>
    </xf>
    <xf numFmtId="167" fontId="19" fillId="0" borderId="2" xfId="0" applyNumberFormat="1" applyFont="1" applyBorder="1" applyAlignment="1">
      <alignment horizontal="left"/>
    </xf>
    <xf numFmtId="167" fontId="5" fillId="0" borderId="2" xfId="0" applyNumberFormat="1" applyFont="1" applyBorder="1" applyAlignment="1">
      <alignment horizontal="left"/>
    </xf>
    <xf numFmtId="167" fontId="14" fillId="0" borderId="0" xfId="0" applyNumberFormat="1" applyFont="1"/>
    <xf numFmtId="167" fontId="1" fillId="0" borderId="3" xfId="0" applyNumberFormat="1" applyFont="1" applyBorder="1" applyAlignment="1"/>
    <xf numFmtId="167" fontId="1" fillId="0" borderId="2" xfId="0" applyNumberFormat="1" applyFont="1" applyBorder="1" applyAlignment="1"/>
    <xf numFmtId="167" fontId="9" fillId="0" borderId="6" xfId="0" applyNumberFormat="1" applyFont="1" applyBorder="1" applyAlignment="1"/>
    <xf numFmtId="167" fontId="9" fillId="0" borderId="2" xfId="0" applyNumberFormat="1" applyFont="1" applyBorder="1" applyAlignment="1"/>
    <xf numFmtId="167" fontId="9" fillId="0" borderId="3" xfId="0" applyNumberFormat="1" applyFont="1" applyBorder="1" applyAlignment="1"/>
    <xf numFmtId="167" fontId="26" fillId="0" borderId="2" xfId="0" applyNumberFormat="1" applyFont="1" applyBorder="1" applyAlignment="1"/>
    <xf numFmtId="167" fontId="2" fillId="0" borderId="10" xfId="0" applyNumberFormat="1" applyFont="1" applyBorder="1" applyAlignment="1"/>
    <xf numFmtId="167" fontId="9" fillId="0" borderId="10" xfId="0" applyNumberFormat="1" applyFont="1" applyBorder="1" applyAlignment="1"/>
    <xf numFmtId="167" fontId="21" fillId="0" borderId="6" xfId="0" applyNumberFormat="1" applyFont="1" applyBorder="1" applyAlignment="1"/>
    <xf numFmtId="167" fontId="21" fillId="0" borderId="2" xfId="0" applyNumberFormat="1" applyFont="1" applyBorder="1" applyAlignment="1"/>
    <xf numFmtId="167" fontId="0" fillId="0" borderId="6" xfId="0" applyNumberFormat="1" applyBorder="1" applyAlignment="1"/>
    <xf numFmtId="167" fontId="0" fillId="0" borderId="2" xfId="0" applyNumberFormat="1" applyBorder="1" applyAlignment="1"/>
    <xf numFmtId="167" fontId="0" fillId="0" borderId="3" xfId="0" applyNumberFormat="1" applyBorder="1" applyAlignment="1"/>
    <xf numFmtId="167" fontId="0" fillId="0" borderId="10" xfId="0" applyNumberFormat="1" applyBorder="1" applyAlignment="1"/>
    <xf numFmtId="167" fontId="0" fillId="0" borderId="0" xfId="0" applyNumberFormat="1" applyAlignment="1"/>
    <xf numFmtId="167" fontId="1" fillId="0" borderId="6" xfId="0" applyNumberFormat="1" applyFont="1" applyBorder="1" applyAlignment="1"/>
    <xf numFmtId="167" fontId="5" fillId="0" borderId="6" xfId="0" applyNumberFormat="1" applyFont="1" applyBorder="1" applyAlignment="1"/>
    <xf numFmtId="167" fontId="5" fillId="0" borderId="2" xfId="0" applyNumberFormat="1" applyFont="1" applyBorder="1" applyAlignment="1"/>
    <xf numFmtId="167" fontId="5" fillId="0" borderId="1" xfId="0" applyNumberFormat="1" applyFont="1" applyBorder="1" applyAlignment="1"/>
    <xf numFmtId="167" fontId="5" fillId="0" borderId="4" xfId="0" applyNumberFormat="1" applyFont="1" applyBorder="1" applyAlignment="1"/>
    <xf numFmtId="167" fontId="30" fillId="0" borderId="4" xfId="0" applyNumberFormat="1" applyFont="1" applyBorder="1" applyAlignment="1"/>
    <xf numFmtId="167" fontId="1" fillId="0" borderId="10" xfId="0" applyNumberFormat="1" applyFont="1" applyBorder="1" applyAlignment="1"/>
    <xf numFmtId="167" fontId="7" fillId="0" borderId="2" xfId="0" applyNumberFormat="1" applyFont="1" applyBorder="1"/>
    <xf numFmtId="167" fontId="7" fillId="3" borderId="2" xfId="0" applyNumberFormat="1" applyFont="1" applyFill="1" applyBorder="1"/>
    <xf numFmtId="167" fontId="16" fillId="0" borderId="2" xfId="0" applyNumberFormat="1" applyFont="1" applyBorder="1"/>
    <xf numFmtId="167" fontId="3" fillId="0" borderId="2" xfId="0" applyNumberFormat="1" applyFont="1" applyBorder="1"/>
    <xf numFmtId="167" fontId="17" fillId="0" borderId="2" xfId="0" applyNumberFormat="1" applyFont="1" applyBorder="1"/>
    <xf numFmtId="167" fontId="7" fillId="0" borderId="2" xfId="0" applyNumberFormat="1" applyFont="1" applyBorder="1" applyAlignment="1">
      <alignment horizontal="left"/>
    </xf>
    <xf numFmtId="167" fontId="2" fillId="0" borderId="2" xfId="0" applyNumberFormat="1" applyFont="1" applyBorder="1"/>
    <xf numFmtId="167" fontId="2" fillId="0" borderId="3" xfId="0" applyNumberFormat="1" applyFont="1" applyBorder="1"/>
    <xf numFmtId="167" fontId="7" fillId="0" borderId="0" xfId="0" applyNumberFormat="1" applyFont="1" applyAlignment="1">
      <alignment horizontal="left"/>
    </xf>
    <xf numFmtId="167" fontId="3" fillId="0" borderId="6" xfId="0" applyNumberFormat="1" applyFont="1" applyBorder="1"/>
    <xf numFmtId="167" fontId="7" fillId="0" borderId="3" xfId="0" applyNumberFormat="1" applyFont="1" applyBorder="1"/>
    <xf numFmtId="167" fontId="3" fillId="0" borderId="3" xfId="0" applyNumberFormat="1" applyFont="1" applyBorder="1"/>
    <xf numFmtId="167" fontId="17" fillId="0" borderId="3" xfId="0" applyNumberFormat="1" applyFont="1" applyBorder="1"/>
    <xf numFmtId="167" fontId="32" fillId="0" borderId="2" xfId="0" applyNumberFormat="1" applyFont="1" applyBorder="1" applyAlignment="1">
      <alignment horizontal="left"/>
    </xf>
  </cellXfs>
  <cellStyles count="3">
    <cellStyle name="Hyperlink" xfId="1" builtinId="8"/>
    <cellStyle name="Normal" xfId="0" builtinId="0"/>
    <cellStyle name="Output" xfId="2" builtinId="2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ervice.ariba.com/Supplier.aw/109542043/aw?awh=r&amp;awssk=xzfy1wrj&amp;dard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2"/>
  <sheetViews>
    <sheetView topLeftCell="C1" workbookViewId="0">
      <selection activeCell="D4" sqref="D4"/>
    </sheetView>
  </sheetViews>
  <sheetFormatPr defaultColWidth="9.109375" defaultRowHeight="14.4"/>
  <cols>
    <col min="1" max="1" width="9.109375" style="5"/>
    <col min="2" max="2" width="18.109375" style="5" customWidth="1"/>
    <col min="3" max="3" width="18.5546875" style="6" customWidth="1"/>
    <col min="4" max="4" width="19.109375" style="5" customWidth="1"/>
    <col min="5" max="5" width="54.33203125" style="7" customWidth="1"/>
    <col min="6" max="6" width="12.88671875" style="5" customWidth="1"/>
    <col min="7" max="7" width="16.109375" style="5" customWidth="1"/>
    <col min="8" max="8" width="15" style="5" customWidth="1"/>
    <col min="9" max="9" width="33.6640625" style="5" customWidth="1"/>
    <col min="10" max="16384" width="9.109375" style="5"/>
  </cols>
  <sheetData>
    <row r="4" spans="2:9">
      <c r="B4" s="8" t="s">
        <v>0</v>
      </c>
      <c r="C4" s="8" t="s">
        <v>1</v>
      </c>
      <c r="D4" s="8" t="s">
        <v>2</v>
      </c>
      <c r="E4" s="9" t="s">
        <v>3</v>
      </c>
      <c r="F4" s="8" t="s">
        <v>4</v>
      </c>
      <c r="G4" s="8" t="s">
        <v>5</v>
      </c>
      <c r="H4" s="8" t="s">
        <v>6</v>
      </c>
      <c r="I4" s="8" t="s">
        <v>7</v>
      </c>
    </row>
    <row r="5" spans="2:9" ht="28.8">
      <c r="B5" s="10" t="s">
        <v>8</v>
      </c>
      <c r="C5" s="11">
        <v>45833</v>
      </c>
      <c r="D5" s="10" t="s">
        <v>9</v>
      </c>
      <c r="E5" s="12" t="s">
        <v>10</v>
      </c>
      <c r="F5" s="10" t="s">
        <v>11</v>
      </c>
      <c r="G5" s="10"/>
      <c r="H5" s="10"/>
      <c r="I5" s="10"/>
    </row>
    <row r="6" spans="2:9">
      <c r="B6" s="10" t="s">
        <v>8</v>
      </c>
      <c r="C6" s="11">
        <v>45833</v>
      </c>
      <c r="D6" s="10" t="s">
        <v>9</v>
      </c>
      <c r="E6" s="12" t="s">
        <v>12</v>
      </c>
      <c r="F6" s="10" t="s">
        <v>13</v>
      </c>
      <c r="G6" s="10" t="s">
        <v>14</v>
      </c>
      <c r="H6" s="13">
        <v>45849</v>
      </c>
      <c r="I6" s="10" t="s">
        <v>15</v>
      </c>
    </row>
    <row r="7" spans="2:9">
      <c r="B7" s="10" t="s">
        <v>8</v>
      </c>
      <c r="C7" s="11">
        <v>45833</v>
      </c>
      <c r="D7" s="10" t="s">
        <v>16</v>
      </c>
      <c r="E7" s="12" t="s">
        <v>12</v>
      </c>
      <c r="F7" s="10" t="s">
        <v>13</v>
      </c>
      <c r="G7" s="10"/>
      <c r="H7" s="10"/>
      <c r="I7" s="10"/>
    </row>
    <row r="8" spans="2:9">
      <c r="B8" s="10" t="s">
        <v>17</v>
      </c>
      <c r="C8" s="11">
        <v>45833</v>
      </c>
      <c r="D8" s="10" t="s">
        <v>18</v>
      </c>
      <c r="E8" s="12" t="s">
        <v>19</v>
      </c>
      <c r="F8" s="10" t="s">
        <v>11</v>
      </c>
      <c r="G8" s="10"/>
      <c r="H8" s="10"/>
      <c r="I8" s="10"/>
    </row>
    <row r="9" spans="2:9">
      <c r="B9" s="10" t="s">
        <v>17</v>
      </c>
      <c r="C9" s="11">
        <v>45833</v>
      </c>
      <c r="D9" s="10" t="s">
        <v>18</v>
      </c>
      <c r="E9" s="12" t="s">
        <v>20</v>
      </c>
      <c r="F9" s="10" t="s">
        <v>11</v>
      </c>
      <c r="G9" s="10" t="s">
        <v>14</v>
      </c>
      <c r="H9" s="13">
        <v>45834</v>
      </c>
      <c r="I9" s="13"/>
    </row>
    <row r="10" spans="2:9" ht="28.8">
      <c r="B10" s="15" t="s">
        <v>17</v>
      </c>
      <c r="C10" s="16">
        <v>45834</v>
      </c>
      <c r="D10" s="15" t="s">
        <v>18</v>
      </c>
      <c r="E10" s="17" t="s">
        <v>21</v>
      </c>
      <c r="F10" s="15" t="s">
        <v>22</v>
      </c>
      <c r="G10" s="10" t="s">
        <v>14</v>
      </c>
      <c r="H10" s="13">
        <v>45835</v>
      </c>
      <c r="I10" s="15" t="s">
        <v>23</v>
      </c>
    </row>
    <row r="11" spans="2:9">
      <c r="B11" s="10" t="s">
        <v>17</v>
      </c>
      <c r="C11" s="14" t="s">
        <v>24</v>
      </c>
      <c r="D11" s="10" t="s">
        <v>25</v>
      </c>
      <c r="E11" s="12" t="s">
        <v>26</v>
      </c>
      <c r="F11" s="10" t="s">
        <v>13</v>
      </c>
      <c r="G11" s="10"/>
      <c r="H11" s="10"/>
      <c r="I11" s="10"/>
    </row>
    <row r="12" spans="2:9">
      <c r="C12" s="19"/>
      <c r="D1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D83E-1229-4093-B728-3C9E635AC939}">
  <dimension ref="B1:P37"/>
  <sheetViews>
    <sheetView zoomScale="60" zoomScaleNormal="60" workbookViewId="0">
      <pane ySplit="3" topLeftCell="A4" activePane="bottomLeft" state="frozen"/>
      <selection pane="bottomLeft" activeCell="A34" sqref="A34"/>
    </sheetView>
  </sheetViews>
  <sheetFormatPr defaultColWidth="10.33203125" defaultRowHeight="14.4"/>
  <cols>
    <col min="2" max="2" width="65.6640625" bestFit="1" customWidth="1"/>
    <col min="3" max="3" width="46.77734375" bestFit="1" customWidth="1"/>
    <col min="4" max="4" width="24.33203125" bestFit="1" customWidth="1"/>
    <col min="5" max="5" width="29.88671875" style="3" bestFit="1" customWidth="1"/>
    <col min="6" max="6" width="16" style="3" bestFit="1" customWidth="1"/>
    <col min="7" max="7" width="37.33203125" style="3" bestFit="1" customWidth="1"/>
    <col min="8" max="8" width="43.33203125" bestFit="1" customWidth="1"/>
    <col min="9" max="9" width="22.109375" bestFit="1" customWidth="1"/>
    <col min="10" max="10" width="25.88671875" style="3" customWidth="1"/>
    <col min="11" max="12" width="22.5546875" style="3" customWidth="1"/>
    <col min="13" max="14" width="13.5546875" style="4" customWidth="1"/>
    <col min="15" max="15" width="14.88671875" customWidth="1"/>
  </cols>
  <sheetData>
    <row r="1" spans="2:16">
      <c r="H1" t="s">
        <v>27</v>
      </c>
    </row>
    <row r="2" spans="2:16">
      <c r="B2" s="40"/>
      <c r="C2" s="40"/>
      <c r="D2" s="40"/>
      <c r="E2" s="41" t="e">
        <f>SUBTOTAL(9,E4:E1048576)</f>
        <v>#N/A</v>
      </c>
      <c r="F2" s="41">
        <f>SUBTOTAL(9,F4:F1048576)</f>
        <v>12377111.200000001</v>
      </c>
      <c r="G2" s="41"/>
      <c r="H2" s="41" t="e">
        <f>E2-F2</f>
        <v>#N/A</v>
      </c>
      <c r="I2" s="40"/>
      <c r="J2" s="41"/>
      <c r="K2" s="41">
        <f>SUBTOTAL(9,K4:K1048576)</f>
        <v>9847727.3800000008</v>
      </c>
      <c r="L2" s="41"/>
      <c r="M2" s="59">
        <f>(F2-K2)/F2</f>
        <v>0.20435978792854345</v>
      </c>
      <c r="N2" s="59"/>
      <c r="O2" s="41">
        <f>F2-K2</f>
        <v>2529383.8200000003</v>
      </c>
      <c r="P2" s="65"/>
    </row>
    <row r="3" spans="2:16" s="1" customFormat="1" ht="28.2">
      <c r="B3" s="60" t="s">
        <v>28</v>
      </c>
      <c r="C3" s="60" t="s">
        <v>29</v>
      </c>
      <c r="D3" s="60" t="s">
        <v>30</v>
      </c>
      <c r="E3" s="61" t="s">
        <v>31</v>
      </c>
      <c r="F3" s="61" t="s">
        <v>32</v>
      </c>
      <c r="G3" s="61" t="s">
        <v>33</v>
      </c>
      <c r="H3" s="62" t="s">
        <v>34</v>
      </c>
      <c r="I3" s="61" t="s">
        <v>35</v>
      </c>
      <c r="J3" s="61" t="s">
        <v>36</v>
      </c>
      <c r="K3" s="61" t="s">
        <v>37</v>
      </c>
      <c r="L3" s="61" t="s">
        <v>33</v>
      </c>
      <c r="M3" s="250" t="s">
        <v>38</v>
      </c>
      <c r="N3" s="250" t="s">
        <v>39</v>
      </c>
      <c r="O3" s="63" t="s">
        <v>40</v>
      </c>
      <c r="P3" s="2"/>
    </row>
    <row r="4" spans="2:16">
      <c r="B4" s="251" t="s">
        <v>41</v>
      </c>
      <c r="C4" s="251" t="s">
        <v>42</v>
      </c>
      <c r="D4" s="251">
        <v>4500095281</v>
      </c>
      <c r="E4" s="252">
        <f>VLOOKUP(D4,'PO Details'!F:H,3,0)</f>
        <v>175500</v>
      </c>
      <c r="F4" s="41">
        <f>SUMIF('Billing and Payment Details'!C:C,'SO Form'!D4,'Billing and Payment Details'!G:G)</f>
        <v>171725</v>
      </c>
      <c r="G4" s="252">
        <f>ROUND(E4-F4,0)</f>
        <v>3775</v>
      </c>
      <c r="H4" s="251" t="s">
        <v>43</v>
      </c>
      <c r="I4" s="251" t="str">
        <f>VLOOKUP(D4,'Outsourcing Details'!C:E,3,0)</f>
        <v>CTPL/PO/24-25/396</v>
      </c>
      <c r="J4" s="252">
        <f>VLOOKUP(D4,'Outsourcing Details'!C:G,5,0)</f>
        <v>167143</v>
      </c>
      <c r="K4" s="41">
        <f>SUMIF('Outsourcing Details'!E:E,'SO Form'!I4,'Outsourcing Details'!L:L)</f>
        <v>163548</v>
      </c>
      <c r="L4" s="252">
        <f>J4-K4</f>
        <v>3595</v>
      </c>
      <c r="M4" s="253">
        <f>(F4-K4)/F4</f>
        <v>4.7616829232784978E-2</v>
      </c>
      <c r="N4" s="253">
        <v>0.05</v>
      </c>
      <c r="O4" s="84">
        <f>M4-N4</f>
        <v>-2.3831707672150246E-3</v>
      </c>
      <c r="P4" s="65"/>
    </row>
    <row r="5" spans="2:16">
      <c r="B5" s="40" t="s">
        <v>41</v>
      </c>
      <c r="C5" s="40" t="s">
        <v>42</v>
      </c>
      <c r="D5" s="40">
        <v>4500098831</v>
      </c>
      <c r="E5" s="41">
        <f>VLOOKUP(D5,'PO Details'!F:H,3,0)</f>
        <v>136500</v>
      </c>
      <c r="F5" s="41">
        <f>SUMIF('Billing and Payment Details'!C:C,'SO Form'!D5,'Billing and Payment Details'!G:G)</f>
        <v>136500</v>
      </c>
      <c r="G5" s="41">
        <f t="shared" ref="G5:G33" si="0">ROUND(E5-F5,0)</f>
        <v>0</v>
      </c>
      <c r="H5" s="40" t="str">
        <f>VLOOKUP(D5,'PO Details'!F:N,9,0)</f>
        <v>VRATA TECH SOLUTIONS PRIVATE LIMITED</v>
      </c>
      <c r="I5" s="40" t="str">
        <f>VLOOKUP(D5,'Outsourcing Details'!C:E,3,0)</f>
        <v>CTPL/PO/25-26/104</v>
      </c>
      <c r="J5" s="41">
        <f>VLOOKUP(D5,'Outsourcing Details'!C:G,5,0)</f>
        <v>130000</v>
      </c>
      <c r="K5" s="41">
        <f>SUMIF('Outsourcing Details'!E:E,'SO Form'!I5,'Outsourcing Details'!L:L)</f>
        <v>130000</v>
      </c>
      <c r="L5" s="41">
        <f t="shared" ref="L5:L33" si="1">J5-K5</f>
        <v>0</v>
      </c>
      <c r="M5" s="59">
        <f t="shared" ref="M5:M8" si="2">(F5-K5)/F5</f>
        <v>4.7619047619047616E-2</v>
      </c>
      <c r="N5" s="59"/>
      <c r="O5" s="59">
        <f>VLOOKUP(D5,'PO Details'!F:J,5,0)-'SO Form'!M5</f>
        <v>2.3809523809523864E-3</v>
      </c>
      <c r="P5" s="65"/>
    </row>
    <row r="6" spans="2:16">
      <c r="B6" s="40" t="s">
        <v>44</v>
      </c>
      <c r="C6" s="42" t="s">
        <v>45</v>
      </c>
      <c r="D6" s="42">
        <v>4500095649</v>
      </c>
      <c r="E6" s="41">
        <f>VLOOKUP(D6,'PO Details'!F:H,3,0)</f>
        <v>1999992</v>
      </c>
      <c r="F6" s="41">
        <f>SUMIF('Billing and Payment Details'!C:C,'SO Form'!D6,'Billing and Payment Details'!G:G)</f>
        <v>1328307.75</v>
      </c>
      <c r="G6" s="41">
        <f t="shared" si="0"/>
        <v>671684</v>
      </c>
      <c r="H6" s="40" t="str">
        <f>VLOOKUP(D6,'PO Details'!F:N,9,0)</f>
        <v>BCT Consulting Private Limited</v>
      </c>
      <c r="I6" s="40" t="str">
        <f>VLOOKUP(D6,'Outsourcing Details'!C:E,3,0)</f>
        <v>CTPL/PO/24-25/400</v>
      </c>
      <c r="J6" s="41">
        <f>VLOOKUP(D6,'Outsourcing Details'!C:G,5,0)</f>
        <v>1904748</v>
      </c>
      <c r="K6" s="41">
        <f>SUMIF('Outsourcing Details'!E:E,'SO Form'!I6,'Outsourcing Details'!L:L)</f>
        <v>1210559</v>
      </c>
      <c r="L6" s="41">
        <f t="shared" si="1"/>
        <v>694189</v>
      </c>
      <c r="M6" s="59">
        <f t="shared" si="2"/>
        <v>8.8645684706725528E-2</v>
      </c>
      <c r="N6" s="59"/>
      <c r="O6" s="59">
        <f>VLOOKUP(D6,'PO Details'!F:J,5,0)-'SO Form'!M6</f>
        <v>1.1354315293274478E-2</v>
      </c>
      <c r="P6" s="65"/>
    </row>
    <row r="7" spans="2:16">
      <c r="B7" s="40" t="s">
        <v>46</v>
      </c>
      <c r="C7" s="40" t="s">
        <v>47</v>
      </c>
      <c r="D7" s="42">
        <v>4500098672</v>
      </c>
      <c r="E7" s="41">
        <f>VLOOKUP(D7,'PO Details'!F:H,3,0)</f>
        <v>1043120</v>
      </c>
      <c r="F7" s="41">
        <f>SUMIF('Billing and Payment Details'!C:C,'SO Form'!D7,'Billing and Payment Details'!G:G)</f>
        <v>306800</v>
      </c>
      <c r="G7" s="41">
        <f t="shared" si="0"/>
        <v>736320</v>
      </c>
      <c r="H7" s="40" t="str">
        <f>VLOOKUP(D7,'PO Details'!F:N,9,0)</f>
        <v>CANTICLE TECHNOLOGIES PRIVATE LIMITED</v>
      </c>
      <c r="I7" s="40" t="str">
        <f>VLOOKUP(D7,'Outsourcing Details'!C:E,3,0)</f>
        <v>CTPL/PO/25-26/101</v>
      </c>
      <c r="J7" s="41">
        <f>VLOOKUP(D7,'Outsourcing Details'!C:G,5,0)</f>
        <v>993446</v>
      </c>
      <c r="K7" s="41">
        <f>SUMIF('Outsourcing Details'!E:E,'SO Form'!I7,'Outsourcing Details'!L:L)</f>
        <v>292190</v>
      </c>
      <c r="L7" s="41">
        <f t="shared" si="1"/>
        <v>701256</v>
      </c>
      <c r="M7" s="59">
        <f t="shared" si="2"/>
        <v>4.7620599739243805E-2</v>
      </c>
      <c r="N7" s="59"/>
      <c r="O7" s="59">
        <f>VLOOKUP(D7,'PO Details'!F:J,5,0)-'SO Form'!M7</f>
        <v>2.3794002607561981E-3</v>
      </c>
      <c r="P7" s="65"/>
    </row>
    <row r="8" spans="2:16">
      <c r="B8" s="40" t="s">
        <v>48</v>
      </c>
      <c r="C8" s="42" t="s">
        <v>49</v>
      </c>
      <c r="D8" s="42">
        <v>4500097314</v>
      </c>
      <c r="E8" s="41">
        <f>VLOOKUP(D8,'PO Details'!F:H,3,0)</f>
        <v>625000</v>
      </c>
      <c r="F8" s="41">
        <f>SUMIF('Billing and Payment Details'!C:C,'SO Form'!D8,'Billing and Payment Details'!G:G)</f>
        <v>574984</v>
      </c>
      <c r="G8" s="41">
        <f t="shared" si="0"/>
        <v>50016</v>
      </c>
      <c r="H8" s="40" t="str">
        <f>VLOOKUP(D8,'PO Details'!F:N,9,0)</f>
        <v>TRIBAL SOLUTIONS CONSULTING SERVICES PVT</v>
      </c>
      <c r="I8" s="40" t="str">
        <f>VLOOKUP(D8,'Outsourcing Details'!C:E,3,0)</f>
        <v>CTPL/PO/25-26/081</v>
      </c>
      <c r="J8" s="41">
        <f>VLOOKUP(D8,'Outsourcing Details'!C:G,5,0)</f>
        <v>546241.44999999995</v>
      </c>
      <c r="K8" s="41">
        <f>SUMIF('Outsourcing Details'!E:E,'SO Form'!I8,'Outsourcing Details'!L:L)</f>
        <v>546241</v>
      </c>
      <c r="L8" s="41">
        <f t="shared" si="1"/>
        <v>0.44999999995343387</v>
      </c>
      <c r="M8" s="59">
        <f t="shared" si="2"/>
        <v>4.9989217091258191E-2</v>
      </c>
      <c r="N8" s="59"/>
      <c r="O8" s="59">
        <f>VLOOKUP(D8,'PO Details'!F:J,5,0)-'SO Form'!M8</f>
        <v>1.0782908741811814E-5</v>
      </c>
      <c r="P8" s="65"/>
    </row>
    <row r="9" spans="2:16">
      <c r="B9" s="42" t="s">
        <v>50</v>
      </c>
      <c r="C9" s="40" t="s">
        <v>51</v>
      </c>
      <c r="D9" s="40">
        <v>4500095362</v>
      </c>
      <c r="E9" s="41">
        <f>VLOOKUP(D9,'PO Details'!F:H,3,0)</f>
        <v>1068054</v>
      </c>
      <c r="F9" s="41">
        <f>SUMIF('Billing and Payment Details'!C:C,'SO Form'!D9,'Billing and Payment Details'!G:G)</f>
        <v>827938</v>
      </c>
      <c r="G9" s="41">
        <f t="shared" si="0"/>
        <v>240116</v>
      </c>
      <c r="H9" s="40" t="str">
        <f>VLOOKUP(D9,'PO Details'!F:N,9,0)</f>
        <v>CARMATEC IT SOLUTIONS PRIVATE LIMITED</v>
      </c>
      <c r="I9" s="40" t="str">
        <f>VLOOKUP(D9,'Outsourcing Details'!C:E,3,0)</f>
        <v>CTPL/PO/24-25/392</v>
      </c>
      <c r="J9" s="41">
        <f>VLOOKUP(D9,'Outsourcing Details'!C:G,5,0)</f>
        <v>1014701</v>
      </c>
      <c r="K9" s="41">
        <f>SUMIF('Outsourcing Details'!E:E,'SO Form'!I9,'Outsourcing Details'!L:L)</f>
        <v>789775</v>
      </c>
      <c r="L9" s="41">
        <f t="shared" si="1"/>
        <v>224926</v>
      </c>
      <c r="M9" s="84">
        <f>(F9-K9)/F9</f>
        <v>4.6094031195572614E-2</v>
      </c>
      <c r="N9" s="84"/>
      <c r="O9" s="59">
        <f>VLOOKUP(D9,'PO Details'!F:J,5,0)-'SO Form'!M9</f>
        <v>3.9059688044273885E-3</v>
      </c>
      <c r="P9" s="65"/>
    </row>
    <row r="10" spans="2:16">
      <c r="B10" s="42" t="s">
        <v>52</v>
      </c>
      <c r="C10" s="40" t="s">
        <v>25</v>
      </c>
      <c r="D10" s="42">
        <v>4500092529</v>
      </c>
      <c r="E10" s="41">
        <f>VLOOKUP(D10,'PO Details'!F:H,3,0)</f>
        <v>390141</v>
      </c>
      <c r="F10" s="41">
        <f>SUMIF('Billing and Payment Details'!C:C,'SO Form'!D10,'Billing and Payment Details'!G:G)</f>
        <v>390141.15</v>
      </c>
      <c r="G10" s="41">
        <f t="shared" si="0"/>
        <v>0</v>
      </c>
      <c r="H10" s="40" t="str">
        <f>VLOOKUP(D10,'PO Details'!F:N,9,0)</f>
        <v>Winnovation Education Services Pvt</v>
      </c>
      <c r="I10" s="40" t="str">
        <f>VLOOKUP(D10,'Outsourcing Details'!C:E,3,0)</f>
        <v>CTPL/PO/24-25/247</v>
      </c>
      <c r="J10" s="41">
        <f>VLOOKUP(D10,'Outsourcing Details'!C:G,5,0)</f>
        <v>1634844</v>
      </c>
      <c r="K10" s="41">
        <f>SUMIF('Outsourcing Details'!E:E,'SO Form'!I10,'Outsourcing Details'!L:L)</f>
        <v>924736</v>
      </c>
      <c r="L10" s="41">
        <f t="shared" si="1"/>
        <v>710108</v>
      </c>
      <c r="M10" s="59">
        <f>(F10-K10)/F10</f>
        <v>-1.370260096890574</v>
      </c>
      <c r="N10" s="59"/>
      <c r="O10" s="59">
        <f>VLOOKUP(D10,'PO Details'!F:J,5,0)-'SO Form'!M10</f>
        <v>1.370260096890574</v>
      </c>
      <c r="P10" s="65"/>
    </row>
    <row r="11" spans="2:16">
      <c r="B11" s="42" t="s">
        <v>52</v>
      </c>
      <c r="C11" s="40" t="s">
        <v>25</v>
      </c>
      <c r="D11" s="42">
        <v>4500097684</v>
      </c>
      <c r="E11" s="41">
        <f>VLOOKUP(D11,'PO Details'!F:H,3,0)</f>
        <v>578812.5</v>
      </c>
      <c r="F11" s="41">
        <f>SUMIF('Billing and Payment Details'!C:C,'SO Form'!D11,'Billing and Payment Details'!G:G)</f>
        <v>578812.5</v>
      </c>
      <c r="G11" s="41">
        <f t="shared" si="0"/>
        <v>0</v>
      </c>
      <c r="H11" s="40" t="str">
        <f>VLOOKUP(D11,'PO Details'!F:N,9,0)</f>
        <v>Winnovation Education Services Pvt</v>
      </c>
      <c r="I11" s="40" t="str">
        <f>VLOOKUP(D11,'Outsourcing Details'!C:E,3,0)</f>
        <v>CTPL/PO/24-25/247</v>
      </c>
      <c r="J11" s="41">
        <f>VLOOKUP(D11,'Outsourcing Details'!C:G,5,0)</f>
        <v>1634844</v>
      </c>
      <c r="K11" s="41">
        <v>0</v>
      </c>
      <c r="L11" s="41">
        <f t="shared" si="1"/>
        <v>1634844</v>
      </c>
      <c r="M11" s="59">
        <f>IF(K11=0,0,(F11-K11)/F11)</f>
        <v>0</v>
      </c>
      <c r="N11" s="59"/>
      <c r="O11" s="59">
        <f>VLOOKUP(D11,'PO Details'!F:J,5,0)-'SO Form'!M11</f>
        <v>0</v>
      </c>
      <c r="P11" s="65"/>
    </row>
    <row r="12" spans="2:16">
      <c r="B12" s="42" t="s">
        <v>52</v>
      </c>
      <c r="C12" s="40" t="s">
        <v>25</v>
      </c>
      <c r="D12" s="42">
        <v>4500097799</v>
      </c>
      <c r="E12" s="41">
        <f>VLOOKUP(D12,'PO Details'!F:H,3,0)</f>
        <v>257800</v>
      </c>
      <c r="F12" s="41">
        <f>SUMIF('Billing and Payment Details'!C:C,'SO Form'!D12,'Billing and Payment Details'!G:G)</f>
        <v>257800</v>
      </c>
      <c r="G12" s="41">
        <f t="shared" si="0"/>
        <v>0</v>
      </c>
      <c r="H12" s="40" t="str">
        <f>VLOOKUP(D12,'PO Details'!F:N,9,0)</f>
        <v>Winnovation Education Services Pvt</v>
      </c>
      <c r="I12" s="40" t="str">
        <f>VLOOKUP(D12,'Outsourcing Details'!C:E,3,0)</f>
        <v>CTPL/PO/25-26/039</v>
      </c>
      <c r="J12" s="41">
        <f>VLOOKUP(D12,'Outsourcing Details'!C:G,5,0)</f>
        <v>245500</v>
      </c>
      <c r="K12" s="41">
        <f>SUMIF('Outsourcing Details'!E:E,'SO Form'!I12,'Outsourcing Details'!L:L)</f>
        <v>245500</v>
      </c>
      <c r="L12" s="41">
        <f t="shared" si="1"/>
        <v>0</v>
      </c>
      <c r="M12" s="59">
        <f t="shared" ref="M12:M22" si="3">(F12-K12)/F12</f>
        <v>4.7711404189294024E-2</v>
      </c>
      <c r="N12" s="59"/>
      <c r="O12" s="59">
        <f>VLOOKUP(D12,'PO Details'!F:J,5,0)-'SO Form'!M12</f>
        <v>-4.7711404189294024E-2</v>
      </c>
      <c r="P12" s="65"/>
    </row>
    <row r="13" spans="2:16">
      <c r="B13" s="40" t="s">
        <v>53</v>
      </c>
      <c r="C13" s="40" t="s">
        <v>25</v>
      </c>
      <c r="D13" s="42">
        <v>4500092808</v>
      </c>
      <c r="E13" s="41">
        <f>VLOOKUP(D13,'PO Details'!F:H,3,0)</f>
        <v>552500</v>
      </c>
      <c r="F13" s="41">
        <f>SUMIF('Billing and Payment Details'!C:C,'SO Form'!D13,'Billing and Payment Details'!G:G)</f>
        <v>552500</v>
      </c>
      <c r="G13" s="41">
        <f t="shared" si="0"/>
        <v>0</v>
      </c>
      <c r="H13" s="40" t="str">
        <f>VLOOKUP(D13,'PO Details'!F:N,9,0)</f>
        <v>SeaInfonet Pvt Ltd</v>
      </c>
      <c r="I13" s="40" t="str">
        <f>VLOOKUP(D13,'Outsourcing Details'!C:E,3,0)</f>
        <v>CTPL/PO/24-25/235</v>
      </c>
      <c r="J13" s="41">
        <f>VLOOKUP(D13,'Outsourcing Details'!C:G,5,0)</f>
        <v>3053531</v>
      </c>
      <c r="K13" s="41">
        <f>SUMIF('Outsourcing Details'!E:E,'SO Form'!I13,'Outsourcing Details'!L:L)</f>
        <v>1575685</v>
      </c>
      <c r="L13" s="41">
        <f t="shared" si="1"/>
        <v>1477846</v>
      </c>
      <c r="M13" s="59">
        <f t="shared" si="3"/>
        <v>-1.8519185520361992</v>
      </c>
      <c r="N13" s="59"/>
      <c r="O13" s="59">
        <f>VLOOKUP(D13,'PO Details'!F:J,5,0)-'SO Form'!M13</f>
        <v>1.8519185520361992</v>
      </c>
      <c r="P13" s="65"/>
    </row>
    <row r="14" spans="2:16">
      <c r="B14" s="40" t="s">
        <v>53</v>
      </c>
      <c r="C14" s="40" t="s">
        <v>25</v>
      </c>
      <c r="D14" s="42">
        <v>4500097527</v>
      </c>
      <c r="E14" s="41">
        <f>VLOOKUP(D14,'PO Details'!F:H,3,0)</f>
        <v>1231905</v>
      </c>
      <c r="F14" s="41">
        <f>SUMIF('Billing and Payment Details'!C:C,'SO Form'!D14,'Billing and Payment Details'!G:G)</f>
        <v>1231905</v>
      </c>
      <c r="G14" s="41">
        <f t="shared" si="0"/>
        <v>0</v>
      </c>
      <c r="H14" s="40" t="str">
        <f>VLOOKUP(D14,'PO Details'!F:N,9,0)</f>
        <v>SeaInfonet Pvt Ltd</v>
      </c>
      <c r="I14" s="40" t="str">
        <f>VLOOKUP(D14,'Outsourcing Details'!C:E,3,0)</f>
        <v>CTPL/PO/24-25/235</v>
      </c>
      <c r="J14" s="41"/>
      <c r="K14" s="41"/>
      <c r="L14" s="41">
        <f t="shared" si="1"/>
        <v>0</v>
      </c>
      <c r="M14" s="59">
        <f t="shared" si="3"/>
        <v>1</v>
      </c>
      <c r="N14" s="59"/>
      <c r="O14" s="59">
        <f>VLOOKUP(D14,'PO Details'!F:J,5,0)-'SO Form'!M14</f>
        <v>-1</v>
      </c>
      <c r="P14" s="65"/>
    </row>
    <row r="15" spans="2:16">
      <c r="B15" s="40" t="s">
        <v>53</v>
      </c>
      <c r="C15" s="40" t="s">
        <v>25</v>
      </c>
      <c r="D15" s="85">
        <v>4500092930</v>
      </c>
      <c r="E15" s="41">
        <f>VLOOKUP(D15,'PO Details'!F:H,3,0)</f>
        <v>13500</v>
      </c>
      <c r="F15" s="41">
        <f>SUMIF('Billing and Payment Details'!C:C,'SO Form'!D15,'Billing and Payment Details'!G:G)</f>
        <v>13500</v>
      </c>
      <c r="G15" s="41">
        <f t="shared" si="0"/>
        <v>0</v>
      </c>
      <c r="H15" s="40" t="str">
        <f>VLOOKUP(D15,'PO Details'!F:N,9,0)</f>
        <v>SeaInfonet Pvt Ltd</v>
      </c>
      <c r="I15" s="40" t="str">
        <f>VLOOKUP(D15,'Outsourcing Details'!C:E,3,0)</f>
        <v>CTPL/PO/24-25/235</v>
      </c>
      <c r="J15" s="41"/>
      <c r="K15" s="41"/>
      <c r="L15" s="41">
        <f t="shared" si="1"/>
        <v>0</v>
      </c>
      <c r="M15" s="59">
        <f t="shared" si="3"/>
        <v>1</v>
      </c>
      <c r="N15" s="59"/>
      <c r="O15" s="59">
        <f>VLOOKUP(D15,'PO Details'!F:J,5,0)-'SO Form'!M15</f>
        <v>-1</v>
      </c>
      <c r="P15" s="65"/>
    </row>
    <row r="16" spans="2:16">
      <c r="B16" s="40" t="s">
        <v>54</v>
      </c>
      <c r="C16" s="42" t="s">
        <v>55</v>
      </c>
      <c r="D16" s="42">
        <v>4500091403</v>
      </c>
      <c r="E16" s="41">
        <f>VLOOKUP(D16,'PO Details'!F:H,3,0)</f>
        <v>229075</v>
      </c>
      <c r="F16" s="41">
        <f>SUMIF('Billing and Payment Details'!C:C,'SO Form'!D16,'Billing and Payment Details'!G:G)</f>
        <v>229075</v>
      </c>
      <c r="G16" s="41">
        <f t="shared" si="0"/>
        <v>0</v>
      </c>
      <c r="H16" s="40" t="str">
        <f>VLOOKUP(D16,'PO Details'!F:N,9,0)</f>
        <v>AUROPRO SOFT SYSTEMS PVT LTD</v>
      </c>
      <c r="I16" s="40" t="str">
        <f>VLOOKUP(D16,'Outsourcing Details'!C:E,3,0)</f>
        <v>Without PO-1403</v>
      </c>
      <c r="J16" s="41">
        <f>VLOOKUP(D16,'Outsourcing Details'!C:G,5,0)</f>
        <v>197838</v>
      </c>
      <c r="K16" s="41">
        <f>SUMIF('Outsourcing Details'!E:E,'SO Form'!I16,'Outsourcing Details'!L:L)</f>
        <v>197838</v>
      </c>
      <c r="L16" s="41">
        <f t="shared" si="1"/>
        <v>0</v>
      </c>
      <c r="M16" s="59">
        <f t="shared" si="3"/>
        <v>0.13636145367237804</v>
      </c>
      <c r="N16" s="59"/>
      <c r="O16" s="59">
        <f>VLOOKUP(D16,'PO Details'!F:J,5,0)-'SO Form'!M16</f>
        <v>-0.13636145367237804</v>
      </c>
      <c r="P16" s="65"/>
    </row>
    <row r="17" spans="2:16">
      <c r="B17" s="40" t="s">
        <v>54</v>
      </c>
      <c r="C17" s="42" t="s">
        <v>55</v>
      </c>
      <c r="D17" s="42">
        <v>4500091408</v>
      </c>
      <c r="E17" s="41">
        <f>VLOOKUP(D17,'PO Details'!F:H,3,0)</f>
        <v>649740</v>
      </c>
      <c r="F17" s="41">
        <f>SUMIF('Billing and Payment Details'!C:C,'SO Form'!D17,'Billing and Payment Details'!G:G)</f>
        <v>649740</v>
      </c>
      <c r="G17" s="41">
        <f t="shared" si="0"/>
        <v>0</v>
      </c>
      <c r="H17" s="40" t="str">
        <f>VLOOKUP(D17,'PO Details'!F:N,9,0)</f>
        <v>AUROPRO SOFT SYSTEMS PVT LTD</v>
      </c>
      <c r="I17" s="40" t="str">
        <f>VLOOKUP(D17,'Outsourcing Details'!C:E,3,0)</f>
        <v>Without PO-1408</v>
      </c>
      <c r="J17" s="41">
        <f>VLOOKUP(D17,'Outsourcing Details'!C:G,5,0)</f>
        <v>637038</v>
      </c>
      <c r="K17" s="41">
        <f>SUMIF('Outsourcing Details'!E:E,'SO Form'!I17,'Outsourcing Details'!L:L)</f>
        <v>637038</v>
      </c>
      <c r="L17" s="41">
        <f t="shared" si="1"/>
        <v>0</v>
      </c>
      <c r="M17" s="59">
        <f t="shared" si="3"/>
        <v>1.9549358204820389E-2</v>
      </c>
      <c r="N17" s="59"/>
      <c r="O17" s="59">
        <f>VLOOKUP(D17,'PO Details'!F:J,5,0)-'SO Form'!M17</f>
        <v>-1.9549358204820389E-2</v>
      </c>
      <c r="P17" s="65"/>
    </row>
    <row r="18" spans="2:16">
      <c r="B18" s="40"/>
      <c r="C18" s="42" t="s">
        <v>56</v>
      </c>
      <c r="D18" s="42">
        <v>4500087051</v>
      </c>
      <c r="E18" s="41">
        <f>VLOOKUP(D18,'PO Details'!F:H,3,0)</f>
        <v>525000</v>
      </c>
      <c r="F18" s="41">
        <f>SUMIF('Billing and Payment Details'!C:C,'SO Form'!D18,'Billing and Payment Details'!G:G)</f>
        <v>525000</v>
      </c>
      <c r="G18" s="41">
        <f t="shared" si="0"/>
        <v>0</v>
      </c>
      <c r="H18" s="40" t="str">
        <f>VLOOKUP(D18,'PO Details'!F:N,9,0)</f>
        <v>BUSYBOTS PRIVATE LIMITED</v>
      </c>
      <c r="I18" s="40">
        <f>VLOOKUP(D18,'Outsourcing Details'!C:E,3,0)</f>
        <v>0</v>
      </c>
      <c r="J18" s="41">
        <f>VLOOKUP(D18,'Outsourcing Details'!C:G,5,0)</f>
        <v>0</v>
      </c>
      <c r="K18" s="41">
        <f>SUMIF('Outsourcing Details'!E:E,'SO Form'!I18,'Outsourcing Details'!L:L)</f>
        <v>0</v>
      </c>
      <c r="L18" s="41">
        <f t="shared" si="1"/>
        <v>0</v>
      </c>
      <c r="M18" s="59">
        <f t="shared" si="3"/>
        <v>1</v>
      </c>
      <c r="N18" s="59"/>
      <c r="O18" s="59">
        <f>VLOOKUP(D18,'PO Details'!F:J,5,0)-'SO Form'!M18</f>
        <v>-0.95</v>
      </c>
      <c r="P18" s="65"/>
    </row>
    <row r="19" spans="2:16">
      <c r="B19" s="40"/>
      <c r="C19" s="42" t="s">
        <v>57</v>
      </c>
      <c r="D19" s="40"/>
      <c r="E19" s="41" t="e">
        <f>VLOOKUP(D19,'PO Details'!F:H,3,0)</f>
        <v>#N/A</v>
      </c>
      <c r="F19" s="41">
        <f>SUMIF('Billing and Payment Details'!C:C,'SO Form'!D19,'Billing and Payment Details'!G:G)</f>
        <v>0</v>
      </c>
      <c r="G19" s="41" t="e">
        <f t="shared" si="0"/>
        <v>#N/A</v>
      </c>
      <c r="H19" s="40" t="e">
        <f>VLOOKUP(D19,'PO Details'!F:N,9,0)</f>
        <v>#N/A</v>
      </c>
      <c r="I19" s="40" t="e">
        <f>VLOOKUP(D19,'Outsourcing Details'!C:E,3,0)</f>
        <v>#N/A</v>
      </c>
      <c r="J19" s="41" t="e">
        <f>VLOOKUP(D19,'Outsourcing Details'!C:G,5,0)</f>
        <v>#N/A</v>
      </c>
      <c r="K19" s="41">
        <f>SUMIF('Outsourcing Details'!E:E,'SO Form'!I19,'Outsourcing Details'!L:L)</f>
        <v>0</v>
      </c>
      <c r="L19" s="41" t="e">
        <f t="shared" si="1"/>
        <v>#N/A</v>
      </c>
      <c r="M19" s="59" t="e">
        <f t="shared" si="3"/>
        <v>#DIV/0!</v>
      </c>
      <c r="N19" s="59"/>
      <c r="O19" s="59" t="e">
        <f>VLOOKUP(D19,'PO Details'!F:J,5,0)-'SO Form'!M19</f>
        <v>#N/A</v>
      </c>
      <c r="P19" s="65"/>
    </row>
    <row r="20" spans="2:16">
      <c r="B20" s="40"/>
      <c r="C20" s="42" t="s">
        <v>58</v>
      </c>
      <c r="D20" s="40"/>
      <c r="E20" s="41" t="e">
        <f>VLOOKUP(D20,'PO Details'!F:H,3,0)</f>
        <v>#N/A</v>
      </c>
      <c r="F20" s="41">
        <f>SUMIF('Billing and Payment Details'!C:C,'SO Form'!D20,'Billing and Payment Details'!G:G)</f>
        <v>0</v>
      </c>
      <c r="G20" s="41" t="e">
        <f t="shared" si="0"/>
        <v>#N/A</v>
      </c>
      <c r="H20" s="40" t="e">
        <f>VLOOKUP(D20,'PO Details'!F:N,9,0)</f>
        <v>#N/A</v>
      </c>
      <c r="I20" s="40" t="e">
        <f>VLOOKUP(D20,'Outsourcing Details'!C:E,3,0)</f>
        <v>#N/A</v>
      </c>
      <c r="J20" s="41" t="e">
        <f>VLOOKUP(D20,'Outsourcing Details'!C:G,5,0)</f>
        <v>#N/A</v>
      </c>
      <c r="K20" s="41">
        <f>SUMIF('Outsourcing Details'!E:E,'SO Form'!I20,'Outsourcing Details'!L:L)</f>
        <v>0</v>
      </c>
      <c r="L20" s="41" t="e">
        <f t="shared" si="1"/>
        <v>#N/A</v>
      </c>
      <c r="M20" s="59" t="e">
        <f t="shared" si="3"/>
        <v>#DIV/0!</v>
      </c>
      <c r="N20" s="59"/>
      <c r="O20" s="59" t="e">
        <f>VLOOKUP(D20,'PO Details'!F:J,5,0)-'SO Form'!M20</f>
        <v>#N/A</v>
      </c>
      <c r="P20" s="65"/>
    </row>
    <row r="21" spans="2:16">
      <c r="B21" s="40" t="s">
        <v>59</v>
      </c>
      <c r="C21" s="42" t="s">
        <v>55</v>
      </c>
      <c r="D21" s="42">
        <v>4500092198</v>
      </c>
      <c r="E21" s="41">
        <f>VLOOKUP(D21,'PO Details'!F:H,3,0)</f>
        <v>168000</v>
      </c>
      <c r="F21" s="41">
        <f>SUMIF('Billing and Payment Details'!C:C,'SO Form'!D21,'Billing and Payment Details'!G:G)</f>
        <v>168000</v>
      </c>
      <c r="G21" s="41">
        <f t="shared" si="0"/>
        <v>0</v>
      </c>
      <c r="H21" s="40" t="str">
        <f>VLOOKUP(D21,'PO Details'!F:N,9,0)</f>
        <v>AUROPRO SOFT SYSTEMS PVT LTD</v>
      </c>
      <c r="I21" s="40" t="str">
        <f>VLOOKUP(D21,'Outsourcing Details'!C:E,3,0)</f>
        <v>CTPL/PO/25-26/140</v>
      </c>
      <c r="J21" s="41">
        <f>VLOOKUP(D21,'Outsourcing Details'!C:G,5,0)</f>
        <v>160000</v>
      </c>
      <c r="K21" s="41">
        <f>SUMIF('Outsourcing Details'!E:E,'SO Form'!I21,'Outsourcing Details'!L:L)</f>
        <v>160000</v>
      </c>
      <c r="L21" s="41">
        <f t="shared" si="1"/>
        <v>0</v>
      </c>
      <c r="M21" s="59">
        <f t="shared" si="3"/>
        <v>4.7619047619047616E-2</v>
      </c>
      <c r="N21" s="59"/>
      <c r="O21" s="59">
        <f>VLOOKUP(D21,'PO Details'!F:J,5,0)-'SO Form'!M21</f>
        <v>2.3809523809523864E-3</v>
      </c>
      <c r="P21" s="65"/>
    </row>
    <row r="22" spans="2:16">
      <c r="B22" s="40" t="s">
        <v>60</v>
      </c>
      <c r="C22" s="42" t="s">
        <v>61</v>
      </c>
      <c r="D22" s="42">
        <v>4500099372</v>
      </c>
      <c r="E22" s="41">
        <f>VLOOKUP(D22,'PO Details'!F:H,3,0)</f>
        <v>1364955</v>
      </c>
      <c r="F22" s="41">
        <f>SUMIF('Billing and Payment Details'!C:C,'SO Form'!D22,'Billing and Payment Details'!G:G)</f>
        <v>767787</v>
      </c>
      <c r="G22" s="41">
        <f t="shared" si="0"/>
        <v>597168</v>
      </c>
      <c r="H22" s="40" t="str">
        <f>VLOOKUP(D22,'PO Details'!F:N,9,0)</f>
        <v>Highsky IT Solutions Private Limited</v>
      </c>
      <c r="I22" s="40" t="str">
        <f>VLOOKUP(D22,'Outsourcing Details'!C:E,3,0)</f>
        <v>CTPL/PO/25-26/139</v>
      </c>
      <c r="J22" s="41">
        <f>VLOOKUP(D22,'Outsourcing Details'!C:G,5,0)</f>
        <v>1299957</v>
      </c>
      <c r="K22" s="41">
        <f>SUMIF('Outsourcing Details'!E:E,'SO Form'!I22,'Outsourcing Details'!L:L)</f>
        <v>731226</v>
      </c>
      <c r="L22" s="41">
        <f t="shared" si="1"/>
        <v>568731</v>
      </c>
      <c r="M22" s="59">
        <f t="shared" si="3"/>
        <v>4.7618675492030992E-2</v>
      </c>
      <c r="N22" s="59"/>
      <c r="O22" s="59">
        <f>VLOOKUP(D22,'PO Details'!F:J,5,0)-'SO Form'!M22</f>
        <v>2.3813245079690112E-3</v>
      </c>
      <c r="P22" s="65" t="s">
        <v>62</v>
      </c>
    </row>
    <row r="23" spans="2:16">
      <c r="B23" s="40" t="s">
        <v>63</v>
      </c>
      <c r="C23" s="43" t="s">
        <v>64</v>
      </c>
      <c r="D23" s="42">
        <v>4500100033</v>
      </c>
      <c r="E23" s="41">
        <f>VLOOKUP(D23,'PO Details'!F:H,3,0)</f>
        <v>90000</v>
      </c>
      <c r="F23" s="41">
        <f>SUMIF('Billing and Payment Details'!C:C,'SO Form'!D23,'Billing and Payment Details'!G:G)</f>
        <v>90000</v>
      </c>
      <c r="G23" s="41">
        <f t="shared" si="0"/>
        <v>0</v>
      </c>
      <c r="H23" s="40" t="str">
        <f>VLOOKUP(D23,'PO Details'!F:N,9,0)</f>
        <v>BCT Consulting Private Limited</v>
      </c>
      <c r="I23" s="40" t="str">
        <f>VLOOKUP(D23,'Outsourcing Details'!C:E,3,0)</f>
        <v>CTPL/PO/25-26/159</v>
      </c>
      <c r="J23" s="41">
        <f>VLOOKUP(D23,'Outsourcing Details'!C:G,5,0)</f>
        <v>85500</v>
      </c>
      <c r="K23" s="41">
        <f>SUMIF('Outsourcing Details'!E:E,'SO Form'!I23,'Outsourcing Details'!L:L)</f>
        <v>85500</v>
      </c>
      <c r="L23" s="41">
        <f t="shared" si="1"/>
        <v>0</v>
      </c>
      <c r="M23" s="59">
        <f t="shared" ref="M23:M26" si="4">(F23-K23)/F23</f>
        <v>0.05</v>
      </c>
      <c r="N23" s="59"/>
      <c r="O23" s="59">
        <f>VLOOKUP(D23,'PO Details'!F:J,5,0)-'SO Form'!M23</f>
        <v>0</v>
      </c>
      <c r="P23" s="65"/>
    </row>
    <row r="24" spans="2:16">
      <c r="B24" s="40" t="s">
        <v>65</v>
      </c>
      <c r="C24" s="43" t="s">
        <v>64</v>
      </c>
      <c r="D24" s="42">
        <v>4500100034</v>
      </c>
      <c r="E24" s="41">
        <f>VLOOKUP(D24,'PO Details'!F:H,3,0)</f>
        <v>108000</v>
      </c>
      <c r="F24" s="41">
        <f>SUMIF('Billing and Payment Details'!C:C,'SO Form'!D24,'Billing and Payment Details'!G:G)</f>
        <v>108000</v>
      </c>
      <c r="G24" s="41">
        <f t="shared" si="0"/>
        <v>0</v>
      </c>
      <c r="H24" s="40" t="str">
        <f>VLOOKUP(D24,'PO Details'!F:N,9,0)</f>
        <v>BCT Consulting Private Limited</v>
      </c>
      <c r="I24" s="40" t="str">
        <f>VLOOKUP(D24,'Outsourcing Details'!C:E,3,0)</f>
        <v>CTPL/PO/25-26/158</v>
      </c>
      <c r="J24" s="41">
        <f>VLOOKUP(D24,'Outsourcing Details'!C:G,5,0)</f>
        <v>102600</v>
      </c>
      <c r="K24" s="41">
        <f>SUMIF('Outsourcing Details'!E:E,'SO Form'!I24,'Outsourcing Details'!L:L)</f>
        <v>102600</v>
      </c>
      <c r="L24" s="41">
        <f t="shared" si="1"/>
        <v>0</v>
      </c>
      <c r="M24" s="59">
        <f t="shared" si="4"/>
        <v>0.05</v>
      </c>
      <c r="N24" s="59"/>
      <c r="O24" s="59">
        <f>VLOOKUP(D24,'PO Details'!F:J,5,0)-'SO Form'!M24</f>
        <v>0</v>
      </c>
      <c r="P24" s="65"/>
    </row>
    <row r="25" spans="2:16">
      <c r="B25" s="42" t="s">
        <v>52</v>
      </c>
      <c r="C25" s="40" t="s">
        <v>25</v>
      </c>
      <c r="D25" s="42">
        <v>4500100035</v>
      </c>
      <c r="E25" s="41">
        <f>VLOOKUP(D25,'PO Details'!F:H,3,0)</f>
        <v>52500</v>
      </c>
      <c r="F25" s="41">
        <f>SUMIF('Billing and Payment Details'!C:C,'SO Form'!D25,'Billing and Payment Details'!G:G)</f>
        <v>50000</v>
      </c>
      <c r="G25" s="41">
        <f t="shared" si="0"/>
        <v>2500</v>
      </c>
      <c r="H25" s="40" t="str">
        <f>VLOOKUP(D25,'PO Details'!F:N,9,0)</f>
        <v>Winnovation Education Services Pvt</v>
      </c>
      <c r="I25" s="40" t="str">
        <f>VLOOKUP(D25,'Outsourcing Details'!C:E,3,0)</f>
        <v>CTPL/PO/24-25/454</v>
      </c>
      <c r="J25" s="41">
        <f>VLOOKUP(D25,'Outsourcing Details'!C:G,5,0)</f>
        <v>50000</v>
      </c>
      <c r="K25" s="41">
        <f>SUMIF('Outsourcing Details'!E:E,'SO Form'!I25,'Outsourcing Details'!L:L)</f>
        <v>50000</v>
      </c>
      <c r="L25" s="41">
        <f t="shared" si="1"/>
        <v>0</v>
      </c>
      <c r="M25" s="59">
        <f t="shared" si="4"/>
        <v>0</v>
      </c>
      <c r="N25" s="59"/>
      <c r="O25" s="59">
        <f>VLOOKUP(D25,'PO Details'!F:J,5,0)-'SO Form'!M25</f>
        <v>0.05</v>
      </c>
      <c r="P25" s="65"/>
    </row>
    <row r="26" spans="2:16">
      <c r="B26" s="42" t="s">
        <v>66</v>
      </c>
      <c r="C26" s="42" t="s">
        <v>67</v>
      </c>
      <c r="D26" s="42">
        <v>4500100039</v>
      </c>
      <c r="E26" s="41">
        <f>VLOOKUP(D26,'PO Details'!F:H,3,0)</f>
        <v>1164167</v>
      </c>
      <c r="F26" s="41">
        <f>SUMIF('Billing and Payment Details'!C:C,'SO Form'!D26,'Billing and Payment Details'!G:G)</f>
        <v>650833</v>
      </c>
      <c r="G26" s="41">
        <f t="shared" si="0"/>
        <v>513334</v>
      </c>
      <c r="H26" s="40" t="str">
        <f>VLOOKUP(D26,'PO Details'!F:N,9,0)</f>
        <v>Abhiyanta India Solution Private Limited</v>
      </c>
      <c r="I26" s="40" t="str">
        <f>VLOOKUP(D26,'Outsourcing Details'!C:E,3,0)</f>
        <v>CTPL/PO/25-26/160</v>
      </c>
      <c r="J26" s="41">
        <f>VLOOKUP(D26,'Outsourcing Details'!C:G,5,0)</f>
        <v>1058334</v>
      </c>
      <c r="K26" s="41">
        <f>SUMIF('Outsourcing Details'!E:E,'SO Form'!I26,'Outsourcing Details'!L:L)</f>
        <v>591667</v>
      </c>
      <c r="L26" s="41">
        <f t="shared" si="1"/>
        <v>466667</v>
      </c>
      <c r="M26" s="84">
        <f t="shared" si="4"/>
        <v>9.0908113141159097E-2</v>
      </c>
      <c r="N26" s="84"/>
      <c r="O26" s="84">
        <f>VLOOKUP(D26,'PO Details'!F:J,5,0)-'SO Form'!M26</f>
        <v>9.0918868588409085E-3</v>
      </c>
      <c r="P26" s="65" t="s">
        <v>68</v>
      </c>
    </row>
    <row r="27" spans="2:16">
      <c r="B27" s="40" t="s">
        <v>69</v>
      </c>
      <c r="C27" s="40" t="s">
        <v>42</v>
      </c>
      <c r="D27" s="42">
        <v>4500100053</v>
      </c>
      <c r="E27" s="41">
        <f>VLOOKUP(D27,'PO Details'!F:H,3,0)</f>
        <v>1059300</v>
      </c>
      <c r="F27" s="41">
        <f>SUMIF('Billing and Payment Details'!C:C,'SO Form'!D27,'Billing and Payment Details'!G:G)</f>
        <v>94681.65</v>
      </c>
      <c r="G27" s="41">
        <f t="shared" si="0"/>
        <v>964618</v>
      </c>
      <c r="H27" s="40" t="str">
        <f>VLOOKUP(D27,'PO Details'!F:N,9,0)</f>
        <v>VRATA TECH SOLUTIONS PRIVATE LIMITED</v>
      </c>
      <c r="I27" s="40" t="str">
        <f>VLOOKUP(D27,'Outsourcing Details'!C:E,3,0)</f>
        <v>CTPL/PO/25-26/161</v>
      </c>
      <c r="J27" s="41">
        <f>VLOOKUP(D27,'Outsourcing Details'!C:G,5,0)</f>
        <v>1006335</v>
      </c>
      <c r="K27" s="41">
        <f>SUMIF('Outsourcing Details'!E:E,'SO Form'!I27,'Outsourcing Details'!L:L)</f>
        <v>90173</v>
      </c>
      <c r="L27" s="41">
        <f t="shared" si="1"/>
        <v>916162</v>
      </c>
      <c r="M27" s="59">
        <f t="shared" ref="M27" si="5">(F27-K27)/F27</f>
        <v>4.7619047619047561E-2</v>
      </c>
      <c r="N27" s="59"/>
      <c r="O27" s="59">
        <f>VLOOKUP(D27,'PO Details'!F:J,5,0)-'SO Form'!M27</f>
        <v>2.3809523809524419E-3</v>
      </c>
      <c r="P27" s="65"/>
    </row>
    <row r="28" spans="2:16">
      <c r="B28" s="40" t="s">
        <v>70</v>
      </c>
      <c r="C28" s="43" t="s">
        <v>64</v>
      </c>
      <c r="D28" s="42">
        <v>4500100130</v>
      </c>
      <c r="E28" s="41">
        <f>VLOOKUP(D28,'PO Details'!F:H,3,0)</f>
        <v>85000</v>
      </c>
      <c r="F28" s="41">
        <f>SUMIF('Billing and Payment Details'!C:C,'SO Form'!D28,'Billing and Payment Details'!G:G)</f>
        <v>85000</v>
      </c>
      <c r="G28" s="41">
        <f t="shared" si="0"/>
        <v>0</v>
      </c>
      <c r="H28" s="40" t="str">
        <f>VLOOKUP(D28,'PO Details'!F:N,9,0)</f>
        <v>AUROPRO SOFT SYSTEMS PVT LTD</v>
      </c>
      <c r="I28" s="40" t="str">
        <f>VLOOKUP(D28,'Outsourcing Details'!C:E,3,0)</f>
        <v>CTPL/PO/25-26/179</v>
      </c>
      <c r="J28" s="41">
        <f>VLOOKUP(D28,'Outsourcing Details'!C:G,5,0)</f>
        <v>80952.38</v>
      </c>
      <c r="K28" s="41">
        <f>SUMIF('Outsourcing Details'!E:E,'SO Form'!I28,'Outsourcing Details'!L:L)</f>
        <v>80952.38</v>
      </c>
      <c r="L28" s="41">
        <f t="shared" si="1"/>
        <v>0</v>
      </c>
      <c r="M28" s="59">
        <f t="shared" ref="M28" si="6">(F28-K28)/F28</f>
        <v>4.7619058823529355E-2</v>
      </c>
      <c r="N28" s="59"/>
      <c r="O28" s="59">
        <f>VLOOKUP(D28,'PO Details'!F:J,5,0)-'SO Form'!M28</f>
        <v>2.3809411764706481E-3</v>
      </c>
      <c r="P28" s="65"/>
    </row>
    <row r="29" spans="2:16">
      <c r="B29" s="42" t="s">
        <v>71</v>
      </c>
      <c r="C29" s="40" t="s">
        <v>51</v>
      </c>
      <c r="D29" s="42">
        <v>4500100177</v>
      </c>
      <c r="E29" s="41">
        <f>VLOOKUP(D29,'PO Details'!F:H,3,0)</f>
        <v>1945125</v>
      </c>
      <c r="F29" s="41">
        <f>SUMIF('Billing and Payment Details'!C:C,'SO Form'!D29,'Billing and Payment Details'!G:G)</f>
        <v>648375</v>
      </c>
      <c r="G29" s="41">
        <f t="shared" si="0"/>
        <v>1296750</v>
      </c>
      <c r="H29" s="40" t="str">
        <f>VLOOKUP(D29,'PO Details'!F:N,9,0)</f>
        <v>ITSHRI SOLUTION LLP</v>
      </c>
      <c r="I29" s="40" t="str">
        <f>VLOOKUP(D29,'Outsourcing Details'!C:E,3,0)</f>
        <v>CTPL/PO/25-26/206</v>
      </c>
      <c r="J29" s="41">
        <f>VLOOKUP(D29,'Outsourcing Details'!C:G,5,0)</f>
        <v>1852497</v>
      </c>
      <c r="K29" s="41">
        <f>SUMIF('Outsourcing Details'!E:E,'SO Form'!I29,'Outsourcing Details'!L:L)</f>
        <v>617499</v>
      </c>
      <c r="L29" s="41">
        <f t="shared" si="1"/>
        <v>1234998</v>
      </c>
      <c r="M29" s="59">
        <f t="shared" ref="M29" si="7">(F29-K29)/F29</f>
        <v>4.7620589936379409E-2</v>
      </c>
      <c r="N29" s="59"/>
      <c r="O29" s="59">
        <f>VLOOKUP(D29,'PO Details'!F:J,5,0)-'SO Form'!M29</f>
        <v>2.3794100636205934E-3</v>
      </c>
      <c r="P29" s="65"/>
    </row>
    <row r="30" spans="2:16">
      <c r="B30" s="65"/>
      <c r="C30" s="112" t="s">
        <v>72</v>
      </c>
      <c r="D30" s="42">
        <v>4500083044</v>
      </c>
      <c r="E30" s="41">
        <f>VLOOKUP(D30,'PO Details'!F:H,3,0)</f>
        <v>1812600</v>
      </c>
      <c r="F30" s="41">
        <f>SUMIF('Billing and Payment Details'!C:C,'SO Form'!D30,'Billing and Payment Details'!G:G)</f>
        <v>345986.14999999997</v>
      </c>
      <c r="G30" s="41">
        <f t="shared" si="0"/>
        <v>1466614</v>
      </c>
      <c r="H30" s="40" t="str">
        <f>VLOOKUP(D30,'PO Details'!F:N,9,0)</f>
        <v>Cinesonic Audio Visual Pvt Ltd</v>
      </c>
      <c r="I30" s="40" t="str">
        <f>VLOOKUP(D30,'Outsourcing Details'!C:E,3,0)</f>
        <v>Without PO-83044</v>
      </c>
      <c r="J30" s="41">
        <f>VLOOKUP(D30,'Outsourcing Details'!C:G,5,0)</f>
        <v>325440</v>
      </c>
      <c r="K30" s="41">
        <f>SUMIF('Outsourcing Details'!E:E,'SO Form'!I36,'Outsourcing Details'!L:L)</f>
        <v>0</v>
      </c>
      <c r="L30" s="41">
        <f t="shared" si="1"/>
        <v>325440</v>
      </c>
      <c r="M30" s="59">
        <f t="shared" ref="M30:M32" si="8">(F30-K30)/F30</f>
        <v>1</v>
      </c>
      <c r="N30" s="59"/>
      <c r="O30" s="59">
        <f>VLOOKUP(D30,'PO Details'!F:J,5,0)-'SO Form'!M30</f>
        <v>-0.95</v>
      </c>
      <c r="P30" s="65"/>
    </row>
    <row r="31" spans="2:16">
      <c r="B31" s="65"/>
      <c r="C31" s="112" t="s">
        <v>72</v>
      </c>
      <c r="D31" s="204">
        <v>4500094598</v>
      </c>
      <c r="E31" s="41">
        <f>VLOOKUP(D31,'PO Details'!F:H,3,0)</f>
        <v>673920</v>
      </c>
      <c r="F31" s="41">
        <f>SUMIF('Billing and Payment Details'!C:C,'SO Form'!D31,'Billing and Payment Details'!G:G)</f>
        <v>673920</v>
      </c>
      <c r="G31" s="41">
        <f t="shared" si="0"/>
        <v>0</v>
      </c>
      <c r="H31" s="40" t="str">
        <f>VLOOKUP(D31,'PO Details'!F:N,9,0)</f>
        <v>Cinesonic Audio Visual Pvt Ltd</v>
      </c>
      <c r="I31" s="40" t="str">
        <f>VLOOKUP(D31,'Outsourcing Details'!C:E,3,0)</f>
        <v>Without PO-94598</v>
      </c>
      <c r="J31" s="41">
        <f>VLOOKUP(D31,'Outsourcing Details'!C:G,5,0)</f>
        <v>433920</v>
      </c>
      <c r="K31" s="41">
        <f>SUMIF('Outsourcing Details'!E:E,'SO Form'!I37,'Outsourcing Details'!L:L)</f>
        <v>0</v>
      </c>
      <c r="L31" s="41">
        <f t="shared" si="1"/>
        <v>433920</v>
      </c>
      <c r="M31" s="59">
        <f t="shared" si="8"/>
        <v>1</v>
      </c>
      <c r="N31" s="59"/>
      <c r="O31" s="59">
        <f>VLOOKUP(D31,'PO Details'!F:J,5,0)-'SO Form'!M31</f>
        <v>-0.95</v>
      </c>
      <c r="P31" s="65"/>
    </row>
    <row r="32" spans="2:16">
      <c r="B32" s="181" t="s">
        <v>73</v>
      </c>
      <c r="C32" s="97" t="s">
        <v>74</v>
      </c>
      <c r="D32" s="246">
        <v>4500100823</v>
      </c>
      <c r="E32" s="182">
        <v>941250</v>
      </c>
      <c r="F32" s="41">
        <f>SUMIF('Billing and Payment Details'!C:C,'SO Form'!D32,'Billing and Payment Details'!G:G)</f>
        <v>0</v>
      </c>
      <c r="G32" s="41">
        <f t="shared" si="0"/>
        <v>941250</v>
      </c>
      <c r="H32" s="40" t="str">
        <f>VLOOKUP(D32,'PO Details'!F:N,9,0)</f>
        <v>KAPARTHI CONSULTANCY SERVICES</v>
      </c>
      <c r="I32" s="40" t="str">
        <f>VLOOKUP(D32,'Outsourcing Details'!C:E,3,0)</f>
        <v>CTPL/PO/24-25/228</v>
      </c>
      <c r="J32" s="41">
        <f>VLOOKUP(D32,'Outsourcing Details'!C:G,5,0)</f>
        <v>625000</v>
      </c>
      <c r="K32" s="41">
        <f>SUMIF('Outsourcing Details'!E:E,'SO Form'!I32,'Outsourcing Details'!L:L)</f>
        <v>625000</v>
      </c>
      <c r="L32" s="41">
        <f t="shared" si="1"/>
        <v>0</v>
      </c>
      <c r="M32" s="59" t="e">
        <f t="shared" si="8"/>
        <v>#DIV/0!</v>
      </c>
      <c r="N32" s="59"/>
      <c r="O32" s="59" t="e">
        <f>VLOOKUP(D32,'PO Details'!F:J,5,0)-'SO Form'!M32</f>
        <v>#DIV/0!</v>
      </c>
    </row>
    <row r="33" spans="2:15">
      <c r="B33" t="s">
        <v>75</v>
      </c>
      <c r="C33" s="53" t="s">
        <v>76</v>
      </c>
      <c r="D33" s="247">
        <v>4500094574</v>
      </c>
      <c r="E33" s="182">
        <v>1452000</v>
      </c>
      <c r="F33" s="41">
        <f>SUMIF('Billing and Payment Details'!C:C,'SO Form'!D33,'Billing and Payment Details'!G:G)</f>
        <v>919800</v>
      </c>
      <c r="G33" s="41">
        <f t="shared" si="0"/>
        <v>532200</v>
      </c>
      <c r="H33" s="40" t="str">
        <f>VLOOKUP(D33,'PO Details'!F:N,9,0)</f>
        <v>BUSYBOTS PRIVATE LIMITED</v>
      </c>
      <c r="I33" s="40">
        <f>VLOOKUP(D33,'Outsourcing Details'!C:E,3,0)</f>
        <v>0</v>
      </c>
      <c r="J33" s="41">
        <f>VLOOKUP(D33,'Outsourcing Details'!C:G,5,0)</f>
        <v>0</v>
      </c>
      <c r="K33" s="41">
        <f>SUMIF('Outsourcing Details'!E:E,'SO Form'!I33,'Outsourcing Details'!L:L)</f>
        <v>0</v>
      </c>
      <c r="L33" s="41">
        <f t="shared" si="1"/>
        <v>0</v>
      </c>
      <c r="M33" s="59">
        <f>(F33-K33)/F33</f>
        <v>1</v>
      </c>
      <c r="N33" s="59"/>
      <c r="O33" s="59">
        <f>VLOOKUP(D33,'PO Details'!F:J,5,0)-'SO Form'!M33</f>
        <v>-0.95</v>
      </c>
    </row>
    <row r="36" spans="2:15">
      <c r="I36" s="65"/>
    </row>
    <row r="37" spans="2:15">
      <c r="I37" s="65"/>
    </row>
  </sheetData>
  <autoFilter ref="B3:O33" xr:uid="{D76FD83E-1229-4093-B728-3C9E635AC939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455B-CAB4-4C9E-B655-603B0297CDFA}">
  <sheetPr filterMode="1"/>
  <dimension ref="A2:O33"/>
  <sheetViews>
    <sheetView topLeftCell="B1" zoomScale="70" zoomScaleNormal="70" workbookViewId="0">
      <pane ySplit="2" topLeftCell="A3" activePane="bottomLeft" state="frozen"/>
      <selection pane="bottomLeft" activeCell="N3" sqref="N3"/>
    </sheetView>
  </sheetViews>
  <sheetFormatPr defaultColWidth="9.109375" defaultRowHeight="13.8"/>
  <cols>
    <col min="1" max="1" width="51" style="22" bestFit="1" customWidth="1"/>
    <col min="2" max="2" width="38.6640625" style="22" customWidth="1"/>
    <col min="3" max="3" width="16.88671875" style="22" customWidth="1"/>
    <col min="4" max="4" width="16.88671875" style="276" customWidth="1"/>
    <col min="5" max="5" width="16.88671875" style="280" customWidth="1"/>
    <col min="6" max="6" width="14" style="24" customWidth="1"/>
    <col min="7" max="7" width="14" style="280" customWidth="1"/>
    <col min="8" max="8" width="17.109375" style="25" customWidth="1"/>
    <col min="9" max="9" width="19.6640625" style="22" customWidth="1"/>
    <col min="10" max="10" width="11.5546875" style="22" customWidth="1"/>
    <col min="11" max="12" width="24.109375" style="25" customWidth="1"/>
    <col min="13" max="13" width="26.6640625" style="22" bestFit="1" customWidth="1"/>
    <col min="14" max="14" width="43.33203125" style="22" bestFit="1" customWidth="1"/>
    <col min="15" max="16384" width="9.109375" style="22"/>
  </cols>
  <sheetData>
    <row r="2" spans="1:15">
      <c r="A2" s="207" t="s">
        <v>77</v>
      </c>
      <c r="B2" s="207" t="s">
        <v>2</v>
      </c>
      <c r="C2" s="207" t="s">
        <v>78</v>
      </c>
      <c r="D2" s="271" t="s">
        <v>79</v>
      </c>
      <c r="E2" s="271" t="s">
        <v>80</v>
      </c>
      <c r="F2" s="207" t="s">
        <v>81</v>
      </c>
      <c r="G2" s="271" t="s">
        <v>82</v>
      </c>
      <c r="H2" s="208" t="s">
        <v>83</v>
      </c>
      <c r="I2" s="207" t="s">
        <v>84</v>
      </c>
      <c r="J2" s="207" t="s">
        <v>39</v>
      </c>
      <c r="K2" s="208" t="s">
        <v>85</v>
      </c>
      <c r="L2" s="208" t="s">
        <v>86</v>
      </c>
      <c r="M2" s="208" t="s">
        <v>87</v>
      </c>
      <c r="N2" s="208" t="s">
        <v>34</v>
      </c>
      <c r="O2" s="24"/>
    </row>
    <row r="3" spans="1:15">
      <c r="A3" s="26" t="s">
        <v>41</v>
      </c>
      <c r="B3" s="26" t="s">
        <v>42</v>
      </c>
      <c r="C3" s="26" t="s">
        <v>88</v>
      </c>
      <c r="D3" s="272">
        <v>45673</v>
      </c>
      <c r="E3" s="272">
        <v>45747</v>
      </c>
      <c r="F3" s="26">
        <v>4500095281</v>
      </c>
      <c r="G3" s="272">
        <v>45684</v>
      </c>
      <c r="H3" s="263">
        <v>175500</v>
      </c>
      <c r="I3" s="26" t="s">
        <v>89</v>
      </c>
      <c r="J3" s="28">
        <v>0.05</v>
      </c>
      <c r="K3" s="27">
        <f>H3-SUMIF('Billing and Payment Details'!C:C,'PO Details'!F3,'Billing and Payment Details'!G:G)</f>
        <v>3775</v>
      </c>
      <c r="L3" s="27" t="s">
        <v>90</v>
      </c>
      <c r="M3" s="26" t="s">
        <v>91</v>
      </c>
      <c r="N3" s="26" t="str">
        <f>VLOOKUP(F3,'Outsourcing Details'!$C$2:$D$394,2,FALSE)</f>
        <v>VRATA TECH SOLUTIONS PRIVATE LIMITED</v>
      </c>
      <c r="O3" s="24"/>
    </row>
    <row r="4" spans="1:15" hidden="1">
      <c r="A4" s="26" t="s">
        <v>41</v>
      </c>
      <c r="B4" s="26" t="s">
        <v>42</v>
      </c>
      <c r="C4" s="26" t="s">
        <v>92</v>
      </c>
      <c r="D4" s="272">
        <v>45748</v>
      </c>
      <c r="E4" s="272">
        <v>45808</v>
      </c>
      <c r="F4" s="26">
        <v>4500098831</v>
      </c>
      <c r="G4" s="272">
        <v>45753</v>
      </c>
      <c r="H4" s="263">
        <v>136500</v>
      </c>
      <c r="I4" s="26" t="s">
        <v>89</v>
      </c>
      <c r="J4" s="28">
        <v>0.05</v>
      </c>
      <c r="K4" s="27">
        <f>H4-SUMIF('Billing and Payment Details'!C:C,'PO Details'!F4,'Billing and Payment Details'!G:G)</f>
        <v>0</v>
      </c>
      <c r="L4" s="27" t="s">
        <v>90</v>
      </c>
      <c r="M4" s="26" t="s">
        <v>93</v>
      </c>
      <c r="N4" s="26" t="str">
        <f>VLOOKUP(F4,'Outsourcing Details'!$C$2:$D$394,2,FALSE)</f>
        <v>VRATA TECH SOLUTIONS PRIVATE LIMITED</v>
      </c>
      <c r="O4" s="24"/>
    </row>
    <row r="5" spans="1:15" hidden="1">
      <c r="A5" s="26" t="s">
        <v>44</v>
      </c>
      <c r="B5" s="23" t="s">
        <v>45</v>
      </c>
      <c r="C5" s="26" t="s">
        <v>94</v>
      </c>
      <c r="D5" s="272">
        <v>45621</v>
      </c>
      <c r="E5" s="272">
        <v>45985</v>
      </c>
      <c r="F5" s="23">
        <v>4500095649</v>
      </c>
      <c r="G5" s="272">
        <v>45694</v>
      </c>
      <c r="H5" s="263">
        <v>1999992</v>
      </c>
      <c r="I5" s="26" t="s">
        <v>89</v>
      </c>
      <c r="J5" s="28">
        <v>0.1</v>
      </c>
      <c r="K5" s="27">
        <f>H5-SUMIF('Billing and Payment Details'!C:C,'PO Details'!F5,'Billing and Payment Details'!G:G)</f>
        <v>671684.25</v>
      </c>
      <c r="L5" s="27" t="s">
        <v>95</v>
      </c>
      <c r="M5" s="26" t="s">
        <v>96</v>
      </c>
      <c r="N5" s="26" t="str">
        <f>VLOOKUP(F5,'Outsourcing Details'!$C$2:$D$394,2,FALSE)</f>
        <v>BCT Consulting Private Limited</v>
      </c>
      <c r="O5" s="24"/>
    </row>
    <row r="6" spans="1:15" hidden="1">
      <c r="A6" s="26" t="s">
        <v>46</v>
      </c>
      <c r="B6" s="26" t="s">
        <v>47</v>
      </c>
      <c r="C6" s="26" t="s">
        <v>97</v>
      </c>
      <c r="D6" s="272">
        <v>45769</v>
      </c>
      <c r="E6" s="272">
        <v>46112</v>
      </c>
      <c r="F6" s="23">
        <v>4500098672</v>
      </c>
      <c r="G6" s="272">
        <v>45806</v>
      </c>
      <c r="H6" s="264">
        <v>1043120</v>
      </c>
      <c r="I6" s="26" t="s">
        <v>89</v>
      </c>
      <c r="J6" s="28">
        <v>0.05</v>
      </c>
      <c r="K6" s="27">
        <f>H6-SUMIF('Billing and Payment Details'!C:C,'PO Details'!F6,'Billing and Payment Details'!G:G)</f>
        <v>736320</v>
      </c>
      <c r="L6" s="27" t="s">
        <v>95</v>
      </c>
      <c r="M6" s="26" t="s">
        <v>98</v>
      </c>
      <c r="N6" s="26" t="str">
        <f>VLOOKUP(F6,'Outsourcing Details'!$C$2:$D$394,2,FALSE)</f>
        <v>CANTICLE TECHNOLOGIES PRIVATE LIMITED</v>
      </c>
      <c r="O6" s="24"/>
    </row>
    <row r="7" spans="1:15" hidden="1">
      <c r="A7" s="26" t="s">
        <v>48</v>
      </c>
      <c r="B7" s="23" t="s">
        <v>49</v>
      </c>
      <c r="C7" s="23" t="s">
        <v>99</v>
      </c>
      <c r="D7" s="272">
        <v>45617</v>
      </c>
      <c r="E7" s="272">
        <v>45725</v>
      </c>
      <c r="F7" s="23">
        <v>4500097314</v>
      </c>
      <c r="G7" s="272">
        <v>45755</v>
      </c>
      <c r="H7" s="263">
        <v>625000</v>
      </c>
      <c r="I7" s="26" t="s">
        <v>89</v>
      </c>
      <c r="J7" s="28">
        <v>0.05</v>
      </c>
      <c r="K7" s="27">
        <f>H7-SUMIF('Billing and Payment Details'!C:C,'PO Details'!F7,'Billing and Payment Details'!G:G)</f>
        <v>50016</v>
      </c>
      <c r="L7" s="27" t="s">
        <v>90</v>
      </c>
      <c r="M7" s="26" t="s">
        <v>100</v>
      </c>
      <c r="N7" s="26" t="str">
        <f>VLOOKUP(F7,'Outsourcing Details'!$C$2:$D$394,2,FALSE)</f>
        <v>TRIBAL SOLUTIONS CONSULTING SERVICES PVT</v>
      </c>
      <c r="O7" s="24"/>
    </row>
    <row r="8" spans="1:15" hidden="1">
      <c r="A8" s="23" t="s">
        <v>50</v>
      </c>
      <c r="B8" s="26" t="s">
        <v>51</v>
      </c>
      <c r="C8" s="23" t="s">
        <v>101</v>
      </c>
      <c r="D8" s="272">
        <v>45547</v>
      </c>
      <c r="E8" s="272">
        <v>45961</v>
      </c>
      <c r="F8" s="26">
        <v>4500095362</v>
      </c>
      <c r="G8" s="272">
        <v>45683</v>
      </c>
      <c r="H8" s="263">
        <v>1068054</v>
      </c>
      <c r="I8" s="26" t="s">
        <v>89</v>
      </c>
      <c r="J8" s="28">
        <v>0.05</v>
      </c>
      <c r="K8" s="27">
        <f>H8-SUMIF('Billing and Payment Details'!C:C,'PO Details'!F8,'Billing and Payment Details'!G:G)</f>
        <v>240116</v>
      </c>
      <c r="L8" s="27" t="s">
        <v>95</v>
      </c>
      <c r="M8" s="26" t="s">
        <v>102</v>
      </c>
      <c r="N8" s="26" t="str">
        <f>VLOOKUP(F8,'Outsourcing Details'!$C$2:$D$394,2,FALSE)</f>
        <v>CARMATEC IT SOLUTIONS PRIVATE LIMITED</v>
      </c>
      <c r="O8" s="24"/>
    </row>
    <row r="9" spans="1:15" hidden="1">
      <c r="A9" s="23" t="s">
        <v>52</v>
      </c>
      <c r="B9" s="26" t="s">
        <v>25</v>
      </c>
      <c r="C9" s="26" t="s">
        <v>103</v>
      </c>
      <c r="D9" s="272" t="s">
        <v>104</v>
      </c>
      <c r="E9" s="272" t="s">
        <v>105</v>
      </c>
      <c r="F9" s="23">
        <v>4500092529</v>
      </c>
      <c r="G9" s="274">
        <v>45581</v>
      </c>
      <c r="H9" s="263">
        <v>390141</v>
      </c>
      <c r="I9" s="26"/>
      <c r="J9" s="26"/>
      <c r="K9" s="27">
        <f>H9-SUMIF('Billing and Payment Details'!C:C,'PO Details'!F9,'Billing and Payment Details'!G:G)</f>
        <v>-0.15000000002328306</v>
      </c>
      <c r="L9" s="27" t="s">
        <v>90</v>
      </c>
      <c r="M9" s="26"/>
      <c r="N9" s="26" t="str">
        <f>VLOOKUP(F9,'Outsourcing Details'!$C$2:$D$394,2,FALSE)</f>
        <v>Winnovation Education Services Pvt</v>
      </c>
      <c r="O9" s="24"/>
    </row>
    <row r="10" spans="1:15" hidden="1">
      <c r="A10" s="23" t="s">
        <v>52</v>
      </c>
      <c r="B10" s="26" t="s">
        <v>25</v>
      </c>
      <c r="C10" s="29" t="s">
        <v>106</v>
      </c>
      <c r="D10" s="272" t="s">
        <v>107</v>
      </c>
      <c r="E10" s="272" t="s">
        <v>108</v>
      </c>
      <c r="F10" s="23">
        <v>4500097684</v>
      </c>
      <c r="G10" s="274">
        <v>45757</v>
      </c>
      <c r="H10" s="263">
        <v>578812.5</v>
      </c>
      <c r="I10" s="26"/>
      <c r="J10" s="26"/>
      <c r="K10" s="27">
        <f>H10-SUMIF('Billing and Payment Details'!C:C,'PO Details'!F10,'Billing and Payment Details'!G:G)</f>
        <v>0</v>
      </c>
      <c r="L10" s="27" t="s">
        <v>90</v>
      </c>
      <c r="M10" s="26"/>
      <c r="N10" s="26" t="str">
        <f>VLOOKUP(F10,'Outsourcing Details'!$C$2:$D$394,2,FALSE)</f>
        <v>Winnovation Education Services Pvt</v>
      </c>
      <c r="O10" s="24"/>
    </row>
    <row r="11" spans="1:15" hidden="1">
      <c r="A11" s="23" t="s">
        <v>52</v>
      </c>
      <c r="B11" s="26" t="s">
        <v>25</v>
      </c>
      <c r="C11" s="29" t="s">
        <v>109</v>
      </c>
      <c r="D11" s="272" t="s">
        <v>107</v>
      </c>
      <c r="E11" s="274" t="s">
        <v>108</v>
      </c>
      <c r="F11" s="23">
        <v>4500097799</v>
      </c>
      <c r="G11" s="274">
        <v>45763</v>
      </c>
      <c r="H11" s="263">
        <v>257800</v>
      </c>
      <c r="I11" s="26"/>
      <c r="J11" s="26"/>
      <c r="K11" s="27">
        <f>H11-SUMIF('Billing and Payment Details'!C:C,'PO Details'!F11,'Billing and Payment Details'!G:G)</f>
        <v>0</v>
      </c>
      <c r="L11" s="27" t="s">
        <v>90</v>
      </c>
      <c r="M11" s="26"/>
      <c r="N11" s="26" t="str">
        <f>VLOOKUP(F11,'Outsourcing Details'!$C$2:$D$394,2,FALSE)</f>
        <v>Winnovation Education Services Pvt</v>
      </c>
      <c r="O11" s="24"/>
    </row>
    <row r="12" spans="1:15" hidden="1">
      <c r="A12" s="26" t="s">
        <v>53</v>
      </c>
      <c r="B12" s="26" t="s">
        <v>25</v>
      </c>
      <c r="C12" s="30" t="s">
        <v>110</v>
      </c>
      <c r="D12" s="272" t="s">
        <v>111</v>
      </c>
      <c r="E12" s="272" t="s">
        <v>105</v>
      </c>
      <c r="F12" s="23">
        <v>4500092808</v>
      </c>
      <c r="G12" s="274">
        <v>45581</v>
      </c>
      <c r="H12" s="263">
        <v>552500</v>
      </c>
      <c r="I12" s="26"/>
      <c r="J12" s="26"/>
      <c r="K12" s="27">
        <f>H12-SUMIF('Billing and Payment Details'!C:C,'PO Details'!F12,'Billing and Payment Details'!G:G)</f>
        <v>0</v>
      </c>
      <c r="L12" s="27" t="s">
        <v>90</v>
      </c>
      <c r="M12" s="26"/>
      <c r="N12" s="26" t="str">
        <f>VLOOKUP(F12,'Outsourcing Details'!$C$2:$D$394,2,FALSE)</f>
        <v>SeaInfonet Pvt Ltd</v>
      </c>
      <c r="O12" s="24"/>
    </row>
    <row r="13" spans="1:15" hidden="1">
      <c r="A13" s="26" t="s">
        <v>53</v>
      </c>
      <c r="B13" s="26" t="s">
        <v>25</v>
      </c>
      <c r="C13" s="26" t="s">
        <v>112</v>
      </c>
      <c r="D13" s="272"/>
      <c r="E13" s="272"/>
      <c r="F13" s="23">
        <v>4500097527</v>
      </c>
      <c r="G13" s="274">
        <v>45757</v>
      </c>
      <c r="H13" s="263">
        <v>1231905</v>
      </c>
      <c r="I13" s="26"/>
      <c r="J13" s="26"/>
      <c r="K13" s="27">
        <f>H13-SUMIF('Billing and Payment Details'!C:C,'PO Details'!F13,'Billing and Payment Details'!G:G)</f>
        <v>0</v>
      </c>
      <c r="L13" s="27" t="s">
        <v>90</v>
      </c>
      <c r="M13" s="26"/>
      <c r="N13" s="26" t="str">
        <f>VLOOKUP(F13,'Outsourcing Details'!$C$2:$D$394,2,FALSE)</f>
        <v>SeaInfonet Pvt Ltd</v>
      </c>
      <c r="O13" s="24"/>
    </row>
    <row r="14" spans="1:15" ht="14.4" hidden="1">
      <c r="A14" s="26" t="s">
        <v>53</v>
      </c>
      <c r="B14" s="26" t="s">
        <v>25</v>
      </c>
      <c r="C14" s="26"/>
      <c r="D14" s="272"/>
      <c r="E14" s="272"/>
      <c r="F14" s="85">
        <v>4500092930</v>
      </c>
      <c r="G14" s="274">
        <v>45589</v>
      </c>
      <c r="H14" s="263">
        <v>13500</v>
      </c>
      <c r="I14" s="26"/>
      <c r="J14" s="26"/>
      <c r="K14" s="27">
        <f>H14-SUMIF('Billing and Payment Details'!C:C,'PO Details'!F14,'Billing and Payment Details'!G:G)</f>
        <v>0</v>
      </c>
      <c r="L14" s="27" t="s">
        <v>90</v>
      </c>
      <c r="M14" s="26"/>
      <c r="N14" s="26" t="str">
        <f>VLOOKUP(F14,'Outsourcing Details'!$C$2:$D$394,2,FALSE)</f>
        <v>SeaInfonet Pvt Ltd</v>
      </c>
      <c r="O14" s="24"/>
    </row>
    <row r="15" spans="1:15" hidden="1">
      <c r="A15" s="26" t="s">
        <v>113</v>
      </c>
      <c r="B15" s="23" t="s">
        <v>55</v>
      </c>
      <c r="C15" s="26" t="s">
        <v>114</v>
      </c>
      <c r="D15" s="272" t="s">
        <v>115</v>
      </c>
      <c r="E15" s="272" t="s">
        <v>116</v>
      </c>
      <c r="F15" s="23">
        <v>4500091403</v>
      </c>
      <c r="G15" s="272">
        <v>45542</v>
      </c>
      <c r="H15" s="265">
        <v>229075</v>
      </c>
      <c r="I15" s="26"/>
      <c r="J15" s="26"/>
      <c r="K15" s="27">
        <f>H15-SUMIF('Billing and Payment Details'!C:C,'PO Details'!F15,'Billing and Payment Details'!G:G)</f>
        <v>0</v>
      </c>
      <c r="L15" s="27"/>
      <c r="M15" s="26"/>
      <c r="N15" s="26" t="str">
        <f>VLOOKUP(F15,'Outsourcing Details'!$C$2:$D$394,2,FALSE)</f>
        <v>AUROPRO SOFT SYSTEMS PVT LTD</v>
      </c>
      <c r="O15" s="24"/>
    </row>
    <row r="16" spans="1:15" hidden="1">
      <c r="A16" s="26" t="s">
        <v>113</v>
      </c>
      <c r="B16" s="23" t="s">
        <v>55</v>
      </c>
      <c r="C16" s="26" t="s">
        <v>117</v>
      </c>
      <c r="D16" s="272" t="s">
        <v>115</v>
      </c>
      <c r="E16" s="272" t="s">
        <v>118</v>
      </c>
      <c r="F16" s="23">
        <v>4500091408</v>
      </c>
      <c r="G16" s="272">
        <v>45544</v>
      </c>
      <c r="H16" s="265">
        <v>649740</v>
      </c>
      <c r="I16" s="26"/>
      <c r="J16" s="26"/>
      <c r="K16" s="27">
        <f>H16-SUMIF('Billing and Payment Details'!C:C,'PO Details'!F16,'Billing and Payment Details'!G:G)</f>
        <v>0</v>
      </c>
      <c r="L16" s="27"/>
      <c r="M16" s="26"/>
      <c r="N16" s="26" t="str">
        <f>VLOOKUP(F16,'Outsourcing Details'!$C$2:$D$394,2,FALSE)</f>
        <v>AUROPRO SOFT SYSTEMS PVT LTD</v>
      </c>
      <c r="O16" s="24"/>
    </row>
    <row r="17" spans="1:15" hidden="1">
      <c r="A17" s="26"/>
      <c r="B17" s="23" t="s">
        <v>56</v>
      </c>
      <c r="C17" s="26"/>
      <c r="D17" s="272"/>
      <c r="E17" s="272"/>
      <c r="F17" s="23">
        <v>4500087051</v>
      </c>
      <c r="G17" s="272">
        <v>45390</v>
      </c>
      <c r="H17" s="266">
        <v>525000</v>
      </c>
      <c r="I17" s="26"/>
      <c r="J17" s="28">
        <v>0.05</v>
      </c>
      <c r="K17" s="27">
        <f>H17-SUMIF('Billing and Payment Details'!C:C,'PO Details'!F17,'Billing and Payment Details'!G:G)</f>
        <v>0</v>
      </c>
      <c r="L17" s="27" t="s">
        <v>90</v>
      </c>
      <c r="M17" s="26" t="s">
        <v>119</v>
      </c>
      <c r="N17" s="26" t="str">
        <f>VLOOKUP(F17,'Outsourcing Details'!$C$2:$D$394,2,FALSE)</f>
        <v>BUSYBOTS PRIVATE LIMITED</v>
      </c>
      <c r="O17" s="24"/>
    </row>
    <row r="18" spans="1:15" hidden="1">
      <c r="A18" s="26"/>
      <c r="B18" s="23" t="s">
        <v>56</v>
      </c>
      <c r="C18" s="26"/>
      <c r="D18" s="272"/>
      <c r="E18" s="272"/>
      <c r="F18" s="23">
        <v>4500089409</v>
      </c>
      <c r="G18" s="272"/>
      <c r="H18" s="266">
        <v>525000</v>
      </c>
      <c r="I18" s="26"/>
      <c r="J18" s="28">
        <v>0.05</v>
      </c>
      <c r="K18" s="27">
        <f>H18-SUMIF('Billing and Payment Details'!C:C,'PO Details'!F18,'Billing and Payment Details'!G:G)</f>
        <v>0</v>
      </c>
      <c r="L18" s="27" t="s">
        <v>90</v>
      </c>
      <c r="M18" s="26" t="s">
        <v>120</v>
      </c>
      <c r="N18" s="26" t="str">
        <f>VLOOKUP(F18,'Outsourcing Details'!$C$2:$D$394,2,FALSE)</f>
        <v>BUSYBOTS PRIVATE LIMITED</v>
      </c>
      <c r="O18" s="24"/>
    </row>
    <row r="19" spans="1:15" hidden="1">
      <c r="A19" s="26"/>
      <c r="B19" s="23" t="s">
        <v>57</v>
      </c>
      <c r="C19" s="26"/>
      <c r="D19" s="272"/>
      <c r="E19" s="272"/>
      <c r="F19" s="26"/>
      <c r="G19" s="272"/>
      <c r="H19" s="263"/>
      <c r="I19" s="26"/>
      <c r="J19" s="26"/>
      <c r="K19" s="27">
        <f>H19-SUMIF('Billing and Payment Details'!C:C,'PO Details'!F19,'Billing and Payment Details'!G:G)</f>
        <v>0</v>
      </c>
      <c r="L19" s="27"/>
      <c r="M19" s="26"/>
      <c r="N19" s="26" t="e">
        <f>VLOOKUP(F19,'Outsourcing Details'!$C$2:$D$394,2,FALSE)</f>
        <v>#N/A</v>
      </c>
      <c r="O19" s="24"/>
    </row>
    <row r="20" spans="1:15" hidden="1">
      <c r="A20" s="26"/>
      <c r="B20" s="23" t="s">
        <v>58</v>
      </c>
      <c r="C20" s="26"/>
      <c r="D20" s="272"/>
      <c r="E20" s="272"/>
      <c r="F20" s="26"/>
      <c r="G20" s="272"/>
      <c r="H20" s="263"/>
      <c r="I20" s="26"/>
      <c r="J20" s="26"/>
      <c r="K20" s="27">
        <f>H20-SUMIF('Billing and Payment Details'!C:C,'PO Details'!F20,'Billing and Payment Details'!G:G)</f>
        <v>0</v>
      </c>
      <c r="L20" s="27"/>
      <c r="M20" s="26"/>
      <c r="N20" s="26" t="e">
        <f>VLOOKUP(F20,'Outsourcing Details'!$C$2:$D$394,2,FALSE)</f>
        <v>#N/A</v>
      </c>
      <c r="O20" s="24"/>
    </row>
    <row r="21" spans="1:15" hidden="1">
      <c r="A21" s="26" t="s">
        <v>59</v>
      </c>
      <c r="B21" s="23" t="s">
        <v>55</v>
      </c>
      <c r="C21" s="29" t="s">
        <v>121</v>
      </c>
      <c r="D21" s="273">
        <v>45558</v>
      </c>
      <c r="E21" s="274">
        <v>45587</v>
      </c>
      <c r="F21" s="23">
        <v>4500092198</v>
      </c>
      <c r="G21" s="277">
        <v>45483</v>
      </c>
      <c r="H21" s="266">
        <v>168000</v>
      </c>
      <c r="I21" s="26" t="s">
        <v>89</v>
      </c>
      <c r="J21" s="28">
        <v>0.05</v>
      </c>
      <c r="K21" s="27">
        <f>H21-SUMIF('Billing and Payment Details'!C:C,'PO Details'!F21,'Billing and Payment Details'!G:G)</f>
        <v>0</v>
      </c>
      <c r="L21" s="27" t="s">
        <v>122</v>
      </c>
      <c r="M21" s="26"/>
      <c r="N21" s="26" t="str">
        <f>VLOOKUP(F21,'Outsourcing Details'!$C$2:$D$394,2,FALSE)</f>
        <v>AUROPRO SOFT SYSTEMS PVT LTD</v>
      </c>
      <c r="O21" s="24"/>
    </row>
    <row r="22" spans="1:15" hidden="1">
      <c r="A22" s="26" t="s">
        <v>123</v>
      </c>
      <c r="B22" s="23" t="s">
        <v>61</v>
      </c>
      <c r="C22" s="23" t="s">
        <v>124</v>
      </c>
      <c r="D22" s="274">
        <v>45842</v>
      </c>
      <c r="E22" s="274">
        <v>45961</v>
      </c>
      <c r="F22" s="23">
        <v>4500099372</v>
      </c>
      <c r="G22" s="274" t="s">
        <v>125</v>
      </c>
      <c r="H22" s="267">
        <v>1364955</v>
      </c>
      <c r="I22" s="26" t="s">
        <v>89</v>
      </c>
      <c r="J22" s="28">
        <v>0.05</v>
      </c>
      <c r="K22" s="27">
        <f>H22-SUMIF('Billing and Payment Details'!C:C,'PO Details'!F22,'Billing and Payment Details'!G:G)</f>
        <v>597168</v>
      </c>
      <c r="L22" s="27" t="s">
        <v>95</v>
      </c>
      <c r="M22" s="26"/>
      <c r="N22" s="26" t="str">
        <f>VLOOKUP(F22,'Outsourcing Details'!$C$2:$D$394,2,FALSE)</f>
        <v>Highsky IT Solutions Private Limited</v>
      </c>
      <c r="O22" s="24"/>
    </row>
    <row r="23" spans="1:15" hidden="1">
      <c r="A23" s="26" t="s">
        <v>63</v>
      </c>
      <c r="B23" s="31" t="s">
        <v>64</v>
      </c>
      <c r="C23" s="23" t="s">
        <v>126</v>
      </c>
      <c r="D23" s="274">
        <v>45840</v>
      </c>
      <c r="E23" s="274">
        <v>45869</v>
      </c>
      <c r="F23" s="23">
        <v>4500100033</v>
      </c>
      <c r="G23" s="274">
        <v>45853</v>
      </c>
      <c r="H23" s="268">
        <v>90000</v>
      </c>
      <c r="I23" s="26"/>
      <c r="J23" s="28">
        <v>0.05</v>
      </c>
      <c r="K23" s="27">
        <f>H23-SUMIF('Billing and Payment Details'!C:C,'PO Details'!F23,'Billing and Payment Details'!G:G)</f>
        <v>0</v>
      </c>
      <c r="L23" s="27" t="s">
        <v>95</v>
      </c>
      <c r="M23" s="26"/>
      <c r="N23" s="26" t="str">
        <f>VLOOKUP(F23,'Outsourcing Details'!$C$2:$D$394,2,FALSE)</f>
        <v>BCT Consulting Private Limited</v>
      </c>
      <c r="O23" s="24"/>
    </row>
    <row r="24" spans="1:15" hidden="1">
      <c r="A24" s="26" t="s">
        <v>65</v>
      </c>
      <c r="B24" s="31" t="s">
        <v>64</v>
      </c>
      <c r="C24" s="23" t="s">
        <v>127</v>
      </c>
      <c r="D24" s="274">
        <v>45845</v>
      </c>
      <c r="E24" s="274">
        <v>45869</v>
      </c>
      <c r="F24" s="23">
        <v>4500100034</v>
      </c>
      <c r="G24" s="278">
        <v>45853</v>
      </c>
      <c r="H24" s="268">
        <v>108000</v>
      </c>
      <c r="I24" s="26"/>
      <c r="J24" s="28">
        <v>0.05</v>
      </c>
      <c r="K24" s="27">
        <f>H24-SUMIF('Billing and Payment Details'!C:C,'PO Details'!F24,'Billing and Payment Details'!G:G)</f>
        <v>0</v>
      </c>
      <c r="L24" s="27" t="s">
        <v>95</v>
      </c>
      <c r="M24" s="26"/>
      <c r="N24" s="26" t="str">
        <f>VLOOKUP(F24,'Outsourcing Details'!$C$2:$D$394,2,FALSE)</f>
        <v>BCT Consulting Private Limited</v>
      </c>
      <c r="O24" s="24"/>
    </row>
    <row r="25" spans="1:15" hidden="1">
      <c r="A25" s="23" t="s">
        <v>52</v>
      </c>
      <c r="B25" s="26" t="s">
        <v>25</v>
      </c>
      <c r="C25" s="23" t="s">
        <v>128</v>
      </c>
      <c r="D25" s="274">
        <v>45717</v>
      </c>
      <c r="E25" s="274">
        <v>45747</v>
      </c>
      <c r="F25" s="23">
        <v>4500100035</v>
      </c>
      <c r="G25" s="274" t="s">
        <v>129</v>
      </c>
      <c r="H25" s="267">
        <v>52500</v>
      </c>
      <c r="I25" s="26" t="s">
        <v>130</v>
      </c>
      <c r="J25" s="28">
        <v>0.05</v>
      </c>
      <c r="K25" s="27">
        <f>H25-SUMIF('Billing and Payment Details'!C:C,'PO Details'!F25,'Billing and Payment Details'!G:G)</f>
        <v>2500</v>
      </c>
      <c r="L25" s="27" t="s">
        <v>95</v>
      </c>
      <c r="M25" s="26"/>
      <c r="N25" s="26" t="str">
        <f>VLOOKUP(F25,'Outsourcing Details'!$C$2:$D$394,2,FALSE)</f>
        <v>Winnovation Education Services Pvt</v>
      </c>
      <c r="O25" s="24"/>
    </row>
    <row r="26" spans="1:15" hidden="1">
      <c r="A26" s="23" t="s">
        <v>66</v>
      </c>
      <c r="B26" s="23" t="s">
        <v>67</v>
      </c>
      <c r="C26" s="23" t="s">
        <v>131</v>
      </c>
      <c r="D26" s="274">
        <v>45768</v>
      </c>
      <c r="E26" s="274">
        <v>45950</v>
      </c>
      <c r="F26" s="23">
        <v>4500100039</v>
      </c>
      <c r="G26" s="274" t="s">
        <v>129</v>
      </c>
      <c r="H26" s="264">
        <v>1164167</v>
      </c>
      <c r="I26" s="26" t="s">
        <v>89</v>
      </c>
      <c r="J26" s="28">
        <v>0.1</v>
      </c>
      <c r="K26" s="27">
        <f>H26-SUMIF('Billing and Payment Details'!C:C,'PO Details'!F26,'Billing and Payment Details'!G:G)</f>
        <v>513334</v>
      </c>
      <c r="L26" s="27" t="s">
        <v>95</v>
      </c>
      <c r="M26" s="26" t="s">
        <v>132</v>
      </c>
      <c r="N26" s="26" t="str">
        <f>VLOOKUP(F26,'Outsourcing Details'!$C$2:$D$394,2,FALSE)</f>
        <v>Abhiyanta India Solution Private Limited</v>
      </c>
      <c r="O26" s="24"/>
    </row>
    <row r="27" spans="1:15" hidden="1">
      <c r="A27" s="26" t="s">
        <v>69</v>
      </c>
      <c r="B27" s="26" t="s">
        <v>42</v>
      </c>
      <c r="C27" s="23" t="s">
        <v>133</v>
      </c>
      <c r="D27" s="274">
        <v>45839</v>
      </c>
      <c r="E27" s="274">
        <v>46112</v>
      </c>
      <c r="F27" s="23">
        <v>4500100053</v>
      </c>
      <c r="G27" s="274" t="s">
        <v>129</v>
      </c>
      <c r="H27" s="267">
        <v>1059300</v>
      </c>
      <c r="I27" s="26" t="s">
        <v>89</v>
      </c>
      <c r="J27" s="28">
        <v>0.05</v>
      </c>
      <c r="K27" s="27">
        <f>H27-SUMIF('Billing and Payment Details'!C:C,'PO Details'!F27,'Billing and Payment Details'!G:G)</f>
        <v>964618.35</v>
      </c>
      <c r="L27" s="27" t="s">
        <v>95</v>
      </c>
      <c r="M27" s="26" t="s">
        <v>134</v>
      </c>
      <c r="N27" s="26" t="str">
        <f>VLOOKUP(F27,'Outsourcing Details'!$C$2:$D$394,2,FALSE)</f>
        <v>VRATA TECH SOLUTIONS PRIVATE LIMITED</v>
      </c>
      <c r="O27" s="24"/>
    </row>
    <row r="28" spans="1:15" hidden="1">
      <c r="A28" s="26" t="s">
        <v>70</v>
      </c>
      <c r="B28" s="31" t="s">
        <v>64</v>
      </c>
      <c r="C28" s="23" t="s">
        <v>135</v>
      </c>
      <c r="D28" s="274">
        <v>45810</v>
      </c>
      <c r="E28" s="274">
        <v>45838</v>
      </c>
      <c r="F28" s="23">
        <v>4500100130</v>
      </c>
      <c r="G28" s="274" t="s">
        <v>136</v>
      </c>
      <c r="H28" s="268">
        <v>85000</v>
      </c>
      <c r="I28" s="26" t="s">
        <v>130</v>
      </c>
      <c r="J28" s="28">
        <v>0.05</v>
      </c>
      <c r="K28" s="27">
        <f>H28-SUMIF('Billing and Payment Details'!C:C,'PO Details'!F28,'Billing and Payment Details'!G:G)</f>
        <v>0</v>
      </c>
      <c r="L28" s="27" t="s">
        <v>95</v>
      </c>
      <c r="M28" s="26"/>
      <c r="N28" s="26" t="str">
        <f>VLOOKUP(F28,'Outsourcing Details'!$C$2:$D$394,2,FALSE)</f>
        <v>AUROPRO SOFT SYSTEMS PVT LTD</v>
      </c>
      <c r="O28" s="24"/>
    </row>
    <row r="29" spans="1:15" hidden="1">
      <c r="A29" s="23" t="s">
        <v>71</v>
      </c>
      <c r="B29" s="26" t="s">
        <v>51</v>
      </c>
      <c r="C29" s="23" t="s">
        <v>137</v>
      </c>
      <c r="D29" s="274">
        <v>45748</v>
      </c>
      <c r="E29" s="274">
        <v>46022</v>
      </c>
      <c r="F29" s="23">
        <v>4500100177</v>
      </c>
      <c r="G29" s="274" t="s">
        <v>138</v>
      </c>
      <c r="H29" s="264">
        <v>1945125</v>
      </c>
      <c r="I29" s="26" t="s">
        <v>89</v>
      </c>
      <c r="J29" s="28">
        <v>0.05</v>
      </c>
      <c r="K29" s="27">
        <f>H29-SUMIF('Billing and Payment Details'!C:C,'PO Details'!F29,'Billing and Payment Details'!G:G)</f>
        <v>1296750</v>
      </c>
      <c r="L29" s="27" t="s">
        <v>95</v>
      </c>
      <c r="M29" s="26" t="s">
        <v>139</v>
      </c>
      <c r="N29" s="26" t="str">
        <f>VLOOKUP(F29,'Outsourcing Details'!$C$2:$D$394,2,FALSE)</f>
        <v>ITSHRI SOLUTION LLP</v>
      </c>
      <c r="O29" s="24"/>
    </row>
    <row r="30" spans="1:15" ht="14.4" hidden="1">
      <c r="A30" s="112"/>
      <c r="B30" s="112" t="s">
        <v>72</v>
      </c>
      <c r="C30" s="112"/>
      <c r="D30" s="272"/>
      <c r="E30" s="272"/>
      <c r="F30" s="42">
        <v>4500083044</v>
      </c>
      <c r="G30" s="279">
        <v>45754</v>
      </c>
      <c r="H30" s="263">
        <v>1812600</v>
      </c>
      <c r="I30" s="26" t="s">
        <v>89</v>
      </c>
      <c r="J30" s="28">
        <v>0.05</v>
      </c>
      <c r="K30" s="27">
        <f>H30-SUMIF('Billing and Payment Details'!C:C,'PO Details'!F30,'Billing and Payment Details'!G:G)</f>
        <v>1466613.85</v>
      </c>
      <c r="L30" s="143"/>
      <c r="M30" s="112"/>
      <c r="N30" s="26" t="str">
        <f>VLOOKUP(F30,'Outsourcing Details'!$C$2:$D$394,2,FALSE)</f>
        <v>Cinesonic Audio Visual Pvt Ltd</v>
      </c>
    </row>
    <row r="31" spans="1:15" ht="14.4" hidden="1">
      <c r="A31" s="112"/>
      <c r="B31" s="112" t="s">
        <v>72</v>
      </c>
      <c r="C31" s="112"/>
      <c r="D31" s="272"/>
      <c r="E31" s="272"/>
      <c r="F31" s="204">
        <v>4500094598</v>
      </c>
      <c r="G31" s="279">
        <v>45652</v>
      </c>
      <c r="H31" s="269">
        <v>673920</v>
      </c>
      <c r="I31" s="26" t="s">
        <v>89</v>
      </c>
      <c r="J31" s="28">
        <v>0.05</v>
      </c>
      <c r="K31" s="27">
        <f>H31-SUMIF('Billing and Payment Details'!C:C,'PO Details'!F31,'Billing and Payment Details'!G:G)</f>
        <v>0</v>
      </c>
      <c r="L31" s="143"/>
      <c r="M31" s="112"/>
      <c r="N31" s="26" t="str">
        <f>VLOOKUP(F31,'Outsourcing Details'!$C$2:$D$394,2,FALSE)</f>
        <v>Cinesonic Audio Visual Pvt Ltd</v>
      </c>
    </row>
    <row r="32" spans="1:15" ht="14.4" hidden="1">
      <c r="A32" s="157" t="s">
        <v>73</v>
      </c>
      <c r="B32" s="97" t="s">
        <v>74</v>
      </c>
      <c r="C32" s="89" t="s">
        <v>140</v>
      </c>
      <c r="D32" s="275">
        <v>45748</v>
      </c>
      <c r="E32" s="316">
        <v>45808</v>
      </c>
      <c r="F32" s="205">
        <v>4500100823</v>
      </c>
      <c r="G32" s="275">
        <v>45880</v>
      </c>
      <c r="H32" s="270">
        <v>941250</v>
      </c>
      <c r="I32" s="112" t="s">
        <v>89</v>
      </c>
      <c r="J32" s="28">
        <v>0.05</v>
      </c>
      <c r="K32" s="27">
        <f>H32-SUMIF('Billing and Payment Details'!C:C,'PO Details'!F32,'Billing and Payment Details'!G:G)</f>
        <v>941250</v>
      </c>
      <c r="L32" s="143" t="s">
        <v>95</v>
      </c>
      <c r="M32" s="112" t="s">
        <v>141</v>
      </c>
      <c r="N32" s="26" t="str">
        <f>VLOOKUP(F32,'Outsourcing Details'!$C$2:$D$394,2,FALSE)</f>
        <v>KAPARTHI CONSULTANCY SERVICES</v>
      </c>
    </row>
    <row r="33" spans="1:14" ht="14.4" hidden="1">
      <c r="A33" s="65" t="s">
        <v>75</v>
      </c>
      <c r="B33" s="89" t="s">
        <v>76</v>
      </c>
      <c r="C33" s="206" t="s">
        <v>142</v>
      </c>
      <c r="D33" s="275">
        <v>45597</v>
      </c>
      <c r="E33" s="275">
        <v>45930</v>
      </c>
      <c r="F33" s="205">
        <v>4500094574</v>
      </c>
      <c r="G33" s="275">
        <v>45658</v>
      </c>
      <c r="H33" s="270">
        <v>1452000</v>
      </c>
      <c r="I33" s="112" t="s">
        <v>89</v>
      </c>
      <c r="J33" s="28">
        <v>0.05</v>
      </c>
      <c r="K33" s="27">
        <f>H33-SUMIF('Billing and Payment Details'!C:C,'PO Details'!F33,'Billing and Payment Details'!G:G)</f>
        <v>532200</v>
      </c>
      <c r="L33" s="143" t="s">
        <v>95</v>
      </c>
      <c r="M33" s="112" t="s">
        <v>143</v>
      </c>
      <c r="N33" s="26" t="str">
        <f>VLOOKUP(F33,'Outsourcing Details'!$C$2:$D$394,2,FALSE)</f>
        <v>BUSYBOTS PRIVATE LIMITED</v>
      </c>
    </row>
  </sheetData>
  <autoFilter ref="A2:N33" xr:uid="{1D31455B-CAB4-4C9E-B655-603B0297CDFA}">
    <filterColumn colId="5">
      <filters>
        <filter val="4500095281"/>
      </filters>
    </filterColumn>
  </autoFilter>
  <hyperlinks>
    <hyperlink ref="C12" r:id="rId1" display="FC2024-243.pdf (application/pdf)  " xr:uid="{CE866A8E-EB30-4987-A223-FEBEB5CFBA6B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5930-0488-4552-AB38-23ACBD525592}">
  <sheetPr filterMode="1"/>
  <dimension ref="A1:M219"/>
  <sheetViews>
    <sheetView tabSelected="1" topLeftCell="B1" zoomScale="75" zoomScaleNormal="60" workbookViewId="0">
      <pane ySplit="2" topLeftCell="A3" activePane="bottomLeft" state="frozen"/>
      <selection activeCell="F37" sqref="F37"/>
      <selection pane="bottomLeft" activeCell="M3" sqref="M3"/>
    </sheetView>
  </sheetViews>
  <sheetFormatPr defaultRowHeight="14.4"/>
  <cols>
    <col min="1" max="1" width="28.6640625" customWidth="1"/>
    <col min="2" max="2" width="27.44140625" customWidth="1"/>
    <col min="3" max="3" width="16.88671875" style="32" customWidth="1"/>
    <col min="4" max="4" width="23.88671875" style="32" bestFit="1" customWidth="1"/>
    <col min="5" max="5" width="16.5546875" bestFit="1" customWidth="1"/>
    <col min="6" max="6" width="18.33203125" style="295" bestFit="1" customWidth="1"/>
    <col min="7" max="7" width="26.88671875" style="20" customWidth="1"/>
    <col min="8" max="8" width="15.44140625" style="20" customWidth="1"/>
    <col min="9" max="9" width="14.109375" style="20" bestFit="1" customWidth="1"/>
    <col min="10" max="10" width="26" bestFit="1" customWidth="1"/>
    <col min="11" max="11" width="19.109375" style="295" bestFit="1" customWidth="1"/>
    <col min="12" max="12" width="17.5546875" customWidth="1"/>
    <col min="13" max="13" width="43.33203125" bestFit="1" customWidth="1"/>
  </cols>
  <sheetData>
    <row r="1" spans="1:13">
      <c r="A1" s="255"/>
      <c r="B1" s="255"/>
      <c r="C1" s="255"/>
      <c r="D1" s="255"/>
      <c r="E1" s="255"/>
      <c r="F1" s="281"/>
      <c r="G1" s="256">
        <f>SUBTOTAL(9,G3:G1048576)</f>
        <v>1328307.75</v>
      </c>
      <c r="H1" s="256">
        <f>SUBTOTAL(9,H3:H1048576)</f>
        <v>26566.155000000002</v>
      </c>
      <c r="I1" s="256">
        <f>SUBTOTAL(9,I3:I1048576)</f>
        <v>1540836.9899999998</v>
      </c>
      <c r="J1" s="255"/>
      <c r="K1" s="281"/>
      <c r="L1" s="255"/>
      <c r="M1" s="255"/>
    </row>
    <row r="2" spans="1:13">
      <c r="A2" s="257" t="s">
        <v>144</v>
      </c>
      <c r="B2" s="257" t="s">
        <v>2</v>
      </c>
      <c r="C2" s="257" t="s">
        <v>145</v>
      </c>
      <c r="D2" s="257" t="s">
        <v>33</v>
      </c>
      <c r="E2" s="257" t="s">
        <v>146</v>
      </c>
      <c r="F2" s="282" t="s">
        <v>147</v>
      </c>
      <c r="G2" s="258" t="s">
        <v>148</v>
      </c>
      <c r="H2" s="259" t="s">
        <v>149</v>
      </c>
      <c r="I2" s="258" t="s">
        <v>150</v>
      </c>
      <c r="J2" s="257" t="s">
        <v>151</v>
      </c>
      <c r="K2" s="282" t="s">
        <v>152</v>
      </c>
      <c r="L2" s="257" t="s">
        <v>153</v>
      </c>
      <c r="M2" s="257" t="s">
        <v>34</v>
      </c>
    </row>
    <row r="3" spans="1:13" hidden="1">
      <c r="A3" s="260" t="s">
        <v>41</v>
      </c>
      <c r="B3" s="260" t="s">
        <v>42</v>
      </c>
      <c r="C3" s="260">
        <v>4500095281</v>
      </c>
      <c r="D3" s="260"/>
      <c r="E3" s="260" t="s">
        <v>154</v>
      </c>
      <c r="F3" s="283">
        <v>45693</v>
      </c>
      <c r="G3" s="261">
        <v>35225</v>
      </c>
      <c r="H3" s="154">
        <f t="shared" ref="H3:H7" si="0">G3*2%</f>
        <v>704.5</v>
      </c>
      <c r="I3" s="147">
        <f t="shared" ref="I3:I7" si="1">(G3*1.18)-H3</f>
        <v>40861</v>
      </c>
      <c r="J3" s="260" t="s">
        <v>155</v>
      </c>
      <c r="K3" s="296">
        <v>45811</v>
      </c>
      <c r="L3" s="260"/>
      <c r="M3" s="213" t="str">
        <f>VLOOKUP(C3,'Outsourcing Details'!C:D,2,0)</f>
        <v>VRATA TECH SOLUTIONS PRIVATE LIMITED</v>
      </c>
    </row>
    <row r="4" spans="1:13" hidden="1">
      <c r="A4" s="257" t="s">
        <v>41</v>
      </c>
      <c r="B4" s="257" t="s">
        <v>42</v>
      </c>
      <c r="C4" s="257">
        <v>4500095281</v>
      </c>
      <c r="D4" s="254"/>
      <c r="E4" s="257" t="s">
        <v>156</v>
      </c>
      <c r="F4" s="284">
        <v>45735</v>
      </c>
      <c r="G4" s="258">
        <v>68250</v>
      </c>
      <c r="H4" s="155">
        <f t="shared" si="0"/>
        <v>1365</v>
      </c>
      <c r="I4" s="113">
        <f t="shared" si="1"/>
        <v>79170</v>
      </c>
      <c r="J4" s="257" t="str">
        <f>'Outsourcing Details'!J4</f>
        <v>MAH/558/24-25</v>
      </c>
      <c r="K4" s="282">
        <v>45763</v>
      </c>
      <c r="L4" s="257"/>
      <c r="M4" s="168" t="str">
        <f>VLOOKUP(C4,'Outsourcing Details'!C:D,2,0)</f>
        <v>VRATA TECH SOLUTIONS PRIVATE LIMITED</v>
      </c>
    </row>
    <row r="5" spans="1:13" hidden="1">
      <c r="A5" s="257" t="s">
        <v>41</v>
      </c>
      <c r="B5" s="257" t="s">
        <v>42</v>
      </c>
      <c r="C5" s="257">
        <v>4500095281</v>
      </c>
      <c r="D5" s="257"/>
      <c r="E5" s="257" t="s">
        <v>157</v>
      </c>
      <c r="F5" s="284">
        <v>45775</v>
      </c>
      <c r="G5" s="258">
        <v>68250</v>
      </c>
      <c r="H5" s="155">
        <f t="shared" si="0"/>
        <v>1365</v>
      </c>
      <c r="I5" s="113">
        <f t="shared" si="1"/>
        <v>79170</v>
      </c>
      <c r="J5" s="257" t="str">
        <f>'Outsourcing Details'!J5</f>
        <v>MAH/650/24-25</v>
      </c>
      <c r="K5" s="282">
        <v>45805</v>
      </c>
      <c r="L5" s="257"/>
      <c r="M5" s="168" t="str">
        <f>VLOOKUP(C5,'Outsourcing Details'!C:D,2,0)</f>
        <v>VRATA TECH SOLUTIONS PRIVATE LIMITED</v>
      </c>
    </row>
    <row r="6" spans="1:13" hidden="1">
      <c r="A6" s="257" t="s">
        <v>41</v>
      </c>
      <c r="B6" s="257" t="s">
        <v>42</v>
      </c>
      <c r="C6" s="257">
        <v>4500098831</v>
      </c>
      <c r="D6" s="257"/>
      <c r="E6" s="257" t="s">
        <v>158</v>
      </c>
      <c r="F6" s="284">
        <v>45829</v>
      </c>
      <c r="G6" s="258">
        <v>68250</v>
      </c>
      <c r="H6" s="155">
        <f t="shared" si="0"/>
        <v>1365</v>
      </c>
      <c r="I6" s="113">
        <f>(G6*1.18)-H6</f>
        <v>79170</v>
      </c>
      <c r="J6" s="257" t="str">
        <f>'Outsourcing Details'!J6</f>
        <v>M/2526/Jun/024</v>
      </c>
      <c r="K6" s="282">
        <v>45859</v>
      </c>
      <c r="L6" s="87">
        <v>1400005222</v>
      </c>
      <c r="M6" s="168" t="str">
        <f>VLOOKUP(C6,'Outsourcing Details'!C:D,2,0)</f>
        <v>VRATA TECH SOLUTIONS PRIVATE LIMITED</v>
      </c>
    </row>
    <row r="7" spans="1:13" hidden="1">
      <c r="A7" s="257" t="s">
        <v>41</v>
      </c>
      <c r="B7" s="257" t="s">
        <v>42</v>
      </c>
      <c r="C7" s="257">
        <v>4500098831</v>
      </c>
      <c r="D7" s="257"/>
      <c r="E7" s="257" t="s">
        <v>159</v>
      </c>
      <c r="F7" s="284">
        <v>45829</v>
      </c>
      <c r="G7" s="258">
        <v>68250</v>
      </c>
      <c r="H7" s="155">
        <f t="shared" si="0"/>
        <v>1365</v>
      </c>
      <c r="I7" s="113">
        <f t="shared" si="1"/>
        <v>79170</v>
      </c>
      <c r="J7" s="257" t="str">
        <f>'Outsourcing Details'!J7</f>
        <v>M/2526/Jun/025</v>
      </c>
      <c r="K7" s="282">
        <v>45859</v>
      </c>
      <c r="L7" s="87">
        <v>1400005222</v>
      </c>
      <c r="M7" s="168" t="str">
        <f>VLOOKUP(C7,'Outsourcing Details'!C:D,2,0)</f>
        <v>VRATA TECH SOLUTIONS PRIVATE LIMITED</v>
      </c>
    </row>
    <row r="8" spans="1:13">
      <c r="A8" s="257" t="s">
        <v>44</v>
      </c>
      <c r="B8" s="101" t="s">
        <v>45</v>
      </c>
      <c r="C8" s="101">
        <v>4500095649</v>
      </c>
      <c r="D8" s="101"/>
      <c r="E8" s="101" t="s">
        <v>160</v>
      </c>
      <c r="F8" s="284">
        <v>45693</v>
      </c>
      <c r="G8" s="113">
        <v>33333.300000000003</v>
      </c>
      <c r="H8" s="113">
        <f t="shared" ref="H8:H21" si="2">G8*2%</f>
        <v>666.66600000000005</v>
      </c>
      <c r="I8" s="113">
        <f t="shared" ref="I8:I21" si="3">(G8*1.18)-H8</f>
        <v>38666.628000000004</v>
      </c>
      <c r="J8" s="114" t="s">
        <v>161</v>
      </c>
      <c r="K8" s="282">
        <v>45770</v>
      </c>
      <c r="L8" s="101">
        <v>1400001141</v>
      </c>
      <c r="M8" s="168" t="str">
        <f>VLOOKUP(C8,'Outsourcing Details'!C:D,2,0)</f>
        <v>BCT Consulting Private Limited</v>
      </c>
    </row>
    <row r="9" spans="1:13">
      <c r="A9" s="257" t="s">
        <v>44</v>
      </c>
      <c r="B9" s="101" t="s">
        <v>45</v>
      </c>
      <c r="C9" s="101">
        <v>4500095649</v>
      </c>
      <c r="D9" s="101"/>
      <c r="E9" s="101" t="s">
        <v>162</v>
      </c>
      <c r="F9" s="284">
        <v>45693</v>
      </c>
      <c r="G9" s="113">
        <v>166666</v>
      </c>
      <c r="H9" s="113">
        <f t="shared" si="2"/>
        <v>3333.32</v>
      </c>
      <c r="I9" s="113">
        <f t="shared" si="3"/>
        <v>193332.55999999997</v>
      </c>
      <c r="J9" s="114" t="s">
        <v>163</v>
      </c>
      <c r="K9" s="282">
        <v>45770</v>
      </c>
      <c r="L9" s="101">
        <v>1400001141</v>
      </c>
      <c r="M9" s="168" t="str">
        <f>VLOOKUP(C9,'Outsourcing Details'!C:D,2,0)</f>
        <v>BCT Consulting Private Limited</v>
      </c>
    </row>
    <row r="10" spans="1:13">
      <c r="A10" s="257" t="s">
        <v>44</v>
      </c>
      <c r="B10" s="101" t="s">
        <v>45</v>
      </c>
      <c r="C10" s="101">
        <v>4500095649</v>
      </c>
      <c r="D10" s="101"/>
      <c r="E10" s="101" t="s">
        <v>164</v>
      </c>
      <c r="F10" s="284">
        <v>45693</v>
      </c>
      <c r="G10" s="113">
        <v>166666</v>
      </c>
      <c r="H10" s="113">
        <f t="shared" si="2"/>
        <v>3333.32</v>
      </c>
      <c r="I10" s="113">
        <f t="shared" si="3"/>
        <v>193332.55999999997</v>
      </c>
      <c r="J10" s="114" t="s">
        <v>165</v>
      </c>
      <c r="K10" s="282">
        <v>45770</v>
      </c>
      <c r="L10" s="101">
        <v>1400001141</v>
      </c>
      <c r="M10" s="168" t="str">
        <f>VLOOKUP(C10,'Outsourcing Details'!C:D,2,0)</f>
        <v>BCT Consulting Private Limited</v>
      </c>
    </row>
    <row r="11" spans="1:13">
      <c r="A11" s="257" t="s">
        <v>44</v>
      </c>
      <c r="B11" s="101" t="s">
        <v>45</v>
      </c>
      <c r="C11" s="101">
        <v>4500095649</v>
      </c>
      <c r="D11" s="101"/>
      <c r="E11" s="101" t="s">
        <v>166</v>
      </c>
      <c r="F11" s="284">
        <v>45693</v>
      </c>
      <c r="G11" s="113">
        <v>166666</v>
      </c>
      <c r="H11" s="113">
        <f t="shared" si="2"/>
        <v>3333.32</v>
      </c>
      <c r="I11" s="113">
        <f t="shared" si="3"/>
        <v>193332.55999999997</v>
      </c>
      <c r="J11" s="114" t="s">
        <v>167</v>
      </c>
      <c r="K11" s="282">
        <v>45770</v>
      </c>
      <c r="L11" s="101">
        <v>1400001141</v>
      </c>
      <c r="M11" s="168" t="str">
        <f>VLOOKUP(C11,'Outsourcing Details'!C:D,2,0)</f>
        <v>BCT Consulting Private Limited</v>
      </c>
    </row>
    <row r="12" spans="1:13">
      <c r="A12" s="257" t="s">
        <v>44</v>
      </c>
      <c r="B12" s="101" t="s">
        <v>45</v>
      </c>
      <c r="C12" s="101">
        <v>4500095649</v>
      </c>
      <c r="D12" s="101"/>
      <c r="E12" s="101" t="s">
        <v>168</v>
      </c>
      <c r="F12" s="284">
        <v>45693</v>
      </c>
      <c r="G12" s="113">
        <v>166666</v>
      </c>
      <c r="H12" s="113">
        <f t="shared" si="2"/>
        <v>3333.32</v>
      </c>
      <c r="I12" s="113">
        <f t="shared" si="3"/>
        <v>193332.55999999997</v>
      </c>
      <c r="J12" s="114" t="s">
        <v>169</v>
      </c>
      <c r="K12" s="282">
        <v>45770</v>
      </c>
      <c r="L12" s="101">
        <v>1400001141</v>
      </c>
      <c r="M12" s="168" t="str">
        <f>VLOOKUP(C12,'Outsourcing Details'!C:D,2,0)</f>
        <v>BCT Consulting Private Limited</v>
      </c>
    </row>
    <row r="13" spans="1:13">
      <c r="A13" s="257" t="s">
        <v>44</v>
      </c>
      <c r="B13" s="101" t="s">
        <v>45</v>
      </c>
      <c r="C13" s="101">
        <v>4500095649</v>
      </c>
      <c r="D13" s="101"/>
      <c r="E13" s="101" t="s">
        <v>170</v>
      </c>
      <c r="F13" s="284">
        <v>45810</v>
      </c>
      <c r="G13" s="113">
        <v>166666</v>
      </c>
      <c r="H13" s="113">
        <f t="shared" si="2"/>
        <v>3333.32</v>
      </c>
      <c r="I13" s="113">
        <f t="shared" si="3"/>
        <v>193332.55999999997</v>
      </c>
      <c r="J13" s="114" t="s">
        <v>171</v>
      </c>
      <c r="K13" s="284">
        <v>45838</v>
      </c>
      <c r="L13" s="18">
        <v>1400004223</v>
      </c>
      <c r="M13" s="168" t="str">
        <f>VLOOKUP(C13,'Outsourcing Details'!C:D,2,0)</f>
        <v>BCT Consulting Private Limited</v>
      </c>
    </row>
    <row r="14" spans="1:13">
      <c r="A14" s="255" t="s">
        <v>44</v>
      </c>
      <c r="B14" s="145" t="s">
        <v>45</v>
      </c>
      <c r="C14" s="145">
        <v>4500095649</v>
      </c>
      <c r="D14" s="145"/>
      <c r="E14" s="145" t="s">
        <v>172</v>
      </c>
      <c r="F14" s="285">
        <v>45818</v>
      </c>
      <c r="G14" s="146">
        <v>155912</v>
      </c>
      <c r="H14" s="146">
        <f t="shared" si="2"/>
        <v>3118.2400000000002</v>
      </c>
      <c r="I14" s="146">
        <f t="shared" si="3"/>
        <v>180857.92</v>
      </c>
      <c r="J14" s="163" t="s">
        <v>173</v>
      </c>
      <c r="K14" s="285">
        <v>45847</v>
      </c>
      <c r="L14" s="145">
        <v>1400004644</v>
      </c>
      <c r="M14" s="168" t="str">
        <f>VLOOKUP(C14,'Outsourcing Details'!C:D,2,0)</f>
        <v>BCT Consulting Private Limited</v>
      </c>
    </row>
    <row r="15" spans="1:13" hidden="1">
      <c r="A15" s="257" t="s">
        <v>46</v>
      </c>
      <c r="B15" s="101" t="s">
        <v>47</v>
      </c>
      <c r="C15" s="101">
        <v>4500098672</v>
      </c>
      <c r="D15" s="101"/>
      <c r="E15" s="101" t="s">
        <v>174</v>
      </c>
      <c r="F15" s="284">
        <v>45811</v>
      </c>
      <c r="G15" s="113">
        <v>30680</v>
      </c>
      <c r="H15" s="113">
        <f t="shared" si="2"/>
        <v>613.6</v>
      </c>
      <c r="I15" s="113">
        <f t="shared" si="3"/>
        <v>35588.800000000003</v>
      </c>
      <c r="J15" s="257" t="str">
        <f>'Outsourcing Details'!$J$15</f>
        <v>86/2025-2026</v>
      </c>
      <c r="K15" s="282">
        <v>45840</v>
      </c>
      <c r="L15" s="101">
        <v>1400004308</v>
      </c>
      <c r="M15" s="168" t="str">
        <f>VLOOKUP(C15,'Outsourcing Details'!C:D,2,0)</f>
        <v>CANTICLE TECHNOLOGIES PRIVATE LIMITED</v>
      </c>
    </row>
    <row r="16" spans="1:13" hidden="1">
      <c r="A16" s="257" t="s">
        <v>46</v>
      </c>
      <c r="B16" s="101" t="s">
        <v>47</v>
      </c>
      <c r="C16" s="101">
        <v>4500098672</v>
      </c>
      <c r="D16" s="101"/>
      <c r="E16" s="101" t="s">
        <v>175</v>
      </c>
      <c r="F16" s="284">
        <v>45811</v>
      </c>
      <c r="G16" s="113">
        <v>92040</v>
      </c>
      <c r="H16" s="113">
        <f t="shared" si="2"/>
        <v>1840.8</v>
      </c>
      <c r="I16" s="113">
        <f t="shared" si="3"/>
        <v>106766.39999999999</v>
      </c>
      <c r="J16" s="257" t="str">
        <f>'Outsourcing Details'!$J$15</f>
        <v>86/2025-2026</v>
      </c>
      <c r="K16" s="282">
        <v>45845</v>
      </c>
      <c r="L16" s="257">
        <v>1400004559</v>
      </c>
      <c r="M16" s="168" t="str">
        <f>VLOOKUP(C16,'Outsourcing Details'!C:D,2,0)</f>
        <v>CANTICLE TECHNOLOGIES PRIVATE LIMITED</v>
      </c>
    </row>
    <row r="17" spans="1:13" hidden="1">
      <c r="A17" s="260" t="s">
        <v>48</v>
      </c>
      <c r="B17" s="148" t="s">
        <v>49</v>
      </c>
      <c r="C17" s="148">
        <v>4500097314</v>
      </c>
      <c r="D17" s="148"/>
      <c r="E17" s="148" t="s">
        <v>176</v>
      </c>
      <c r="F17" s="283">
        <v>45771</v>
      </c>
      <c r="G17" s="147">
        <v>41665</v>
      </c>
      <c r="H17" s="147">
        <f t="shared" si="2"/>
        <v>833.30000000000007</v>
      </c>
      <c r="I17" s="147">
        <f t="shared" si="3"/>
        <v>48331.399999999994</v>
      </c>
      <c r="J17" s="148" t="s">
        <v>177</v>
      </c>
      <c r="K17" s="283">
        <v>45798</v>
      </c>
      <c r="L17" s="148">
        <v>1400002471</v>
      </c>
      <c r="M17" s="168" t="str">
        <f>VLOOKUP(C17,'Outsourcing Details'!C:D,2,0)</f>
        <v>TRIBAL SOLUTIONS CONSULTING SERVICES PVT</v>
      </c>
    </row>
    <row r="18" spans="1:13" hidden="1">
      <c r="A18" s="257" t="s">
        <v>48</v>
      </c>
      <c r="B18" s="101" t="s">
        <v>49</v>
      </c>
      <c r="C18" s="101">
        <v>4500097314</v>
      </c>
      <c r="D18" s="101"/>
      <c r="E18" s="101" t="s">
        <v>178</v>
      </c>
      <c r="F18" s="284">
        <v>45771</v>
      </c>
      <c r="G18" s="113">
        <v>141661</v>
      </c>
      <c r="H18" s="113">
        <f t="shared" si="2"/>
        <v>2833.2200000000003</v>
      </c>
      <c r="I18" s="113">
        <f t="shared" si="3"/>
        <v>164326.75999999998</v>
      </c>
      <c r="J18" s="101" t="s">
        <v>177</v>
      </c>
      <c r="K18" s="284">
        <v>45798</v>
      </c>
      <c r="L18" s="101">
        <v>1400002471</v>
      </c>
      <c r="M18" s="168" t="str">
        <f>VLOOKUP(C18,'Outsourcing Details'!C:D,2,0)</f>
        <v>TRIBAL SOLUTIONS CONSULTING SERVICES PVT</v>
      </c>
    </row>
    <row r="19" spans="1:13" hidden="1">
      <c r="A19" s="257" t="s">
        <v>48</v>
      </c>
      <c r="B19" s="101" t="s">
        <v>49</v>
      </c>
      <c r="C19" s="101">
        <v>4500097314</v>
      </c>
      <c r="D19" s="101"/>
      <c r="E19" s="101" t="s">
        <v>179</v>
      </c>
      <c r="F19" s="284">
        <v>45771</v>
      </c>
      <c r="G19" s="113">
        <v>174993</v>
      </c>
      <c r="H19" s="113">
        <f t="shared" si="2"/>
        <v>3499.86</v>
      </c>
      <c r="I19" s="113">
        <f t="shared" si="3"/>
        <v>202991.88</v>
      </c>
      <c r="J19" s="101" t="s">
        <v>177</v>
      </c>
      <c r="K19" s="284">
        <v>45798</v>
      </c>
      <c r="L19" s="101">
        <v>1400002471</v>
      </c>
      <c r="M19" s="168" t="str">
        <f>VLOOKUP(C19,'Outsourcing Details'!C:D,2,0)</f>
        <v>TRIBAL SOLUTIONS CONSULTING SERVICES PVT</v>
      </c>
    </row>
    <row r="20" spans="1:13" hidden="1">
      <c r="A20" s="257" t="s">
        <v>48</v>
      </c>
      <c r="B20" s="101" t="s">
        <v>49</v>
      </c>
      <c r="C20" s="101">
        <v>4500097314</v>
      </c>
      <c r="D20" s="101"/>
      <c r="E20" s="101" t="s">
        <v>180</v>
      </c>
      <c r="F20" s="284">
        <v>45771</v>
      </c>
      <c r="G20" s="113">
        <v>41665</v>
      </c>
      <c r="H20" s="113">
        <f t="shared" si="2"/>
        <v>833.30000000000007</v>
      </c>
      <c r="I20" s="113">
        <f t="shared" si="3"/>
        <v>48331.399999999994</v>
      </c>
      <c r="J20" s="101" t="s">
        <v>177</v>
      </c>
      <c r="K20" s="284">
        <v>45798</v>
      </c>
      <c r="L20" s="101">
        <v>1400002471</v>
      </c>
      <c r="M20" s="168" t="str">
        <f>VLOOKUP(C20,'Outsourcing Details'!C:D,2,0)</f>
        <v>TRIBAL SOLUTIONS CONSULTING SERVICES PVT</v>
      </c>
    </row>
    <row r="21" spans="1:13" hidden="1">
      <c r="A21" s="255" t="s">
        <v>48</v>
      </c>
      <c r="B21" s="145" t="s">
        <v>49</v>
      </c>
      <c r="C21" s="145">
        <v>4500097314</v>
      </c>
      <c r="D21" s="145"/>
      <c r="E21" s="145" t="s">
        <v>181</v>
      </c>
      <c r="F21" s="285">
        <v>45751</v>
      </c>
      <c r="G21" s="146">
        <v>175000</v>
      </c>
      <c r="H21" s="146">
        <f t="shared" si="2"/>
        <v>3500</v>
      </c>
      <c r="I21" s="146">
        <f t="shared" si="3"/>
        <v>203000</v>
      </c>
      <c r="J21" s="145" t="s">
        <v>177</v>
      </c>
      <c r="K21" s="285">
        <v>45777</v>
      </c>
      <c r="L21" s="145">
        <v>1400001587</v>
      </c>
      <c r="M21" s="168" t="str">
        <f>VLOOKUP(C21,'Outsourcing Details'!C:D,2,0)</f>
        <v>TRIBAL SOLUTIONS CONSULTING SERVICES PVT</v>
      </c>
    </row>
    <row r="22" spans="1:13" hidden="1">
      <c r="A22" s="101" t="s">
        <v>50</v>
      </c>
      <c r="B22" s="101" t="s">
        <v>182</v>
      </c>
      <c r="C22" s="101">
        <v>4500095362</v>
      </c>
      <c r="D22" s="101"/>
      <c r="E22" s="101" t="s">
        <v>183</v>
      </c>
      <c r="F22" s="284">
        <v>45687</v>
      </c>
      <c r="G22" s="113">
        <v>197417</v>
      </c>
      <c r="H22" s="113">
        <f t="shared" ref="H22:H27" si="4">G22*2%</f>
        <v>3948.34</v>
      </c>
      <c r="I22" s="113">
        <f t="shared" ref="I22:I27" si="5">(G22*1.18)-H22</f>
        <v>229003.72</v>
      </c>
      <c r="J22" s="101">
        <f>'Outsourcing Details'!J21</f>
        <v>4253</v>
      </c>
      <c r="K22" s="284">
        <v>45714</v>
      </c>
      <c r="L22" s="101">
        <v>1400015690</v>
      </c>
      <c r="M22" s="65" t="str">
        <f>VLOOKUP(C22,'Outsourcing Details'!C:D,2,0)</f>
        <v>CARMATEC IT SOLUTIONS PRIVATE LIMITED</v>
      </c>
    </row>
    <row r="23" spans="1:13" hidden="1">
      <c r="A23" s="101" t="s">
        <v>50</v>
      </c>
      <c r="B23" s="101" t="s">
        <v>182</v>
      </c>
      <c r="C23" s="101">
        <v>4500095362</v>
      </c>
      <c r="D23" s="101"/>
      <c r="E23" s="101" t="s">
        <v>184</v>
      </c>
      <c r="F23" s="284">
        <v>45687</v>
      </c>
      <c r="G23" s="113">
        <v>78967</v>
      </c>
      <c r="H23" s="113">
        <f t="shared" si="4"/>
        <v>1579.3400000000001</v>
      </c>
      <c r="I23" s="113">
        <f t="shared" si="5"/>
        <v>91601.72</v>
      </c>
      <c r="J23" s="101">
        <f>'Outsourcing Details'!J22</f>
        <v>4252</v>
      </c>
      <c r="K23" s="284">
        <v>45714</v>
      </c>
      <c r="L23" s="101">
        <v>1400015690</v>
      </c>
      <c r="M23" s="65" t="str">
        <f>VLOOKUP(C23,'Outsourcing Details'!C:D,2,0)</f>
        <v>CARMATEC IT SOLUTIONS PRIVATE LIMITED</v>
      </c>
    </row>
    <row r="24" spans="1:13" hidden="1">
      <c r="A24" s="101" t="s">
        <v>50</v>
      </c>
      <c r="B24" s="101" t="s">
        <v>182</v>
      </c>
      <c r="C24" s="101">
        <v>4500095362</v>
      </c>
      <c r="D24" s="101"/>
      <c r="E24" s="101" t="s">
        <v>185</v>
      </c>
      <c r="F24" s="284">
        <v>45963</v>
      </c>
      <c r="G24" s="113">
        <v>78724</v>
      </c>
      <c r="H24" s="113">
        <f t="shared" si="4"/>
        <v>1574.48</v>
      </c>
      <c r="I24" s="113">
        <f t="shared" si="5"/>
        <v>91319.84</v>
      </c>
      <c r="J24" s="101">
        <f>'Outsourcing Details'!J23</f>
        <v>4262</v>
      </c>
      <c r="K24" s="284">
        <v>45728</v>
      </c>
      <c r="L24" s="101">
        <v>1400016360</v>
      </c>
      <c r="M24" s="65" t="str">
        <f>VLOOKUP(C24,'Outsourcing Details'!C:D,2,0)</f>
        <v>CARMATEC IT SOLUTIONS PRIVATE LIMITED</v>
      </c>
    </row>
    <row r="25" spans="1:13" hidden="1">
      <c r="A25" s="101" t="s">
        <v>50</v>
      </c>
      <c r="B25" s="101" t="s">
        <v>182</v>
      </c>
      <c r="C25" s="101">
        <v>4500095362</v>
      </c>
      <c r="D25" s="101"/>
      <c r="E25" s="101" t="s">
        <v>186</v>
      </c>
      <c r="F25" s="284">
        <v>45736</v>
      </c>
      <c r="G25" s="113">
        <v>78724</v>
      </c>
      <c r="H25" s="113">
        <f t="shared" si="4"/>
        <v>1574.48</v>
      </c>
      <c r="I25" s="113">
        <f t="shared" si="5"/>
        <v>91319.84</v>
      </c>
      <c r="J25" s="101">
        <f>'Outsourcing Details'!J24</f>
        <v>4281</v>
      </c>
      <c r="K25" s="284">
        <v>45763</v>
      </c>
      <c r="L25" s="101">
        <v>1400000825</v>
      </c>
      <c r="M25" s="65" t="str">
        <f>VLOOKUP(C25,'Outsourcing Details'!C:D,2,0)</f>
        <v>CARMATEC IT SOLUTIONS PRIVATE LIMITED</v>
      </c>
    </row>
    <row r="26" spans="1:13" hidden="1">
      <c r="A26" s="101" t="s">
        <v>50</v>
      </c>
      <c r="B26" s="101" t="s">
        <v>182</v>
      </c>
      <c r="C26" s="101">
        <v>4500095362</v>
      </c>
      <c r="D26" s="101"/>
      <c r="E26" s="101" t="s">
        <v>187</v>
      </c>
      <c r="F26" s="284">
        <v>45751</v>
      </c>
      <c r="G26" s="113">
        <v>78724</v>
      </c>
      <c r="H26" s="113">
        <f t="shared" si="4"/>
        <v>1574.48</v>
      </c>
      <c r="I26" s="113">
        <f t="shared" si="5"/>
        <v>91319.84</v>
      </c>
      <c r="J26" s="101">
        <f>'Outsourcing Details'!J25</f>
        <v>4299</v>
      </c>
      <c r="K26" s="284">
        <v>45777</v>
      </c>
      <c r="L26" s="101">
        <v>1400001587</v>
      </c>
      <c r="M26" s="65" t="str">
        <f>VLOOKUP(C26,'Outsourcing Details'!C:D,2,0)</f>
        <v>CARMATEC IT SOLUTIONS PRIVATE LIMITED</v>
      </c>
    </row>
    <row r="27" spans="1:13" hidden="1">
      <c r="A27" s="101" t="s">
        <v>50</v>
      </c>
      <c r="B27" s="101" t="s">
        <v>182</v>
      </c>
      <c r="C27" s="101">
        <v>4500095362</v>
      </c>
      <c r="D27" s="101"/>
      <c r="E27" s="101" t="s">
        <v>188</v>
      </c>
      <c r="F27" s="284">
        <v>45722</v>
      </c>
      <c r="G27" s="113">
        <v>78724</v>
      </c>
      <c r="H27" s="113">
        <f t="shared" si="4"/>
        <v>1574.48</v>
      </c>
      <c r="I27" s="113">
        <f t="shared" si="5"/>
        <v>91319.84</v>
      </c>
      <c r="J27" s="101">
        <f>'Outsourcing Details'!J26</f>
        <v>4307</v>
      </c>
      <c r="K27" s="284">
        <v>45840</v>
      </c>
      <c r="L27" s="101">
        <v>1400004308</v>
      </c>
      <c r="M27" s="65" t="str">
        <f>VLOOKUP(C27,'Outsourcing Details'!C:D,2,0)</f>
        <v>CARMATEC IT SOLUTIONS PRIVATE LIMITED</v>
      </c>
    </row>
    <row r="28" spans="1:13" hidden="1">
      <c r="A28" s="260"/>
      <c r="B28" s="148" t="s">
        <v>189</v>
      </c>
      <c r="C28" s="148">
        <v>4500092529</v>
      </c>
      <c r="D28" s="148"/>
      <c r="E28" s="148" t="s">
        <v>190</v>
      </c>
      <c r="F28" s="283">
        <v>45581</v>
      </c>
      <c r="G28" s="147">
        <v>390141.15</v>
      </c>
      <c r="H28" s="147">
        <f t="shared" ref="H28" si="6">G28*2%</f>
        <v>7802.8230000000003</v>
      </c>
      <c r="I28" s="147">
        <f t="shared" ref="I28" si="7">(G28*1.18)-H28</f>
        <v>452563.73400000005</v>
      </c>
      <c r="J28" s="260" t="str">
        <f>'Outsourcing Details'!J28</f>
        <v>24-25/034</v>
      </c>
      <c r="K28" s="297">
        <v>45609</v>
      </c>
      <c r="L28" s="214">
        <v>1400010898</v>
      </c>
      <c r="M28" s="213" t="str">
        <f>VLOOKUP(C28,'Outsourcing Details'!C:D,2,0)</f>
        <v>Winnovation Education Services Pvt</v>
      </c>
    </row>
    <row r="29" spans="1:13" hidden="1">
      <c r="A29" s="257"/>
      <c r="B29" s="101" t="s">
        <v>189</v>
      </c>
      <c r="C29" s="101">
        <v>4500097684</v>
      </c>
      <c r="D29" s="101"/>
      <c r="E29" s="101" t="s">
        <v>191</v>
      </c>
      <c r="F29" s="284">
        <v>45398</v>
      </c>
      <c r="G29" s="113">
        <v>578812.5</v>
      </c>
      <c r="H29" s="113">
        <f t="shared" ref="H29:H30" si="8">G29*2%</f>
        <v>11576.25</v>
      </c>
      <c r="I29" s="113">
        <f t="shared" ref="I29:I30" si="9">(G29*1.18)-H29</f>
        <v>671422.5</v>
      </c>
      <c r="J29" s="257" t="str">
        <f>'Outsourcing Details'!J29</f>
        <v>25-26/002</v>
      </c>
      <c r="K29" s="298">
        <v>45777</v>
      </c>
      <c r="L29" s="88">
        <v>1400001587</v>
      </c>
      <c r="M29" s="168" t="str">
        <f>VLOOKUP(C29,'Outsourcing Details'!C:D,2,0)</f>
        <v>Winnovation Education Services Pvt</v>
      </c>
    </row>
    <row r="30" spans="1:13" hidden="1">
      <c r="A30" s="257"/>
      <c r="B30" s="101" t="s">
        <v>189</v>
      </c>
      <c r="C30" s="101">
        <v>4500097799</v>
      </c>
      <c r="D30" s="101"/>
      <c r="E30" s="101" t="s">
        <v>192</v>
      </c>
      <c r="F30" s="284">
        <v>45405</v>
      </c>
      <c r="G30" s="113">
        <v>257800</v>
      </c>
      <c r="H30" s="113">
        <f t="shared" si="8"/>
        <v>5156</v>
      </c>
      <c r="I30" s="113">
        <f t="shared" si="9"/>
        <v>299048</v>
      </c>
      <c r="J30" s="257" t="str">
        <f>'Outsourcing Details'!J30</f>
        <v>25-26/08</v>
      </c>
      <c r="K30" s="298">
        <v>45798</v>
      </c>
      <c r="L30" s="88">
        <v>1400002471</v>
      </c>
      <c r="M30" s="168" t="str">
        <f>VLOOKUP(C30,'Outsourcing Details'!C:D,2,0)</f>
        <v>Winnovation Education Services Pvt</v>
      </c>
    </row>
    <row r="31" spans="1:13" hidden="1">
      <c r="A31" s="257"/>
      <c r="B31" s="101" t="s">
        <v>189</v>
      </c>
      <c r="C31" s="101">
        <v>4500092808</v>
      </c>
      <c r="D31" s="101"/>
      <c r="E31" s="101" t="s">
        <v>193</v>
      </c>
      <c r="F31" s="284">
        <v>45589</v>
      </c>
      <c r="G31" s="113">
        <v>552500</v>
      </c>
      <c r="H31" s="113">
        <f t="shared" ref="H31:H33" si="10">G31*2%</f>
        <v>11050</v>
      </c>
      <c r="I31" s="113">
        <f t="shared" ref="I31:I33" si="11">(G31*1.18)-H31</f>
        <v>640900</v>
      </c>
      <c r="J31" s="257"/>
      <c r="K31" s="282"/>
      <c r="L31" s="257"/>
      <c r="M31" s="168" t="str">
        <f>VLOOKUP(C31,'Outsourcing Details'!C:D,2,0)</f>
        <v>SeaInfonet Pvt Ltd</v>
      </c>
    </row>
    <row r="32" spans="1:13" hidden="1">
      <c r="A32" s="257"/>
      <c r="B32" s="101" t="s">
        <v>189</v>
      </c>
      <c r="C32" s="101">
        <v>4500092930</v>
      </c>
      <c r="D32" s="101"/>
      <c r="E32" s="101" t="s">
        <v>194</v>
      </c>
      <c r="F32" s="284">
        <v>45593</v>
      </c>
      <c r="G32" s="113">
        <v>13500</v>
      </c>
      <c r="H32" s="113">
        <f t="shared" si="10"/>
        <v>270</v>
      </c>
      <c r="I32" s="113">
        <f t="shared" si="11"/>
        <v>15660</v>
      </c>
      <c r="J32" s="257"/>
      <c r="K32" s="282"/>
      <c r="L32" s="257"/>
      <c r="M32" s="168" t="str">
        <f>VLOOKUP(C32,'Outsourcing Details'!C:D,2,0)</f>
        <v>SeaInfonet Pvt Ltd</v>
      </c>
    </row>
    <row r="33" spans="1:13" hidden="1">
      <c r="A33" s="257"/>
      <c r="B33" s="101" t="s">
        <v>189</v>
      </c>
      <c r="C33" s="101">
        <v>4500097527</v>
      </c>
      <c r="D33" s="101"/>
      <c r="E33" s="101" t="s">
        <v>195</v>
      </c>
      <c r="F33" s="284">
        <v>45934</v>
      </c>
      <c r="G33" s="113">
        <v>1231905</v>
      </c>
      <c r="H33" s="113">
        <f t="shared" si="10"/>
        <v>24638.100000000002</v>
      </c>
      <c r="I33" s="113">
        <f t="shared" si="11"/>
        <v>1429009.7999999998</v>
      </c>
      <c r="J33" s="257"/>
      <c r="K33" s="282"/>
      <c r="L33" s="257"/>
      <c r="M33" s="168" t="str">
        <f>VLOOKUP(C33,'Outsourcing Details'!C:D,2,0)</f>
        <v>SeaInfonet Pvt Ltd</v>
      </c>
    </row>
    <row r="34" spans="1:13" hidden="1">
      <c r="A34" s="257"/>
      <c r="B34" s="101" t="s">
        <v>196</v>
      </c>
      <c r="C34" s="101">
        <v>4500091403</v>
      </c>
      <c r="D34" s="101"/>
      <c r="E34" s="101" t="s">
        <v>197</v>
      </c>
      <c r="F34" s="284">
        <v>45545</v>
      </c>
      <c r="G34" s="113">
        <v>229075</v>
      </c>
      <c r="H34" s="113">
        <f>G34*2%</f>
        <v>4581.5</v>
      </c>
      <c r="I34" s="113">
        <f>(G34*1.18)-H34</f>
        <v>265727</v>
      </c>
      <c r="J34" s="257"/>
      <c r="K34" s="284">
        <v>45574</v>
      </c>
      <c r="L34" s="101">
        <v>1400009231</v>
      </c>
      <c r="M34" s="168" t="str">
        <f>VLOOKUP(C34,'Outsourcing Details'!C:D,2,0)</f>
        <v>AUROPRO SOFT SYSTEMS PVT LTD</v>
      </c>
    </row>
    <row r="35" spans="1:13" hidden="1">
      <c r="A35" s="257"/>
      <c r="B35" s="101" t="s">
        <v>196</v>
      </c>
      <c r="C35" s="101">
        <v>4500091408</v>
      </c>
      <c r="D35" s="101"/>
      <c r="E35" s="101" t="s">
        <v>198</v>
      </c>
      <c r="F35" s="284">
        <v>45545</v>
      </c>
      <c r="G35" s="113">
        <v>649740</v>
      </c>
      <c r="H35" s="113">
        <f t="shared" ref="H35:H36" si="12">G35*2%</f>
        <v>12994.800000000001</v>
      </c>
      <c r="I35" s="113">
        <f t="shared" ref="I35:I36" si="13">(G35*1.18)-H35</f>
        <v>753698.39999999991</v>
      </c>
      <c r="J35" s="257"/>
      <c r="K35" s="284">
        <v>45574</v>
      </c>
      <c r="L35" s="101">
        <v>1400009231</v>
      </c>
      <c r="M35" s="168" t="str">
        <f>VLOOKUP(C35,'Outsourcing Details'!C:D,2,0)</f>
        <v>AUROPRO SOFT SYSTEMS PVT LTD</v>
      </c>
    </row>
    <row r="36" spans="1:13" hidden="1">
      <c r="A36" s="257"/>
      <c r="B36" s="101" t="s">
        <v>196</v>
      </c>
      <c r="C36" s="101">
        <v>4500092198</v>
      </c>
      <c r="D36" s="101"/>
      <c r="E36" s="101" t="s">
        <v>199</v>
      </c>
      <c r="F36" s="284">
        <v>45573</v>
      </c>
      <c r="G36" s="113">
        <v>168000</v>
      </c>
      <c r="H36" s="113">
        <f t="shared" si="12"/>
        <v>3360</v>
      </c>
      <c r="I36" s="113">
        <f t="shared" si="13"/>
        <v>194880</v>
      </c>
      <c r="J36" s="257" t="str">
        <f>'Outsourcing Details'!J153</f>
        <v>G90/2025-26</v>
      </c>
      <c r="K36" s="284">
        <v>45602</v>
      </c>
      <c r="L36" s="101">
        <v>1400010471</v>
      </c>
      <c r="M36" s="168" t="str">
        <f>VLOOKUP(C36,'Outsourcing Details'!C:D,2,0)</f>
        <v>AUROPRO SOFT SYSTEMS PVT LTD</v>
      </c>
    </row>
    <row r="37" spans="1:13" hidden="1">
      <c r="A37" s="257"/>
      <c r="B37" s="101" t="s">
        <v>56</v>
      </c>
      <c r="C37" s="101">
        <v>4500087051</v>
      </c>
      <c r="D37" s="101"/>
      <c r="E37" s="101" t="s">
        <v>200</v>
      </c>
      <c r="F37" s="284">
        <v>45390</v>
      </c>
      <c r="G37" s="113">
        <v>525000</v>
      </c>
      <c r="H37" s="113">
        <f t="shared" ref="H37:H72" si="14">G37*2%</f>
        <v>10500</v>
      </c>
      <c r="I37" s="113">
        <f t="shared" ref="I37:I72" si="15">(G37*1.18)-H37</f>
        <v>609000</v>
      </c>
      <c r="J37" s="257"/>
      <c r="K37" s="299">
        <v>45472</v>
      </c>
      <c r="L37" s="18">
        <v>1400005889</v>
      </c>
      <c r="M37" s="168" t="str">
        <f>VLOOKUP(C37,'Outsourcing Details'!C:D,2,0)</f>
        <v>BUSYBOTS PRIVATE LIMITED</v>
      </c>
    </row>
    <row r="38" spans="1:13" hidden="1">
      <c r="A38" s="257"/>
      <c r="B38" s="101" t="s">
        <v>57</v>
      </c>
      <c r="C38" s="101">
        <v>4500083659</v>
      </c>
      <c r="D38" s="101"/>
      <c r="E38" s="101" t="s">
        <v>201</v>
      </c>
      <c r="F38" s="284">
        <v>45420</v>
      </c>
      <c r="G38" s="113">
        <v>132000</v>
      </c>
      <c r="H38" s="113">
        <f t="shared" si="14"/>
        <v>2640</v>
      </c>
      <c r="I38" s="113">
        <f t="shared" si="15"/>
        <v>153120</v>
      </c>
      <c r="J38" s="257"/>
      <c r="K38" s="300">
        <v>45472</v>
      </c>
      <c r="L38" s="115">
        <v>1400005889</v>
      </c>
      <c r="M38" s="168" t="str">
        <f>VLOOKUP(C38,'Outsourcing Details'!C:D,2,0)</f>
        <v>BUSYBOTS PRIVATE LIMITED</v>
      </c>
    </row>
    <row r="39" spans="1:13" hidden="1">
      <c r="A39" s="257"/>
      <c r="B39" s="101" t="s">
        <v>57</v>
      </c>
      <c r="C39" s="101">
        <v>4500083659</v>
      </c>
      <c r="D39" s="101"/>
      <c r="E39" s="101" t="s">
        <v>202</v>
      </c>
      <c r="F39" s="284">
        <v>45443</v>
      </c>
      <c r="G39" s="113">
        <v>132000</v>
      </c>
      <c r="H39" s="113">
        <f t="shared" si="14"/>
        <v>2640</v>
      </c>
      <c r="I39" s="113">
        <f t="shared" si="15"/>
        <v>153120</v>
      </c>
      <c r="J39" s="257"/>
      <c r="K39" s="300">
        <v>45505</v>
      </c>
      <c r="L39" s="115">
        <v>1400007222</v>
      </c>
      <c r="M39" s="168" t="str">
        <f>VLOOKUP(C39,'Outsourcing Details'!C:D,2,0)</f>
        <v>BUSYBOTS PRIVATE LIMITED</v>
      </c>
    </row>
    <row r="40" spans="1:13" hidden="1">
      <c r="A40" s="257"/>
      <c r="B40" s="101" t="s">
        <v>56</v>
      </c>
      <c r="C40" s="101">
        <v>4500089409</v>
      </c>
      <c r="D40" s="101"/>
      <c r="E40" s="101" t="s">
        <v>203</v>
      </c>
      <c r="F40" s="284">
        <v>45470</v>
      </c>
      <c r="G40" s="113">
        <v>175000</v>
      </c>
      <c r="H40" s="113">
        <f t="shared" si="14"/>
        <v>3500</v>
      </c>
      <c r="I40" s="113">
        <f t="shared" si="15"/>
        <v>203000</v>
      </c>
      <c r="J40" s="257"/>
      <c r="K40" s="300">
        <v>45601</v>
      </c>
      <c r="L40" s="115">
        <v>1400011812</v>
      </c>
      <c r="M40" s="168" t="str">
        <f>VLOOKUP(C40,'Outsourcing Details'!C:D,2,0)</f>
        <v>BUSYBOTS PRIVATE LIMITED</v>
      </c>
    </row>
    <row r="41" spans="1:13" hidden="1">
      <c r="A41" s="257"/>
      <c r="B41" s="101" t="s">
        <v>56</v>
      </c>
      <c r="C41" s="101">
        <v>4500089409</v>
      </c>
      <c r="D41" s="101"/>
      <c r="E41" s="101" t="s">
        <v>204</v>
      </c>
      <c r="F41" s="284">
        <v>45470</v>
      </c>
      <c r="G41" s="113">
        <v>175000</v>
      </c>
      <c r="H41" s="113">
        <f t="shared" si="14"/>
        <v>3500</v>
      </c>
      <c r="I41" s="113">
        <f t="shared" si="15"/>
        <v>203000</v>
      </c>
      <c r="J41" s="257"/>
      <c r="K41" s="300">
        <v>45601</v>
      </c>
      <c r="L41" s="115">
        <v>1400011812</v>
      </c>
      <c r="M41" s="168" t="str">
        <f>VLOOKUP(C41,'Outsourcing Details'!C:D,2,0)</f>
        <v>BUSYBOTS PRIVATE LIMITED</v>
      </c>
    </row>
    <row r="42" spans="1:13" hidden="1">
      <c r="A42" s="257"/>
      <c r="B42" s="101" t="s">
        <v>56</v>
      </c>
      <c r="C42" s="101">
        <v>4500089409</v>
      </c>
      <c r="D42" s="101"/>
      <c r="E42" s="101" t="s">
        <v>205</v>
      </c>
      <c r="F42" s="284">
        <v>45472</v>
      </c>
      <c r="G42" s="113">
        <v>175000</v>
      </c>
      <c r="H42" s="113">
        <f t="shared" si="14"/>
        <v>3500</v>
      </c>
      <c r="I42" s="113">
        <f t="shared" si="15"/>
        <v>203000</v>
      </c>
      <c r="J42" s="257"/>
      <c r="K42" s="300">
        <v>45601</v>
      </c>
      <c r="L42" s="115">
        <v>1400011812</v>
      </c>
      <c r="M42" s="168" t="str">
        <f>VLOOKUP(C42,'Outsourcing Details'!C:D,2,0)</f>
        <v>BUSYBOTS PRIVATE LIMITED</v>
      </c>
    </row>
    <row r="43" spans="1:13" hidden="1">
      <c r="A43" s="257"/>
      <c r="B43" s="101" t="s">
        <v>57</v>
      </c>
      <c r="C43" s="101">
        <v>4500083659</v>
      </c>
      <c r="D43" s="101"/>
      <c r="E43" s="101" t="s">
        <v>206</v>
      </c>
      <c r="F43" s="284">
        <v>45472</v>
      </c>
      <c r="G43" s="113">
        <v>132000</v>
      </c>
      <c r="H43" s="113">
        <f t="shared" si="14"/>
        <v>2640</v>
      </c>
      <c r="I43" s="113">
        <f t="shared" si="15"/>
        <v>153120</v>
      </c>
      <c r="J43" s="257"/>
      <c r="K43" s="300">
        <v>45610</v>
      </c>
      <c r="L43" s="115">
        <v>1400012170</v>
      </c>
      <c r="M43" s="168" t="str">
        <f>VLOOKUP(C43,'Outsourcing Details'!C:D,2,0)</f>
        <v>BUSYBOTS PRIVATE LIMITED</v>
      </c>
    </row>
    <row r="44" spans="1:13" hidden="1">
      <c r="A44" s="257"/>
      <c r="B44" s="101" t="s">
        <v>57</v>
      </c>
      <c r="C44" s="101">
        <v>4500083659</v>
      </c>
      <c r="D44" s="101"/>
      <c r="E44" s="101" t="s">
        <v>207</v>
      </c>
      <c r="F44" s="284">
        <v>45505</v>
      </c>
      <c r="G44" s="113">
        <v>132000</v>
      </c>
      <c r="H44" s="113">
        <f t="shared" si="14"/>
        <v>2640</v>
      </c>
      <c r="I44" s="113">
        <f t="shared" si="15"/>
        <v>153120</v>
      </c>
      <c r="J44" s="257"/>
      <c r="K44" s="300">
        <v>45610</v>
      </c>
      <c r="L44" s="115">
        <v>1400012170</v>
      </c>
      <c r="M44" s="168" t="str">
        <f>VLOOKUP(C44,'Outsourcing Details'!C:D,2,0)</f>
        <v>BUSYBOTS PRIVATE LIMITED</v>
      </c>
    </row>
    <row r="45" spans="1:13" hidden="1">
      <c r="A45" s="257"/>
      <c r="B45" s="101" t="s">
        <v>57</v>
      </c>
      <c r="C45" s="101">
        <v>4500083659</v>
      </c>
      <c r="D45" s="101"/>
      <c r="E45" s="101" t="s">
        <v>208</v>
      </c>
      <c r="F45" s="284">
        <v>45601</v>
      </c>
      <c r="G45" s="113">
        <v>132000</v>
      </c>
      <c r="H45" s="113">
        <f t="shared" si="14"/>
        <v>2640</v>
      </c>
      <c r="I45" s="113">
        <f t="shared" si="15"/>
        <v>153120</v>
      </c>
      <c r="J45" s="257"/>
      <c r="K45" s="300">
        <v>45610</v>
      </c>
      <c r="L45" s="115">
        <v>1400012170</v>
      </c>
      <c r="M45" s="168" t="str">
        <f>VLOOKUP(C45,'Outsourcing Details'!C:D,2,0)</f>
        <v>BUSYBOTS PRIVATE LIMITED</v>
      </c>
    </row>
    <row r="46" spans="1:13" hidden="1">
      <c r="A46" s="257"/>
      <c r="B46" s="101" t="s">
        <v>57</v>
      </c>
      <c r="C46" s="101">
        <v>4500083659</v>
      </c>
      <c r="D46" s="101"/>
      <c r="E46" s="101" t="s">
        <v>209</v>
      </c>
      <c r="F46" s="284">
        <v>45601</v>
      </c>
      <c r="G46" s="113">
        <v>132000</v>
      </c>
      <c r="H46" s="113">
        <f t="shared" si="14"/>
        <v>2640</v>
      </c>
      <c r="I46" s="113">
        <f t="shared" si="15"/>
        <v>153120</v>
      </c>
      <c r="J46" s="257"/>
      <c r="K46" s="300">
        <v>45623</v>
      </c>
      <c r="L46" s="115">
        <v>1400012851</v>
      </c>
      <c r="M46" s="168" t="str">
        <f>VLOOKUP(C46,'Outsourcing Details'!C:D,2,0)</f>
        <v>BUSYBOTS PRIVATE LIMITED</v>
      </c>
    </row>
    <row r="47" spans="1:13" hidden="1">
      <c r="A47" s="257"/>
      <c r="B47" s="101" t="s">
        <v>57</v>
      </c>
      <c r="C47" s="101">
        <v>4500083659</v>
      </c>
      <c r="D47" s="101"/>
      <c r="E47" s="101" t="s">
        <v>210</v>
      </c>
      <c r="F47" s="284">
        <v>45601</v>
      </c>
      <c r="G47" s="113">
        <v>132000</v>
      </c>
      <c r="H47" s="113">
        <f t="shared" si="14"/>
        <v>2640</v>
      </c>
      <c r="I47" s="113">
        <f t="shared" si="15"/>
        <v>153120</v>
      </c>
      <c r="J47" s="257"/>
      <c r="K47" s="300">
        <v>45623</v>
      </c>
      <c r="L47" s="115">
        <v>1400012851</v>
      </c>
      <c r="M47" s="168" t="str">
        <f>VLOOKUP(C47,'Outsourcing Details'!C:D,2,0)</f>
        <v>BUSYBOTS PRIVATE LIMITED</v>
      </c>
    </row>
    <row r="48" spans="1:13" hidden="1">
      <c r="A48" s="257"/>
      <c r="B48" s="101" t="s">
        <v>56</v>
      </c>
      <c r="C48" s="101">
        <v>4500093384</v>
      </c>
      <c r="D48" s="101"/>
      <c r="E48" s="101" t="s">
        <v>211</v>
      </c>
      <c r="F48" s="284">
        <v>45610</v>
      </c>
      <c r="G48" s="113">
        <v>175000</v>
      </c>
      <c r="H48" s="113">
        <f t="shared" si="14"/>
        <v>3500</v>
      </c>
      <c r="I48" s="113">
        <f t="shared" si="15"/>
        <v>203000</v>
      </c>
      <c r="J48" s="257"/>
      <c r="K48" s="300">
        <v>45623</v>
      </c>
      <c r="L48" s="115">
        <v>1400012851</v>
      </c>
      <c r="M48" s="168" t="str">
        <f>VLOOKUP(C48,'Outsourcing Details'!C:D,2,0)</f>
        <v>BUSYBOTS PRIVATE LIMITED</v>
      </c>
    </row>
    <row r="49" spans="1:13" hidden="1">
      <c r="A49" s="257"/>
      <c r="B49" s="101" t="s">
        <v>56</v>
      </c>
      <c r="C49" s="101">
        <v>4500093384</v>
      </c>
      <c r="D49" s="101"/>
      <c r="E49" s="101" t="s">
        <v>212</v>
      </c>
      <c r="F49" s="284">
        <v>45610</v>
      </c>
      <c r="G49" s="113">
        <v>175000</v>
      </c>
      <c r="H49" s="113">
        <f t="shared" si="14"/>
        <v>3500</v>
      </c>
      <c r="I49" s="113">
        <f t="shared" si="15"/>
        <v>203000</v>
      </c>
      <c r="J49" s="257"/>
      <c r="K49" s="300">
        <v>45642</v>
      </c>
      <c r="L49" s="115">
        <v>1400013747</v>
      </c>
      <c r="M49" s="168" t="str">
        <f>VLOOKUP(C49,'Outsourcing Details'!C:D,2,0)</f>
        <v>BUSYBOTS PRIVATE LIMITED</v>
      </c>
    </row>
    <row r="50" spans="1:13" hidden="1">
      <c r="A50" s="257"/>
      <c r="B50" s="101" t="s">
        <v>56</v>
      </c>
      <c r="C50" s="101">
        <v>4500093384</v>
      </c>
      <c r="D50" s="101"/>
      <c r="E50" s="101" t="s">
        <v>213</v>
      </c>
      <c r="F50" s="284">
        <v>45610</v>
      </c>
      <c r="G50" s="113">
        <v>175000</v>
      </c>
      <c r="H50" s="113">
        <f t="shared" si="14"/>
        <v>3500</v>
      </c>
      <c r="I50" s="113">
        <f t="shared" si="15"/>
        <v>203000</v>
      </c>
      <c r="J50" s="257"/>
      <c r="K50" s="300">
        <v>45642</v>
      </c>
      <c r="L50" s="115">
        <v>1400013747</v>
      </c>
      <c r="M50" s="168" t="str">
        <f>VLOOKUP(C50,'Outsourcing Details'!C:D,2,0)</f>
        <v>BUSYBOTS PRIVATE LIMITED</v>
      </c>
    </row>
    <row r="51" spans="1:13" hidden="1">
      <c r="A51" s="257"/>
      <c r="B51" s="101" t="s">
        <v>57</v>
      </c>
      <c r="C51" s="101">
        <v>4500093705</v>
      </c>
      <c r="D51" s="101"/>
      <c r="E51" s="101" t="s">
        <v>214</v>
      </c>
      <c r="F51" s="284">
        <v>45623</v>
      </c>
      <c r="G51" s="113">
        <v>458367</v>
      </c>
      <c r="H51" s="113">
        <f t="shared" si="14"/>
        <v>9167.34</v>
      </c>
      <c r="I51" s="113">
        <f t="shared" si="15"/>
        <v>531705.72</v>
      </c>
      <c r="J51" s="257"/>
      <c r="K51" s="300">
        <v>45642</v>
      </c>
      <c r="L51" s="115">
        <v>1400013747</v>
      </c>
      <c r="M51" s="168" t="str">
        <f>VLOOKUP(C51,'Outsourcing Details'!C:D,2,0)</f>
        <v>BUSYBOTS PRIVATE LIMITED</v>
      </c>
    </row>
    <row r="52" spans="1:13" hidden="1">
      <c r="A52" s="257"/>
      <c r="B52" s="101" t="s">
        <v>57</v>
      </c>
      <c r="C52" s="101">
        <v>4500093723</v>
      </c>
      <c r="D52" s="101"/>
      <c r="E52" s="101" t="s">
        <v>215</v>
      </c>
      <c r="F52" s="284">
        <v>45623</v>
      </c>
      <c r="G52" s="113">
        <v>511255</v>
      </c>
      <c r="H52" s="113">
        <f t="shared" si="14"/>
        <v>10225.1</v>
      </c>
      <c r="I52" s="113">
        <f t="shared" si="15"/>
        <v>593055.80000000005</v>
      </c>
      <c r="J52" s="257"/>
      <c r="K52" s="300">
        <v>45642</v>
      </c>
      <c r="L52" s="115">
        <v>1400013747</v>
      </c>
      <c r="M52" s="168" t="str">
        <f>VLOOKUP(C52,'Outsourcing Details'!C:D,2,0)</f>
        <v>BUSYBOTS PRIVATE LIMITED</v>
      </c>
    </row>
    <row r="53" spans="1:13" hidden="1">
      <c r="A53" s="257"/>
      <c r="B53" s="101" t="s">
        <v>57</v>
      </c>
      <c r="C53" s="101">
        <v>4500093722</v>
      </c>
      <c r="D53" s="101"/>
      <c r="E53" s="101" t="s">
        <v>216</v>
      </c>
      <c r="F53" s="284">
        <v>45623</v>
      </c>
      <c r="G53" s="113">
        <v>449552</v>
      </c>
      <c r="H53" s="113">
        <f t="shared" si="14"/>
        <v>8991.0400000000009</v>
      </c>
      <c r="I53" s="113">
        <f t="shared" si="15"/>
        <v>521480.32</v>
      </c>
      <c r="J53" s="257"/>
      <c r="K53" s="300">
        <v>45642</v>
      </c>
      <c r="L53" s="115">
        <v>1400013747</v>
      </c>
      <c r="M53" s="168" t="str">
        <f>VLOOKUP(C53,'Outsourcing Details'!C:D,2,0)</f>
        <v>BUSYBOTS PRIVATE LIMITED</v>
      </c>
    </row>
    <row r="54" spans="1:13" hidden="1">
      <c r="A54" s="257"/>
      <c r="B54" s="101" t="s">
        <v>56</v>
      </c>
      <c r="C54" s="101">
        <v>4500094223</v>
      </c>
      <c r="D54" s="101"/>
      <c r="E54" s="101" t="s">
        <v>217</v>
      </c>
      <c r="F54" s="284">
        <v>45642</v>
      </c>
      <c r="G54" s="113">
        <v>35000</v>
      </c>
      <c r="H54" s="113">
        <f t="shared" si="14"/>
        <v>700</v>
      </c>
      <c r="I54" s="113">
        <f t="shared" si="15"/>
        <v>40600</v>
      </c>
      <c r="J54" s="257"/>
      <c r="K54" s="300">
        <v>45666</v>
      </c>
      <c r="L54" s="115">
        <v>1400014093</v>
      </c>
      <c r="M54" s="168" t="str">
        <f>VLOOKUP(C54,'Outsourcing Details'!C:D,2,0)</f>
        <v>BUSYBOTS PRIVATE LIMITED</v>
      </c>
    </row>
    <row r="55" spans="1:13" hidden="1">
      <c r="A55" s="257"/>
      <c r="B55" s="101" t="s">
        <v>56</v>
      </c>
      <c r="C55" s="101">
        <v>4500094223</v>
      </c>
      <c r="D55" s="101"/>
      <c r="E55" s="101" t="s">
        <v>218</v>
      </c>
      <c r="F55" s="284">
        <v>45642</v>
      </c>
      <c r="G55" s="113">
        <v>35000</v>
      </c>
      <c r="H55" s="113">
        <f t="shared" si="14"/>
        <v>700</v>
      </c>
      <c r="I55" s="113">
        <f t="shared" si="15"/>
        <v>40600</v>
      </c>
      <c r="J55" s="257"/>
      <c r="K55" s="300">
        <v>45667</v>
      </c>
      <c r="L55" s="115">
        <v>1400015325</v>
      </c>
      <c r="M55" s="168" t="str">
        <f>VLOOKUP(C55,'Outsourcing Details'!C:D,2,0)</f>
        <v>BUSYBOTS PRIVATE LIMITED</v>
      </c>
    </row>
    <row r="56" spans="1:13" hidden="1">
      <c r="A56" s="257"/>
      <c r="B56" s="101" t="s">
        <v>56</v>
      </c>
      <c r="C56" s="101">
        <v>4500094223</v>
      </c>
      <c r="D56" s="101"/>
      <c r="E56" s="101" t="s">
        <v>219</v>
      </c>
      <c r="F56" s="284">
        <v>45642</v>
      </c>
      <c r="G56" s="113">
        <v>35000</v>
      </c>
      <c r="H56" s="113">
        <f t="shared" si="14"/>
        <v>700</v>
      </c>
      <c r="I56" s="113">
        <f t="shared" si="15"/>
        <v>40600</v>
      </c>
      <c r="J56" s="257"/>
      <c r="K56" s="300">
        <v>45667</v>
      </c>
      <c r="L56" s="115">
        <v>1400015325</v>
      </c>
      <c r="M56" s="168" t="str">
        <f>VLOOKUP(C56,'Outsourcing Details'!C:D,2,0)</f>
        <v>BUSYBOTS PRIVATE LIMITED</v>
      </c>
    </row>
    <row r="57" spans="1:13" hidden="1">
      <c r="A57" s="257"/>
      <c r="B57" s="101" t="s">
        <v>56</v>
      </c>
      <c r="C57" s="101">
        <v>4500094223</v>
      </c>
      <c r="D57" s="101"/>
      <c r="E57" s="101" t="s">
        <v>220</v>
      </c>
      <c r="F57" s="284">
        <v>45642</v>
      </c>
      <c r="G57" s="113">
        <v>210000</v>
      </c>
      <c r="H57" s="113">
        <f t="shared" si="14"/>
        <v>4200</v>
      </c>
      <c r="I57" s="113">
        <f t="shared" si="15"/>
        <v>243600</v>
      </c>
      <c r="J57" s="257"/>
      <c r="K57" s="300">
        <v>45674</v>
      </c>
      <c r="L57" s="115">
        <v>1400014388</v>
      </c>
      <c r="M57" s="168" t="str">
        <f>VLOOKUP(C57,'Outsourcing Details'!C:D,2,0)</f>
        <v>BUSYBOTS PRIVATE LIMITED</v>
      </c>
    </row>
    <row r="58" spans="1:13" hidden="1">
      <c r="A58" s="257"/>
      <c r="B58" s="101" t="s">
        <v>56</v>
      </c>
      <c r="C58" s="101">
        <v>4500094223</v>
      </c>
      <c r="D58" s="101"/>
      <c r="E58" s="101" t="s">
        <v>221</v>
      </c>
      <c r="F58" s="284">
        <v>45642</v>
      </c>
      <c r="G58" s="113">
        <v>360000</v>
      </c>
      <c r="H58" s="113">
        <f t="shared" si="14"/>
        <v>7200</v>
      </c>
      <c r="I58" s="113">
        <f t="shared" si="15"/>
        <v>417600</v>
      </c>
      <c r="J58" s="257"/>
      <c r="K58" s="300">
        <v>45674</v>
      </c>
      <c r="L58" s="115">
        <v>1400014388</v>
      </c>
      <c r="M58" s="168" t="str">
        <f>VLOOKUP(C58,'Outsourcing Details'!C:D,2,0)</f>
        <v>BUSYBOTS PRIVATE LIMITED</v>
      </c>
    </row>
    <row r="59" spans="1:13" hidden="1">
      <c r="A59" s="257"/>
      <c r="B59" s="101" t="s">
        <v>58</v>
      </c>
      <c r="C59" s="101">
        <v>4500094807</v>
      </c>
      <c r="D59" s="101"/>
      <c r="E59" s="101" t="s">
        <v>222</v>
      </c>
      <c r="F59" s="284">
        <v>45666</v>
      </c>
      <c r="G59" s="113">
        <v>250000</v>
      </c>
      <c r="H59" s="113">
        <f t="shared" si="14"/>
        <v>5000</v>
      </c>
      <c r="I59" s="113">
        <f t="shared" si="15"/>
        <v>290000</v>
      </c>
      <c r="J59" s="257"/>
      <c r="K59" s="300">
        <v>45685</v>
      </c>
      <c r="L59" s="115">
        <v>1400015690</v>
      </c>
      <c r="M59" s="168" t="str">
        <f>VLOOKUP(C59,'Outsourcing Details'!C:D,2,0)</f>
        <v>BUSYBOTS PRIVATE LIMITED</v>
      </c>
    </row>
    <row r="60" spans="1:13" hidden="1">
      <c r="A60" s="257"/>
      <c r="B60" s="101" t="s">
        <v>57</v>
      </c>
      <c r="C60" s="101">
        <v>4500094574</v>
      </c>
      <c r="D60" s="101"/>
      <c r="E60" s="101" t="s">
        <v>223</v>
      </c>
      <c r="F60" s="284">
        <v>45667</v>
      </c>
      <c r="G60" s="113">
        <v>153300</v>
      </c>
      <c r="H60" s="113">
        <f t="shared" si="14"/>
        <v>3066</v>
      </c>
      <c r="I60" s="113">
        <f t="shared" si="15"/>
        <v>177828</v>
      </c>
      <c r="J60" s="257"/>
      <c r="K60" s="300">
        <v>45693</v>
      </c>
      <c r="L60" s="115">
        <v>1400016007</v>
      </c>
      <c r="M60" s="168" t="str">
        <f>VLOOKUP(C60,'Outsourcing Details'!C:D,2,0)</f>
        <v>BUSYBOTS PRIVATE LIMITED</v>
      </c>
    </row>
    <row r="61" spans="1:13" hidden="1">
      <c r="A61" s="257"/>
      <c r="B61" s="101" t="s">
        <v>57</v>
      </c>
      <c r="C61" s="101">
        <v>4500094574</v>
      </c>
      <c r="D61" s="101"/>
      <c r="E61" s="101" t="s">
        <v>224</v>
      </c>
      <c r="F61" s="284">
        <v>45667</v>
      </c>
      <c r="G61" s="113">
        <v>153300</v>
      </c>
      <c r="H61" s="113">
        <f t="shared" si="14"/>
        <v>3066</v>
      </c>
      <c r="I61" s="113">
        <f t="shared" si="15"/>
        <v>177828</v>
      </c>
      <c r="J61" s="257"/>
      <c r="K61" s="300">
        <v>45721</v>
      </c>
      <c r="L61" s="115">
        <v>1400000074</v>
      </c>
      <c r="M61" s="168" t="str">
        <f>VLOOKUP(C61,'Outsourcing Details'!C:D,2,0)</f>
        <v>BUSYBOTS PRIVATE LIMITED</v>
      </c>
    </row>
    <row r="62" spans="1:13" hidden="1">
      <c r="A62" s="257"/>
      <c r="B62" s="101" t="s">
        <v>58</v>
      </c>
      <c r="C62" s="101">
        <v>4500095007</v>
      </c>
      <c r="D62" s="101"/>
      <c r="E62" s="101" t="s">
        <v>225</v>
      </c>
      <c r="F62" s="284">
        <v>45674</v>
      </c>
      <c r="G62" s="113">
        <v>400000</v>
      </c>
      <c r="H62" s="113">
        <f t="shared" si="14"/>
        <v>8000</v>
      </c>
      <c r="I62" s="113">
        <f t="shared" si="15"/>
        <v>464000</v>
      </c>
      <c r="J62" s="257"/>
      <c r="K62" s="300">
        <v>45743</v>
      </c>
      <c r="L62" s="115">
        <v>1400001587</v>
      </c>
      <c r="M62" s="168" t="str">
        <f>VLOOKUP(C62,'Outsourcing Details'!C:D,2,0)</f>
        <v>BUSYBOTS PRIVATE LIMITED</v>
      </c>
    </row>
    <row r="63" spans="1:13" hidden="1">
      <c r="A63" s="257"/>
      <c r="B63" s="101" t="s">
        <v>58</v>
      </c>
      <c r="C63" s="101">
        <v>4500095010</v>
      </c>
      <c r="D63" s="101"/>
      <c r="E63" s="101" t="s">
        <v>226</v>
      </c>
      <c r="F63" s="284">
        <v>45674</v>
      </c>
      <c r="G63" s="113">
        <v>250000</v>
      </c>
      <c r="H63" s="113">
        <f t="shared" si="14"/>
        <v>5000</v>
      </c>
      <c r="I63" s="113">
        <f t="shared" si="15"/>
        <v>290000</v>
      </c>
      <c r="J63" s="257"/>
      <c r="K63" s="282"/>
      <c r="L63" s="257"/>
      <c r="M63" s="168" t="str">
        <f>VLOOKUP(C63,'Outsourcing Details'!C:D,2,0)</f>
        <v>BUSYBOTS PRIVATE LIMITED</v>
      </c>
    </row>
    <row r="64" spans="1:13" hidden="1">
      <c r="A64" s="257"/>
      <c r="B64" s="101" t="s">
        <v>56</v>
      </c>
      <c r="C64" s="101">
        <v>4500094223</v>
      </c>
      <c r="D64" s="101"/>
      <c r="E64" s="101" t="s">
        <v>227</v>
      </c>
      <c r="F64" s="284">
        <v>45685</v>
      </c>
      <c r="G64" s="113">
        <v>210000</v>
      </c>
      <c r="H64" s="113">
        <f t="shared" si="14"/>
        <v>4200</v>
      </c>
      <c r="I64" s="113">
        <f t="shared" si="15"/>
        <v>243600</v>
      </c>
      <c r="J64" s="257"/>
      <c r="K64" s="282"/>
      <c r="L64" s="257"/>
      <c r="M64" s="168" t="str">
        <f>VLOOKUP(C64,'Outsourcing Details'!C:D,2,0)</f>
        <v>BUSYBOTS PRIVATE LIMITED</v>
      </c>
    </row>
    <row r="65" spans="1:13" hidden="1">
      <c r="A65" s="257"/>
      <c r="B65" s="101" t="s">
        <v>57</v>
      </c>
      <c r="C65" s="101">
        <v>4500094574</v>
      </c>
      <c r="D65" s="101"/>
      <c r="E65" s="101" t="s">
        <v>228</v>
      </c>
      <c r="F65" s="284">
        <v>45693</v>
      </c>
      <c r="G65" s="113">
        <v>153300</v>
      </c>
      <c r="H65" s="113">
        <f t="shared" si="14"/>
        <v>3066</v>
      </c>
      <c r="I65" s="113">
        <f t="shared" si="15"/>
        <v>177828</v>
      </c>
      <c r="J65" s="257"/>
      <c r="K65" s="282"/>
      <c r="L65" s="257"/>
      <c r="M65" s="168" t="str">
        <f>VLOOKUP(C65,'Outsourcing Details'!C:D,2,0)</f>
        <v>BUSYBOTS PRIVATE LIMITED</v>
      </c>
    </row>
    <row r="66" spans="1:13" hidden="1">
      <c r="A66" s="257"/>
      <c r="B66" s="101" t="s">
        <v>57</v>
      </c>
      <c r="C66" s="101">
        <v>4500094574</v>
      </c>
      <c r="D66" s="101"/>
      <c r="E66" s="101" t="s">
        <v>229</v>
      </c>
      <c r="F66" s="284">
        <v>45721</v>
      </c>
      <c r="G66" s="113">
        <v>153300</v>
      </c>
      <c r="H66" s="113">
        <f t="shared" si="14"/>
        <v>3066</v>
      </c>
      <c r="I66" s="113">
        <f t="shared" si="15"/>
        <v>177828</v>
      </c>
      <c r="J66" s="257"/>
      <c r="K66" s="282"/>
      <c r="L66" s="257"/>
      <c r="M66" s="168" t="str">
        <f>VLOOKUP(C66,'Outsourcing Details'!C:D,2,0)</f>
        <v>BUSYBOTS PRIVATE LIMITED</v>
      </c>
    </row>
    <row r="67" spans="1:13" hidden="1">
      <c r="A67" s="257"/>
      <c r="B67" s="101" t="s">
        <v>57</v>
      </c>
      <c r="C67" s="101">
        <v>4500094574</v>
      </c>
      <c r="D67" s="101"/>
      <c r="E67" s="101" t="s">
        <v>230</v>
      </c>
      <c r="F67" s="284">
        <v>45743</v>
      </c>
      <c r="G67" s="113">
        <v>153300</v>
      </c>
      <c r="H67" s="113">
        <f t="shared" si="14"/>
        <v>3066</v>
      </c>
      <c r="I67" s="113">
        <f t="shared" si="15"/>
        <v>177828</v>
      </c>
      <c r="J67" s="257"/>
      <c r="K67" s="282"/>
      <c r="L67" s="257"/>
      <c r="M67" s="168" t="str">
        <f>VLOOKUP(C67,'Outsourcing Details'!C:D,2,0)</f>
        <v>BUSYBOTS PRIVATE LIMITED</v>
      </c>
    </row>
    <row r="68" spans="1:13" hidden="1">
      <c r="A68" s="257"/>
      <c r="B68" s="101" t="s">
        <v>56</v>
      </c>
      <c r="C68" s="101">
        <v>4500097457</v>
      </c>
      <c r="D68" s="101"/>
      <c r="E68" s="101" t="s">
        <v>231</v>
      </c>
      <c r="F68" s="284">
        <v>45756</v>
      </c>
      <c r="G68" s="113">
        <v>37987</v>
      </c>
      <c r="H68" s="113">
        <f t="shared" si="14"/>
        <v>759.74</v>
      </c>
      <c r="I68" s="113">
        <f t="shared" si="15"/>
        <v>44064.92</v>
      </c>
      <c r="J68" s="257"/>
      <c r="K68" s="282">
        <v>45784</v>
      </c>
      <c r="L68" s="257">
        <v>1400001841</v>
      </c>
      <c r="M68" s="168" t="str">
        <f>VLOOKUP(C68,'Outsourcing Details'!C:D,2,0)</f>
        <v>BUSYBOTS PRIVATE LIMITED</v>
      </c>
    </row>
    <row r="69" spans="1:13" hidden="1">
      <c r="A69" s="257"/>
      <c r="B69" s="101" t="s">
        <v>56</v>
      </c>
      <c r="C69" s="101">
        <v>4500097505</v>
      </c>
      <c r="D69" s="101"/>
      <c r="E69" s="101" t="s">
        <v>232</v>
      </c>
      <c r="F69" s="284">
        <v>45757</v>
      </c>
      <c r="G69" s="113">
        <v>210000</v>
      </c>
      <c r="H69" s="113">
        <f t="shared" si="14"/>
        <v>4200</v>
      </c>
      <c r="I69" s="113">
        <f t="shared" si="15"/>
        <v>243600</v>
      </c>
      <c r="J69" s="257"/>
      <c r="K69" s="282">
        <v>45770</v>
      </c>
      <c r="L69" s="257">
        <v>1400001141</v>
      </c>
      <c r="M69" s="168" t="str">
        <f>VLOOKUP(C69,'Outsourcing Details'!C:D,2,0)</f>
        <v>BUSYBOTS PRIVATE LIMITED</v>
      </c>
    </row>
    <row r="70" spans="1:13" hidden="1">
      <c r="A70" s="257"/>
      <c r="B70" s="101" t="s">
        <v>56</v>
      </c>
      <c r="C70" s="101">
        <v>4500097505</v>
      </c>
      <c r="D70" s="101"/>
      <c r="E70" s="101" t="s">
        <v>233</v>
      </c>
      <c r="F70" s="284">
        <v>45757</v>
      </c>
      <c r="G70" s="113">
        <v>210000</v>
      </c>
      <c r="H70" s="113">
        <f t="shared" si="14"/>
        <v>4200</v>
      </c>
      <c r="I70" s="113">
        <f t="shared" si="15"/>
        <v>243600</v>
      </c>
      <c r="J70" s="257"/>
      <c r="K70" s="282">
        <v>45770</v>
      </c>
      <c r="L70" s="257">
        <v>1400001141</v>
      </c>
      <c r="M70" s="168" t="str">
        <f>VLOOKUP(C70,'Outsourcing Details'!C:D,2,0)</f>
        <v>BUSYBOTS PRIVATE LIMITED</v>
      </c>
    </row>
    <row r="71" spans="1:13" hidden="1">
      <c r="A71" s="257"/>
      <c r="B71" s="101" t="s">
        <v>56</v>
      </c>
      <c r="C71" s="101">
        <v>4500097505</v>
      </c>
      <c r="D71" s="101"/>
      <c r="E71" s="101" t="s">
        <v>234</v>
      </c>
      <c r="F71" s="284">
        <v>45757</v>
      </c>
      <c r="G71" s="113">
        <v>210000</v>
      </c>
      <c r="H71" s="113">
        <f t="shared" si="14"/>
        <v>4200</v>
      </c>
      <c r="I71" s="113">
        <f t="shared" si="15"/>
        <v>243600</v>
      </c>
      <c r="J71" s="257"/>
      <c r="K71" s="282">
        <v>45770</v>
      </c>
      <c r="L71" s="257">
        <v>1400001141</v>
      </c>
      <c r="M71" s="168" t="str">
        <f>VLOOKUP(C71,'Outsourcing Details'!C:D,2,0)</f>
        <v>BUSYBOTS PRIVATE LIMITED</v>
      </c>
    </row>
    <row r="72" spans="1:13" hidden="1">
      <c r="A72" s="257"/>
      <c r="B72" s="101" t="s">
        <v>57</v>
      </c>
      <c r="C72" s="101">
        <v>4500094574</v>
      </c>
      <c r="D72" s="101"/>
      <c r="E72" s="101" t="s">
        <v>235</v>
      </c>
      <c r="F72" s="284">
        <v>45790</v>
      </c>
      <c r="G72" s="113">
        <v>153300</v>
      </c>
      <c r="H72" s="113">
        <f t="shared" si="14"/>
        <v>3066</v>
      </c>
      <c r="I72" s="113">
        <f t="shared" si="15"/>
        <v>177828</v>
      </c>
      <c r="J72" s="257" t="str">
        <f>'Outsourcing Details'!J67</f>
        <v>46/2025</v>
      </c>
      <c r="K72" s="282">
        <v>45826</v>
      </c>
      <c r="L72" s="257">
        <v>1400003677</v>
      </c>
      <c r="M72" s="168" t="str">
        <f>VLOOKUP(C72,'Outsourcing Details'!C:D,2,0)</f>
        <v>BUSYBOTS PRIVATE LIMITED</v>
      </c>
    </row>
    <row r="73" spans="1:13" hidden="1">
      <c r="A73" s="257"/>
      <c r="B73" s="101" t="s">
        <v>236</v>
      </c>
      <c r="C73" s="101">
        <v>4500089309</v>
      </c>
      <c r="D73" s="101"/>
      <c r="E73" s="101" t="s">
        <v>237</v>
      </c>
      <c r="F73" s="284">
        <v>45467</v>
      </c>
      <c r="G73" s="113">
        <v>55314</v>
      </c>
      <c r="H73" s="113">
        <f t="shared" ref="H73:H113" si="16">G73*2%</f>
        <v>1106.28</v>
      </c>
      <c r="I73" s="113">
        <f t="shared" ref="I73:I113" si="17">(G73*1.18)-H73</f>
        <v>64164.24</v>
      </c>
      <c r="J73" s="257"/>
      <c r="K73" s="299">
        <v>45467</v>
      </c>
      <c r="L73" s="18">
        <v>1400005602</v>
      </c>
      <c r="M73" s="168" t="str">
        <f>VLOOKUP(C73,'Outsourcing Details'!C:D,2,0)</f>
        <v>Highsky IT Solutions Private Limited</v>
      </c>
    </row>
    <row r="74" spans="1:13" hidden="1">
      <c r="A74" s="257"/>
      <c r="B74" s="101" t="s">
        <v>236</v>
      </c>
      <c r="C74" s="101">
        <v>4500089309</v>
      </c>
      <c r="D74" s="101"/>
      <c r="E74" s="101" t="s">
        <v>238</v>
      </c>
      <c r="F74" s="284">
        <v>45467</v>
      </c>
      <c r="G74" s="113">
        <v>130686</v>
      </c>
      <c r="H74" s="113">
        <f t="shared" si="16"/>
        <v>2613.7200000000003</v>
      </c>
      <c r="I74" s="113">
        <f t="shared" si="17"/>
        <v>151595.75999999998</v>
      </c>
      <c r="J74" s="257"/>
      <c r="K74" s="300">
        <v>45467</v>
      </c>
      <c r="L74" s="115">
        <v>1400005602</v>
      </c>
      <c r="M74" s="168" t="str">
        <f>VLOOKUP(C74,'Outsourcing Details'!C:D,2,0)</f>
        <v>Highsky IT Solutions Private Limited</v>
      </c>
    </row>
    <row r="75" spans="1:13" hidden="1">
      <c r="A75" s="257"/>
      <c r="B75" s="101" t="s">
        <v>236</v>
      </c>
      <c r="C75" s="101">
        <v>4500089309</v>
      </c>
      <c r="D75" s="101"/>
      <c r="E75" s="101" t="s">
        <v>239</v>
      </c>
      <c r="F75" s="284">
        <v>45467</v>
      </c>
      <c r="G75" s="113">
        <v>185378</v>
      </c>
      <c r="H75" s="113">
        <f t="shared" si="16"/>
        <v>3707.56</v>
      </c>
      <c r="I75" s="113">
        <f t="shared" si="17"/>
        <v>215038.47999999998</v>
      </c>
      <c r="J75" s="257"/>
      <c r="K75" s="300">
        <v>45467</v>
      </c>
      <c r="L75" s="115">
        <v>1400005602</v>
      </c>
      <c r="M75" s="168" t="str">
        <f>VLOOKUP(C75,'Outsourcing Details'!C:D,2,0)</f>
        <v>Highsky IT Solutions Private Limited</v>
      </c>
    </row>
    <row r="76" spans="1:13" hidden="1">
      <c r="A76" s="257"/>
      <c r="B76" s="101" t="s">
        <v>236</v>
      </c>
      <c r="C76" s="101">
        <v>4500089309</v>
      </c>
      <c r="D76" s="101"/>
      <c r="E76" s="101" t="s">
        <v>240</v>
      </c>
      <c r="F76" s="284">
        <v>45467</v>
      </c>
      <c r="G76" s="113">
        <v>185378</v>
      </c>
      <c r="H76" s="113">
        <f t="shared" si="16"/>
        <v>3707.56</v>
      </c>
      <c r="I76" s="113">
        <f t="shared" si="17"/>
        <v>215038.47999999998</v>
      </c>
      <c r="J76" s="257"/>
      <c r="K76" s="300">
        <v>45467</v>
      </c>
      <c r="L76" s="115">
        <v>1400005602</v>
      </c>
      <c r="M76" s="168" t="str">
        <f>VLOOKUP(C76,'Outsourcing Details'!C:D,2,0)</f>
        <v>Highsky IT Solutions Private Limited</v>
      </c>
    </row>
    <row r="77" spans="1:13" hidden="1">
      <c r="A77" s="257"/>
      <c r="B77" s="101" t="s">
        <v>236</v>
      </c>
      <c r="C77" s="101">
        <v>4500089309</v>
      </c>
      <c r="D77" s="101"/>
      <c r="E77" s="101" t="s">
        <v>241</v>
      </c>
      <c r="F77" s="284">
        <v>45467</v>
      </c>
      <c r="G77" s="113">
        <v>185378</v>
      </c>
      <c r="H77" s="113">
        <f t="shared" si="16"/>
        <v>3707.56</v>
      </c>
      <c r="I77" s="113">
        <f t="shared" si="17"/>
        <v>215038.47999999998</v>
      </c>
      <c r="J77" s="257"/>
      <c r="K77" s="300">
        <v>45467</v>
      </c>
      <c r="L77" s="115">
        <v>1400005602</v>
      </c>
      <c r="M77" s="168" t="str">
        <f>VLOOKUP(C77,'Outsourcing Details'!C:D,2,0)</f>
        <v>Highsky IT Solutions Private Limited</v>
      </c>
    </row>
    <row r="78" spans="1:13" hidden="1">
      <c r="A78" s="257"/>
      <c r="B78" s="101" t="s">
        <v>236</v>
      </c>
      <c r="C78" s="101">
        <v>4500089309</v>
      </c>
      <c r="D78" s="101"/>
      <c r="E78" s="101" t="s">
        <v>242</v>
      </c>
      <c r="F78" s="284">
        <v>45467</v>
      </c>
      <c r="G78" s="113">
        <v>185378</v>
      </c>
      <c r="H78" s="113">
        <f t="shared" si="16"/>
        <v>3707.56</v>
      </c>
      <c r="I78" s="113">
        <f t="shared" si="17"/>
        <v>215038.47999999998</v>
      </c>
      <c r="J78" s="257"/>
      <c r="K78" s="300">
        <v>45467</v>
      </c>
      <c r="L78" s="115">
        <v>1400005602</v>
      </c>
      <c r="M78" s="168" t="str">
        <f>VLOOKUP(C78,'Outsourcing Details'!C:D,2,0)</f>
        <v>Highsky IT Solutions Private Limited</v>
      </c>
    </row>
    <row r="79" spans="1:13" hidden="1">
      <c r="A79" s="257"/>
      <c r="B79" s="101" t="s">
        <v>236</v>
      </c>
      <c r="C79" s="101">
        <v>4500089309</v>
      </c>
      <c r="D79" s="101"/>
      <c r="E79" s="101" t="s">
        <v>243</v>
      </c>
      <c r="F79" s="284">
        <v>45467</v>
      </c>
      <c r="G79" s="113">
        <v>185378</v>
      </c>
      <c r="H79" s="113">
        <f t="shared" si="16"/>
        <v>3707.56</v>
      </c>
      <c r="I79" s="113">
        <f t="shared" si="17"/>
        <v>215038.47999999998</v>
      </c>
      <c r="J79" s="257"/>
      <c r="K79" s="300">
        <v>45467</v>
      </c>
      <c r="L79" s="115">
        <v>1400005602</v>
      </c>
      <c r="M79" s="168" t="str">
        <f>VLOOKUP(C79,'Outsourcing Details'!C:D,2,0)</f>
        <v>Highsky IT Solutions Private Limited</v>
      </c>
    </row>
    <row r="80" spans="1:13" hidden="1">
      <c r="A80" s="257"/>
      <c r="B80" s="101" t="s">
        <v>236</v>
      </c>
      <c r="C80" s="101">
        <v>4500089309</v>
      </c>
      <c r="D80" s="101"/>
      <c r="E80" s="101" t="s">
        <v>244</v>
      </c>
      <c r="F80" s="284">
        <v>45467</v>
      </c>
      <c r="G80" s="113">
        <v>195176</v>
      </c>
      <c r="H80" s="113">
        <f t="shared" si="16"/>
        <v>3903.52</v>
      </c>
      <c r="I80" s="113">
        <f t="shared" si="17"/>
        <v>226404.16</v>
      </c>
      <c r="J80" s="257"/>
      <c r="K80" s="300">
        <v>45467</v>
      </c>
      <c r="L80" s="115">
        <v>1400005602</v>
      </c>
      <c r="M80" s="168" t="str">
        <f>VLOOKUP(C80,'Outsourcing Details'!C:D,2,0)</f>
        <v>Highsky IT Solutions Private Limited</v>
      </c>
    </row>
    <row r="81" spans="1:13" hidden="1">
      <c r="A81" s="257"/>
      <c r="B81" s="101" t="s">
        <v>236</v>
      </c>
      <c r="C81" s="101">
        <v>4500089309</v>
      </c>
      <c r="D81" s="101"/>
      <c r="E81" s="101" t="s">
        <v>245</v>
      </c>
      <c r="F81" s="284">
        <v>45467</v>
      </c>
      <c r="G81" s="113">
        <v>229212</v>
      </c>
      <c r="H81" s="113">
        <f t="shared" si="16"/>
        <v>4584.24</v>
      </c>
      <c r="I81" s="113">
        <f t="shared" si="17"/>
        <v>265885.92</v>
      </c>
      <c r="J81" s="257"/>
      <c r="K81" s="300">
        <v>45467</v>
      </c>
      <c r="L81" s="115">
        <v>1400005602</v>
      </c>
      <c r="M81" s="168" t="str">
        <f>VLOOKUP(C81,'Outsourcing Details'!C:D,2,0)</f>
        <v>Highsky IT Solutions Private Limited</v>
      </c>
    </row>
    <row r="82" spans="1:13" hidden="1">
      <c r="A82" s="257"/>
      <c r="B82" s="101" t="s">
        <v>236</v>
      </c>
      <c r="C82" s="101">
        <v>4500089309</v>
      </c>
      <c r="D82" s="101"/>
      <c r="E82" s="101" t="s">
        <v>246</v>
      </c>
      <c r="F82" s="284">
        <v>45467</v>
      </c>
      <c r="G82" s="113">
        <v>246304</v>
      </c>
      <c r="H82" s="113">
        <f t="shared" si="16"/>
        <v>4926.08</v>
      </c>
      <c r="I82" s="113">
        <f t="shared" si="17"/>
        <v>285712.63999999996</v>
      </c>
      <c r="J82" s="257"/>
      <c r="K82" s="300">
        <v>45467</v>
      </c>
      <c r="L82" s="115">
        <v>1400005602</v>
      </c>
      <c r="M82" s="168" t="str">
        <f>VLOOKUP(C82,'Outsourcing Details'!C:D,2,0)</f>
        <v>Highsky IT Solutions Private Limited</v>
      </c>
    </row>
    <row r="83" spans="1:13" hidden="1">
      <c r="A83" s="257"/>
      <c r="B83" s="101" t="s">
        <v>247</v>
      </c>
      <c r="C83" s="101">
        <v>4500093610</v>
      </c>
      <c r="D83" s="101"/>
      <c r="E83" s="101" t="s">
        <v>248</v>
      </c>
      <c r="F83" s="284">
        <v>45686</v>
      </c>
      <c r="G83" s="113">
        <v>128250</v>
      </c>
      <c r="H83" s="113">
        <f t="shared" si="16"/>
        <v>2565</v>
      </c>
      <c r="I83" s="113">
        <f t="shared" si="17"/>
        <v>148770</v>
      </c>
      <c r="J83" s="257"/>
      <c r="K83" s="300">
        <v>45686</v>
      </c>
      <c r="L83" s="115">
        <v>1400015690</v>
      </c>
      <c r="M83" s="168" t="str">
        <f>VLOOKUP(C83,'Outsourcing Details'!C:D,2,0)</f>
        <v>Highsky IT Solutions Private Limited</v>
      </c>
    </row>
    <row r="84" spans="1:13" hidden="1">
      <c r="A84" s="257"/>
      <c r="B84" s="101" t="s">
        <v>247</v>
      </c>
      <c r="C84" s="101">
        <v>4500093610</v>
      </c>
      <c r="D84" s="101"/>
      <c r="E84" s="101" t="s">
        <v>249</v>
      </c>
      <c r="F84" s="284">
        <v>45686</v>
      </c>
      <c r="G84" s="113">
        <v>179550</v>
      </c>
      <c r="H84" s="113">
        <f t="shared" si="16"/>
        <v>3591</v>
      </c>
      <c r="I84" s="113">
        <f t="shared" si="17"/>
        <v>208278</v>
      </c>
      <c r="J84" s="257"/>
      <c r="K84" s="300">
        <v>45686</v>
      </c>
      <c r="L84" s="115">
        <v>1400015690</v>
      </c>
      <c r="M84" s="168" t="str">
        <f>VLOOKUP(C84,'Outsourcing Details'!C:D,2,0)</f>
        <v>Highsky IT Solutions Private Limited</v>
      </c>
    </row>
    <row r="85" spans="1:13" hidden="1">
      <c r="A85" s="257"/>
      <c r="B85" s="101" t="s">
        <v>247</v>
      </c>
      <c r="C85" s="101">
        <v>4500096896</v>
      </c>
      <c r="D85" s="101"/>
      <c r="E85" s="101" t="s">
        <v>250</v>
      </c>
      <c r="F85" s="284">
        <v>45740</v>
      </c>
      <c r="G85" s="113">
        <v>179550</v>
      </c>
      <c r="H85" s="113">
        <f t="shared" si="16"/>
        <v>3591</v>
      </c>
      <c r="I85" s="113">
        <f t="shared" si="17"/>
        <v>208278</v>
      </c>
      <c r="J85" s="257"/>
      <c r="K85" s="300">
        <v>45740</v>
      </c>
      <c r="L85" s="115">
        <v>1400001141</v>
      </c>
      <c r="M85" s="168" t="str">
        <f>VLOOKUP(C85,'Outsourcing Details'!C:D,2,0)</f>
        <v>Highsky IT Solutions Private Limited</v>
      </c>
    </row>
    <row r="86" spans="1:13" hidden="1">
      <c r="A86" s="257"/>
      <c r="B86" s="101" t="s">
        <v>247</v>
      </c>
      <c r="C86" s="101">
        <v>4500096896</v>
      </c>
      <c r="D86" s="101"/>
      <c r="E86" s="101" t="s">
        <v>251</v>
      </c>
      <c r="F86" s="284">
        <v>45740</v>
      </c>
      <c r="G86" s="113">
        <v>179550</v>
      </c>
      <c r="H86" s="113">
        <f t="shared" si="16"/>
        <v>3591</v>
      </c>
      <c r="I86" s="113">
        <f t="shared" si="17"/>
        <v>208278</v>
      </c>
      <c r="J86" s="257"/>
      <c r="K86" s="300">
        <v>45740</v>
      </c>
      <c r="L86" s="115">
        <v>1400001141</v>
      </c>
      <c r="M86" s="168" t="str">
        <f>VLOOKUP(C86,'Outsourcing Details'!C:D,2,0)</f>
        <v>Highsky IT Solutions Private Limited</v>
      </c>
    </row>
    <row r="87" spans="1:13" hidden="1">
      <c r="A87" s="257"/>
      <c r="B87" s="101" t="s">
        <v>247</v>
      </c>
      <c r="C87" s="101">
        <v>4500096896</v>
      </c>
      <c r="D87" s="101"/>
      <c r="E87" s="101" t="s">
        <v>252</v>
      </c>
      <c r="F87" s="284">
        <v>45740</v>
      </c>
      <c r="G87" s="113">
        <v>179550</v>
      </c>
      <c r="H87" s="113">
        <f t="shared" si="16"/>
        <v>3591</v>
      </c>
      <c r="I87" s="113">
        <f t="shared" si="17"/>
        <v>208278</v>
      </c>
      <c r="J87" s="257"/>
      <c r="K87" s="300">
        <v>45740</v>
      </c>
      <c r="L87" s="115">
        <v>1400001141</v>
      </c>
      <c r="M87" s="168" t="str">
        <f>VLOOKUP(C87,'Outsourcing Details'!C:D,2,0)</f>
        <v>Highsky IT Solutions Private Limited</v>
      </c>
    </row>
    <row r="88" spans="1:13" hidden="1">
      <c r="A88" s="257"/>
      <c r="B88" s="101" t="s">
        <v>74</v>
      </c>
      <c r="C88" s="101">
        <v>4500090795</v>
      </c>
      <c r="D88" s="101"/>
      <c r="E88" s="101" t="s">
        <v>253</v>
      </c>
      <c r="F88" s="284">
        <v>45763</v>
      </c>
      <c r="G88" s="113">
        <v>109007</v>
      </c>
      <c r="H88" s="113">
        <f t="shared" si="16"/>
        <v>2180.14</v>
      </c>
      <c r="I88" s="113">
        <f t="shared" si="17"/>
        <v>126448.12</v>
      </c>
      <c r="J88" s="257"/>
      <c r="K88" s="282">
        <v>45791</v>
      </c>
      <c r="L88" s="257">
        <v>1400002169</v>
      </c>
      <c r="M88" s="168" t="str">
        <f>VLOOKUP(C88,'Outsourcing Details'!C:D,2,0)</f>
        <v>Highsky IT Solutions Private Limited</v>
      </c>
    </row>
    <row r="89" spans="1:13" hidden="1">
      <c r="A89" s="257"/>
      <c r="B89" s="101" t="s">
        <v>74</v>
      </c>
      <c r="C89" s="101">
        <v>4500090795</v>
      </c>
      <c r="D89" s="101"/>
      <c r="E89" s="101" t="s">
        <v>254</v>
      </c>
      <c r="F89" s="284">
        <v>45763</v>
      </c>
      <c r="G89" s="113">
        <v>109007</v>
      </c>
      <c r="H89" s="113">
        <f t="shared" si="16"/>
        <v>2180.14</v>
      </c>
      <c r="I89" s="113">
        <f t="shared" si="17"/>
        <v>126448.12</v>
      </c>
      <c r="J89" s="257"/>
      <c r="K89" s="282">
        <v>45791</v>
      </c>
      <c r="L89" s="257">
        <v>1400002169</v>
      </c>
      <c r="M89" s="168" t="str">
        <f>VLOOKUP(C89,'Outsourcing Details'!C:D,2,0)</f>
        <v>Highsky IT Solutions Private Limited</v>
      </c>
    </row>
    <row r="90" spans="1:13" hidden="1">
      <c r="A90" s="257"/>
      <c r="B90" s="101" t="s">
        <v>74</v>
      </c>
      <c r="C90" s="101" t="s">
        <v>255</v>
      </c>
      <c r="D90" s="101"/>
      <c r="E90" s="101" t="s">
        <v>256</v>
      </c>
      <c r="F90" s="284">
        <v>45763</v>
      </c>
      <c r="G90" s="113">
        <v>126385</v>
      </c>
      <c r="H90" s="113">
        <f t="shared" si="16"/>
        <v>2527.7000000000003</v>
      </c>
      <c r="I90" s="113">
        <f t="shared" si="17"/>
        <v>146606.59999999998</v>
      </c>
      <c r="J90" s="257"/>
      <c r="K90" s="282">
        <v>45791</v>
      </c>
      <c r="L90" s="257">
        <v>1400002169</v>
      </c>
      <c r="M90" s="168" t="str">
        <f>VLOOKUP(C90,'Outsourcing Details'!C:D,2,0)</f>
        <v>Highsky IT Solutions Private Limited</v>
      </c>
    </row>
    <row r="91" spans="1:13" hidden="1">
      <c r="A91" s="257"/>
      <c r="B91" s="101" t="s">
        <v>74</v>
      </c>
      <c r="C91" s="101">
        <v>4500090795</v>
      </c>
      <c r="D91" s="101"/>
      <c r="E91" s="101" t="s">
        <v>257</v>
      </c>
      <c r="F91" s="284">
        <v>45623</v>
      </c>
      <c r="G91" s="113">
        <v>109007</v>
      </c>
      <c r="H91" s="113">
        <f t="shared" si="16"/>
        <v>2180.14</v>
      </c>
      <c r="I91" s="113">
        <f t="shared" si="17"/>
        <v>126448.12</v>
      </c>
      <c r="J91" s="257"/>
      <c r="K91" s="299">
        <v>45623</v>
      </c>
      <c r="L91" s="18">
        <v>1400012851</v>
      </c>
      <c r="M91" s="168" t="str">
        <f>VLOOKUP(C91,'Outsourcing Details'!C:D,2,0)</f>
        <v>Highsky IT Solutions Private Limited</v>
      </c>
    </row>
    <row r="92" spans="1:13" hidden="1">
      <c r="A92" s="257"/>
      <c r="B92" s="101" t="s">
        <v>74</v>
      </c>
      <c r="C92" s="101">
        <v>4500090795</v>
      </c>
      <c r="D92" s="101"/>
      <c r="E92" s="101" t="s">
        <v>258</v>
      </c>
      <c r="F92" s="284">
        <v>45623</v>
      </c>
      <c r="G92" s="113">
        <v>109007</v>
      </c>
      <c r="H92" s="113">
        <f t="shared" si="16"/>
        <v>2180.14</v>
      </c>
      <c r="I92" s="113">
        <f t="shared" si="17"/>
        <v>126448.12</v>
      </c>
      <c r="J92" s="257"/>
      <c r="K92" s="300">
        <v>45623</v>
      </c>
      <c r="L92" s="115">
        <v>1400012851</v>
      </c>
      <c r="M92" s="168" t="str">
        <f>VLOOKUP(C92,'Outsourcing Details'!C:D,2,0)</f>
        <v>Highsky IT Solutions Private Limited</v>
      </c>
    </row>
    <row r="93" spans="1:13" hidden="1">
      <c r="A93" s="257"/>
      <c r="B93" s="101" t="s">
        <v>74</v>
      </c>
      <c r="C93" s="101">
        <v>4500090795</v>
      </c>
      <c r="D93" s="101"/>
      <c r="E93" s="101" t="s">
        <v>259</v>
      </c>
      <c r="F93" s="284">
        <v>45623</v>
      </c>
      <c r="G93" s="113">
        <v>109007</v>
      </c>
      <c r="H93" s="113">
        <f t="shared" si="16"/>
        <v>2180.14</v>
      </c>
      <c r="I93" s="113">
        <f t="shared" si="17"/>
        <v>126448.12</v>
      </c>
      <c r="J93" s="257"/>
      <c r="K93" s="300">
        <v>45623</v>
      </c>
      <c r="L93" s="115">
        <v>1400012851</v>
      </c>
      <c r="M93" s="168" t="str">
        <f>VLOOKUP(C93,'Outsourcing Details'!C:D,2,0)</f>
        <v>Highsky IT Solutions Private Limited</v>
      </c>
    </row>
    <row r="94" spans="1:13" hidden="1">
      <c r="A94" s="257"/>
      <c r="B94" s="101" t="s">
        <v>74</v>
      </c>
      <c r="C94" s="101">
        <v>4500090795</v>
      </c>
      <c r="D94" s="101"/>
      <c r="E94" s="101" t="s">
        <v>260</v>
      </c>
      <c r="F94" s="284">
        <v>45623</v>
      </c>
      <c r="G94" s="113">
        <v>109007</v>
      </c>
      <c r="H94" s="113">
        <f t="shared" si="16"/>
        <v>2180.14</v>
      </c>
      <c r="I94" s="113">
        <f t="shared" si="17"/>
        <v>126448.12</v>
      </c>
      <c r="J94" s="257"/>
      <c r="K94" s="300">
        <v>45623</v>
      </c>
      <c r="L94" s="115">
        <v>1400012851</v>
      </c>
      <c r="M94" s="168" t="str">
        <f>VLOOKUP(C94,'Outsourcing Details'!C:D,2,0)</f>
        <v>Highsky IT Solutions Private Limited</v>
      </c>
    </row>
    <row r="95" spans="1:13" hidden="1">
      <c r="A95" s="257"/>
      <c r="B95" s="101" t="s">
        <v>74</v>
      </c>
      <c r="C95" s="101" t="s">
        <v>261</v>
      </c>
      <c r="D95" s="101"/>
      <c r="E95" s="101" t="s">
        <v>262</v>
      </c>
      <c r="F95" s="284">
        <v>45623</v>
      </c>
      <c r="G95" s="113">
        <v>31596</v>
      </c>
      <c r="H95" s="113">
        <f t="shared" si="16"/>
        <v>631.91999999999996</v>
      </c>
      <c r="I95" s="113">
        <f t="shared" si="17"/>
        <v>36651.360000000001</v>
      </c>
      <c r="J95" s="257"/>
      <c r="K95" s="300">
        <v>45623</v>
      </c>
      <c r="L95" s="115">
        <v>1400012851</v>
      </c>
      <c r="M95" s="168" t="str">
        <f>VLOOKUP(C95,'Outsourcing Details'!C:D,2,0)</f>
        <v>Highsky IT Solutions Private Limited</v>
      </c>
    </row>
    <row r="96" spans="1:13" hidden="1">
      <c r="A96" s="257"/>
      <c r="B96" s="101" t="s">
        <v>74</v>
      </c>
      <c r="C96" s="101" t="s">
        <v>261</v>
      </c>
      <c r="D96" s="101"/>
      <c r="E96" s="101" t="s">
        <v>263</v>
      </c>
      <c r="F96" s="284">
        <v>45623</v>
      </c>
      <c r="G96" s="113">
        <v>132704</v>
      </c>
      <c r="H96" s="113">
        <f t="shared" si="16"/>
        <v>2654.08</v>
      </c>
      <c r="I96" s="113">
        <f t="shared" si="17"/>
        <v>153936.64000000001</v>
      </c>
      <c r="J96" s="257"/>
      <c r="K96" s="300">
        <v>45623</v>
      </c>
      <c r="L96" s="115">
        <v>1400012851</v>
      </c>
      <c r="M96" s="168" t="str">
        <f>VLOOKUP(C96,'Outsourcing Details'!C:D,2,0)</f>
        <v>Highsky IT Solutions Private Limited</v>
      </c>
    </row>
    <row r="97" spans="1:13" hidden="1">
      <c r="A97" s="257"/>
      <c r="B97" s="101" t="s">
        <v>74</v>
      </c>
      <c r="C97" s="101" t="s">
        <v>261</v>
      </c>
      <c r="D97" s="101"/>
      <c r="E97" s="101" t="s">
        <v>264</v>
      </c>
      <c r="F97" s="284">
        <v>45623</v>
      </c>
      <c r="G97" s="113">
        <v>132704</v>
      </c>
      <c r="H97" s="113">
        <f t="shared" si="16"/>
        <v>2654.08</v>
      </c>
      <c r="I97" s="113">
        <f t="shared" si="17"/>
        <v>153936.64000000001</v>
      </c>
      <c r="J97" s="257"/>
      <c r="K97" s="300">
        <v>45623</v>
      </c>
      <c r="L97" s="115">
        <v>1400012851</v>
      </c>
      <c r="M97" s="168" t="str">
        <f>VLOOKUP(C97,'Outsourcing Details'!C:D,2,0)</f>
        <v>Highsky IT Solutions Private Limited</v>
      </c>
    </row>
    <row r="98" spans="1:13" hidden="1">
      <c r="A98" s="257"/>
      <c r="B98" s="101" t="s">
        <v>74</v>
      </c>
      <c r="C98" s="101" t="s">
        <v>261</v>
      </c>
      <c r="D98" s="101"/>
      <c r="E98" s="101" t="s">
        <v>265</v>
      </c>
      <c r="F98" s="284">
        <v>45623</v>
      </c>
      <c r="G98" s="113">
        <v>132704</v>
      </c>
      <c r="H98" s="113">
        <f t="shared" si="16"/>
        <v>2654.08</v>
      </c>
      <c r="I98" s="113">
        <f t="shared" si="17"/>
        <v>153936.64000000001</v>
      </c>
      <c r="J98" s="257"/>
      <c r="K98" s="300">
        <v>45623</v>
      </c>
      <c r="L98" s="115">
        <v>1400012851</v>
      </c>
      <c r="M98" s="168" t="str">
        <f>VLOOKUP(C98,'Outsourcing Details'!C:D,2,0)</f>
        <v>Highsky IT Solutions Private Limited</v>
      </c>
    </row>
    <row r="99" spans="1:13" hidden="1">
      <c r="A99" s="257"/>
      <c r="B99" s="101" t="s">
        <v>74</v>
      </c>
      <c r="C99" s="101" t="s">
        <v>261</v>
      </c>
      <c r="D99" s="101"/>
      <c r="E99" s="101" t="s">
        <v>266</v>
      </c>
      <c r="F99" s="284">
        <v>45623</v>
      </c>
      <c r="G99" s="113">
        <v>94789</v>
      </c>
      <c r="H99" s="113">
        <f t="shared" si="16"/>
        <v>1895.78</v>
      </c>
      <c r="I99" s="113">
        <f t="shared" si="17"/>
        <v>109955.23999999999</v>
      </c>
      <c r="J99" s="257"/>
      <c r="K99" s="300">
        <v>45623</v>
      </c>
      <c r="L99" s="115">
        <v>1400013154</v>
      </c>
      <c r="M99" s="168" t="str">
        <f>VLOOKUP(C99,'Outsourcing Details'!C:D,2,0)</f>
        <v>Highsky IT Solutions Private Limited</v>
      </c>
    </row>
    <row r="100" spans="1:13" hidden="1">
      <c r="A100" s="257"/>
      <c r="B100" s="101" t="s">
        <v>74</v>
      </c>
      <c r="C100" s="101" t="s">
        <v>261</v>
      </c>
      <c r="D100" s="101"/>
      <c r="E100" s="101" t="s">
        <v>267</v>
      </c>
      <c r="F100" s="284">
        <v>45624</v>
      </c>
      <c r="G100" s="113">
        <v>132704</v>
      </c>
      <c r="H100" s="113">
        <f t="shared" si="16"/>
        <v>2654.08</v>
      </c>
      <c r="I100" s="113">
        <f t="shared" si="17"/>
        <v>153936.64000000001</v>
      </c>
      <c r="J100" s="257"/>
      <c r="K100" s="300">
        <v>45624</v>
      </c>
      <c r="L100" s="115">
        <v>1400013154</v>
      </c>
      <c r="M100" s="168" t="str">
        <f>VLOOKUP(C100,'Outsourcing Details'!C:D,2,0)</f>
        <v>Highsky IT Solutions Private Limited</v>
      </c>
    </row>
    <row r="101" spans="1:13" hidden="1">
      <c r="A101" s="257"/>
      <c r="B101" s="101" t="s">
        <v>74</v>
      </c>
      <c r="C101" s="101" t="s">
        <v>261</v>
      </c>
      <c r="D101" s="101"/>
      <c r="E101" s="101" t="s">
        <v>268</v>
      </c>
      <c r="F101" s="284">
        <v>45624</v>
      </c>
      <c r="G101" s="113">
        <v>37915</v>
      </c>
      <c r="H101" s="113">
        <f t="shared" si="16"/>
        <v>758.30000000000007</v>
      </c>
      <c r="I101" s="113">
        <f t="shared" si="17"/>
        <v>43981.399999999994</v>
      </c>
      <c r="J101" s="257"/>
      <c r="K101" s="300" t="s">
        <v>269</v>
      </c>
      <c r="L101" s="115"/>
      <c r="M101" s="168" t="str">
        <f>VLOOKUP(C101,'Outsourcing Details'!C:D,2,0)</f>
        <v>Highsky IT Solutions Private Limited</v>
      </c>
    </row>
    <row r="102" spans="1:13" hidden="1">
      <c r="A102" s="257"/>
      <c r="B102" s="101" t="s">
        <v>74</v>
      </c>
      <c r="C102" s="101">
        <v>4500093849</v>
      </c>
      <c r="D102" s="101"/>
      <c r="E102" s="101" t="s">
        <v>270</v>
      </c>
      <c r="F102" s="284">
        <v>45674</v>
      </c>
      <c r="G102" s="113">
        <v>132704</v>
      </c>
      <c r="H102" s="113">
        <f t="shared" si="16"/>
        <v>2654.08</v>
      </c>
      <c r="I102" s="113">
        <f t="shared" si="17"/>
        <v>153936.64000000001</v>
      </c>
      <c r="J102" s="257"/>
      <c r="K102" s="300">
        <v>45674</v>
      </c>
      <c r="L102" s="115">
        <v>1400015047</v>
      </c>
      <c r="M102" s="168" t="str">
        <f>VLOOKUP(C102,'Outsourcing Details'!C:D,2,0)</f>
        <v>Highsky IT Solutions Private Limited</v>
      </c>
    </row>
    <row r="103" spans="1:13" hidden="1">
      <c r="A103" s="257"/>
      <c r="B103" s="101" t="s">
        <v>74</v>
      </c>
      <c r="C103" s="101">
        <v>4500093849</v>
      </c>
      <c r="D103" s="101"/>
      <c r="E103" s="101" t="s">
        <v>271</v>
      </c>
      <c r="F103" s="284">
        <v>45674</v>
      </c>
      <c r="G103" s="113">
        <v>132704</v>
      </c>
      <c r="H103" s="113">
        <f t="shared" si="16"/>
        <v>2654.08</v>
      </c>
      <c r="I103" s="113">
        <f t="shared" si="17"/>
        <v>153936.64000000001</v>
      </c>
      <c r="J103" s="257"/>
      <c r="K103" s="300">
        <v>45674</v>
      </c>
      <c r="L103" s="115">
        <v>1400015047</v>
      </c>
      <c r="M103" s="168" t="str">
        <f>VLOOKUP(C103,'Outsourcing Details'!C:D,2,0)</f>
        <v>Highsky IT Solutions Private Limited</v>
      </c>
    </row>
    <row r="104" spans="1:13" hidden="1">
      <c r="A104" s="257"/>
      <c r="B104" s="101" t="s">
        <v>74</v>
      </c>
      <c r="C104" s="101">
        <v>4500093849</v>
      </c>
      <c r="D104" s="101"/>
      <c r="E104" s="101" t="s">
        <v>272</v>
      </c>
      <c r="F104" s="284">
        <v>45674</v>
      </c>
      <c r="G104" s="113">
        <v>132704</v>
      </c>
      <c r="H104" s="113">
        <f t="shared" si="16"/>
        <v>2654.08</v>
      </c>
      <c r="I104" s="113">
        <f t="shared" si="17"/>
        <v>153936.64000000001</v>
      </c>
      <c r="J104" s="257"/>
      <c r="K104" s="300">
        <v>45674</v>
      </c>
      <c r="L104" s="115">
        <v>1400015047</v>
      </c>
      <c r="M104" s="168" t="str">
        <f>VLOOKUP(C104,'Outsourcing Details'!C:D,2,0)</f>
        <v>Highsky IT Solutions Private Limited</v>
      </c>
    </row>
    <row r="105" spans="1:13" hidden="1">
      <c r="A105" s="257"/>
      <c r="B105" s="101" t="s">
        <v>74</v>
      </c>
      <c r="C105" s="101">
        <v>4500090795</v>
      </c>
      <c r="D105" s="101"/>
      <c r="E105" s="101" t="s">
        <v>273</v>
      </c>
      <c r="F105" s="284">
        <v>45660</v>
      </c>
      <c r="G105" s="113">
        <v>109007</v>
      </c>
      <c r="H105" s="113">
        <f t="shared" si="16"/>
        <v>2180.14</v>
      </c>
      <c r="I105" s="113">
        <f t="shared" si="17"/>
        <v>126448.12</v>
      </c>
      <c r="J105" s="257"/>
      <c r="K105" s="300">
        <v>45717</v>
      </c>
      <c r="L105" s="115">
        <v>1400017232</v>
      </c>
      <c r="M105" s="168" t="str">
        <f>VLOOKUP(C105,'Outsourcing Details'!C:D,2,0)</f>
        <v>Highsky IT Solutions Private Limited</v>
      </c>
    </row>
    <row r="106" spans="1:13" hidden="1">
      <c r="A106" s="257"/>
      <c r="B106" s="101" t="s">
        <v>74</v>
      </c>
      <c r="C106" s="101">
        <v>4500090795</v>
      </c>
      <c r="D106" s="101"/>
      <c r="E106" s="101" t="s">
        <v>274</v>
      </c>
      <c r="F106" s="284">
        <v>45660</v>
      </c>
      <c r="G106" s="113">
        <v>109007</v>
      </c>
      <c r="H106" s="113">
        <f t="shared" si="16"/>
        <v>2180.14</v>
      </c>
      <c r="I106" s="113">
        <f t="shared" si="17"/>
        <v>126448.12</v>
      </c>
      <c r="J106" s="257"/>
      <c r="K106" s="300">
        <v>45717</v>
      </c>
      <c r="L106" s="115">
        <v>1400017232</v>
      </c>
      <c r="M106" s="168" t="str">
        <f>VLOOKUP(C106,'Outsourcing Details'!C:D,2,0)</f>
        <v>Highsky IT Solutions Private Limited</v>
      </c>
    </row>
    <row r="107" spans="1:13" hidden="1">
      <c r="A107" s="257"/>
      <c r="B107" s="101" t="s">
        <v>74</v>
      </c>
      <c r="C107" s="101">
        <v>4500090795</v>
      </c>
      <c r="D107" s="101"/>
      <c r="E107" s="101" t="s">
        <v>275</v>
      </c>
      <c r="F107" s="284">
        <v>45660</v>
      </c>
      <c r="G107" s="113">
        <v>109007</v>
      </c>
      <c r="H107" s="113">
        <f t="shared" si="16"/>
        <v>2180.14</v>
      </c>
      <c r="I107" s="113">
        <f t="shared" si="17"/>
        <v>126448.12</v>
      </c>
      <c r="J107" s="257"/>
      <c r="K107" s="300">
        <v>45717</v>
      </c>
      <c r="L107" s="115">
        <v>1400017232</v>
      </c>
      <c r="M107" s="168" t="str">
        <f>VLOOKUP(C107,'Outsourcing Details'!C:D,2,0)</f>
        <v>Highsky IT Solutions Private Limited</v>
      </c>
    </row>
    <row r="108" spans="1:13" hidden="1">
      <c r="A108" s="257"/>
      <c r="B108" s="101" t="s">
        <v>74</v>
      </c>
      <c r="C108" s="101" t="s">
        <v>276</v>
      </c>
      <c r="D108" s="101"/>
      <c r="E108" s="101" t="s">
        <v>277</v>
      </c>
      <c r="F108" s="284">
        <v>45733</v>
      </c>
      <c r="G108" s="113">
        <v>132704</v>
      </c>
      <c r="H108" s="113">
        <f t="shared" si="16"/>
        <v>2654.08</v>
      </c>
      <c r="I108" s="113">
        <f t="shared" si="17"/>
        <v>153936.64000000001</v>
      </c>
      <c r="J108" s="257"/>
      <c r="K108" s="300">
        <v>45733</v>
      </c>
      <c r="L108" s="115">
        <v>1400000825</v>
      </c>
      <c r="M108" s="168" t="str">
        <f>VLOOKUP(C108,'Outsourcing Details'!C:D,2,0)</f>
        <v>Highsky IT Solutions Private Limited</v>
      </c>
    </row>
    <row r="109" spans="1:13" hidden="1">
      <c r="A109" s="257"/>
      <c r="B109" s="101" t="s">
        <v>74</v>
      </c>
      <c r="C109" s="101" t="s">
        <v>276</v>
      </c>
      <c r="D109" s="101"/>
      <c r="E109" s="101" t="s">
        <v>278</v>
      </c>
      <c r="F109" s="284">
        <v>45733</v>
      </c>
      <c r="G109" s="113">
        <v>132704</v>
      </c>
      <c r="H109" s="113">
        <f t="shared" si="16"/>
        <v>2654.08</v>
      </c>
      <c r="I109" s="113">
        <f t="shared" si="17"/>
        <v>153936.64000000001</v>
      </c>
      <c r="J109" s="257"/>
      <c r="K109" s="300">
        <v>45733</v>
      </c>
      <c r="L109" s="115">
        <v>1400000825</v>
      </c>
      <c r="M109" s="168" t="str">
        <f>VLOOKUP(C109,'Outsourcing Details'!C:D,2,0)</f>
        <v>Highsky IT Solutions Private Limited</v>
      </c>
    </row>
    <row r="110" spans="1:13" s="57" customFormat="1" hidden="1">
      <c r="A110" s="116"/>
      <c r="B110" s="116" t="s">
        <v>74</v>
      </c>
      <c r="C110" s="106" t="s">
        <v>279</v>
      </c>
      <c r="D110" s="248"/>
      <c r="E110" s="116"/>
      <c r="F110" s="286"/>
      <c r="G110" s="117"/>
      <c r="H110" s="117"/>
      <c r="I110" s="117"/>
      <c r="J110" s="116" t="str">
        <f>'Outsourcing Details'!J74</f>
        <v>HSIT/24-25/314</v>
      </c>
      <c r="K110" s="301"/>
      <c r="L110" s="118"/>
      <c r="M110" s="203" t="str">
        <f>VLOOKUP(C110,'Outsourcing Details'!C:D,2,0)</f>
        <v>Highsky IT Solutions Private Limited</v>
      </c>
    </row>
    <row r="111" spans="1:13" s="57" customFormat="1" hidden="1">
      <c r="A111" s="116"/>
      <c r="B111" s="116" t="s">
        <v>74</v>
      </c>
      <c r="C111" s="116" t="s">
        <v>276</v>
      </c>
      <c r="D111" s="116"/>
      <c r="E111" s="116" t="s">
        <v>280</v>
      </c>
      <c r="F111" s="286">
        <v>45733</v>
      </c>
      <c r="G111" s="117">
        <v>129453</v>
      </c>
      <c r="H111" s="117">
        <f t="shared" si="16"/>
        <v>2589.06</v>
      </c>
      <c r="I111" s="117">
        <f t="shared" si="17"/>
        <v>150165.47999999998</v>
      </c>
      <c r="J111" s="116"/>
      <c r="K111" s="301">
        <v>45733</v>
      </c>
      <c r="L111" s="118">
        <v>1400000825</v>
      </c>
      <c r="M111" s="203" t="str">
        <f>VLOOKUP(C111,'Outsourcing Details'!C:D,2,0)</f>
        <v>Highsky IT Solutions Private Limited</v>
      </c>
    </row>
    <row r="112" spans="1:13" hidden="1">
      <c r="A112" s="257"/>
      <c r="B112" s="101" t="s">
        <v>74</v>
      </c>
      <c r="C112" s="101" t="s">
        <v>255</v>
      </c>
      <c r="D112" s="101"/>
      <c r="E112" s="101" t="s">
        <v>281</v>
      </c>
      <c r="F112" s="284">
        <v>45735</v>
      </c>
      <c r="G112" s="113">
        <v>102312</v>
      </c>
      <c r="H112" s="113">
        <f t="shared" si="16"/>
        <v>2046.24</v>
      </c>
      <c r="I112" s="113">
        <f t="shared" si="17"/>
        <v>118681.91999999998</v>
      </c>
      <c r="J112" s="257"/>
      <c r="K112" s="300">
        <v>45735</v>
      </c>
      <c r="L112" s="115">
        <v>1400000825</v>
      </c>
      <c r="M112" s="168" t="str">
        <f>VLOOKUP(C112,'Outsourcing Details'!C:D,2,0)</f>
        <v>Highsky IT Solutions Private Limited</v>
      </c>
    </row>
    <row r="113" spans="1:13" hidden="1">
      <c r="A113" s="257"/>
      <c r="B113" s="101" t="s">
        <v>74</v>
      </c>
      <c r="C113" s="101" t="s">
        <v>255</v>
      </c>
      <c r="D113" s="101"/>
      <c r="E113" s="101" t="s">
        <v>282</v>
      </c>
      <c r="F113" s="284">
        <v>45735</v>
      </c>
      <c r="G113" s="113">
        <v>126385</v>
      </c>
      <c r="H113" s="113">
        <f t="shared" si="16"/>
        <v>2527.7000000000003</v>
      </c>
      <c r="I113" s="113">
        <f t="shared" si="17"/>
        <v>146606.59999999998</v>
      </c>
      <c r="J113" s="257"/>
      <c r="K113" s="300">
        <v>45735</v>
      </c>
      <c r="L113" s="115">
        <v>1400000825</v>
      </c>
      <c r="M113" s="168" t="str">
        <f>VLOOKUP(C113,'Outsourcing Details'!C:D,2,0)</f>
        <v>Highsky IT Solutions Private Limited</v>
      </c>
    </row>
    <row r="114" spans="1:13" hidden="1">
      <c r="A114" s="257"/>
      <c r="B114" s="101" t="s">
        <v>74</v>
      </c>
      <c r="C114" s="101">
        <v>4500088398</v>
      </c>
      <c r="D114" s="101"/>
      <c r="E114" s="101" t="s">
        <v>283</v>
      </c>
      <c r="F114" s="284">
        <v>45443</v>
      </c>
      <c r="G114" s="113">
        <v>266121.45</v>
      </c>
      <c r="H114" s="113">
        <f t="shared" ref="H114:H177" si="18">G114*2%</f>
        <v>5322.4290000000001</v>
      </c>
      <c r="I114" s="113">
        <f t="shared" ref="I114:I177" si="19">(G114*1.18)-H114</f>
        <v>308700.88199999998</v>
      </c>
      <c r="J114" s="257" t="s">
        <v>284</v>
      </c>
      <c r="K114" s="282"/>
      <c r="L114" s="257"/>
      <c r="M114" s="168" t="str">
        <f>VLOOKUP(C114,'Outsourcing Details'!C:D,2,0)</f>
        <v>KAPARTHI CONSULTANCY SERVICES</v>
      </c>
    </row>
    <row r="115" spans="1:13" hidden="1">
      <c r="A115" s="257"/>
      <c r="B115" s="101" t="s">
        <v>74</v>
      </c>
      <c r="C115" s="101">
        <v>4500088398</v>
      </c>
      <c r="D115" s="101"/>
      <c r="E115" s="101" t="s">
        <v>285</v>
      </c>
      <c r="F115" s="284">
        <v>45443</v>
      </c>
      <c r="G115" s="113">
        <v>622379.76</v>
      </c>
      <c r="H115" s="113">
        <f t="shared" si="18"/>
        <v>12447.5952</v>
      </c>
      <c r="I115" s="113">
        <f t="shared" si="19"/>
        <v>721960.52159999998</v>
      </c>
      <c r="J115" s="257" t="s">
        <v>286</v>
      </c>
      <c r="K115" s="282"/>
      <c r="L115" s="257"/>
      <c r="M115" s="168" t="str">
        <f>VLOOKUP(C115,'Outsourcing Details'!C:D,2,0)</f>
        <v>KAPARTHI CONSULTANCY SERVICES</v>
      </c>
    </row>
    <row r="116" spans="1:13" hidden="1">
      <c r="A116" s="257"/>
      <c r="B116" s="101" t="s">
        <v>74</v>
      </c>
      <c r="C116" s="101">
        <v>4500088398</v>
      </c>
      <c r="D116" s="101"/>
      <c r="E116" s="101" t="s">
        <v>287</v>
      </c>
      <c r="F116" s="284">
        <v>45443</v>
      </c>
      <c r="G116" s="113">
        <v>708750</v>
      </c>
      <c r="H116" s="113">
        <f t="shared" si="18"/>
        <v>14175</v>
      </c>
      <c r="I116" s="113">
        <f t="shared" si="19"/>
        <v>822150</v>
      </c>
      <c r="J116" s="257" t="s">
        <v>288</v>
      </c>
      <c r="K116" s="282"/>
      <c r="L116" s="257"/>
      <c r="M116" s="168" t="str">
        <f>VLOOKUP(C116,'Outsourcing Details'!C:D,2,0)</f>
        <v>KAPARTHI CONSULTANCY SERVICES</v>
      </c>
    </row>
    <row r="117" spans="1:13" hidden="1">
      <c r="A117" s="257"/>
      <c r="B117" s="101" t="s">
        <v>74</v>
      </c>
      <c r="C117" s="101">
        <v>4500088323</v>
      </c>
      <c r="D117" s="101"/>
      <c r="E117" s="101" t="s">
        <v>289</v>
      </c>
      <c r="F117" s="284">
        <v>45443</v>
      </c>
      <c r="G117" s="113">
        <v>91350.05</v>
      </c>
      <c r="H117" s="113">
        <f t="shared" si="18"/>
        <v>1827.0010000000002</v>
      </c>
      <c r="I117" s="113">
        <f t="shared" si="19"/>
        <v>105966.05799999999</v>
      </c>
      <c r="J117" s="257" t="s">
        <v>288</v>
      </c>
      <c r="K117" s="282"/>
      <c r="L117" s="257"/>
      <c r="M117" s="168" t="str">
        <f>VLOOKUP(C117,'Outsourcing Details'!C:D,2,0)</f>
        <v>KAPARTHI CONSULTANCY SERVICES</v>
      </c>
    </row>
    <row r="118" spans="1:13" hidden="1">
      <c r="A118" s="257"/>
      <c r="B118" s="101" t="s">
        <v>74</v>
      </c>
      <c r="C118" s="101">
        <v>4500088323</v>
      </c>
      <c r="D118" s="101"/>
      <c r="E118" s="101" t="s">
        <v>290</v>
      </c>
      <c r="F118" s="284">
        <v>45450</v>
      </c>
      <c r="G118" s="113">
        <v>304500</v>
      </c>
      <c r="H118" s="113">
        <f t="shared" si="18"/>
        <v>6090</v>
      </c>
      <c r="I118" s="113">
        <f t="shared" si="19"/>
        <v>353220</v>
      </c>
      <c r="J118" s="257" t="s">
        <v>291</v>
      </c>
      <c r="K118" s="282"/>
      <c r="L118" s="257"/>
      <c r="M118" s="168" t="str">
        <f>VLOOKUP(C118,'Outsourcing Details'!C:D,2,0)</f>
        <v>KAPARTHI CONSULTANCY SERVICES</v>
      </c>
    </row>
    <row r="119" spans="1:13" hidden="1">
      <c r="A119" s="257"/>
      <c r="B119" s="101" t="s">
        <v>74</v>
      </c>
      <c r="C119" s="101">
        <v>4500088398</v>
      </c>
      <c r="D119" s="101"/>
      <c r="E119" s="101" t="s">
        <v>292</v>
      </c>
      <c r="F119" s="284">
        <v>45450</v>
      </c>
      <c r="G119" s="113">
        <v>708750</v>
      </c>
      <c r="H119" s="113">
        <f t="shared" si="18"/>
        <v>14175</v>
      </c>
      <c r="I119" s="113">
        <f t="shared" si="19"/>
        <v>822150</v>
      </c>
      <c r="J119" s="257" t="s">
        <v>291</v>
      </c>
      <c r="K119" s="282"/>
      <c r="L119" s="257"/>
      <c r="M119" s="168" t="str">
        <f>VLOOKUP(C119,'Outsourcing Details'!C:D,2,0)</f>
        <v>KAPARTHI CONSULTANCY SERVICES</v>
      </c>
    </row>
    <row r="120" spans="1:13" hidden="1">
      <c r="A120" s="257"/>
      <c r="B120" s="101" t="s">
        <v>74</v>
      </c>
      <c r="C120" s="101">
        <v>4500089164</v>
      </c>
      <c r="D120" s="101"/>
      <c r="E120" s="101" t="s">
        <v>293</v>
      </c>
      <c r="F120" s="284">
        <v>45462</v>
      </c>
      <c r="G120" s="113">
        <v>220335</v>
      </c>
      <c r="H120" s="113">
        <f t="shared" si="18"/>
        <v>4406.7</v>
      </c>
      <c r="I120" s="113">
        <f t="shared" si="19"/>
        <v>255588.59999999998</v>
      </c>
      <c r="J120" s="257" t="s">
        <v>294</v>
      </c>
      <c r="K120" s="282"/>
      <c r="L120" s="257"/>
      <c r="M120" s="168" t="str">
        <f>VLOOKUP(C120,'Outsourcing Details'!C:D,2,0)</f>
        <v>KAPARTHI CONSULTANCY SERVICES</v>
      </c>
    </row>
    <row r="121" spans="1:13" hidden="1">
      <c r="A121" s="257"/>
      <c r="B121" s="101" t="s">
        <v>74</v>
      </c>
      <c r="C121" s="101">
        <v>4500088323</v>
      </c>
      <c r="D121" s="101"/>
      <c r="E121" s="101" t="s">
        <v>295</v>
      </c>
      <c r="F121" s="284">
        <v>45477</v>
      </c>
      <c r="G121" s="113">
        <v>304500</v>
      </c>
      <c r="H121" s="113">
        <f t="shared" si="18"/>
        <v>6090</v>
      </c>
      <c r="I121" s="113">
        <f t="shared" si="19"/>
        <v>353220</v>
      </c>
      <c r="J121" s="257" t="s">
        <v>296</v>
      </c>
      <c r="K121" s="282"/>
      <c r="L121" s="257"/>
      <c r="M121" s="168" t="str">
        <f>VLOOKUP(C121,'Outsourcing Details'!C:D,2,0)</f>
        <v>KAPARTHI CONSULTANCY SERVICES</v>
      </c>
    </row>
    <row r="122" spans="1:13" hidden="1">
      <c r="A122" s="257"/>
      <c r="B122" s="101" t="s">
        <v>74</v>
      </c>
      <c r="C122" s="101">
        <v>4500089649</v>
      </c>
      <c r="D122" s="101"/>
      <c r="E122" s="101" t="s">
        <v>297</v>
      </c>
      <c r="F122" s="284">
        <v>45477</v>
      </c>
      <c r="G122" s="113">
        <v>257250</v>
      </c>
      <c r="H122" s="113">
        <f t="shared" si="18"/>
        <v>5145</v>
      </c>
      <c r="I122" s="113">
        <f t="shared" si="19"/>
        <v>298410</v>
      </c>
      <c r="J122" s="257" t="s">
        <v>298</v>
      </c>
      <c r="K122" s="282"/>
      <c r="L122" s="257"/>
      <c r="M122" s="168" t="str">
        <f>VLOOKUP(C122,'Outsourcing Details'!C:D,2,0)</f>
        <v>KAPARTHI CONSULTANCY SERVICES</v>
      </c>
    </row>
    <row r="123" spans="1:13" hidden="1">
      <c r="A123" s="257"/>
      <c r="B123" s="101" t="s">
        <v>74</v>
      </c>
      <c r="C123" s="101">
        <v>4500088398</v>
      </c>
      <c r="D123" s="101"/>
      <c r="E123" s="101" t="s">
        <v>299</v>
      </c>
      <c r="F123" s="284">
        <v>45484</v>
      </c>
      <c r="G123" s="113">
        <v>680178</v>
      </c>
      <c r="H123" s="113">
        <f t="shared" si="18"/>
        <v>13603.56</v>
      </c>
      <c r="I123" s="113">
        <f t="shared" si="19"/>
        <v>789006.47999999986</v>
      </c>
      <c r="J123" s="257" t="s">
        <v>300</v>
      </c>
      <c r="K123" s="282"/>
      <c r="L123" s="257"/>
      <c r="M123" s="168" t="str">
        <f>VLOOKUP(C123,'Outsourcing Details'!C:D,2,0)</f>
        <v>KAPARTHI CONSULTANCY SERVICES</v>
      </c>
    </row>
    <row r="124" spans="1:13" hidden="1">
      <c r="A124" s="257"/>
      <c r="B124" s="101" t="s">
        <v>74</v>
      </c>
      <c r="C124" s="101">
        <v>4500089164</v>
      </c>
      <c r="D124" s="101"/>
      <c r="E124" s="101" t="s">
        <v>301</v>
      </c>
      <c r="F124" s="284">
        <v>45489</v>
      </c>
      <c r="G124" s="113">
        <v>59206</v>
      </c>
      <c r="H124" s="113">
        <f t="shared" si="18"/>
        <v>1184.1200000000001</v>
      </c>
      <c r="I124" s="113">
        <f t="shared" si="19"/>
        <v>68678.960000000006</v>
      </c>
      <c r="J124" s="257" t="s">
        <v>302</v>
      </c>
      <c r="K124" s="282"/>
      <c r="L124" s="257"/>
      <c r="M124" s="168" t="str">
        <f>VLOOKUP(C124,'Outsourcing Details'!C:D,2,0)</f>
        <v>KAPARTHI CONSULTANCY SERVICES</v>
      </c>
    </row>
    <row r="125" spans="1:13" hidden="1">
      <c r="A125" s="257"/>
      <c r="B125" s="101" t="s">
        <v>74</v>
      </c>
      <c r="C125" s="101">
        <v>4500089164</v>
      </c>
      <c r="D125" s="101"/>
      <c r="E125" s="101" t="s">
        <v>303</v>
      </c>
      <c r="F125" s="284">
        <v>45504</v>
      </c>
      <c r="G125" s="113">
        <v>44386</v>
      </c>
      <c r="H125" s="113">
        <f t="shared" si="18"/>
        <v>887.72</v>
      </c>
      <c r="I125" s="113">
        <f t="shared" si="19"/>
        <v>51487.759999999995</v>
      </c>
      <c r="J125" s="257" t="s">
        <v>304</v>
      </c>
      <c r="K125" s="282"/>
      <c r="L125" s="257"/>
      <c r="M125" s="168" t="str">
        <f>VLOOKUP(C125,'Outsourcing Details'!C:D,2,0)</f>
        <v>KAPARTHI CONSULTANCY SERVICES</v>
      </c>
    </row>
    <row r="126" spans="1:13" hidden="1">
      <c r="A126" s="257"/>
      <c r="B126" s="101" t="s">
        <v>74</v>
      </c>
      <c r="C126" s="101">
        <v>4500088397</v>
      </c>
      <c r="D126" s="101"/>
      <c r="E126" s="101" t="s">
        <v>305</v>
      </c>
      <c r="F126" s="284">
        <v>45505</v>
      </c>
      <c r="G126" s="113">
        <v>708750</v>
      </c>
      <c r="H126" s="113">
        <f t="shared" si="18"/>
        <v>14175</v>
      </c>
      <c r="I126" s="113">
        <f t="shared" si="19"/>
        <v>822150</v>
      </c>
      <c r="J126" s="257" t="s">
        <v>306</v>
      </c>
      <c r="K126" s="282"/>
      <c r="L126" s="257"/>
      <c r="M126" s="168" t="str">
        <f>VLOOKUP(C126,'Outsourcing Details'!C:D,2,0)</f>
        <v>KAPARTHI CONSULTANCY SERVICES</v>
      </c>
    </row>
    <row r="127" spans="1:13" hidden="1">
      <c r="A127" s="257"/>
      <c r="B127" s="101" t="s">
        <v>74</v>
      </c>
      <c r="C127" s="101">
        <v>4500088323</v>
      </c>
      <c r="D127" s="101"/>
      <c r="E127" s="101" t="s">
        <v>307</v>
      </c>
      <c r="F127" s="284">
        <v>45505</v>
      </c>
      <c r="G127" s="113">
        <v>197806</v>
      </c>
      <c r="H127" s="113">
        <f t="shared" si="18"/>
        <v>3956.12</v>
      </c>
      <c r="I127" s="113">
        <f t="shared" si="19"/>
        <v>229454.96</v>
      </c>
      <c r="J127" s="257" t="s">
        <v>308</v>
      </c>
      <c r="K127" s="282"/>
      <c r="L127" s="257"/>
      <c r="M127" s="168" t="str">
        <f>VLOOKUP(C127,'Outsourcing Details'!C:D,2,0)</f>
        <v>KAPARTHI CONSULTANCY SERVICES</v>
      </c>
    </row>
    <row r="128" spans="1:13" hidden="1">
      <c r="A128" s="257"/>
      <c r="B128" s="101" t="s">
        <v>74</v>
      </c>
      <c r="C128" s="101">
        <v>4500089649</v>
      </c>
      <c r="D128" s="101"/>
      <c r="E128" s="101" t="s">
        <v>309</v>
      </c>
      <c r="F128" s="284">
        <v>45506</v>
      </c>
      <c r="G128" s="113">
        <v>300000</v>
      </c>
      <c r="H128" s="113">
        <f t="shared" si="18"/>
        <v>6000</v>
      </c>
      <c r="I128" s="113">
        <f t="shared" si="19"/>
        <v>348000</v>
      </c>
      <c r="J128" s="257" t="s">
        <v>310</v>
      </c>
      <c r="K128" s="282"/>
      <c r="L128" s="257"/>
      <c r="M128" s="168" t="str">
        <f>VLOOKUP(C128,'Outsourcing Details'!C:D,2,0)</f>
        <v>KAPARTHI CONSULTANCY SERVICES</v>
      </c>
    </row>
    <row r="129" spans="1:13" hidden="1">
      <c r="A129" s="257"/>
      <c r="B129" s="101" t="s">
        <v>74</v>
      </c>
      <c r="C129" s="101">
        <v>4500089164</v>
      </c>
      <c r="D129" s="101"/>
      <c r="E129" s="101" t="s">
        <v>311</v>
      </c>
      <c r="F129" s="284">
        <v>45513</v>
      </c>
      <c r="G129" s="113">
        <v>37509</v>
      </c>
      <c r="H129" s="113">
        <f t="shared" si="18"/>
        <v>750.18000000000006</v>
      </c>
      <c r="I129" s="113">
        <f t="shared" si="19"/>
        <v>43510.439999999995</v>
      </c>
      <c r="J129" s="257" t="s">
        <v>312</v>
      </c>
      <c r="K129" s="282"/>
      <c r="L129" s="257"/>
      <c r="M129" s="168" t="str">
        <f>VLOOKUP(C129,'Outsourcing Details'!C:D,2,0)</f>
        <v>KAPARTHI CONSULTANCY SERVICES</v>
      </c>
    </row>
    <row r="130" spans="1:13" hidden="1">
      <c r="A130" s="257"/>
      <c r="B130" s="101" t="s">
        <v>74</v>
      </c>
      <c r="C130" s="101">
        <v>4500090699</v>
      </c>
      <c r="D130" s="101"/>
      <c r="E130" s="101" t="s">
        <v>313</v>
      </c>
      <c r="F130" s="284">
        <v>45518</v>
      </c>
      <c r="G130" s="113">
        <v>15000</v>
      </c>
      <c r="H130" s="113">
        <f t="shared" si="18"/>
        <v>300</v>
      </c>
      <c r="I130" s="113">
        <f t="shared" si="19"/>
        <v>17400</v>
      </c>
      <c r="J130" s="257" t="s">
        <v>310</v>
      </c>
      <c r="K130" s="282"/>
      <c r="L130" s="257"/>
      <c r="M130" s="168" t="s">
        <v>314</v>
      </c>
    </row>
    <row r="131" spans="1:13" hidden="1">
      <c r="A131" s="257"/>
      <c r="B131" s="101" t="s">
        <v>74</v>
      </c>
      <c r="C131" s="101">
        <v>4500090771</v>
      </c>
      <c r="D131" s="101"/>
      <c r="E131" s="101" t="s">
        <v>315</v>
      </c>
      <c r="F131" s="284">
        <v>45520</v>
      </c>
      <c r="G131" s="113">
        <v>121935.45</v>
      </c>
      <c r="H131" s="113">
        <f t="shared" si="18"/>
        <v>2438.7089999999998</v>
      </c>
      <c r="I131" s="113">
        <f t="shared" si="19"/>
        <v>141445.12199999997</v>
      </c>
      <c r="J131" s="257" t="s">
        <v>316</v>
      </c>
      <c r="K131" s="282"/>
      <c r="L131" s="257"/>
      <c r="M131" s="168" t="str">
        <f>VLOOKUP(C131,'Outsourcing Details'!C:D,2,0)</f>
        <v>KAPARTHI CONSULTANCY SERVICES</v>
      </c>
    </row>
    <row r="132" spans="1:13" hidden="1">
      <c r="A132" s="257"/>
      <c r="B132" s="101" t="s">
        <v>74</v>
      </c>
      <c r="C132" s="101">
        <v>4500088397</v>
      </c>
      <c r="D132" s="101"/>
      <c r="E132" s="101" t="s">
        <v>317</v>
      </c>
      <c r="F132" s="284">
        <v>45544</v>
      </c>
      <c r="G132" s="113">
        <v>708750</v>
      </c>
      <c r="H132" s="113">
        <f t="shared" si="18"/>
        <v>14175</v>
      </c>
      <c r="I132" s="113">
        <f t="shared" si="19"/>
        <v>822150</v>
      </c>
      <c r="J132" s="257" t="s">
        <v>318</v>
      </c>
      <c r="K132" s="282"/>
      <c r="L132" s="257"/>
      <c r="M132" s="168" t="str">
        <f>VLOOKUP(C132,'Outsourcing Details'!C:D,2,0)</f>
        <v>KAPARTHI CONSULTANCY SERVICES</v>
      </c>
    </row>
    <row r="133" spans="1:13" hidden="1">
      <c r="A133" s="257"/>
      <c r="B133" s="101" t="s">
        <v>74</v>
      </c>
      <c r="C133" s="101">
        <v>4500088323</v>
      </c>
      <c r="D133" s="101"/>
      <c r="E133" s="101" t="s">
        <v>319</v>
      </c>
      <c r="F133" s="284">
        <v>45544</v>
      </c>
      <c r="G133" s="113">
        <v>147000</v>
      </c>
      <c r="H133" s="113">
        <f t="shared" si="18"/>
        <v>2940</v>
      </c>
      <c r="I133" s="113">
        <f t="shared" si="19"/>
        <v>170520</v>
      </c>
      <c r="J133" s="257" t="s">
        <v>320</v>
      </c>
      <c r="K133" s="282"/>
      <c r="L133" s="257"/>
      <c r="M133" s="168" t="str">
        <f>VLOOKUP(C133,'Outsourcing Details'!C:D,2,0)</f>
        <v>KAPARTHI CONSULTANCY SERVICES</v>
      </c>
    </row>
    <row r="134" spans="1:13" hidden="1">
      <c r="A134" s="257"/>
      <c r="B134" s="101" t="s">
        <v>74</v>
      </c>
      <c r="C134" s="101">
        <v>4500089649</v>
      </c>
      <c r="D134" s="101"/>
      <c r="E134" s="101" t="s">
        <v>321</v>
      </c>
      <c r="F134" s="284">
        <v>45544</v>
      </c>
      <c r="G134" s="113">
        <v>300000</v>
      </c>
      <c r="H134" s="113">
        <f t="shared" si="18"/>
        <v>6000</v>
      </c>
      <c r="I134" s="113">
        <f t="shared" si="19"/>
        <v>348000</v>
      </c>
      <c r="J134" s="257" t="s">
        <v>322</v>
      </c>
      <c r="K134" s="282"/>
      <c r="L134" s="257"/>
      <c r="M134" s="168" t="str">
        <f>VLOOKUP(C134,'Outsourcing Details'!C:D,2,0)</f>
        <v>KAPARTHI CONSULTANCY SERVICES</v>
      </c>
    </row>
    <row r="135" spans="1:13" hidden="1">
      <c r="A135" s="257"/>
      <c r="B135" s="101" t="s">
        <v>74</v>
      </c>
      <c r="C135" s="101">
        <v>4500090771</v>
      </c>
      <c r="D135" s="101"/>
      <c r="E135" s="101" t="s">
        <v>323</v>
      </c>
      <c r="F135" s="284">
        <v>45544</v>
      </c>
      <c r="G135" s="113">
        <v>157500</v>
      </c>
      <c r="H135" s="113">
        <f t="shared" si="18"/>
        <v>3150</v>
      </c>
      <c r="I135" s="113">
        <f t="shared" si="19"/>
        <v>182700</v>
      </c>
      <c r="J135" s="257" t="s">
        <v>324</v>
      </c>
      <c r="K135" s="282"/>
      <c r="L135" s="257"/>
      <c r="M135" s="168" t="str">
        <f>VLOOKUP(C135,'Outsourcing Details'!C:D,2,0)</f>
        <v>KAPARTHI CONSULTANCY SERVICES</v>
      </c>
    </row>
    <row r="136" spans="1:13" hidden="1">
      <c r="A136" s="257"/>
      <c r="B136" s="101" t="s">
        <v>74</v>
      </c>
      <c r="C136" s="101">
        <v>4500089164</v>
      </c>
      <c r="D136" s="101"/>
      <c r="E136" s="101" t="s">
        <v>325</v>
      </c>
      <c r="F136" s="284">
        <v>45544</v>
      </c>
      <c r="G136" s="113">
        <v>75802</v>
      </c>
      <c r="H136" s="113">
        <f t="shared" si="18"/>
        <v>1516.04</v>
      </c>
      <c r="I136" s="113">
        <f t="shared" si="19"/>
        <v>87930.32</v>
      </c>
      <c r="J136" s="257" t="s">
        <v>326</v>
      </c>
      <c r="K136" s="282"/>
      <c r="L136" s="257"/>
      <c r="M136" s="168" t="str">
        <f>VLOOKUP(C136,'Outsourcing Details'!C:D,2,0)</f>
        <v>KAPARTHI CONSULTANCY SERVICES</v>
      </c>
    </row>
    <row r="137" spans="1:13" hidden="1">
      <c r="A137" s="257"/>
      <c r="B137" s="101" t="s">
        <v>74</v>
      </c>
      <c r="C137" s="101">
        <v>4500090699</v>
      </c>
      <c r="D137" s="101"/>
      <c r="E137" s="101" t="s">
        <v>327</v>
      </c>
      <c r="F137" s="284">
        <v>45544</v>
      </c>
      <c r="G137" s="113">
        <v>15000</v>
      </c>
      <c r="H137" s="113">
        <f t="shared" si="18"/>
        <v>300</v>
      </c>
      <c r="I137" s="113">
        <f t="shared" si="19"/>
        <v>17400</v>
      </c>
      <c r="J137" s="257" t="s">
        <v>328</v>
      </c>
      <c r="K137" s="282"/>
      <c r="L137" s="257"/>
      <c r="M137" s="168" t="s">
        <v>314</v>
      </c>
    </row>
    <row r="138" spans="1:13" hidden="1">
      <c r="A138" s="257"/>
      <c r="B138" s="101" t="s">
        <v>74</v>
      </c>
      <c r="C138" s="101">
        <v>4500089649</v>
      </c>
      <c r="D138" s="101"/>
      <c r="E138" s="101" t="s">
        <v>329</v>
      </c>
      <c r="F138" s="284">
        <v>45545</v>
      </c>
      <c r="G138" s="113">
        <v>-300000</v>
      </c>
      <c r="H138" s="113">
        <f t="shared" si="18"/>
        <v>-6000</v>
      </c>
      <c r="I138" s="113">
        <f t="shared" si="19"/>
        <v>-348000</v>
      </c>
      <c r="J138" s="257" t="s">
        <v>322</v>
      </c>
      <c r="K138" s="282"/>
      <c r="L138" s="257"/>
      <c r="M138" s="168" t="str">
        <f>VLOOKUP(C138,'Outsourcing Details'!C:D,2,0)</f>
        <v>KAPARTHI CONSULTANCY SERVICES</v>
      </c>
    </row>
    <row r="139" spans="1:13" hidden="1">
      <c r="A139" s="257"/>
      <c r="B139" s="101" t="s">
        <v>74</v>
      </c>
      <c r="C139" s="101">
        <v>4500089649</v>
      </c>
      <c r="D139" s="101"/>
      <c r="E139" s="101" t="s">
        <v>330</v>
      </c>
      <c r="F139" s="284">
        <v>45545</v>
      </c>
      <c r="G139" s="113">
        <v>285607</v>
      </c>
      <c r="H139" s="113">
        <f t="shared" si="18"/>
        <v>5712.14</v>
      </c>
      <c r="I139" s="113">
        <f t="shared" si="19"/>
        <v>331304.12</v>
      </c>
      <c r="J139" s="257" t="s">
        <v>328</v>
      </c>
      <c r="K139" s="282"/>
      <c r="L139" s="257"/>
      <c r="M139" s="168" t="str">
        <f>VLOOKUP(C139,'Outsourcing Details'!C:D,2,0)</f>
        <v>KAPARTHI CONSULTANCY SERVICES</v>
      </c>
    </row>
    <row r="140" spans="1:13" hidden="1">
      <c r="A140" s="257"/>
      <c r="B140" s="101" t="s">
        <v>74</v>
      </c>
      <c r="C140" s="101">
        <v>4500090699</v>
      </c>
      <c r="D140" s="101"/>
      <c r="E140" s="101" t="s">
        <v>331</v>
      </c>
      <c r="F140" s="284">
        <v>45545</v>
      </c>
      <c r="G140" s="113">
        <v>12143</v>
      </c>
      <c r="H140" s="113">
        <f t="shared" si="18"/>
        <v>242.86</v>
      </c>
      <c r="I140" s="113">
        <f t="shared" si="19"/>
        <v>14085.88</v>
      </c>
      <c r="J140" s="257" t="s">
        <v>328</v>
      </c>
      <c r="K140" s="282"/>
      <c r="L140" s="257"/>
      <c r="M140" s="168" t="s">
        <v>314</v>
      </c>
    </row>
    <row r="141" spans="1:13" hidden="1">
      <c r="A141" s="257"/>
      <c r="B141" s="101" t="s">
        <v>74</v>
      </c>
      <c r="C141" s="101">
        <v>4500089164</v>
      </c>
      <c r="D141" s="101"/>
      <c r="E141" s="101" t="s">
        <v>332</v>
      </c>
      <c r="F141" s="284">
        <v>45556</v>
      </c>
      <c r="G141" s="113">
        <v>39888</v>
      </c>
      <c r="H141" s="113">
        <f t="shared" si="18"/>
        <v>797.76</v>
      </c>
      <c r="I141" s="113">
        <f t="shared" si="19"/>
        <v>46270.079999999994</v>
      </c>
      <c r="J141" s="257" t="s">
        <v>333</v>
      </c>
      <c r="K141" s="282"/>
      <c r="L141" s="257"/>
      <c r="M141" s="168" t="str">
        <f>VLOOKUP(C141,'Outsourcing Details'!C:D,2,0)</f>
        <v>KAPARTHI CONSULTANCY SERVICES</v>
      </c>
    </row>
    <row r="142" spans="1:13" hidden="1">
      <c r="A142" s="257"/>
      <c r="B142" s="101" t="s">
        <v>74</v>
      </c>
      <c r="C142" s="101">
        <v>4500088397</v>
      </c>
      <c r="D142" s="101"/>
      <c r="E142" s="101" t="s">
        <v>334</v>
      </c>
      <c r="F142" s="284">
        <v>45568</v>
      </c>
      <c r="G142" s="113">
        <v>708750</v>
      </c>
      <c r="H142" s="113">
        <f t="shared" si="18"/>
        <v>14175</v>
      </c>
      <c r="I142" s="113">
        <f t="shared" si="19"/>
        <v>822150</v>
      </c>
      <c r="J142" s="257" t="s">
        <v>335</v>
      </c>
      <c r="K142" s="282"/>
      <c r="L142" s="257"/>
      <c r="M142" s="168" t="str">
        <f>VLOOKUP(C142,'Outsourcing Details'!C:D,2,0)</f>
        <v>KAPARTHI CONSULTANCY SERVICES</v>
      </c>
    </row>
    <row r="143" spans="1:13" hidden="1">
      <c r="A143" s="257"/>
      <c r="B143" s="101" t="s">
        <v>74</v>
      </c>
      <c r="C143" s="101">
        <v>4500088323</v>
      </c>
      <c r="D143" s="101"/>
      <c r="E143" s="101" t="s">
        <v>336</v>
      </c>
      <c r="F143" s="284">
        <v>45568</v>
      </c>
      <c r="G143" s="113">
        <v>147000</v>
      </c>
      <c r="H143" s="113">
        <f t="shared" si="18"/>
        <v>2940</v>
      </c>
      <c r="I143" s="113">
        <f t="shared" si="19"/>
        <v>170520</v>
      </c>
      <c r="J143" s="257" t="s">
        <v>337</v>
      </c>
      <c r="K143" s="282"/>
      <c r="L143" s="257"/>
      <c r="M143" s="168" t="str">
        <f>VLOOKUP(C143,'Outsourcing Details'!C:D,2,0)</f>
        <v>KAPARTHI CONSULTANCY SERVICES</v>
      </c>
    </row>
    <row r="144" spans="1:13" hidden="1">
      <c r="A144" s="257"/>
      <c r="B144" s="101" t="s">
        <v>74</v>
      </c>
      <c r="C144" s="101">
        <v>4500089649</v>
      </c>
      <c r="D144" s="101"/>
      <c r="E144" s="101" t="s">
        <v>338</v>
      </c>
      <c r="F144" s="284">
        <v>45568</v>
      </c>
      <c r="G144" s="113">
        <v>300000</v>
      </c>
      <c r="H144" s="113">
        <f t="shared" si="18"/>
        <v>6000</v>
      </c>
      <c r="I144" s="113">
        <f t="shared" si="19"/>
        <v>348000</v>
      </c>
      <c r="J144" s="257" t="s">
        <v>339</v>
      </c>
      <c r="K144" s="282"/>
      <c r="L144" s="257"/>
      <c r="M144" s="168" t="str">
        <f>VLOOKUP(C144,'Outsourcing Details'!C:D,2,0)</f>
        <v>KAPARTHI CONSULTANCY SERVICES</v>
      </c>
    </row>
    <row r="145" spans="1:13" hidden="1">
      <c r="A145" s="257"/>
      <c r="B145" s="101" t="s">
        <v>74</v>
      </c>
      <c r="C145" s="101">
        <v>4500090771</v>
      </c>
      <c r="D145" s="101"/>
      <c r="E145" s="101" t="s">
        <v>340</v>
      </c>
      <c r="F145" s="284">
        <v>45568</v>
      </c>
      <c r="G145" s="113">
        <v>78750</v>
      </c>
      <c r="H145" s="113">
        <f t="shared" si="18"/>
        <v>1575</v>
      </c>
      <c r="I145" s="113">
        <f t="shared" si="19"/>
        <v>91350</v>
      </c>
      <c r="J145" s="257" t="s">
        <v>341</v>
      </c>
      <c r="K145" s="282"/>
      <c r="L145" s="257"/>
      <c r="M145" s="168" t="str">
        <f>VLOOKUP(C145,'Outsourcing Details'!C:D,2,0)</f>
        <v>KAPARTHI CONSULTANCY SERVICES</v>
      </c>
    </row>
    <row r="146" spans="1:13" hidden="1">
      <c r="A146" s="257"/>
      <c r="B146" s="101" t="s">
        <v>74</v>
      </c>
      <c r="C146" s="101">
        <v>4500090699</v>
      </c>
      <c r="D146" s="101"/>
      <c r="E146" s="101" t="s">
        <v>342</v>
      </c>
      <c r="F146" s="284">
        <v>45568</v>
      </c>
      <c r="G146" s="113">
        <v>15000</v>
      </c>
      <c r="H146" s="113">
        <f t="shared" si="18"/>
        <v>300</v>
      </c>
      <c r="I146" s="113">
        <f t="shared" si="19"/>
        <v>17400</v>
      </c>
      <c r="J146" s="257" t="s">
        <v>339</v>
      </c>
      <c r="K146" s="282"/>
      <c r="L146" s="257"/>
      <c r="M146" s="168" t="s">
        <v>314</v>
      </c>
    </row>
    <row r="147" spans="1:13" hidden="1">
      <c r="A147" s="257"/>
      <c r="B147" s="101" t="s">
        <v>74</v>
      </c>
      <c r="C147" s="101">
        <v>4500089164</v>
      </c>
      <c r="D147" s="101"/>
      <c r="E147" s="101" t="s">
        <v>343</v>
      </c>
      <c r="F147" s="284">
        <v>45580</v>
      </c>
      <c r="G147" s="113">
        <v>51888</v>
      </c>
      <c r="H147" s="113">
        <f t="shared" si="18"/>
        <v>1037.76</v>
      </c>
      <c r="I147" s="113">
        <f t="shared" si="19"/>
        <v>60190.079999999994</v>
      </c>
      <c r="J147" s="257" t="s">
        <v>344</v>
      </c>
      <c r="K147" s="282"/>
      <c r="L147" s="257"/>
      <c r="M147" s="168" t="str">
        <f>VLOOKUP(C147,'Outsourcing Details'!C:D,2,0)</f>
        <v>KAPARTHI CONSULTANCY SERVICES</v>
      </c>
    </row>
    <row r="148" spans="1:13" hidden="1">
      <c r="A148" s="257"/>
      <c r="B148" s="101" t="s">
        <v>74</v>
      </c>
      <c r="C148" s="101">
        <v>4500088323</v>
      </c>
      <c r="D148" s="101"/>
      <c r="E148" s="101" t="s">
        <v>345</v>
      </c>
      <c r="F148" s="284">
        <v>45603</v>
      </c>
      <c r="G148" s="113">
        <v>147000</v>
      </c>
      <c r="H148" s="113">
        <f t="shared" si="18"/>
        <v>2940</v>
      </c>
      <c r="I148" s="113">
        <f t="shared" si="19"/>
        <v>170520</v>
      </c>
      <c r="J148" s="257" t="s">
        <v>346</v>
      </c>
      <c r="K148" s="282"/>
      <c r="L148" s="257"/>
      <c r="M148" s="168" t="str">
        <f>VLOOKUP(C148,'Outsourcing Details'!C:D,2,0)</f>
        <v>KAPARTHI CONSULTANCY SERVICES</v>
      </c>
    </row>
    <row r="149" spans="1:13" hidden="1">
      <c r="A149" s="257"/>
      <c r="B149" s="101" t="s">
        <v>74</v>
      </c>
      <c r="C149" s="101">
        <v>4500094642</v>
      </c>
      <c r="D149" s="101"/>
      <c r="E149" s="101" t="s">
        <v>347</v>
      </c>
      <c r="F149" s="284">
        <v>45684</v>
      </c>
      <c r="G149" s="113">
        <v>149033</v>
      </c>
      <c r="H149" s="113">
        <f t="shared" si="18"/>
        <v>2980.66</v>
      </c>
      <c r="I149" s="113">
        <f t="shared" si="19"/>
        <v>172878.28</v>
      </c>
      <c r="J149" s="257" t="s">
        <v>322</v>
      </c>
      <c r="K149" s="282"/>
      <c r="L149" s="257"/>
      <c r="M149" s="168" t="str">
        <f>VLOOKUP(C149,'Outsourcing Details'!C:D,2,0)</f>
        <v>KAPARTHI CONSULTANCY SERVICES</v>
      </c>
    </row>
    <row r="150" spans="1:13" hidden="1">
      <c r="A150" s="257"/>
      <c r="B150" s="101" t="s">
        <v>74</v>
      </c>
      <c r="C150" s="101">
        <v>4500094642</v>
      </c>
      <c r="D150" s="101"/>
      <c r="E150" s="101" t="s">
        <v>348</v>
      </c>
      <c r="F150" s="284">
        <v>45684</v>
      </c>
      <c r="G150" s="113">
        <v>551250</v>
      </c>
      <c r="H150" s="113">
        <f t="shared" si="18"/>
        <v>11025</v>
      </c>
      <c r="I150" s="113">
        <f t="shared" si="19"/>
        <v>639450</v>
      </c>
      <c r="J150" s="257" t="s">
        <v>349</v>
      </c>
      <c r="K150" s="282"/>
      <c r="L150" s="257"/>
      <c r="M150" s="168" t="str">
        <f>VLOOKUP(C150,'Outsourcing Details'!C:D,2,0)</f>
        <v>KAPARTHI CONSULTANCY SERVICES</v>
      </c>
    </row>
    <row r="151" spans="1:13" hidden="1">
      <c r="A151" s="257"/>
      <c r="B151" s="101" t="s">
        <v>74</v>
      </c>
      <c r="C151" s="101">
        <v>4500094602</v>
      </c>
      <c r="D151" s="101"/>
      <c r="E151" s="101" t="s">
        <v>350</v>
      </c>
      <c r="F151" s="284">
        <v>45684</v>
      </c>
      <c r="G151" s="113">
        <v>185565</v>
      </c>
      <c r="H151" s="113">
        <f t="shared" si="18"/>
        <v>3711.3</v>
      </c>
      <c r="I151" s="113">
        <f t="shared" si="19"/>
        <v>215255.4</v>
      </c>
      <c r="J151" s="257" t="s">
        <v>322</v>
      </c>
      <c r="K151" s="282"/>
      <c r="L151" s="257"/>
      <c r="M151" s="168" t="s">
        <v>314</v>
      </c>
    </row>
    <row r="152" spans="1:13" hidden="1">
      <c r="A152" s="257"/>
      <c r="B152" s="101" t="s">
        <v>74</v>
      </c>
      <c r="C152" s="101">
        <v>4500094602</v>
      </c>
      <c r="D152" s="101"/>
      <c r="E152" s="101" t="s">
        <v>351</v>
      </c>
      <c r="F152" s="284">
        <v>45684</v>
      </c>
      <c r="G152" s="113">
        <v>228450</v>
      </c>
      <c r="H152" s="113">
        <f t="shared" si="18"/>
        <v>4569</v>
      </c>
      <c r="I152" s="113">
        <f t="shared" si="19"/>
        <v>265002</v>
      </c>
      <c r="J152" s="257" t="s">
        <v>352</v>
      </c>
      <c r="K152" s="282"/>
      <c r="L152" s="257"/>
      <c r="M152" s="168" t="s">
        <v>314</v>
      </c>
    </row>
    <row r="153" spans="1:13" hidden="1">
      <c r="A153" s="257"/>
      <c r="B153" s="101" t="s">
        <v>74</v>
      </c>
      <c r="C153" s="101">
        <v>4500094640</v>
      </c>
      <c r="D153" s="101"/>
      <c r="E153" s="101" t="s">
        <v>353</v>
      </c>
      <c r="F153" s="284">
        <v>45684</v>
      </c>
      <c r="G153" s="113">
        <v>150000</v>
      </c>
      <c r="H153" s="113">
        <f t="shared" si="18"/>
        <v>3000</v>
      </c>
      <c r="I153" s="113">
        <f t="shared" si="19"/>
        <v>174000</v>
      </c>
      <c r="J153" s="257" t="s">
        <v>354</v>
      </c>
      <c r="K153" s="282"/>
      <c r="L153" s="257"/>
      <c r="M153" s="168" t="str">
        <f>VLOOKUP(C153,'Outsourcing Details'!C:D,2,0)</f>
        <v>KAPARTHI CONSULTANCY SERVICES</v>
      </c>
    </row>
    <row r="154" spans="1:13" hidden="1">
      <c r="A154" s="257"/>
      <c r="B154" s="101" t="s">
        <v>74</v>
      </c>
      <c r="C154" s="101">
        <v>4500094640</v>
      </c>
      <c r="D154" s="101"/>
      <c r="E154" s="101" t="s">
        <v>355</v>
      </c>
      <c r="F154" s="284">
        <v>45684</v>
      </c>
      <c r="G154" s="113">
        <v>150000</v>
      </c>
      <c r="H154" s="113">
        <f t="shared" si="18"/>
        <v>3000</v>
      </c>
      <c r="I154" s="113">
        <f t="shared" si="19"/>
        <v>174000</v>
      </c>
      <c r="J154" s="257" t="s">
        <v>352</v>
      </c>
      <c r="K154" s="282"/>
      <c r="L154" s="257"/>
      <c r="M154" s="168" t="str">
        <f>VLOOKUP(C154,'Outsourcing Details'!C:D,2,0)</f>
        <v>KAPARTHI CONSULTANCY SERVICES</v>
      </c>
    </row>
    <row r="155" spans="1:13" hidden="1">
      <c r="A155" s="257"/>
      <c r="B155" s="101" t="s">
        <v>74</v>
      </c>
      <c r="C155" s="101">
        <v>4500088397</v>
      </c>
      <c r="D155" s="101"/>
      <c r="E155" s="101" t="s">
        <v>356</v>
      </c>
      <c r="F155" s="284">
        <v>45684</v>
      </c>
      <c r="G155" s="113">
        <v>37137</v>
      </c>
      <c r="H155" s="113">
        <f t="shared" si="18"/>
        <v>742.74</v>
      </c>
      <c r="I155" s="113">
        <f t="shared" si="19"/>
        <v>43078.92</v>
      </c>
      <c r="J155" s="257" t="s">
        <v>357</v>
      </c>
      <c r="K155" s="282"/>
      <c r="L155" s="257"/>
      <c r="M155" s="168" t="str">
        <f>VLOOKUP(C155,'Outsourcing Details'!C:D,2,0)</f>
        <v>KAPARTHI CONSULTANCY SERVICES</v>
      </c>
    </row>
    <row r="156" spans="1:13" hidden="1">
      <c r="A156" s="257"/>
      <c r="B156" s="101" t="s">
        <v>74</v>
      </c>
      <c r="C156" s="101">
        <v>4500088397</v>
      </c>
      <c r="D156" s="101"/>
      <c r="E156" s="101" t="s">
        <v>358</v>
      </c>
      <c r="F156" s="284">
        <v>45684</v>
      </c>
      <c r="G156" s="113">
        <v>44661</v>
      </c>
      <c r="H156" s="113">
        <f t="shared" si="18"/>
        <v>893.22</v>
      </c>
      <c r="I156" s="113">
        <f t="shared" si="19"/>
        <v>51806.759999999995</v>
      </c>
      <c r="J156" s="257" t="s">
        <v>359</v>
      </c>
      <c r="K156" s="282"/>
      <c r="L156" s="257"/>
      <c r="M156" s="168" t="str">
        <f>VLOOKUP(C156,'Outsourcing Details'!C:D,2,0)</f>
        <v>KAPARTHI CONSULTANCY SERVICES</v>
      </c>
    </row>
    <row r="157" spans="1:13" hidden="1">
      <c r="A157" s="257"/>
      <c r="B157" s="101" t="s">
        <v>74</v>
      </c>
      <c r="C157" s="101">
        <v>4500088397</v>
      </c>
      <c r="D157" s="101"/>
      <c r="E157" s="101" t="s">
        <v>360</v>
      </c>
      <c r="F157" s="284">
        <v>45684</v>
      </c>
      <c r="G157" s="113">
        <v>69524</v>
      </c>
      <c r="H157" s="113">
        <f t="shared" si="18"/>
        <v>1390.48</v>
      </c>
      <c r="I157" s="113">
        <f t="shared" si="19"/>
        <v>80647.839999999997</v>
      </c>
      <c r="J157" s="257" t="s">
        <v>361</v>
      </c>
      <c r="K157" s="282"/>
      <c r="L157" s="257"/>
      <c r="M157" s="168" t="str">
        <f>VLOOKUP(C157,'Outsourcing Details'!C:D,2,0)</f>
        <v>KAPARTHI CONSULTANCY SERVICES</v>
      </c>
    </row>
    <row r="158" spans="1:13" hidden="1">
      <c r="A158" s="257"/>
      <c r="B158" s="101" t="s">
        <v>74</v>
      </c>
      <c r="C158" s="101">
        <v>4500088397</v>
      </c>
      <c r="D158" s="101"/>
      <c r="E158" s="101" t="s">
        <v>362</v>
      </c>
      <c r="F158" s="284">
        <v>45684</v>
      </c>
      <c r="G158" s="113">
        <v>56971</v>
      </c>
      <c r="H158" s="113">
        <f t="shared" si="18"/>
        <v>1139.42</v>
      </c>
      <c r="I158" s="113">
        <f t="shared" si="19"/>
        <v>66086.36</v>
      </c>
      <c r="J158" s="257" t="s">
        <v>363</v>
      </c>
      <c r="K158" s="282"/>
      <c r="L158" s="257"/>
      <c r="M158" s="168" t="str">
        <f>VLOOKUP(C158,'Outsourcing Details'!C:D,2,0)</f>
        <v>KAPARTHI CONSULTANCY SERVICES</v>
      </c>
    </row>
    <row r="159" spans="1:13" hidden="1">
      <c r="A159" s="257"/>
      <c r="B159" s="101" t="s">
        <v>74</v>
      </c>
      <c r="C159" s="101">
        <v>4500088397</v>
      </c>
      <c r="D159" s="101"/>
      <c r="E159" s="101" t="s">
        <v>364</v>
      </c>
      <c r="F159" s="284">
        <v>45684</v>
      </c>
      <c r="G159" s="113">
        <v>69510</v>
      </c>
      <c r="H159" s="113">
        <f t="shared" si="18"/>
        <v>1390.2</v>
      </c>
      <c r="I159" s="113">
        <f t="shared" si="19"/>
        <v>80631.600000000006</v>
      </c>
      <c r="J159" s="257" t="s">
        <v>365</v>
      </c>
      <c r="K159" s="282"/>
      <c r="L159" s="257"/>
      <c r="M159" s="168" t="str">
        <f>VLOOKUP(C159,'Outsourcing Details'!C:D,2,0)</f>
        <v>KAPARTHI CONSULTANCY SERVICES</v>
      </c>
    </row>
    <row r="160" spans="1:13" hidden="1">
      <c r="A160" s="257"/>
      <c r="B160" s="101" t="s">
        <v>74</v>
      </c>
      <c r="C160" s="101">
        <v>4500094602</v>
      </c>
      <c r="D160" s="101"/>
      <c r="E160" s="101" t="s">
        <v>366</v>
      </c>
      <c r="F160" s="284">
        <v>45685</v>
      </c>
      <c r="G160" s="113">
        <v>-185565</v>
      </c>
      <c r="H160" s="113">
        <f t="shared" si="18"/>
        <v>-3711.3</v>
      </c>
      <c r="I160" s="113">
        <f t="shared" si="19"/>
        <v>-215255.4</v>
      </c>
      <c r="J160" s="257" t="s">
        <v>322</v>
      </c>
      <c r="K160" s="282"/>
      <c r="L160" s="257"/>
      <c r="M160" s="168" t="s">
        <v>314</v>
      </c>
    </row>
    <row r="161" spans="1:13" hidden="1">
      <c r="A161" s="257"/>
      <c r="B161" s="101" t="s">
        <v>74</v>
      </c>
      <c r="C161" s="101">
        <v>4500094642</v>
      </c>
      <c r="D161" s="101"/>
      <c r="E161" s="101" t="s">
        <v>367</v>
      </c>
      <c r="F161" s="284">
        <v>45685</v>
      </c>
      <c r="G161" s="113">
        <v>-149033</v>
      </c>
      <c r="H161" s="113">
        <f t="shared" si="18"/>
        <v>-2980.66</v>
      </c>
      <c r="I161" s="113">
        <f t="shared" si="19"/>
        <v>-172878.28</v>
      </c>
      <c r="J161" s="257" t="s">
        <v>322</v>
      </c>
      <c r="K161" s="282"/>
      <c r="L161" s="257"/>
      <c r="M161" s="168" t="str">
        <f>VLOOKUP(C161,'Outsourcing Details'!C:D,2,0)</f>
        <v>KAPARTHI CONSULTANCY SERVICES</v>
      </c>
    </row>
    <row r="162" spans="1:13" hidden="1">
      <c r="A162" s="257"/>
      <c r="B162" s="101" t="s">
        <v>74</v>
      </c>
      <c r="C162" s="101">
        <v>4500088397</v>
      </c>
      <c r="D162" s="101"/>
      <c r="E162" s="101" t="s">
        <v>368</v>
      </c>
      <c r="F162" s="284">
        <v>45685</v>
      </c>
      <c r="G162" s="113">
        <v>503750</v>
      </c>
      <c r="H162" s="113">
        <f t="shared" si="18"/>
        <v>10075</v>
      </c>
      <c r="I162" s="113">
        <f t="shared" si="19"/>
        <v>584350</v>
      </c>
      <c r="J162" s="257" t="s">
        <v>369</v>
      </c>
      <c r="K162" s="282"/>
      <c r="L162" s="257"/>
      <c r="M162" s="168" t="str">
        <f>VLOOKUP(C162,'Outsourcing Details'!C:D,2,0)</f>
        <v>KAPARTHI CONSULTANCY SERVICES</v>
      </c>
    </row>
    <row r="163" spans="1:13" hidden="1">
      <c r="A163" s="257"/>
      <c r="B163" s="101" t="s">
        <v>74</v>
      </c>
      <c r="C163" s="101">
        <v>4500094602</v>
      </c>
      <c r="D163" s="101"/>
      <c r="E163" s="101" t="s">
        <v>370</v>
      </c>
      <c r="F163" s="284">
        <v>45685</v>
      </c>
      <c r="G163" s="113">
        <v>187500</v>
      </c>
      <c r="H163" s="113">
        <f t="shared" si="18"/>
        <v>3750</v>
      </c>
      <c r="I163" s="113">
        <f t="shared" si="19"/>
        <v>217500</v>
      </c>
      <c r="J163" s="257" t="s">
        <v>369</v>
      </c>
      <c r="K163" s="282"/>
      <c r="L163" s="257"/>
      <c r="M163" s="168" t="s">
        <v>314</v>
      </c>
    </row>
    <row r="164" spans="1:13" hidden="1">
      <c r="A164" s="257"/>
      <c r="B164" s="101" t="s">
        <v>74</v>
      </c>
      <c r="C164" s="101">
        <v>4500094642</v>
      </c>
      <c r="D164" s="101"/>
      <c r="E164" s="101" t="s">
        <v>371</v>
      </c>
      <c r="F164" s="284">
        <v>45685</v>
      </c>
      <c r="G164" s="113">
        <v>158267</v>
      </c>
      <c r="H164" s="113">
        <f t="shared" si="18"/>
        <v>3165.34</v>
      </c>
      <c r="I164" s="113">
        <f t="shared" si="19"/>
        <v>183589.72</v>
      </c>
      <c r="J164" s="257" t="s">
        <v>369</v>
      </c>
      <c r="K164" s="282"/>
      <c r="L164" s="257"/>
      <c r="M164" s="168" t="str">
        <f>VLOOKUP(C164,'Outsourcing Details'!C:D,2,0)</f>
        <v>KAPARTHI CONSULTANCY SERVICES</v>
      </c>
    </row>
    <row r="165" spans="1:13" hidden="1">
      <c r="A165" s="257"/>
      <c r="B165" s="101" t="s">
        <v>74</v>
      </c>
      <c r="C165" s="101">
        <v>4500094640</v>
      </c>
      <c r="D165" s="101"/>
      <c r="E165" s="101" t="s">
        <v>372</v>
      </c>
      <c r="F165" s="284">
        <v>45687</v>
      </c>
      <c r="G165" s="113">
        <v>141700</v>
      </c>
      <c r="H165" s="113">
        <f t="shared" si="18"/>
        <v>2834</v>
      </c>
      <c r="I165" s="113">
        <f t="shared" si="19"/>
        <v>164372</v>
      </c>
      <c r="J165" s="257" t="s">
        <v>373</v>
      </c>
      <c r="K165" s="282"/>
      <c r="L165" s="257"/>
      <c r="M165" s="168" t="str">
        <f>VLOOKUP(C165,'Outsourcing Details'!C:D,2,0)</f>
        <v>KAPARTHI CONSULTANCY SERVICES</v>
      </c>
    </row>
    <row r="166" spans="1:13" hidden="1">
      <c r="A166" s="257"/>
      <c r="B166" s="101" t="s">
        <v>74</v>
      </c>
      <c r="C166" s="101">
        <v>4500094640</v>
      </c>
      <c r="D166" s="101"/>
      <c r="E166" s="101" t="s">
        <v>374</v>
      </c>
      <c r="F166" s="284">
        <v>45688</v>
      </c>
      <c r="G166" s="113">
        <v>304500</v>
      </c>
      <c r="H166" s="113">
        <f t="shared" si="18"/>
        <v>6090</v>
      </c>
      <c r="I166" s="113">
        <f t="shared" si="19"/>
        <v>353220</v>
      </c>
      <c r="J166" s="257" t="s">
        <v>375</v>
      </c>
      <c r="K166" s="282"/>
      <c r="L166" s="257"/>
      <c r="M166" s="168" t="str">
        <f>VLOOKUP(C166,'Outsourcing Details'!C:D,2,0)</f>
        <v>KAPARTHI CONSULTANCY SERVICES</v>
      </c>
    </row>
    <row r="167" spans="1:13" hidden="1">
      <c r="A167" s="257"/>
      <c r="B167" s="101" t="s">
        <v>74</v>
      </c>
      <c r="C167" s="101">
        <v>4500094642</v>
      </c>
      <c r="D167" s="101"/>
      <c r="E167" s="101" t="s">
        <v>376</v>
      </c>
      <c r="F167" s="284">
        <v>45688</v>
      </c>
      <c r="G167" s="113">
        <v>656250</v>
      </c>
      <c r="H167" s="113">
        <f t="shared" si="18"/>
        <v>13125</v>
      </c>
      <c r="I167" s="113">
        <f t="shared" si="19"/>
        <v>761250</v>
      </c>
      <c r="J167" s="257" t="s">
        <v>377</v>
      </c>
      <c r="K167" s="282"/>
      <c r="L167" s="257"/>
      <c r="M167" s="168" t="str">
        <f>VLOOKUP(C167,'Outsourcing Details'!C:D,2,0)</f>
        <v>KAPARTHI CONSULTANCY SERVICES</v>
      </c>
    </row>
    <row r="168" spans="1:13" hidden="1">
      <c r="A168" s="257"/>
      <c r="B168" s="101" t="s">
        <v>74</v>
      </c>
      <c r="C168" s="101">
        <v>4500096735</v>
      </c>
      <c r="D168" s="101"/>
      <c r="E168" s="101" t="s">
        <v>281</v>
      </c>
      <c r="F168" s="284">
        <v>45735</v>
      </c>
      <c r="G168" s="113">
        <v>236179</v>
      </c>
      <c r="H168" s="113">
        <f t="shared" si="18"/>
        <v>4723.58</v>
      </c>
      <c r="I168" s="113">
        <f t="shared" si="19"/>
        <v>273967.63999999996</v>
      </c>
      <c r="J168" s="257" t="s">
        <v>378</v>
      </c>
      <c r="K168" s="282"/>
      <c r="L168" s="257"/>
      <c r="M168" s="168" t="str">
        <f>VLOOKUP(C168,'Outsourcing Details'!C:D,2,0)</f>
        <v>KAPARTHI CONSULTANCY SERVICES</v>
      </c>
    </row>
    <row r="169" spans="1:13" hidden="1">
      <c r="A169" s="257"/>
      <c r="B169" s="101" t="s">
        <v>74</v>
      </c>
      <c r="C169" s="101">
        <v>4500096735</v>
      </c>
      <c r="D169" s="101"/>
      <c r="E169" s="101" t="s">
        <v>282</v>
      </c>
      <c r="F169" s="284">
        <v>45735</v>
      </c>
      <c r="G169" s="113">
        <v>291750</v>
      </c>
      <c r="H169" s="113">
        <f t="shared" si="18"/>
        <v>5835</v>
      </c>
      <c r="I169" s="113">
        <f t="shared" si="19"/>
        <v>338430</v>
      </c>
      <c r="J169" s="257" t="s">
        <v>379</v>
      </c>
      <c r="K169" s="282"/>
      <c r="L169" s="257"/>
      <c r="M169" s="168" t="str">
        <f>VLOOKUP(C169,'Outsourcing Details'!C:D,2,0)</f>
        <v>KAPARTHI CONSULTANCY SERVICES</v>
      </c>
    </row>
    <row r="170" spans="1:13" hidden="1">
      <c r="A170" s="257"/>
      <c r="B170" s="101" t="s">
        <v>74</v>
      </c>
      <c r="C170" s="101">
        <v>4500096736</v>
      </c>
      <c r="D170" s="101"/>
      <c r="E170" s="101" t="s">
        <v>380</v>
      </c>
      <c r="F170" s="284">
        <v>45736</v>
      </c>
      <c r="G170" s="113">
        <v>519107</v>
      </c>
      <c r="H170" s="113">
        <f t="shared" si="18"/>
        <v>10382.14</v>
      </c>
      <c r="I170" s="113">
        <f t="shared" si="19"/>
        <v>602164.12</v>
      </c>
      <c r="J170" s="257" t="s">
        <v>381</v>
      </c>
      <c r="K170" s="282"/>
      <c r="L170" s="257"/>
      <c r="M170" s="168" t="str">
        <f>VLOOKUP(C170,'Outsourcing Details'!C:D,2,0)</f>
        <v>KAPARTHI CONSULTANCY SERVICES</v>
      </c>
    </row>
    <row r="171" spans="1:13" hidden="1">
      <c r="A171" s="257"/>
      <c r="B171" s="101" t="s">
        <v>74</v>
      </c>
      <c r="C171" s="101">
        <v>4500096736</v>
      </c>
      <c r="D171" s="101"/>
      <c r="E171" s="101" t="s">
        <v>382</v>
      </c>
      <c r="F171" s="284">
        <v>45736</v>
      </c>
      <c r="G171" s="113">
        <v>641250</v>
      </c>
      <c r="H171" s="113">
        <f t="shared" si="18"/>
        <v>12825</v>
      </c>
      <c r="I171" s="113">
        <f t="shared" si="19"/>
        <v>743850</v>
      </c>
      <c r="J171" s="257" t="s">
        <v>383</v>
      </c>
      <c r="K171" s="282"/>
      <c r="L171" s="257"/>
      <c r="M171" s="168" t="str">
        <f>VLOOKUP(C171,'Outsourcing Details'!C:D,2,0)</f>
        <v>KAPARTHI CONSULTANCY SERVICES</v>
      </c>
    </row>
    <row r="172" spans="1:13" hidden="1">
      <c r="A172" s="257"/>
      <c r="B172" s="101" t="s">
        <v>74</v>
      </c>
      <c r="C172" s="101">
        <v>4500096735</v>
      </c>
      <c r="D172" s="101"/>
      <c r="E172" s="101" t="s">
        <v>256</v>
      </c>
      <c r="F172" s="284">
        <v>45763</v>
      </c>
      <c r="G172" s="113">
        <v>291750</v>
      </c>
      <c r="H172" s="113">
        <f t="shared" si="18"/>
        <v>5835</v>
      </c>
      <c r="I172" s="113">
        <f t="shared" si="19"/>
        <v>338430</v>
      </c>
      <c r="J172" s="257" t="s">
        <v>384</v>
      </c>
      <c r="K172" s="282"/>
      <c r="L172" s="257"/>
      <c r="M172" s="168" t="str">
        <f>VLOOKUP(C172,'Outsourcing Details'!C:D,2,0)</f>
        <v>KAPARTHI CONSULTANCY SERVICES</v>
      </c>
    </row>
    <row r="173" spans="1:13" hidden="1">
      <c r="A173" s="257"/>
      <c r="B173" s="101" t="s">
        <v>74</v>
      </c>
      <c r="C173" s="101">
        <v>4500096736</v>
      </c>
      <c r="D173" s="101"/>
      <c r="E173" s="101" t="s">
        <v>385</v>
      </c>
      <c r="F173" s="284">
        <v>45763</v>
      </c>
      <c r="G173" s="113">
        <v>641250</v>
      </c>
      <c r="H173" s="113">
        <f t="shared" si="18"/>
        <v>12825</v>
      </c>
      <c r="I173" s="113">
        <f t="shared" si="19"/>
        <v>743850</v>
      </c>
      <c r="J173" s="257" t="s">
        <v>386</v>
      </c>
      <c r="K173" s="282"/>
      <c r="L173" s="257"/>
      <c r="M173" s="168" t="str">
        <f>VLOOKUP(C173,'Outsourcing Details'!C:D,2,0)</f>
        <v>KAPARTHI CONSULTANCY SERVICES</v>
      </c>
    </row>
    <row r="174" spans="1:13" hidden="1">
      <c r="A174" s="257"/>
      <c r="B174" s="101" t="s">
        <v>74</v>
      </c>
      <c r="C174" s="101">
        <v>4500098208</v>
      </c>
      <c r="D174" s="101"/>
      <c r="E174" s="101" t="s">
        <v>387</v>
      </c>
      <c r="F174" s="284">
        <v>45790</v>
      </c>
      <c r="G174" s="113">
        <v>71666</v>
      </c>
      <c r="H174" s="113">
        <f t="shared" si="18"/>
        <v>1433.32</v>
      </c>
      <c r="I174" s="113">
        <f t="shared" si="19"/>
        <v>83132.559999999983</v>
      </c>
      <c r="J174" s="257" t="s">
        <v>388</v>
      </c>
      <c r="K174" s="282"/>
      <c r="L174" s="257"/>
      <c r="M174" s="168" t="str">
        <f>VLOOKUP(C174,'Outsourcing Details'!C:D,2,0)</f>
        <v>KAPARTHI CONSULTANCY SERVICES</v>
      </c>
    </row>
    <row r="175" spans="1:13" hidden="1">
      <c r="A175" s="257"/>
      <c r="B175" s="101" t="s">
        <v>74</v>
      </c>
      <c r="C175" s="101">
        <v>4500098208</v>
      </c>
      <c r="D175" s="101"/>
      <c r="E175" s="101" t="s">
        <v>389</v>
      </c>
      <c r="F175" s="284">
        <v>45790</v>
      </c>
      <c r="G175" s="113">
        <v>118834</v>
      </c>
      <c r="H175" s="113">
        <f t="shared" si="18"/>
        <v>2376.6799999999998</v>
      </c>
      <c r="I175" s="113">
        <f t="shared" si="19"/>
        <v>137847.44</v>
      </c>
      <c r="J175" s="257" t="s">
        <v>390</v>
      </c>
      <c r="K175" s="282"/>
      <c r="L175" s="257"/>
      <c r="M175" s="168" t="str">
        <f>VLOOKUP(C175,'Outsourcing Details'!C:D,2,0)</f>
        <v>KAPARTHI CONSULTANCY SERVICES</v>
      </c>
    </row>
    <row r="176" spans="1:13" hidden="1">
      <c r="A176" s="257"/>
      <c r="B176" s="101" t="s">
        <v>74</v>
      </c>
      <c r="C176" s="101">
        <v>4500098208</v>
      </c>
      <c r="D176" s="101"/>
      <c r="E176" s="101" t="s">
        <v>391</v>
      </c>
      <c r="F176" s="284">
        <v>45790</v>
      </c>
      <c r="G176" s="113">
        <v>133457</v>
      </c>
      <c r="H176" s="113">
        <f t="shared" si="18"/>
        <v>2669.14</v>
      </c>
      <c r="I176" s="113">
        <f t="shared" si="19"/>
        <v>154810.11999999997</v>
      </c>
      <c r="J176" s="257" t="s">
        <v>392</v>
      </c>
      <c r="K176" s="282"/>
      <c r="L176" s="257"/>
      <c r="M176" s="168" t="str">
        <f>VLOOKUP(C176,'Outsourcing Details'!C:D,2,0)</f>
        <v>KAPARTHI CONSULTANCY SERVICES</v>
      </c>
    </row>
    <row r="177" spans="1:13" hidden="1">
      <c r="A177" s="257"/>
      <c r="B177" s="101" t="s">
        <v>74</v>
      </c>
      <c r="C177" s="101">
        <v>4500098208</v>
      </c>
      <c r="D177" s="101"/>
      <c r="E177" s="101" t="s">
        <v>393</v>
      </c>
      <c r="F177" s="284">
        <v>45790</v>
      </c>
      <c r="G177" s="113">
        <v>83266</v>
      </c>
      <c r="H177" s="113">
        <f t="shared" si="18"/>
        <v>1665.32</v>
      </c>
      <c r="I177" s="113">
        <f t="shared" si="19"/>
        <v>96588.559999999983</v>
      </c>
      <c r="J177" s="257" t="s">
        <v>394</v>
      </c>
      <c r="K177" s="282"/>
      <c r="L177" s="257"/>
      <c r="M177" s="168" t="str">
        <f>VLOOKUP(C177,'Outsourcing Details'!C:D,2,0)</f>
        <v>KAPARTHI CONSULTANCY SERVICES</v>
      </c>
    </row>
    <row r="178" spans="1:13" hidden="1">
      <c r="A178" s="257"/>
      <c r="B178" s="101" t="s">
        <v>74</v>
      </c>
      <c r="C178" s="101">
        <v>4500098208</v>
      </c>
      <c r="D178" s="101"/>
      <c r="E178" s="101" t="s">
        <v>395</v>
      </c>
      <c r="F178" s="284">
        <v>45790</v>
      </c>
      <c r="G178" s="113">
        <v>124385</v>
      </c>
      <c r="H178" s="113">
        <f t="shared" ref="H178:H183" si="20">G178*2%</f>
        <v>2487.7000000000003</v>
      </c>
      <c r="I178" s="113">
        <f t="shared" ref="I178:I183" si="21">(G178*1.18)-H178</f>
        <v>144286.59999999998</v>
      </c>
      <c r="J178" s="257" t="s">
        <v>396</v>
      </c>
      <c r="K178" s="282"/>
      <c r="L178" s="257"/>
      <c r="M178" s="168" t="str">
        <f>VLOOKUP(C178,'Outsourcing Details'!C:D,2,0)</f>
        <v>KAPARTHI CONSULTANCY SERVICES</v>
      </c>
    </row>
    <row r="179" spans="1:13" hidden="1">
      <c r="A179" s="257"/>
      <c r="B179" s="101" t="s">
        <v>74</v>
      </c>
      <c r="C179" s="101">
        <v>4500098208</v>
      </c>
      <c r="D179" s="101"/>
      <c r="E179" s="101" t="s">
        <v>397</v>
      </c>
      <c r="F179" s="284">
        <v>45790</v>
      </c>
      <c r="G179" s="113">
        <v>54126</v>
      </c>
      <c r="H179" s="113">
        <f t="shared" si="20"/>
        <v>1082.52</v>
      </c>
      <c r="I179" s="113">
        <f t="shared" si="21"/>
        <v>62786.159999999996</v>
      </c>
      <c r="J179" s="257" t="s">
        <v>398</v>
      </c>
      <c r="K179" s="282"/>
      <c r="L179" s="257"/>
      <c r="M179" s="168" t="str">
        <f>VLOOKUP(C179,'Outsourcing Details'!C:D,2,0)</f>
        <v>KAPARTHI CONSULTANCY SERVICES</v>
      </c>
    </row>
    <row r="180" spans="1:13" hidden="1">
      <c r="A180" s="257"/>
      <c r="B180" s="101" t="s">
        <v>74</v>
      </c>
      <c r="C180" s="101">
        <v>4500098208</v>
      </c>
      <c r="D180" s="101"/>
      <c r="E180" s="101" t="s">
        <v>399</v>
      </c>
      <c r="F180" s="284">
        <v>45790</v>
      </c>
      <c r="G180" s="113">
        <v>58282</v>
      </c>
      <c r="H180" s="113">
        <f t="shared" si="20"/>
        <v>1165.6400000000001</v>
      </c>
      <c r="I180" s="113">
        <f t="shared" si="21"/>
        <v>67607.12</v>
      </c>
      <c r="J180" s="257" t="s">
        <v>400</v>
      </c>
      <c r="K180" s="282"/>
      <c r="L180" s="257"/>
      <c r="M180" s="168" t="str">
        <f>VLOOKUP(C180,'Outsourcing Details'!C:D,2,0)</f>
        <v>KAPARTHI CONSULTANCY SERVICES</v>
      </c>
    </row>
    <row r="181" spans="1:13" hidden="1">
      <c r="A181" s="257"/>
      <c r="B181" s="101" t="s">
        <v>74</v>
      </c>
      <c r="C181" s="101">
        <v>4500098208</v>
      </c>
      <c r="D181" s="101"/>
      <c r="E181" s="101" t="s">
        <v>401</v>
      </c>
      <c r="F181" s="284">
        <v>45829</v>
      </c>
      <c r="G181" s="113">
        <v>-124385</v>
      </c>
      <c r="H181" s="113">
        <f t="shared" si="20"/>
        <v>-2487.7000000000003</v>
      </c>
      <c r="I181" s="113">
        <f t="shared" si="21"/>
        <v>-144286.59999999998</v>
      </c>
      <c r="J181" s="257" t="s">
        <v>394</v>
      </c>
      <c r="K181" s="282"/>
      <c r="L181" s="257"/>
      <c r="M181" s="168" t="str">
        <f>VLOOKUP(C181,'Outsourcing Details'!C:D,2,0)</f>
        <v>KAPARTHI CONSULTANCY SERVICES</v>
      </c>
    </row>
    <row r="182" spans="1:13" hidden="1">
      <c r="A182" s="257"/>
      <c r="B182" s="101" t="s">
        <v>74</v>
      </c>
      <c r="C182" s="101">
        <v>4500098208</v>
      </c>
      <c r="D182" s="101"/>
      <c r="E182" s="101" t="s">
        <v>402</v>
      </c>
      <c r="F182" s="284">
        <v>45829</v>
      </c>
      <c r="G182" s="113">
        <v>52833.9</v>
      </c>
      <c r="H182" s="113">
        <f t="shared" si="20"/>
        <v>1056.6780000000001</v>
      </c>
      <c r="I182" s="113">
        <f t="shared" si="21"/>
        <v>61287.324000000001</v>
      </c>
      <c r="J182" s="257" t="s">
        <v>403</v>
      </c>
      <c r="K182" s="282">
        <v>45859</v>
      </c>
      <c r="L182" s="87">
        <v>1400005222</v>
      </c>
      <c r="M182" s="168" t="str">
        <f>VLOOKUP(C182,'Outsourcing Details'!C:D,2,0)</f>
        <v>KAPARTHI CONSULTANCY SERVICES</v>
      </c>
    </row>
    <row r="183" spans="1:13" hidden="1">
      <c r="A183" s="257"/>
      <c r="B183" s="101" t="s">
        <v>74</v>
      </c>
      <c r="C183" s="101">
        <v>4500098208</v>
      </c>
      <c r="D183" s="101"/>
      <c r="E183" s="101" t="s">
        <v>404</v>
      </c>
      <c r="F183" s="284">
        <v>45829</v>
      </c>
      <c r="G183" s="113">
        <v>42878.85</v>
      </c>
      <c r="H183" s="113">
        <f t="shared" si="20"/>
        <v>857.577</v>
      </c>
      <c r="I183" s="113">
        <f t="shared" si="21"/>
        <v>49739.466</v>
      </c>
      <c r="J183" s="257" t="s">
        <v>405</v>
      </c>
      <c r="K183" s="282">
        <v>45859</v>
      </c>
      <c r="L183" s="87">
        <v>1400005222</v>
      </c>
      <c r="M183" s="168" t="str">
        <f>VLOOKUP(C183,'Outsourcing Details'!C:D,2,0)</f>
        <v>KAPARTHI CONSULTANCY SERVICES</v>
      </c>
    </row>
    <row r="184" spans="1:13" hidden="1">
      <c r="A184" s="257"/>
      <c r="B184" s="101" t="s">
        <v>49</v>
      </c>
      <c r="C184" s="101">
        <v>4500099372</v>
      </c>
      <c r="D184" s="101"/>
      <c r="E184" s="101" t="s">
        <v>406</v>
      </c>
      <c r="F184" s="284">
        <v>45842</v>
      </c>
      <c r="G184" s="113">
        <v>199056</v>
      </c>
      <c r="H184" s="119">
        <f t="shared" ref="H184:H207" si="22">G184*2%</f>
        <v>3981.12</v>
      </c>
      <c r="I184" s="119">
        <f t="shared" ref="I184:I207" si="23">(G184*1.18)-H184</f>
        <v>230904.95999999999</v>
      </c>
      <c r="J184" s="257" t="str">
        <f>'Outsourcing Details'!$J$151</f>
        <v>HSIT/25-26/202</v>
      </c>
      <c r="K184" s="282">
        <v>45868</v>
      </c>
      <c r="L184" s="87">
        <v>1400005598</v>
      </c>
      <c r="M184" s="168" t="str">
        <f>VLOOKUP(C184,'Outsourcing Details'!C:D,2,0)</f>
        <v>Highsky IT Solutions Private Limited</v>
      </c>
    </row>
    <row r="185" spans="1:13" hidden="1">
      <c r="A185" s="255"/>
      <c r="B185" s="145" t="s">
        <v>49</v>
      </c>
      <c r="C185" s="145">
        <v>4500099372</v>
      </c>
      <c r="D185" s="145"/>
      <c r="E185" s="145" t="s">
        <v>407</v>
      </c>
      <c r="F185" s="285">
        <v>45842</v>
      </c>
      <c r="G185" s="146">
        <v>170619</v>
      </c>
      <c r="H185" s="167">
        <f t="shared" si="22"/>
        <v>3412.38</v>
      </c>
      <c r="I185" s="167">
        <f t="shared" si="23"/>
        <v>197918.03999999998</v>
      </c>
      <c r="J185" s="255" t="str">
        <f>'Outsourcing Details'!$J$151</f>
        <v>HSIT/25-26/202</v>
      </c>
      <c r="K185" s="281">
        <v>45868</v>
      </c>
      <c r="L185" s="87">
        <v>1400005598</v>
      </c>
      <c r="M185" s="168" t="str">
        <f>VLOOKUP(C185,'Outsourcing Details'!C:D,2,0)</f>
        <v>Highsky IT Solutions Private Limited</v>
      </c>
    </row>
    <row r="186" spans="1:13" hidden="1">
      <c r="A186" s="101" t="s">
        <v>50</v>
      </c>
      <c r="B186" s="101" t="s">
        <v>182</v>
      </c>
      <c r="C186" s="101">
        <v>4500095362</v>
      </c>
      <c r="D186" s="101"/>
      <c r="E186" s="101" t="s">
        <v>408</v>
      </c>
      <c r="F186" s="284">
        <v>45833</v>
      </c>
      <c r="G186" s="113">
        <v>78724</v>
      </c>
      <c r="H186" s="113">
        <f t="shared" si="22"/>
        <v>1574.48</v>
      </c>
      <c r="I186" s="113">
        <f t="shared" si="23"/>
        <v>91319.84</v>
      </c>
      <c r="J186" s="101">
        <f>'Outsourcing Details'!J27</f>
        <v>4325</v>
      </c>
      <c r="K186" s="284">
        <v>45869</v>
      </c>
      <c r="L186" s="88">
        <v>1400005739</v>
      </c>
      <c r="M186" s="65" t="str">
        <f>VLOOKUP(C186,'Outsourcing Details'!C:D,2,0)</f>
        <v>CARMATEC IT SOLUTIONS PRIVATE LIMITED</v>
      </c>
    </row>
    <row r="187" spans="1:13" hidden="1">
      <c r="A187" s="209" t="s">
        <v>52</v>
      </c>
      <c r="B187" s="209" t="s">
        <v>189</v>
      </c>
      <c r="C187" s="209">
        <v>4500100035</v>
      </c>
      <c r="D187" s="209"/>
      <c r="E187" s="215" t="s">
        <v>409</v>
      </c>
      <c r="F187" s="287">
        <v>45855</v>
      </c>
      <c r="G187" s="216">
        <v>50000</v>
      </c>
      <c r="H187" s="212">
        <f t="shared" si="22"/>
        <v>1000</v>
      </c>
      <c r="I187" s="212">
        <f t="shared" si="23"/>
        <v>58000</v>
      </c>
      <c r="J187" s="209" t="str">
        <f>'Outsourcing Details'!J31</f>
        <v>25-26/10</v>
      </c>
      <c r="K187" s="302">
        <v>45882</v>
      </c>
      <c r="L187" s="87">
        <v>1400006220</v>
      </c>
      <c r="M187" s="213" t="str">
        <f>VLOOKUP(C187,'Outsourcing Details'!C:D,2,0)</f>
        <v>Winnovation Education Services Pvt</v>
      </c>
    </row>
    <row r="188" spans="1:13" hidden="1">
      <c r="A188" s="101" t="s">
        <v>50</v>
      </c>
      <c r="B188" s="101" t="s">
        <v>182</v>
      </c>
      <c r="C188" s="101">
        <v>4500095362</v>
      </c>
      <c r="D188" s="101"/>
      <c r="E188" s="257" t="s">
        <v>410</v>
      </c>
      <c r="F188" s="284">
        <v>45848</v>
      </c>
      <c r="G188" s="258">
        <v>78967</v>
      </c>
      <c r="H188" s="113">
        <f t="shared" si="22"/>
        <v>1579.3400000000001</v>
      </c>
      <c r="I188" s="113">
        <f t="shared" si="23"/>
        <v>91601.72</v>
      </c>
      <c r="J188" s="257">
        <f>'Outsourcing Details'!J154</f>
        <v>4341</v>
      </c>
      <c r="K188" s="284">
        <v>45510</v>
      </c>
      <c r="L188" s="88">
        <v>1400005910</v>
      </c>
      <c r="M188" s="65" t="str">
        <f>VLOOKUP(C188,'Outsourcing Details'!C:D,2,0)</f>
        <v>CARMATEC IT SOLUTIONS PRIVATE LIMITED</v>
      </c>
    </row>
    <row r="189" spans="1:13">
      <c r="A189" s="262" t="s">
        <v>44</v>
      </c>
      <c r="B189" s="209" t="s">
        <v>45</v>
      </c>
      <c r="C189" s="209">
        <v>4500095649</v>
      </c>
      <c r="D189" s="209"/>
      <c r="E189" s="209" t="s">
        <v>411</v>
      </c>
      <c r="F189" s="288">
        <v>45849</v>
      </c>
      <c r="G189" s="216">
        <v>144443</v>
      </c>
      <c r="H189" s="216">
        <f t="shared" si="22"/>
        <v>2888.86</v>
      </c>
      <c r="I189" s="216">
        <f t="shared" si="23"/>
        <v>167553.88</v>
      </c>
      <c r="J189" s="217">
        <f>'Outsourcing Details'!J155</f>
        <v>210607280029</v>
      </c>
      <c r="K189" s="288">
        <v>45876</v>
      </c>
      <c r="L189" s="87">
        <v>1400006058</v>
      </c>
      <c r="M189" s="213" t="str">
        <f>VLOOKUP(C189,'Outsourcing Details'!C:D,2,0)</f>
        <v>BCT Consulting Private Limited</v>
      </c>
    </row>
    <row r="190" spans="1:13" hidden="1">
      <c r="A190" s="257" t="s">
        <v>46</v>
      </c>
      <c r="B190" s="101" t="s">
        <v>47</v>
      </c>
      <c r="C190" s="101">
        <v>4500098672</v>
      </c>
      <c r="D190" s="101"/>
      <c r="E190" s="101" t="s">
        <v>412</v>
      </c>
      <c r="F190" s="284">
        <v>45840</v>
      </c>
      <c r="G190" s="113">
        <v>92040</v>
      </c>
      <c r="H190" s="113">
        <f t="shared" si="22"/>
        <v>1840.8</v>
      </c>
      <c r="I190" s="113">
        <f t="shared" si="23"/>
        <v>106766.39999999999</v>
      </c>
      <c r="J190" s="257" t="str">
        <f>'Outsourcing Details'!J152</f>
        <v>132/2025-2026</v>
      </c>
      <c r="K190" s="282">
        <v>45868</v>
      </c>
      <c r="L190" s="88">
        <v>1400005598</v>
      </c>
      <c r="M190" s="168" t="str">
        <f>VLOOKUP(C190,'Outsourcing Details'!C:D,2,0)</f>
        <v>CANTICLE TECHNOLOGIES PRIVATE LIMITED</v>
      </c>
    </row>
    <row r="191" spans="1:13" hidden="1">
      <c r="A191" s="149"/>
      <c r="B191" s="149" t="s">
        <v>72</v>
      </c>
      <c r="C191" s="169">
        <v>4500083044</v>
      </c>
      <c r="D191" s="169">
        <f>ROUND(VLOOKUP(C191,'SO Form'!D:E,2,0)-SUMIF(C:C,$C$191,G:G),0)</f>
        <v>1466614</v>
      </c>
      <c r="E191" s="169" t="s">
        <v>413</v>
      </c>
      <c r="F191" s="289">
        <v>45420</v>
      </c>
      <c r="G191" s="170">
        <v>69197.23</v>
      </c>
      <c r="H191" s="152">
        <f t="shared" si="22"/>
        <v>1383.9446</v>
      </c>
      <c r="I191" s="152">
        <f t="shared" si="23"/>
        <v>80268.786799999987</v>
      </c>
      <c r="J191" s="149" t="str">
        <f>'Outsourcing Details'!$J$16</f>
        <v>RI/24-25/029</v>
      </c>
      <c r="K191" s="289">
        <v>45420</v>
      </c>
      <c r="L191" s="169">
        <v>1400003183</v>
      </c>
      <c r="M191" s="168" t="str">
        <f>VLOOKUP(C191,'Outsourcing Details'!C:D,2,0)</f>
        <v>Cinesonic Audio Visual Pvt Ltd</v>
      </c>
    </row>
    <row r="192" spans="1:13" hidden="1">
      <c r="A192" s="65"/>
      <c r="B192" s="65" t="s">
        <v>72</v>
      </c>
      <c r="C192" s="121">
        <v>4500083044</v>
      </c>
      <c r="D192" s="169">
        <f>ROUND(VLOOKUP(C192,'SO Form'!D:E,2,0)-SUMIF(C:C,$C$191,G:G),0)</f>
        <v>1466614</v>
      </c>
      <c r="E192" s="121" t="s">
        <v>414</v>
      </c>
      <c r="F192" s="290">
        <v>45450</v>
      </c>
      <c r="G192" s="123">
        <v>69197.23</v>
      </c>
      <c r="H192" s="119">
        <f t="shared" si="22"/>
        <v>1383.9446</v>
      </c>
      <c r="I192" s="119">
        <f t="shared" si="23"/>
        <v>80268.786799999987</v>
      </c>
      <c r="J192" s="65" t="str">
        <f>'Outsourcing Details'!$J$16</f>
        <v>RI/24-25/029</v>
      </c>
      <c r="K192" s="290">
        <v>45450</v>
      </c>
      <c r="L192" s="121">
        <v>1400004543</v>
      </c>
      <c r="M192" s="168" t="str">
        <f>VLOOKUP(C192,'Outsourcing Details'!C:D,2,0)</f>
        <v>Cinesonic Audio Visual Pvt Ltd</v>
      </c>
    </row>
    <row r="193" spans="1:13" hidden="1">
      <c r="A193" s="65"/>
      <c r="B193" s="65" t="s">
        <v>72</v>
      </c>
      <c r="C193" s="121">
        <v>4500083044</v>
      </c>
      <c r="D193" s="169">
        <f>ROUND(VLOOKUP(C193,'SO Form'!D:E,2,0)-SUMIF(C:C,$C$191,G:G),0)</f>
        <v>1466614</v>
      </c>
      <c r="E193" s="121" t="s">
        <v>415</v>
      </c>
      <c r="F193" s="290">
        <v>45476</v>
      </c>
      <c r="G193" s="123">
        <v>69197.23</v>
      </c>
      <c r="H193" s="119">
        <f t="shared" si="22"/>
        <v>1383.9446</v>
      </c>
      <c r="I193" s="119">
        <f t="shared" si="23"/>
        <v>80268.786799999987</v>
      </c>
      <c r="J193" s="65" t="str">
        <f>'Outsourcing Details'!$J$16</f>
        <v>RI/24-25/029</v>
      </c>
      <c r="K193" s="290">
        <v>45476</v>
      </c>
      <c r="L193" s="121">
        <v>1400005889</v>
      </c>
      <c r="M193" s="168" t="str">
        <f>VLOOKUP(C193,'Outsourcing Details'!C:D,2,0)</f>
        <v>Cinesonic Audio Visual Pvt Ltd</v>
      </c>
    </row>
    <row r="194" spans="1:13" hidden="1">
      <c r="A194" s="65"/>
      <c r="B194" s="65" t="s">
        <v>72</v>
      </c>
      <c r="C194" s="121">
        <v>4500083044</v>
      </c>
      <c r="D194" s="169">
        <f>ROUND(VLOOKUP(C194,'SO Form'!D:E,2,0)-SUMIF(C:C,$C$191,G:G),0)</f>
        <v>1466614</v>
      </c>
      <c r="E194" s="121" t="s">
        <v>416</v>
      </c>
      <c r="F194" s="290">
        <v>45505</v>
      </c>
      <c r="G194" s="123">
        <v>69197.23</v>
      </c>
      <c r="H194" s="119">
        <f t="shared" si="22"/>
        <v>1383.9446</v>
      </c>
      <c r="I194" s="119">
        <f t="shared" si="23"/>
        <v>80268.786799999987</v>
      </c>
      <c r="J194" s="65" t="str">
        <f>'Outsourcing Details'!$J$17</f>
        <v>RI/24-25/063</v>
      </c>
      <c r="K194" s="290">
        <v>45505</v>
      </c>
      <c r="L194" s="121">
        <v>1400007222</v>
      </c>
      <c r="M194" s="168" t="str">
        <f>VLOOKUP(C194,'Outsourcing Details'!C:D,2,0)</f>
        <v>Cinesonic Audio Visual Pvt Ltd</v>
      </c>
    </row>
    <row r="195" spans="1:13" hidden="1">
      <c r="A195" s="65"/>
      <c r="B195" s="65" t="s">
        <v>72</v>
      </c>
      <c r="C195" s="121">
        <v>4500083044</v>
      </c>
      <c r="D195" s="169">
        <f>ROUND(VLOOKUP(C195,'SO Form'!D:E,2,0)-SUMIF(C:C,$C$191,G:G),0)</f>
        <v>1466614</v>
      </c>
      <c r="E195" s="121" t="s">
        <v>417</v>
      </c>
      <c r="F195" s="290">
        <v>45540</v>
      </c>
      <c r="G195" s="123">
        <v>69197.23</v>
      </c>
      <c r="H195" s="119">
        <f t="shared" si="22"/>
        <v>1383.9446</v>
      </c>
      <c r="I195" s="119">
        <f t="shared" si="23"/>
        <v>80268.786799999987</v>
      </c>
      <c r="J195" s="65" t="str">
        <f>'Outsourcing Details'!$J$17</f>
        <v>RI/24-25/063</v>
      </c>
      <c r="K195" s="290">
        <v>45540</v>
      </c>
      <c r="L195" s="121">
        <v>1400008875</v>
      </c>
      <c r="M195" s="168" t="str">
        <f>VLOOKUP(C195,'Outsourcing Details'!C:D,2,0)</f>
        <v>Cinesonic Audio Visual Pvt Ltd</v>
      </c>
    </row>
    <row r="196" spans="1:13" hidden="1">
      <c r="A196" s="65"/>
      <c r="B196" s="65" t="s">
        <v>72</v>
      </c>
      <c r="C196" s="121">
        <v>4500094598</v>
      </c>
      <c r="D196" s="121"/>
      <c r="E196" s="121" t="s">
        <v>418</v>
      </c>
      <c r="F196" s="290">
        <v>45294</v>
      </c>
      <c r="G196" s="123">
        <v>84240</v>
      </c>
      <c r="H196" s="119">
        <f t="shared" si="22"/>
        <v>1684.8</v>
      </c>
      <c r="I196" s="119">
        <f t="shared" si="23"/>
        <v>97718.399999999994</v>
      </c>
      <c r="J196" s="65" t="str">
        <f>'Outsourcing Details'!$J$17</f>
        <v>RI/24-25/063</v>
      </c>
      <c r="K196" s="290">
        <v>45660</v>
      </c>
      <c r="L196" s="121">
        <v>1400014388</v>
      </c>
      <c r="M196" s="168" t="str">
        <f>VLOOKUP(C196,'Outsourcing Details'!C:D,2,0)</f>
        <v>Cinesonic Audio Visual Pvt Ltd</v>
      </c>
    </row>
    <row r="197" spans="1:13" hidden="1">
      <c r="A197" s="65"/>
      <c r="B197" s="65" t="s">
        <v>72</v>
      </c>
      <c r="C197" s="121">
        <v>4500094598</v>
      </c>
      <c r="D197" s="121"/>
      <c r="E197" s="121" t="s">
        <v>419</v>
      </c>
      <c r="F197" s="290">
        <v>45294</v>
      </c>
      <c r="G197" s="123">
        <v>84240</v>
      </c>
      <c r="H197" s="119">
        <f t="shared" si="22"/>
        <v>1684.8</v>
      </c>
      <c r="I197" s="119">
        <f t="shared" si="23"/>
        <v>97718.399999999994</v>
      </c>
      <c r="J197" s="65" t="str">
        <f>'Outsourcing Details'!$J$17</f>
        <v>RI/24-25/063</v>
      </c>
      <c r="K197" s="290">
        <v>45660</v>
      </c>
      <c r="L197" s="121">
        <v>1400014388</v>
      </c>
      <c r="M197" s="168" t="str">
        <f>VLOOKUP(C197,'Outsourcing Details'!C:D,2,0)</f>
        <v>Cinesonic Audio Visual Pvt Ltd</v>
      </c>
    </row>
    <row r="198" spans="1:13" hidden="1">
      <c r="A198" s="65"/>
      <c r="B198" s="65" t="s">
        <v>72</v>
      </c>
      <c r="C198" s="121">
        <v>4500094598</v>
      </c>
      <c r="D198" s="121"/>
      <c r="E198" s="121" t="s">
        <v>420</v>
      </c>
      <c r="F198" s="290">
        <v>45294</v>
      </c>
      <c r="G198" s="123">
        <v>84240</v>
      </c>
      <c r="H198" s="119">
        <f t="shared" si="22"/>
        <v>1684.8</v>
      </c>
      <c r="I198" s="119">
        <f t="shared" si="23"/>
        <v>97718.399999999994</v>
      </c>
      <c r="J198" s="65" t="str">
        <f>'Outsourcing Details'!$J$17</f>
        <v>RI/24-25/063</v>
      </c>
      <c r="K198" s="290">
        <v>45660</v>
      </c>
      <c r="L198" s="121">
        <v>1400014388</v>
      </c>
      <c r="M198" s="168" t="str">
        <f>VLOOKUP(C198,'Outsourcing Details'!C:D,2,0)</f>
        <v>Cinesonic Audio Visual Pvt Ltd</v>
      </c>
    </row>
    <row r="199" spans="1:13" hidden="1">
      <c r="A199" s="65"/>
      <c r="B199" s="65" t="s">
        <v>72</v>
      </c>
      <c r="C199" s="121">
        <v>4500094598</v>
      </c>
      <c r="D199" s="121"/>
      <c r="E199" s="121" t="s">
        <v>421</v>
      </c>
      <c r="F199" s="290">
        <v>45294</v>
      </c>
      <c r="G199" s="123">
        <v>84240</v>
      </c>
      <c r="H199" s="119">
        <f t="shared" si="22"/>
        <v>1684.8</v>
      </c>
      <c r="I199" s="119">
        <f t="shared" si="23"/>
        <v>97718.399999999994</v>
      </c>
      <c r="J199" s="65" t="str">
        <f>'Outsourcing Details'!$J$19</f>
        <v>RI/25-26/006</v>
      </c>
      <c r="K199" s="290">
        <v>45660</v>
      </c>
      <c r="L199" s="121">
        <v>1400014388</v>
      </c>
      <c r="M199" s="168" t="str">
        <f>VLOOKUP(C199,'Outsourcing Details'!C:D,2,0)</f>
        <v>Cinesonic Audio Visual Pvt Ltd</v>
      </c>
    </row>
    <row r="200" spans="1:13" hidden="1">
      <c r="A200" s="65"/>
      <c r="B200" s="65" t="s">
        <v>72</v>
      </c>
      <c r="C200" s="121">
        <v>4500094598</v>
      </c>
      <c r="D200" s="121"/>
      <c r="E200" s="121" t="s">
        <v>422</v>
      </c>
      <c r="F200" s="290">
        <v>45872</v>
      </c>
      <c r="G200" s="123">
        <v>84240</v>
      </c>
      <c r="H200" s="119">
        <f t="shared" si="22"/>
        <v>1684.8</v>
      </c>
      <c r="I200" s="119">
        <f t="shared" si="23"/>
        <v>97718.399999999994</v>
      </c>
      <c r="J200" s="65" t="str">
        <f>'Outsourcing Details'!$J$19</f>
        <v>RI/25-26/006</v>
      </c>
      <c r="K200" s="290">
        <v>45724</v>
      </c>
      <c r="L200" s="121">
        <v>1400000362</v>
      </c>
      <c r="M200" s="168" t="str">
        <f>VLOOKUP(C200,'Outsourcing Details'!C:D,2,0)</f>
        <v>Cinesonic Audio Visual Pvt Ltd</v>
      </c>
    </row>
    <row r="201" spans="1:13" hidden="1">
      <c r="A201" s="65"/>
      <c r="B201" s="65" t="s">
        <v>72</v>
      </c>
      <c r="C201" s="121">
        <v>4500094598</v>
      </c>
      <c r="D201" s="121"/>
      <c r="E201" s="121" t="s">
        <v>423</v>
      </c>
      <c r="F201" s="290">
        <v>45872</v>
      </c>
      <c r="G201" s="123">
        <v>84240</v>
      </c>
      <c r="H201" s="119">
        <f t="shared" si="22"/>
        <v>1684.8</v>
      </c>
      <c r="I201" s="119">
        <f t="shared" si="23"/>
        <v>97718.399999999994</v>
      </c>
      <c r="J201" s="65" t="str">
        <f>'Outsourcing Details'!$J$19</f>
        <v>RI/25-26/006</v>
      </c>
      <c r="K201" s="290">
        <v>45724</v>
      </c>
      <c r="L201" s="121">
        <v>1400000362</v>
      </c>
      <c r="M201" s="168" t="str">
        <f>VLOOKUP(C201,'Outsourcing Details'!C:D,2,0)</f>
        <v>Cinesonic Audio Visual Pvt Ltd</v>
      </c>
    </row>
    <row r="202" spans="1:13" hidden="1">
      <c r="A202" s="65"/>
      <c r="B202" s="65" t="s">
        <v>72</v>
      </c>
      <c r="C202" s="121">
        <v>4500094598</v>
      </c>
      <c r="D202" s="121"/>
      <c r="E202" s="121" t="s">
        <v>424</v>
      </c>
      <c r="F202" s="290">
        <v>45872</v>
      </c>
      <c r="G202" s="123">
        <v>84240</v>
      </c>
      <c r="H202" s="119">
        <f t="shared" si="22"/>
        <v>1684.8</v>
      </c>
      <c r="I202" s="119">
        <f t="shared" si="23"/>
        <v>97718.399999999994</v>
      </c>
      <c r="J202" s="65" t="str">
        <f>'Outsourcing Details'!$J$19</f>
        <v>RI/25-26/006</v>
      </c>
      <c r="K202" s="290">
        <v>45724</v>
      </c>
      <c r="L202" s="121">
        <v>1400000362</v>
      </c>
      <c r="M202" s="168" t="str">
        <f>VLOOKUP(C202,'Outsourcing Details'!C:D,2,0)</f>
        <v>Cinesonic Audio Visual Pvt Ltd</v>
      </c>
    </row>
    <row r="203" spans="1:13" hidden="1">
      <c r="A203" s="65"/>
      <c r="B203" s="65" t="s">
        <v>72</v>
      </c>
      <c r="C203" s="121">
        <v>4500094598</v>
      </c>
      <c r="D203" s="121"/>
      <c r="E203" s="121" t="s">
        <v>425</v>
      </c>
      <c r="F203" s="290">
        <v>45872</v>
      </c>
      <c r="G203" s="123">
        <v>84240</v>
      </c>
      <c r="H203" s="119">
        <f t="shared" si="22"/>
        <v>1684.8</v>
      </c>
      <c r="I203" s="119">
        <f t="shared" si="23"/>
        <v>97718.399999999994</v>
      </c>
      <c r="J203" s="65" t="str">
        <f>'Outsourcing Details'!$J$19</f>
        <v>RI/25-26/006</v>
      </c>
      <c r="K203" s="290">
        <v>45724</v>
      </c>
      <c r="L203" s="121">
        <v>1400000362</v>
      </c>
      <c r="M203" s="168" t="str">
        <f>VLOOKUP(C203,'Outsourcing Details'!C:D,2,0)</f>
        <v>Cinesonic Audio Visual Pvt Ltd</v>
      </c>
    </row>
    <row r="204" spans="1:13" hidden="1">
      <c r="A204" s="149"/>
      <c r="B204" s="148" t="s">
        <v>49</v>
      </c>
      <c r="C204" s="150">
        <v>4500099372</v>
      </c>
      <c r="D204" s="150"/>
      <c r="E204" s="148" t="s">
        <v>426</v>
      </c>
      <c r="F204" s="291">
        <v>45853</v>
      </c>
      <c r="G204" s="151">
        <v>199056</v>
      </c>
      <c r="H204" s="152">
        <f t="shared" si="22"/>
        <v>3981.12</v>
      </c>
      <c r="I204" s="152">
        <f t="shared" si="23"/>
        <v>230904.95999999999</v>
      </c>
      <c r="J204" s="260" t="str">
        <f>'Outsourcing Details'!J156</f>
        <v>HSIT/25-26/217</v>
      </c>
      <c r="K204" s="296">
        <v>45882</v>
      </c>
      <c r="L204" s="87">
        <v>1400006220</v>
      </c>
      <c r="M204" s="168" t="str">
        <f>VLOOKUP(C204,'Outsourcing Details'!C:D,2,0)</f>
        <v>Highsky IT Solutions Private Limited</v>
      </c>
    </row>
    <row r="205" spans="1:13" hidden="1">
      <c r="A205" s="91" t="s">
        <v>427</v>
      </c>
      <c r="B205" s="91" t="s">
        <v>428</v>
      </c>
      <c r="C205" s="97">
        <v>4500100039</v>
      </c>
      <c r="D205" s="97"/>
      <c r="E205" s="101" t="s">
        <v>429</v>
      </c>
      <c r="F205" s="292">
        <v>45861</v>
      </c>
      <c r="G205" s="124">
        <v>73333</v>
      </c>
      <c r="H205" s="119">
        <f t="shared" si="22"/>
        <v>1466.66</v>
      </c>
      <c r="I205" s="119">
        <f t="shared" si="23"/>
        <v>85066.28</v>
      </c>
      <c r="J205" s="257">
        <f>'Outsourcing Details'!$J$157</f>
        <v>25260085</v>
      </c>
      <c r="K205" s="282" t="s">
        <v>430</v>
      </c>
      <c r="L205" s="65"/>
      <c r="M205" s="168" t="str">
        <f>VLOOKUP(C205,'Outsourcing Details'!C:D,2,0)</f>
        <v>Abhiyanta India Solution Private Limited</v>
      </c>
    </row>
    <row r="206" spans="1:13" hidden="1">
      <c r="A206" s="91" t="s">
        <v>431</v>
      </c>
      <c r="B206" s="91" t="s">
        <v>428</v>
      </c>
      <c r="C206" s="97">
        <v>4500100039</v>
      </c>
      <c r="D206" s="97"/>
      <c r="E206" s="101" t="s">
        <v>432</v>
      </c>
      <c r="F206" s="292">
        <v>45861</v>
      </c>
      <c r="G206" s="124">
        <v>192500</v>
      </c>
      <c r="H206" s="119">
        <f t="shared" si="22"/>
        <v>3850</v>
      </c>
      <c r="I206" s="119">
        <f t="shared" si="23"/>
        <v>223300</v>
      </c>
      <c r="J206" s="257">
        <f>'Outsourcing Details'!$J$157</f>
        <v>25260085</v>
      </c>
      <c r="K206" s="282" t="s">
        <v>430</v>
      </c>
      <c r="L206" s="65"/>
      <c r="M206" s="168" t="str">
        <f>VLOOKUP(C206,'Outsourcing Details'!C:D,2,0)</f>
        <v>Abhiyanta India Solution Private Limited</v>
      </c>
    </row>
    <row r="207" spans="1:13" hidden="1">
      <c r="A207" s="91" t="s">
        <v>433</v>
      </c>
      <c r="B207" s="91" t="s">
        <v>428</v>
      </c>
      <c r="C207" s="97">
        <v>4500100039</v>
      </c>
      <c r="D207" s="97"/>
      <c r="E207" s="101" t="s">
        <v>434</v>
      </c>
      <c r="F207" s="292">
        <v>45861</v>
      </c>
      <c r="G207" s="124">
        <v>192500</v>
      </c>
      <c r="H207" s="119">
        <f t="shared" si="22"/>
        <v>3850</v>
      </c>
      <c r="I207" s="119">
        <f t="shared" si="23"/>
        <v>223300</v>
      </c>
      <c r="J207" s="257">
        <f>'Outsourcing Details'!$J$157</f>
        <v>25260085</v>
      </c>
      <c r="K207" s="282" t="s">
        <v>430</v>
      </c>
      <c r="L207" s="65"/>
      <c r="M207" s="168" t="str">
        <f>VLOOKUP(C207,'Outsourcing Details'!C:D,2,0)</f>
        <v>Abhiyanta India Solution Private Limited</v>
      </c>
    </row>
    <row r="208" spans="1:13" hidden="1">
      <c r="A208" s="257"/>
      <c r="B208" s="101" t="s">
        <v>196</v>
      </c>
      <c r="C208" s="101">
        <v>4500100130</v>
      </c>
      <c r="D208" s="101"/>
      <c r="E208" s="101" t="s">
        <v>435</v>
      </c>
      <c r="F208" s="284">
        <v>45861</v>
      </c>
      <c r="G208" s="113">
        <v>85000</v>
      </c>
      <c r="H208" s="113">
        <f t="shared" ref="H208" si="24">G208*2%</f>
        <v>1700</v>
      </c>
      <c r="I208" s="113">
        <f t="shared" ref="I208" si="25">(G208*1.18)-H208</f>
        <v>98600</v>
      </c>
      <c r="J208" s="257" t="str">
        <f>'Outsourcing Details'!J161</f>
        <v>G96/2025-26</v>
      </c>
      <c r="K208" s="284" t="s">
        <v>436</v>
      </c>
      <c r="L208" s="101"/>
      <c r="M208" s="168" t="str">
        <f>VLOOKUP(C208,'Outsourcing Details'!C:D,2,0)</f>
        <v>AUROPRO SOFT SYSTEMS PVT LTD</v>
      </c>
    </row>
    <row r="209" spans="1:13" hidden="1">
      <c r="A209" s="91" t="s">
        <v>437</v>
      </c>
      <c r="B209" s="91" t="s">
        <v>196</v>
      </c>
      <c r="C209" s="97">
        <v>4500100034</v>
      </c>
      <c r="D209" s="97"/>
      <c r="E209" s="101" t="s">
        <v>438</v>
      </c>
      <c r="F209" s="284">
        <v>45870</v>
      </c>
      <c r="G209" s="113">
        <v>108000</v>
      </c>
      <c r="H209" s="113">
        <f>G209*2%</f>
        <v>2160</v>
      </c>
      <c r="I209" s="113">
        <f>(G209*1.18)-H209</f>
        <v>125280</v>
      </c>
      <c r="J209" s="120" t="str">
        <f>'Outsourcing Details'!J159</f>
        <v>210607280266</v>
      </c>
      <c r="K209" s="284" t="s">
        <v>436</v>
      </c>
      <c r="L209" s="101" t="e">
        <v>#N/A</v>
      </c>
      <c r="M209" s="168" t="str">
        <f>VLOOKUP(C209,'Outsourcing Details'!C:D,2,0)</f>
        <v>BCT Consulting Private Limited</v>
      </c>
    </row>
    <row r="210" spans="1:13" hidden="1">
      <c r="A210" s="91" t="s">
        <v>437</v>
      </c>
      <c r="B210" s="91" t="s">
        <v>196</v>
      </c>
      <c r="C210" s="97">
        <v>4500100033</v>
      </c>
      <c r="D210" s="97"/>
      <c r="E210" s="101" t="s">
        <v>439</v>
      </c>
      <c r="F210" s="284">
        <v>45861</v>
      </c>
      <c r="G210" s="113">
        <v>90000</v>
      </c>
      <c r="H210" s="113">
        <f>G210*2%</f>
        <v>1800</v>
      </c>
      <c r="I210" s="113">
        <f>(G210*1.18)-H210</f>
        <v>104400</v>
      </c>
      <c r="J210" s="120" t="str">
        <f>'Outsourcing Details'!J160</f>
        <v>210607280267</v>
      </c>
      <c r="K210" s="284" t="s">
        <v>436</v>
      </c>
      <c r="L210" s="101" t="e">
        <v>#N/A</v>
      </c>
      <c r="M210" s="168" t="str">
        <f>VLOOKUP(C210,'Outsourcing Details'!C:D,2,0)</f>
        <v>BCT Consulting Private Limited</v>
      </c>
    </row>
    <row r="211" spans="1:13" hidden="1">
      <c r="A211" s="164" t="s">
        <v>440</v>
      </c>
      <c r="B211" s="164" t="s">
        <v>428</v>
      </c>
      <c r="C211" s="165">
        <v>4500100039</v>
      </c>
      <c r="D211" s="165"/>
      <c r="E211" s="145" t="s">
        <v>441</v>
      </c>
      <c r="F211" s="293">
        <v>45871</v>
      </c>
      <c r="G211" s="166">
        <v>192500</v>
      </c>
      <c r="H211" s="167">
        <f>G211*2%</f>
        <v>3850</v>
      </c>
      <c r="I211" s="167">
        <f>(G211*1.18)-H211</f>
        <v>223300</v>
      </c>
      <c r="J211" s="255">
        <f>'Outsourcing Details'!J163</f>
        <v>25260090</v>
      </c>
      <c r="K211" s="281" t="s">
        <v>430</v>
      </c>
      <c r="L211" s="168"/>
      <c r="M211" s="168" t="str">
        <f>VLOOKUP(C211,'Outsourcing Details'!C:D,2,0)</f>
        <v>Abhiyanta India Solution Private Limited</v>
      </c>
    </row>
    <row r="212" spans="1:13" hidden="1">
      <c r="A212" s="257" t="s">
        <v>46</v>
      </c>
      <c r="B212" s="101" t="s">
        <v>47</v>
      </c>
      <c r="C212" s="101">
        <v>4500098672</v>
      </c>
      <c r="D212" s="101"/>
      <c r="E212" s="101" t="s">
        <v>442</v>
      </c>
      <c r="F212" s="284">
        <v>45874</v>
      </c>
      <c r="G212" s="113">
        <v>92040</v>
      </c>
      <c r="H212" s="113">
        <f>G212*2%</f>
        <v>1840.8</v>
      </c>
      <c r="I212" s="113">
        <f>(G212*1.18)-H212</f>
        <v>106766.39999999999</v>
      </c>
      <c r="J212" s="257" t="str">
        <f>'Outsourcing Details'!J164</f>
        <v>160/2025-2026</v>
      </c>
      <c r="K212" s="282" t="s">
        <v>436</v>
      </c>
      <c r="L212" s="88"/>
      <c r="M212" s="168" t="str">
        <f>VLOOKUP(C212,'Outsourcing Details'!C:D,2,0)</f>
        <v>CANTICLE TECHNOLOGIES PRIVATE LIMITED</v>
      </c>
    </row>
    <row r="213" spans="1:13" hidden="1">
      <c r="A213" s="111" t="s">
        <v>71</v>
      </c>
      <c r="B213" s="101" t="s">
        <v>182</v>
      </c>
      <c r="C213" s="89">
        <v>4500100177</v>
      </c>
      <c r="D213" s="89"/>
      <c r="E213" s="101" t="s">
        <v>443</v>
      </c>
      <c r="F213" s="284">
        <v>45873</v>
      </c>
      <c r="G213" s="113">
        <v>216125</v>
      </c>
      <c r="H213" s="113">
        <f>G213*2%</f>
        <v>4322.5</v>
      </c>
      <c r="I213" s="113">
        <f>(G213*1.18)-H213</f>
        <v>250705</v>
      </c>
      <c r="J213" s="257" t="str">
        <f>'Outsourcing Details'!J162</f>
        <v>2508-01</v>
      </c>
      <c r="K213" s="282" t="s">
        <v>436</v>
      </c>
      <c r="L213" s="88"/>
      <c r="M213" s="168" t="str">
        <f>VLOOKUP(C213,'Outsourcing Details'!C:D,2,0)</f>
        <v>ITSHRI SOLUTION LLP</v>
      </c>
    </row>
    <row r="214" spans="1:13" hidden="1">
      <c r="A214" s="111" t="s">
        <v>71</v>
      </c>
      <c r="B214" s="101" t="s">
        <v>182</v>
      </c>
      <c r="C214" s="89">
        <v>4500100177</v>
      </c>
      <c r="D214" s="89"/>
      <c r="E214" s="101" t="s">
        <v>444</v>
      </c>
      <c r="F214" s="284">
        <v>45873</v>
      </c>
      <c r="G214" s="113">
        <v>216125</v>
      </c>
      <c r="H214" s="113">
        <f t="shared" ref="H214:H215" si="26">G214*2%</f>
        <v>4322.5</v>
      </c>
      <c r="I214" s="113">
        <f t="shared" ref="I214:I215" si="27">(G214*1.18)-H214</f>
        <v>250705</v>
      </c>
      <c r="J214" s="257" t="str">
        <f>'Outsourcing Details'!J165</f>
        <v>2508-02</v>
      </c>
      <c r="K214" s="282" t="s">
        <v>436</v>
      </c>
      <c r="L214" s="88"/>
      <c r="M214" s="168" t="str">
        <f>VLOOKUP(C214,'Outsourcing Details'!C:D,2,0)</f>
        <v>ITSHRI SOLUTION LLP</v>
      </c>
    </row>
    <row r="215" spans="1:13" hidden="1">
      <c r="A215" s="111" t="s">
        <v>71</v>
      </c>
      <c r="B215" s="101" t="s">
        <v>182</v>
      </c>
      <c r="C215" s="89">
        <v>4500100177</v>
      </c>
      <c r="D215" s="89"/>
      <c r="E215" s="101" t="s">
        <v>445</v>
      </c>
      <c r="F215" s="284">
        <v>45873</v>
      </c>
      <c r="G215" s="113">
        <v>216125</v>
      </c>
      <c r="H215" s="113">
        <f t="shared" si="26"/>
        <v>4322.5</v>
      </c>
      <c r="I215" s="113">
        <f t="shared" si="27"/>
        <v>250705</v>
      </c>
      <c r="J215" s="257" t="str">
        <f>'Outsourcing Details'!J166</f>
        <v>2508-03</v>
      </c>
      <c r="K215" s="282" t="s">
        <v>436</v>
      </c>
      <c r="L215" s="88"/>
      <c r="M215" s="168" t="str">
        <f>VLOOKUP(C215,'Outsourcing Details'!C:D,2,0)</f>
        <v>ITSHRI SOLUTION LLP</v>
      </c>
    </row>
    <row r="216" spans="1:13" hidden="1">
      <c r="A216" s="164" t="s">
        <v>446</v>
      </c>
      <c r="B216" s="209" t="s">
        <v>49</v>
      </c>
      <c r="C216" s="210">
        <v>4500099372</v>
      </c>
      <c r="D216" s="210"/>
      <c r="E216" s="209" t="s">
        <v>447</v>
      </c>
      <c r="F216" s="294">
        <v>45871</v>
      </c>
      <c r="G216" s="211">
        <v>199056</v>
      </c>
      <c r="H216" s="212">
        <f>G216*2%</f>
        <v>3981.12</v>
      </c>
      <c r="I216" s="212">
        <f>(G216*1.18)-H216</f>
        <v>230904.95999999999</v>
      </c>
      <c r="J216" s="262" t="str">
        <f>'Outsourcing Details'!J167</f>
        <v>HSIT/25-26/234</v>
      </c>
      <c r="K216" s="281" t="s">
        <v>436</v>
      </c>
      <c r="L216" s="213"/>
      <c r="M216" s="168" t="str">
        <f>VLOOKUP(C216,'Outsourcing Details'!C:D,2,0)</f>
        <v>Highsky IT Solutions Private Limited</v>
      </c>
    </row>
    <row r="217" spans="1:13" hidden="1">
      <c r="A217" s="101" t="s">
        <v>50</v>
      </c>
      <c r="B217" s="101" t="s">
        <v>182</v>
      </c>
      <c r="C217" s="101">
        <v>4500095362</v>
      </c>
      <c r="D217" s="101"/>
      <c r="E217" s="257" t="s">
        <v>448</v>
      </c>
      <c r="F217" s="284">
        <v>45870</v>
      </c>
      <c r="G217" s="258">
        <v>78967</v>
      </c>
      <c r="H217" s="113">
        <f>G217*2%</f>
        <v>1579.3400000000001</v>
      </c>
      <c r="I217" s="113">
        <f>(G217*1.18)-H217</f>
        <v>91601.72</v>
      </c>
      <c r="J217" s="257">
        <f>'Outsourcing Details'!J168</f>
        <v>4349</v>
      </c>
      <c r="K217" s="284" t="s">
        <v>436</v>
      </c>
      <c r="L217" s="257"/>
      <c r="M217" s="65" t="str">
        <f>VLOOKUP(C217,'Outsourcing Details'!C:D,2,0)</f>
        <v>CARMATEC IT SOLUTIONS PRIVATE LIMITED</v>
      </c>
    </row>
    <row r="218" spans="1:13">
      <c r="A218" s="262" t="s">
        <v>44</v>
      </c>
      <c r="B218" s="209" t="s">
        <v>45</v>
      </c>
      <c r="C218" s="209">
        <v>4500095649</v>
      </c>
      <c r="D218" s="209"/>
      <c r="E218" s="209" t="s">
        <v>449</v>
      </c>
      <c r="F218" s="288">
        <v>45882</v>
      </c>
      <c r="G218" s="216">
        <v>161289.45000000001</v>
      </c>
      <c r="H218" s="216">
        <f>G218*2%</f>
        <v>3225.7890000000002</v>
      </c>
      <c r="I218" s="216">
        <f>(G218*1.18)-H218</f>
        <v>187095.76200000002</v>
      </c>
      <c r="J218" s="217" t="str">
        <f>'Outsourcing Details'!J172</f>
        <v>210608280016</v>
      </c>
      <c r="K218" s="288" t="s">
        <v>436</v>
      </c>
      <c r="L218" s="209" t="e">
        <v>#N/A</v>
      </c>
      <c r="M218" s="213" t="str">
        <f>VLOOKUP(C218,'Outsourcing Details'!C:D,2,0)</f>
        <v>BCT Consulting Private Limited</v>
      </c>
    </row>
    <row r="219" spans="1:13" hidden="1">
      <c r="A219" s="257" t="s">
        <v>450</v>
      </c>
      <c r="B219" s="257" t="s">
        <v>42</v>
      </c>
      <c r="C219" s="97">
        <v>4500100053</v>
      </c>
      <c r="D219" s="97"/>
      <c r="E219" s="257" t="s">
        <v>451</v>
      </c>
      <c r="F219" s="284">
        <v>45883</v>
      </c>
      <c r="G219" s="258">
        <v>94681.65</v>
      </c>
      <c r="H219" s="155">
        <f t="shared" ref="H219" si="28">G219*2%</f>
        <v>1893.6329999999998</v>
      </c>
      <c r="I219" s="113">
        <f t="shared" ref="I219" si="29">(G219*1.18)-H219</f>
        <v>109830.71399999999</v>
      </c>
      <c r="J219" s="257" t="str">
        <f>'Outsourcing Details'!J158</f>
        <v>M/2526/Jul/080</v>
      </c>
      <c r="K219" s="282" t="s">
        <v>436</v>
      </c>
      <c r="L219" s="88"/>
      <c r="M219" s="65" t="str">
        <f>VLOOKUP(C219,'Outsourcing Details'!C:D,2,0)</f>
        <v>VRATA TECH SOLUTIONS PRIVATE LIMITED</v>
      </c>
    </row>
  </sheetData>
  <autoFilter ref="A2:M219" xr:uid="{2CD95930-0488-4552-AB38-23ACBD525592}">
    <filterColumn colId="2">
      <filters>
        <filter val="4500095649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C4FA-754E-4B23-BAD5-F50DA5EFAFB9}">
  <sheetPr filterMode="1"/>
  <dimension ref="A1:S175"/>
  <sheetViews>
    <sheetView zoomScale="50" zoomScaleNormal="50" workbookViewId="0">
      <pane ySplit="2" topLeftCell="A3" activePane="bottomLeft" state="frozen"/>
      <selection pane="bottomLeft" activeCell="I196" sqref="I196"/>
    </sheetView>
  </sheetViews>
  <sheetFormatPr defaultColWidth="9.109375" defaultRowHeight="13.8"/>
  <cols>
    <col min="1" max="1" width="30.88671875" style="44" customWidth="1"/>
    <col min="2" max="2" width="25.88671875" style="44" customWidth="1"/>
    <col min="3" max="3" width="12.6640625" style="44" bestFit="1" customWidth="1"/>
    <col min="4" max="4" width="40" style="44" customWidth="1"/>
    <col min="5" max="5" width="21.109375" style="44" bestFit="1" customWidth="1"/>
    <col min="6" max="6" width="14.33203125" style="311" bestFit="1" customWidth="1"/>
    <col min="7" max="7" width="15.33203125" style="52" bestFit="1" customWidth="1"/>
    <col min="8" max="8" width="20.5546875" style="52" bestFit="1" customWidth="1"/>
    <col min="9" max="9" width="24.5546875" style="44" bestFit="1" customWidth="1"/>
    <col min="10" max="10" width="26.44140625" style="44" customWidth="1"/>
    <col min="11" max="11" width="15.44140625" style="311" bestFit="1" customWidth="1"/>
    <col min="12" max="12" width="16.44140625" style="46" bestFit="1" customWidth="1"/>
    <col min="13" max="14" width="11.109375" style="45" customWidth="1"/>
    <col min="15" max="15" width="25.33203125" style="311" bestFit="1" customWidth="1"/>
    <col min="16" max="16" width="16.44140625" style="64" bestFit="1" customWidth="1"/>
    <col min="17" max="17" width="15.5546875" style="311" bestFit="1" customWidth="1"/>
    <col min="18" max="18" width="16.6640625" style="46" bestFit="1" customWidth="1"/>
    <col min="19" max="19" width="34.5546875" style="44" bestFit="1" customWidth="1"/>
    <col min="20" max="16384" width="9.109375" style="44"/>
  </cols>
  <sheetData>
    <row r="1" spans="1:19">
      <c r="A1" s="91"/>
      <c r="B1" s="91"/>
      <c r="C1" s="91"/>
      <c r="D1" s="91"/>
      <c r="E1" s="91"/>
      <c r="F1" s="303"/>
      <c r="G1" s="92"/>
      <c r="H1" s="92"/>
      <c r="I1" s="91"/>
      <c r="J1" s="91"/>
      <c r="K1" s="303"/>
      <c r="L1" s="92">
        <f>SUBTOTAL(9,L3:L1048576)</f>
        <v>163548</v>
      </c>
      <c r="M1" s="93">
        <f>SUBTOTAL(9,M3:M1048576)</f>
        <v>3270.96</v>
      </c>
      <c r="N1" s="93">
        <f>SUBTOTAL(9,N3:N1048576)</f>
        <v>189715.68</v>
      </c>
      <c r="O1" s="306"/>
      <c r="P1" s="92">
        <f>SUBTOTAL(9,P3:P1048576)</f>
        <v>189715</v>
      </c>
      <c r="Q1" s="303"/>
      <c r="R1" s="92">
        <f>SUBTOTAL(9,R3:R1048576)</f>
        <v>0.68000000000029104</v>
      </c>
      <c r="S1" s="91"/>
    </row>
    <row r="2" spans="1:19" ht="27.6">
      <c r="A2" s="91" t="s">
        <v>144</v>
      </c>
      <c r="B2" s="91" t="s">
        <v>2</v>
      </c>
      <c r="C2" s="249" t="s">
        <v>452</v>
      </c>
      <c r="D2" s="95" t="s">
        <v>34</v>
      </c>
      <c r="E2" s="95" t="s">
        <v>453</v>
      </c>
      <c r="F2" s="304" t="s">
        <v>454</v>
      </c>
      <c r="G2" s="96" t="s">
        <v>455</v>
      </c>
      <c r="H2" s="96" t="s">
        <v>456</v>
      </c>
      <c r="I2" s="91" t="s">
        <v>457</v>
      </c>
      <c r="J2" s="91" t="s">
        <v>458</v>
      </c>
      <c r="K2" s="303" t="s">
        <v>459</v>
      </c>
      <c r="L2" s="92" t="s">
        <v>460</v>
      </c>
      <c r="M2" s="93" t="s">
        <v>461</v>
      </c>
      <c r="N2" s="93" t="s">
        <v>462</v>
      </c>
      <c r="O2" s="306" t="s">
        <v>463</v>
      </c>
      <c r="P2" s="92" t="s">
        <v>464</v>
      </c>
      <c r="Q2" s="303" t="s">
        <v>465</v>
      </c>
      <c r="R2" s="92" t="s">
        <v>466</v>
      </c>
      <c r="S2" s="91" t="s">
        <v>87</v>
      </c>
    </row>
    <row r="3" spans="1:19">
      <c r="A3" s="91" t="s">
        <v>41</v>
      </c>
      <c r="B3" s="91" t="s">
        <v>42</v>
      </c>
      <c r="C3" s="91">
        <v>4500095281</v>
      </c>
      <c r="D3" s="97" t="s">
        <v>43</v>
      </c>
      <c r="E3" s="91" t="s">
        <v>467</v>
      </c>
      <c r="F3" s="303">
        <v>45684</v>
      </c>
      <c r="G3" s="92">
        <v>167143</v>
      </c>
      <c r="H3" s="92"/>
      <c r="I3" s="91" t="s">
        <v>89</v>
      </c>
      <c r="J3" s="91" t="s">
        <v>155</v>
      </c>
      <c r="K3" s="306">
        <v>45688</v>
      </c>
      <c r="L3" s="92">
        <v>33548</v>
      </c>
      <c r="M3" s="93">
        <f>L3*2%</f>
        <v>670.96</v>
      </c>
      <c r="N3" s="93">
        <f>(L3*1.18)-M3</f>
        <v>38915.68</v>
      </c>
      <c r="O3" s="306">
        <f>VLOOKUP(J3,'Billing and Payment Details'!J:K,2,0)</f>
        <v>45811</v>
      </c>
      <c r="P3" s="93">
        <v>38915</v>
      </c>
      <c r="Q3" s="303">
        <v>45728</v>
      </c>
      <c r="R3" s="93">
        <f>N3-P3</f>
        <v>0.68000000000029104</v>
      </c>
      <c r="S3" s="91"/>
    </row>
    <row r="4" spans="1:19">
      <c r="A4" s="91" t="s">
        <v>41</v>
      </c>
      <c r="B4" s="91" t="s">
        <v>42</v>
      </c>
      <c r="C4" s="91">
        <v>4500095281</v>
      </c>
      <c r="D4" s="97" t="s">
        <v>43</v>
      </c>
      <c r="E4" s="91" t="s">
        <v>467</v>
      </c>
      <c r="F4" s="303">
        <v>45684</v>
      </c>
      <c r="G4" s="92">
        <v>167143</v>
      </c>
      <c r="H4" s="92"/>
      <c r="I4" s="91" t="s">
        <v>89</v>
      </c>
      <c r="J4" s="91" t="s">
        <v>468</v>
      </c>
      <c r="K4" s="306">
        <v>45716</v>
      </c>
      <c r="L4" s="92">
        <v>65000</v>
      </c>
      <c r="M4" s="93">
        <f>L4*2%</f>
        <v>1300</v>
      </c>
      <c r="N4" s="93">
        <f>L4*1.18-M4</f>
        <v>75400</v>
      </c>
      <c r="O4" s="306">
        <f>VLOOKUP(J4,'Billing and Payment Details'!J:K,2,0)</f>
        <v>45763</v>
      </c>
      <c r="P4" s="93">
        <f>N4</f>
        <v>75400</v>
      </c>
      <c r="Q4" s="303">
        <v>45766</v>
      </c>
      <c r="R4" s="93">
        <f t="shared" ref="R4:R15" si="0">N4-P4</f>
        <v>0</v>
      </c>
      <c r="S4" s="91"/>
    </row>
    <row r="5" spans="1:19">
      <c r="A5" s="91" t="s">
        <v>41</v>
      </c>
      <c r="B5" s="91" t="s">
        <v>42</v>
      </c>
      <c r="C5" s="91">
        <v>4500095281</v>
      </c>
      <c r="D5" s="97" t="s">
        <v>43</v>
      </c>
      <c r="E5" s="91" t="s">
        <v>467</v>
      </c>
      <c r="F5" s="303">
        <v>45684</v>
      </c>
      <c r="G5" s="92">
        <v>167143</v>
      </c>
      <c r="H5" s="92"/>
      <c r="I5" s="91" t="s">
        <v>89</v>
      </c>
      <c r="J5" s="91" t="s">
        <v>469</v>
      </c>
      <c r="K5" s="306">
        <v>45747</v>
      </c>
      <c r="L5" s="92">
        <v>65000</v>
      </c>
      <c r="M5" s="93">
        <f>L5*2%</f>
        <v>1300</v>
      </c>
      <c r="N5" s="93">
        <f>L5*1.18-M5</f>
        <v>75400</v>
      </c>
      <c r="O5" s="306">
        <f>VLOOKUP(J5,'Billing and Payment Details'!J:K,2,0)</f>
        <v>45805</v>
      </c>
      <c r="P5" s="93">
        <f>N5</f>
        <v>75400</v>
      </c>
      <c r="Q5" s="303"/>
      <c r="R5" s="93">
        <f t="shared" si="0"/>
        <v>0</v>
      </c>
      <c r="S5" s="91"/>
    </row>
    <row r="6" spans="1:19" hidden="1">
      <c r="A6" s="91" t="s">
        <v>41</v>
      </c>
      <c r="B6" s="91" t="s">
        <v>42</v>
      </c>
      <c r="C6" s="91">
        <v>4500098831</v>
      </c>
      <c r="D6" s="97" t="s">
        <v>43</v>
      </c>
      <c r="E6" s="91" t="s">
        <v>470</v>
      </c>
      <c r="F6" s="305">
        <v>45753</v>
      </c>
      <c r="G6" s="92">
        <v>130000</v>
      </c>
      <c r="H6" s="92"/>
      <c r="I6" s="91" t="s">
        <v>89</v>
      </c>
      <c r="J6" s="91" t="s">
        <v>471</v>
      </c>
      <c r="K6" s="306">
        <v>45821</v>
      </c>
      <c r="L6" s="92">
        <v>65000</v>
      </c>
      <c r="M6" s="93">
        <f>L6*2%</f>
        <v>1300</v>
      </c>
      <c r="N6" s="93">
        <f>L6*1.18-M6</f>
        <v>75400</v>
      </c>
      <c r="O6" s="306">
        <f>VLOOKUP(J6,'Billing and Payment Details'!J:K,2,0)</f>
        <v>45859</v>
      </c>
      <c r="P6" s="93">
        <v>75400</v>
      </c>
      <c r="Q6" s="303">
        <v>45875</v>
      </c>
      <c r="R6" s="93">
        <f t="shared" si="0"/>
        <v>0</v>
      </c>
      <c r="S6" s="91" t="s">
        <v>472</v>
      </c>
    </row>
    <row r="7" spans="1:19" hidden="1">
      <c r="A7" s="91" t="s">
        <v>41</v>
      </c>
      <c r="B7" s="91" t="s">
        <v>42</v>
      </c>
      <c r="C7" s="91">
        <v>4500098831</v>
      </c>
      <c r="D7" s="97" t="s">
        <v>43</v>
      </c>
      <c r="E7" s="91" t="s">
        <v>470</v>
      </c>
      <c r="F7" s="305">
        <v>45753</v>
      </c>
      <c r="G7" s="92">
        <v>130000</v>
      </c>
      <c r="H7" s="92"/>
      <c r="I7" s="91" t="s">
        <v>89</v>
      </c>
      <c r="J7" s="91" t="s">
        <v>473</v>
      </c>
      <c r="K7" s="306">
        <v>45821</v>
      </c>
      <c r="L7" s="92">
        <v>65000</v>
      </c>
      <c r="M7" s="93">
        <f>L7*2%</f>
        <v>1300</v>
      </c>
      <c r="N7" s="93">
        <f>L7*1.18-M7</f>
        <v>75400</v>
      </c>
      <c r="O7" s="306">
        <f>VLOOKUP(J7,'Billing and Payment Details'!J:K,2,0)</f>
        <v>45859</v>
      </c>
      <c r="P7" s="93">
        <v>75400</v>
      </c>
      <c r="Q7" s="303">
        <v>45875</v>
      </c>
      <c r="R7" s="93">
        <f t="shared" si="0"/>
        <v>0</v>
      </c>
      <c r="S7" s="91" t="s">
        <v>472</v>
      </c>
    </row>
    <row r="8" spans="1:19" hidden="1">
      <c r="A8" s="91" t="s">
        <v>44</v>
      </c>
      <c r="B8" s="97" t="s">
        <v>45</v>
      </c>
      <c r="C8" s="97">
        <v>4500095649</v>
      </c>
      <c r="D8" s="97" t="s">
        <v>474</v>
      </c>
      <c r="E8" s="91" t="s">
        <v>475</v>
      </c>
      <c r="F8" s="303">
        <v>45687</v>
      </c>
      <c r="G8" s="92">
        <v>1904748</v>
      </c>
      <c r="H8" s="92">
        <f>VLOOKUP(E8,E:G,3,0)-SUMIF(E:E,$E$8,L:L)</f>
        <v>694189</v>
      </c>
      <c r="I8" s="91" t="s">
        <v>89</v>
      </c>
      <c r="J8" s="98" t="s">
        <v>161</v>
      </c>
      <c r="K8" s="306">
        <v>45716</v>
      </c>
      <c r="L8" s="99">
        <v>158729</v>
      </c>
      <c r="M8" s="93">
        <f t="shared" ref="M8:M14" si="1">L8*10%</f>
        <v>15872.900000000001</v>
      </c>
      <c r="N8" s="93">
        <f t="shared" ref="N8:N20" si="2">(L8*1.18)-M8</f>
        <v>171427.32</v>
      </c>
      <c r="O8" s="306">
        <f>VLOOKUP(J8,'Billing and Payment Details'!J:K,2,0)</f>
        <v>45770</v>
      </c>
      <c r="P8" s="93">
        <f>N8</f>
        <v>171427.32</v>
      </c>
      <c r="Q8" s="303">
        <v>45772</v>
      </c>
      <c r="R8" s="92">
        <f t="shared" ref="R8:R14" si="3">ROUND(N8-P8,0)</f>
        <v>0</v>
      </c>
      <c r="S8" s="91"/>
    </row>
    <row r="9" spans="1:19" hidden="1">
      <c r="A9" s="91" t="s">
        <v>44</v>
      </c>
      <c r="B9" s="97" t="s">
        <v>45</v>
      </c>
      <c r="C9" s="97">
        <v>4500095649</v>
      </c>
      <c r="D9" s="97" t="s">
        <v>474</v>
      </c>
      <c r="E9" s="91" t="s">
        <v>475</v>
      </c>
      <c r="F9" s="303">
        <v>45687</v>
      </c>
      <c r="G9" s="92">
        <v>1904748</v>
      </c>
      <c r="H9" s="92">
        <f t="shared" ref="H9:H14" si="4">VLOOKUP(E9,E:G,3,0)-SUMIF(E:E,$E$8,L:L)</f>
        <v>694189</v>
      </c>
      <c r="I9" s="91" t="s">
        <v>89</v>
      </c>
      <c r="J9" s="98" t="s">
        <v>163</v>
      </c>
      <c r="K9" s="306">
        <v>45716</v>
      </c>
      <c r="L9" s="99">
        <v>31746</v>
      </c>
      <c r="M9" s="93">
        <f t="shared" si="1"/>
        <v>3174.6000000000004</v>
      </c>
      <c r="N9" s="93">
        <f t="shared" si="2"/>
        <v>34285.68</v>
      </c>
      <c r="O9" s="306">
        <f>VLOOKUP(J9,'Billing and Payment Details'!J:K,2,0)</f>
        <v>45770</v>
      </c>
      <c r="P9" s="93">
        <f>N9</f>
        <v>34285.68</v>
      </c>
      <c r="Q9" s="303">
        <v>45772</v>
      </c>
      <c r="R9" s="92">
        <f t="shared" si="3"/>
        <v>0</v>
      </c>
      <c r="S9" s="91"/>
    </row>
    <row r="10" spans="1:19" hidden="1">
      <c r="A10" s="91" t="s">
        <v>44</v>
      </c>
      <c r="B10" s="97" t="s">
        <v>45</v>
      </c>
      <c r="C10" s="97">
        <v>4500095649</v>
      </c>
      <c r="D10" s="97" t="s">
        <v>474</v>
      </c>
      <c r="E10" s="91" t="s">
        <v>475</v>
      </c>
      <c r="F10" s="303">
        <v>45687</v>
      </c>
      <c r="G10" s="92">
        <v>1904748</v>
      </c>
      <c r="H10" s="92">
        <f t="shared" si="4"/>
        <v>694189</v>
      </c>
      <c r="I10" s="91" t="s">
        <v>89</v>
      </c>
      <c r="J10" s="98" t="s">
        <v>165</v>
      </c>
      <c r="K10" s="306">
        <v>45716</v>
      </c>
      <c r="L10" s="99">
        <v>158729</v>
      </c>
      <c r="M10" s="93">
        <f t="shared" si="1"/>
        <v>15872.900000000001</v>
      </c>
      <c r="N10" s="93">
        <f t="shared" si="2"/>
        <v>171427.32</v>
      </c>
      <c r="O10" s="306">
        <f>VLOOKUP(J10,'Billing and Payment Details'!J:K,2,0)</f>
        <v>45770</v>
      </c>
      <c r="P10" s="93">
        <f>N10</f>
        <v>171427.32</v>
      </c>
      <c r="Q10" s="303">
        <v>45772</v>
      </c>
      <c r="R10" s="92">
        <f t="shared" si="3"/>
        <v>0</v>
      </c>
      <c r="S10" s="91"/>
    </row>
    <row r="11" spans="1:19" hidden="1">
      <c r="A11" s="91" t="s">
        <v>44</v>
      </c>
      <c r="B11" s="97" t="s">
        <v>45</v>
      </c>
      <c r="C11" s="97">
        <v>4500095649</v>
      </c>
      <c r="D11" s="97" t="s">
        <v>474</v>
      </c>
      <c r="E11" s="91" t="s">
        <v>475</v>
      </c>
      <c r="F11" s="303">
        <v>45687</v>
      </c>
      <c r="G11" s="92">
        <v>1904748</v>
      </c>
      <c r="H11" s="92">
        <f t="shared" si="4"/>
        <v>694189</v>
      </c>
      <c r="I11" s="91" t="s">
        <v>89</v>
      </c>
      <c r="J11" s="98" t="s">
        <v>167</v>
      </c>
      <c r="K11" s="306">
        <v>45743</v>
      </c>
      <c r="L11" s="99">
        <v>124716</v>
      </c>
      <c r="M11" s="93">
        <f t="shared" si="1"/>
        <v>12471.6</v>
      </c>
      <c r="N11" s="93">
        <f t="shared" si="2"/>
        <v>134693.28</v>
      </c>
      <c r="O11" s="306">
        <f>VLOOKUP(J11,'Billing and Payment Details'!J:K,2,0)</f>
        <v>45770</v>
      </c>
      <c r="P11" s="93">
        <f>N11</f>
        <v>134693.28</v>
      </c>
      <c r="Q11" s="303">
        <v>45772</v>
      </c>
      <c r="R11" s="92">
        <f t="shared" si="3"/>
        <v>0</v>
      </c>
      <c r="S11" s="91"/>
    </row>
    <row r="12" spans="1:19" hidden="1">
      <c r="A12" s="91" t="s">
        <v>44</v>
      </c>
      <c r="B12" s="97" t="s">
        <v>45</v>
      </c>
      <c r="C12" s="97">
        <v>4500095649</v>
      </c>
      <c r="D12" s="97" t="s">
        <v>474</v>
      </c>
      <c r="E12" s="91" t="s">
        <v>475</v>
      </c>
      <c r="F12" s="303">
        <v>45687</v>
      </c>
      <c r="G12" s="92">
        <v>1904748</v>
      </c>
      <c r="H12" s="92">
        <f t="shared" si="4"/>
        <v>694189</v>
      </c>
      <c r="I12" s="91" t="s">
        <v>89</v>
      </c>
      <c r="J12" s="98" t="s">
        <v>169</v>
      </c>
      <c r="K12" s="306">
        <v>45763</v>
      </c>
      <c r="L12" s="99">
        <v>138248</v>
      </c>
      <c r="M12" s="93">
        <f t="shared" si="1"/>
        <v>13824.800000000001</v>
      </c>
      <c r="N12" s="93">
        <f t="shared" si="2"/>
        <v>149307.84</v>
      </c>
      <c r="O12" s="306">
        <f>VLOOKUP(J12,'Billing and Payment Details'!J:K,2,0)</f>
        <v>45770</v>
      </c>
      <c r="P12" s="93">
        <v>149308</v>
      </c>
      <c r="Q12" s="303">
        <v>45772</v>
      </c>
      <c r="R12" s="92">
        <f t="shared" si="3"/>
        <v>0</v>
      </c>
      <c r="S12" s="91"/>
    </row>
    <row r="13" spans="1:19" hidden="1">
      <c r="A13" s="91" t="s">
        <v>44</v>
      </c>
      <c r="B13" s="97" t="s">
        <v>45</v>
      </c>
      <c r="C13" s="97">
        <v>4500095649</v>
      </c>
      <c r="D13" s="97" t="s">
        <v>474</v>
      </c>
      <c r="E13" s="91" t="s">
        <v>475</v>
      </c>
      <c r="F13" s="303">
        <v>45687</v>
      </c>
      <c r="G13" s="92">
        <v>1904748</v>
      </c>
      <c r="H13" s="92">
        <f t="shared" si="4"/>
        <v>694189</v>
      </c>
      <c r="I13" s="91" t="s">
        <v>89</v>
      </c>
      <c r="J13" s="98" t="s">
        <v>171</v>
      </c>
      <c r="K13" s="306">
        <v>45786</v>
      </c>
      <c r="L13" s="99">
        <v>158729</v>
      </c>
      <c r="M13" s="93">
        <f t="shared" si="1"/>
        <v>15872.900000000001</v>
      </c>
      <c r="N13" s="93">
        <f t="shared" si="2"/>
        <v>171427.32</v>
      </c>
      <c r="O13" s="306">
        <f>VLOOKUP(J13,'Billing and Payment Details'!J:K,2,0)</f>
        <v>45838</v>
      </c>
      <c r="P13" s="93">
        <v>171427.32</v>
      </c>
      <c r="Q13" s="303">
        <v>45866</v>
      </c>
      <c r="R13" s="92">
        <f t="shared" si="3"/>
        <v>0</v>
      </c>
      <c r="S13" s="97" t="s">
        <v>476</v>
      </c>
    </row>
    <row r="14" spans="1:19" hidden="1">
      <c r="A14" s="91" t="s">
        <v>44</v>
      </c>
      <c r="B14" s="97" t="s">
        <v>45</v>
      </c>
      <c r="C14" s="97">
        <v>4500095649</v>
      </c>
      <c r="D14" s="97" t="s">
        <v>474</v>
      </c>
      <c r="E14" s="91" t="s">
        <v>475</v>
      </c>
      <c r="F14" s="303">
        <v>45687</v>
      </c>
      <c r="G14" s="92">
        <v>1904748</v>
      </c>
      <c r="H14" s="92">
        <f t="shared" si="4"/>
        <v>694189</v>
      </c>
      <c r="I14" s="91" t="s">
        <v>89</v>
      </c>
      <c r="J14" s="98" t="s">
        <v>173</v>
      </c>
      <c r="K14" s="306">
        <v>45817</v>
      </c>
      <c r="L14" s="99">
        <v>148488</v>
      </c>
      <c r="M14" s="93">
        <f t="shared" si="1"/>
        <v>14848.800000000001</v>
      </c>
      <c r="N14" s="93">
        <f t="shared" si="2"/>
        <v>160367.04000000001</v>
      </c>
      <c r="O14" s="306">
        <f>VLOOKUP(J14,'Billing and Payment Details'!J:K,2,0)</f>
        <v>45847</v>
      </c>
      <c r="P14" s="93">
        <v>160367</v>
      </c>
      <c r="Q14" s="303">
        <v>45852</v>
      </c>
      <c r="R14" s="92">
        <f t="shared" si="3"/>
        <v>0</v>
      </c>
      <c r="S14" s="97" t="s">
        <v>477</v>
      </c>
    </row>
    <row r="15" spans="1:19" hidden="1">
      <c r="A15" s="91" t="s">
        <v>46</v>
      </c>
      <c r="B15" s="91" t="s">
        <v>47</v>
      </c>
      <c r="C15" s="97">
        <v>4500098672</v>
      </c>
      <c r="D15" s="91" t="s">
        <v>478</v>
      </c>
      <c r="E15" s="91" t="s">
        <v>479</v>
      </c>
      <c r="F15" s="303">
        <v>45810</v>
      </c>
      <c r="G15" s="92">
        <v>993446</v>
      </c>
      <c r="H15" s="92"/>
      <c r="I15" s="91" t="s">
        <v>89</v>
      </c>
      <c r="J15" s="91" t="s">
        <v>480</v>
      </c>
      <c r="K15" s="303">
        <v>45810</v>
      </c>
      <c r="L15" s="92">
        <v>116876</v>
      </c>
      <c r="M15" s="93">
        <f t="shared" ref="M15:M20" si="5">L15*2%</f>
        <v>2337.52</v>
      </c>
      <c r="N15" s="93">
        <f t="shared" si="2"/>
        <v>135576.16</v>
      </c>
      <c r="O15" s="306">
        <f>VLOOKUP(J15,'Billing and Payment Details'!J:K,2,0)</f>
        <v>45840</v>
      </c>
      <c r="P15" s="93">
        <f>33894+101682</f>
        <v>135576</v>
      </c>
      <c r="Q15" s="303" t="s">
        <v>481</v>
      </c>
      <c r="R15" s="93">
        <f t="shared" si="0"/>
        <v>0.16000000000349246</v>
      </c>
      <c r="S15" s="91"/>
    </row>
    <row r="16" spans="1:19" ht="14.4" hidden="1">
      <c r="A16" s="91" t="s">
        <v>482</v>
      </c>
      <c r="B16" s="91" t="s">
        <v>483</v>
      </c>
      <c r="C16" s="97">
        <v>4500083044</v>
      </c>
      <c r="D16" s="91" t="s">
        <v>484</v>
      </c>
      <c r="E16" s="65" t="s">
        <v>485</v>
      </c>
      <c r="F16" s="303"/>
      <c r="G16" s="92">
        <v>325440</v>
      </c>
      <c r="H16" s="92"/>
      <c r="I16" s="91"/>
      <c r="J16" s="91" t="s">
        <v>486</v>
      </c>
      <c r="K16" s="303">
        <v>45509</v>
      </c>
      <c r="L16" s="99">
        <v>162720</v>
      </c>
      <c r="M16" s="93">
        <f t="shared" si="5"/>
        <v>3254.4</v>
      </c>
      <c r="N16" s="93">
        <f t="shared" si="2"/>
        <v>188755.19999999998</v>
      </c>
      <c r="O16" s="306">
        <f>VLOOKUP(J16,'Billing and Payment Details'!J:K,2,0)</f>
        <v>45420</v>
      </c>
      <c r="P16" s="93">
        <v>188169</v>
      </c>
      <c r="Q16" s="303">
        <v>45533</v>
      </c>
      <c r="R16" s="93">
        <f>N16-P16</f>
        <v>586.19999999998254</v>
      </c>
      <c r="S16" s="91"/>
    </row>
    <row r="17" spans="1:19" ht="14.4" hidden="1">
      <c r="A17" s="91" t="s">
        <v>482</v>
      </c>
      <c r="B17" s="91" t="s">
        <v>483</v>
      </c>
      <c r="C17" s="97">
        <v>4500083044</v>
      </c>
      <c r="D17" s="91" t="s">
        <v>484</v>
      </c>
      <c r="E17" s="65" t="s">
        <v>485</v>
      </c>
      <c r="F17" s="303"/>
      <c r="G17" s="92"/>
      <c r="H17" s="92"/>
      <c r="I17" s="91"/>
      <c r="J17" s="91" t="s">
        <v>487</v>
      </c>
      <c r="K17" s="303">
        <v>45692</v>
      </c>
      <c r="L17" s="99">
        <v>162720</v>
      </c>
      <c r="M17" s="93">
        <f t="shared" si="5"/>
        <v>3254.4</v>
      </c>
      <c r="N17" s="93">
        <f t="shared" si="2"/>
        <v>188755.19999999998</v>
      </c>
      <c r="O17" s="306">
        <f>VLOOKUP(J17,'Billing and Payment Details'!J:K,2,0)</f>
        <v>45505</v>
      </c>
      <c r="P17" s="93">
        <v>189321</v>
      </c>
      <c r="Q17" s="303">
        <v>45695</v>
      </c>
      <c r="R17" s="93">
        <f>N17-P17-20.6</f>
        <v>-586.40000000001749</v>
      </c>
      <c r="S17" s="91" t="s">
        <v>488</v>
      </c>
    </row>
    <row r="18" spans="1:19" ht="14.4" hidden="1">
      <c r="A18" s="91" t="s">
        <v>482</v>
      </c>
      <c r="B18" s="91" t="s">
        <v>483</v>
      </c>
      <c r="C18" s="97">
        <v>4500094598</v>
      </c>
      <c r="D18" s="91" t="s">
        <v>484</v>
      </c>
      <c r="E18" s="65" t="s">
        <v>489</v>
      </c>
      <c r="F18" s="303"/>
      <c r="G18" s="92">
        <v>433920</v>
      </c>
      <c r="H18" s="92"/>
      <c r="I18" s="91"/>
      <c r="J18" s="91" t="s">
        <v>487</v>
      </c>
      <c r="K18" s="303">
        <v>45692</v>
      </c>
      <c r="L18" s="99">
        <v>162720</v>
      </c>
      <c r="M18" s="93">
        <f t="shared" si="5"/>
        <v>3254.4</v>
      </c>
      <c r="N18" s="93">
        <f t="shared" si="2"/>
        <v>188755.19999999998</v>
      </c>
      <c r="O18" s="306">
        <f>VLOOKUP(J18,'Billing and Payment Details'!J:K,2,0)</f>
        <v>45505</v>
      </c>
      <c r="P18" s="93">
        <f>378076-189321</f>
        <v>188755</v>
      </c>
      <c r="Q18" s="303">
        <v>45695</v>
      </c>
      <c r="R18" s="93">
        <f>N18-P18</f>
        <v>0.1999999999825377</v>
      </c>
      <c r="S18" s="91"/>
    </row>
    <row r="19" spans="1:19" ht="14.4" hidden="1">
      <c r="A19" s="91" t="s">
        <v>482</v>
      </c>
      <c r="B19" s="91" t="s">
        <v>483</v>
      </c>
      <c r="C19" s="97">
        <v>4500094598</v>
      </c>
      <c r="D19" s="91" t="s">
        <v>484</v>
      </c>
      <c r="E19" s="65" t="s">
        <v>489</v>
      </c>
      <c r="F19" s="303"/>
      <c r="G19" s="92"/>
      <c r="H19" s="92"/>
      <c r="I19" s="91"/>
      <c r="J19" s="91" t="s">
        <v>490</v>
      </c>
      <c r="K19" s="303">
        <v>45786</v>
      </c>
      <c r="L19" s="99">
        <v>271200</v>
      </c>
      <c r="M19" s="93">
        <f t="shared" si="5"/>
        <v>5424</v>
      </c>
      <c r="N19" s="93">
        <f t="shared" si="2"/>
        <v>314592</v>
      </c>
      <c r="O19" s="306">
        <f>VLOOKUP(J19,'Billing and Payment Details'!J:K,2,0)</f>
        <v>45660</v>
      </c>
      <c r="P19" s="93">
        <f>265776+48816</f>
        <v>314592</v>
      </c>
      <c r="Q19" s="303" t="s">
        <v>491</v>
      </c>
      <c r="R19" s="93">
        <f>N19-P19</f>
        <v>0</v>
      </c>
      <c r="S19" s="91" t="s">
        <v>492</v>
      </c>
    </row>
    <row r="20" spans="1:19" hidden="1">
      <c r="A20" s="91" t="s">
        <v>48</v>
      </c>
      <c r="B20" s="97" t="s">
        <v>49</v>
      </c>
      <c r="C20" s="97">
        <v>4500097314</v>
      </c>
      <c r="D20" s="97" t="s">
        <v>493</v>
      </c>
      <c r="E20" s="91" t="s">
        <v>494</v>
      </c>
      <c r="F20" s="303">
        <v>45804</v>
      </c>
      <c r="G20" s="92">
        <v>546241.44999999995</v>
      </c>
      <c r="H20" s="92"/>
      <c r="I20" s="91"/>
      <c r="J20" s="97" t="s">
        <v>177</v>
      </c>
      <c r="K20" s="306">
        <v>45805</v>
      </c>
      <c r="L20" s="99">
        <v>546241</v>
      </c>
      <c r="M20" s="93">
        <f t="shared" si="5"/>
        <v>10924.82</v>
      </c>
      <c r="N20" s="93">
        <f t="shared" si="2"/>
        <v>633639.56000000006</v>
      </c>
      <c r="O20" s="306">
        <f>VLOOKUP(J20,'Billing and Payment Details'!J:K,2,0)</f>
        <v>45798</v>
      </c>
      <c r="P20" s="100">
        <f>535316+98324</f>
        <v>633640</v>
      </c>
      <c r="Q20" s="303" t="s">
        <v>495</v>
      </c>
      <c r="R20" s="93">
        <f>N20-P20</f>
        <v>-0.43999999994412065</v>
      </c>
      <c r="S20" s="91" t="s">
        <v>496</v>
      </c>
    </row>
    <row r="21" spans="1:19" hidden="1">
      <c r="A21" s="97" t="s">
        <v>50</v>
      </c>
      <c r="B21" s="91" t="s">
        <v>51</v>
      </c>
      <c r="C21" s="91">
        <v>4500095362</v>
      </c>
      <c r="D21" s="97" t="s">
        <v>497</v>
      </c>
      <c r="E21" s="91" t="s">
        <v>498</v>
      </c>
      <c r="F21" s="303">
        <v>45680</v>
      </c>
      <c r="G21" s="92">
        <v>1014701</v>
      </c>
      <c r="H21" s="92"/>
      <c r="I21" s="91" t="s">
        <v>89</v>
      </c>
      <c r="J21" s="97">
        <v>4253</v>
      </c>
      <c r="K21" s="303">
        <v>45684</v>
      </c>
      <c r="L21" s="99">
        <v>149950</v>
      </c>
      <c r="M21" s="93">
        <f t="shared" ref="M21:M33" si="6">L21*2%</f>
        <v>2999</v>
      </c>
      <c r="N21" s="93">
        <f t="shared" ref="N21:N30" si="7">(L21*1.18)-M21</f>
        <v>173942</v>
      </c>
      <c r="O21" s="306">
        <f>VLOOKUP(J21,'Billing and Payment Details'!J:K,2,0)</f>
        <v>45714</v>
      </c>
      <c r="P21" s="100">
        <v>173942</v>
      </c>
      <c r="Q21" s="306">
        <v>45716</v>
      </c>
      <c r="R21" s="93">
        <f t="shared" ref="R21:R27" si="8">N21-P21</f>
        <v>0</v>
      </c>
      <c r="S21" s="91"/>
    </row>
    <row r="22" spans="1:19" hidden="1">
      <c r="A22" s="97" t="s">
        <v>50</v>
      </c>
      <c r="B22" s="91" t="s">
        <v>51</v>
      </c>
      <c r="C22" s="91">
        <v>4500095362</v>
      </c>
      <c r="D22" s="97" t="s">
        <v>497</v>
      </c>
      <c r="E22" s="91" t="s">
        <v>498</v>
      </c>
      <c r="F22" s="303">
        <v>45680</v>
      </c>
      <c r="G22" s="92">
        <v>1014701</v>
      </c>
      <c r="H22" s="92"/>
      <c r="I22" s="91" t="s">
        <v>89</v>
      </c>
      <c r="J22" s="97">
        <v>4252</v>
      </c>
      <c r="K22" s="303">
        <v>45684</v>
      </c>
      <c r="L22" s="99">
        <v>115000</v>
      </c>
      <c r="M22" s="93">
        <f t="shared" si="6"/>
        <v>2300</v>
      </c>
      <c r="N22" s="93">
        <f t="shared" si="7"/>
        <v>133400</v>
      </c>
      <c r="O22" s="306">
        <f>VLOOKUP(J22,'Billing and Payment Details'!J:K,2,0)</f>
        <v>45714</v>
      </c>
      <c r="P22" s="100">
        <v>133400</v>
      </c>
      <c r="Q22" s="306" t="s">
        <v>499</v>
      </c>
      <c r="R22" s="93">
        <f t="shared" si="8"/>
        <v>0</v>
      </c>
      <c r="S22" s="91"/>
    </row>
    <row r="23" spans="1:19" hidden="1">
      <c r="A23" s="97" t="s">
        <v>50</v>
      </c>
      <c r="B23" s="91" t="s">
        <v>51</v>
      </c>
      <c r="C23" s="91">
        <v>4500095362</v>
      </c>
      <c r="D23" s="97" t="s">
        <v>497</v>
      </c>
      <c r="E23" s="91" t="s">
        <v>498</v>
      </c>
      <c r="F23" s="303">
        <v>45680</v>
      </c>
      <c r="G23" s="92">
        <v>1014701</v>
      </c>
      <c r="H23" s="92"/>
      <c r="I23" s="91" t="s">
        <v>89</v>
      </c>
      <c r="J23" s="97">
        <v>4262</v>
      </c>
      <c r="K23" s="303">
        <v>45695</v>
      </c>
      <c r="L23" s="99">
        <v>74975</v>
      </c>
      <c r="M23" s="93">
        <f t="shared" si="6"/>
        <v>1499.5</v>
      </c>
      <c r="N23" s="93">
        <f t="shared" si="7"/>
        <v>86971</v>
      </c>
      <c r="O23" s="306">
        <f>VLOOKUP(J23,'Billing and Payment Details'!J:K,2,0)</f>
        <v>45728</v>
      </c>
      <c r="P23" s="100">
        <v>86971</v>
      </c>
      <c r="Q23" s="306" t="s">
        <v>500</v>
      </c>
      <c r="R23" s="93">
        <f t="shared" si="8"/>
        <v>0</v>
      </c>
      <c r="S23" s="91"/>
    </row>
    <row r="24" spans="1:19" hidden="1">
      <c r="A24" s="97" t="s">
        <v>50</v>
      </c>
      <c r="B24" s="91" t="s">
        <v>51</v>
      </c>
      <c r="C24" s="91">
        <v>4500095362</v>
      </c>
      <c r="D24" s="97" t="s">
        <v>497</v>
      </c>
      <c r="E24" s="91" t="s">
        <v>498</v>
      </c>
      <c r="F24" s="303">
        <v>45680</v>
      </c>
      <c r="G24" s="92">
        <v>1014701</v>
      </c>
      <c r="H24" s="92"/>
      <c r="I24" s="91" t="s">
        <v>89</v>
      </c>
      <c r="J24" s="97">
        <v>4281</v>
      </c>
      <c r="K24" s="303">
        <v>45726</v>
      </c>
      <c r="L24" s="99">
        <v>74975</v>
      </c>
      <c r="M24" s="93">
        <f t="shared" si="6"/>
        <v>1499.5</v>
      </c>
      <c r="N24" s="93">
        <f t="shared" si="7"/>
        <v>86971</v>
      </c>
      <c r="O24" s="306">
        <f>VLOOKUP(J24,'Billing and Payment Details'!J:K,2,0)</f>
        <v>45763</v>
      </c>
      <c r="P24" s="100">
        <v>86970</v>
      </c>
      <c r="Q24" s="306">
        <v>45745</v>
      </c>
      <c r="R24" s="93">
        <f>N24-P24-1</f>
        <v>0</v>
      </c>
      <c r="S24" s="91"/>
    </row>
    <row r="25" spans="1:19" hidden="1">
      <c r="A25" s="97" t="s">
        <v>50</v>
      </c>
      <c r="B25" s="91" t="s">
        <v>51</v>
      </c>
      <c r="C25" s="91">
        <v>4500095362</v>
      </c>
      <c r="D25" s="97" t="s">
        <v>497</v>
      </c>
      <c r="E25" s="91" t="s">
        <v>498</v>
      </c>
      <c r="F25" s="303">
        <v>45680</v>
      </c>
      <c r="G25" s="92">
        <v>1014701</v>
      </c>
      <c r="H25" s="92"/>
      <c r="I25" s="91" t="s">
        <v>89</v>
      </c>
      <c r="J25" s="97">
        <v>4299</v>
      </c>
      <c r="K25" s="303">
        <v>45749</v>
      </c>
      <c r="L25" s="99">
        <v>74975</v>
      </c>
      <c r="M25" s="93">
        <f t="shared" si="6"/>
        <v>1499.5</v>
      </c>
      <c r="N25" s="93">
        <f t="shared" si="7"/>
        <v>86971</v>
      </c>
      <c r="O25" s="306">
        <f>VLOOKUP(J25,'Billing and Payment Details'!J:K,2,0)</f>
        <v>45777</v>
      </c>
      <c r="P25" s="100">
        <v>86970</v>
      </c>
      <c r="Q25" s="306">
        <v>45789</v>
      </c>
      <c r="R25" s="93">
        <f>N25-P25-1</f>
        <v>0</v>
      </c>
      <c r="S25" s="91"/>
    </row>
    <row r="26" spans="1:19" hidden="1">
      <c r="A26" s="97" t="s">
        <v>50</v>
      </c>
      <c r="B26" s="91" t="s">
        <v>51</v>
      </c>
      <c r="C26" s="91">
        <v>4500095362</v>
      </c>
      <c r="D26" s="97" t="s">
        <v>497</v>
      </c>
      <c r="E26" s="91" t="s">
        <v>498</v>
      </c>
      <c r="F26" s="303">
        <v>45680</v>
      </c>
      <c r="G26" s="92">
        <v>1014701</v>
      </c>
      <c r="H26" s="92"/>
      <c r="I26" s="91" t="s">
        <v>89</v>
      </c>
      <c r="J26" s="97">
        <v>4307</v>
      </c>
      <c r="K26" s="303">
        <v>45775</v>
      </c>
      <c r="L26" s="99">
        <v>74975</v>
      </c>
      <c r="M26" s="93">
        <f t="shared" si="6"/>
        <v>1499.5</v>
      </c>
      <c r="N26" s="93">
        <f t="shared" si="7"/>
        <v>86971</v>
      </c>
      <c r="O26" s="306">
        <f>VLOOKUP(J26,'Billing and Payment Details'!J:K,2,0)</f>
        <v>45840</v>
      </c>
      <c r="P26" s="93">
        <v>86971</v>
      </c>
      <c r="Q26" s="303">
        <v>45853</v>
      </c>
      <c r="R26" s="93">
        <f t="shared" si="8"/>
        <v>0</v>
      </c>
      <c r="S26" s="97" t="s">
        <v>477</v>
      </c>
    </row>
    <row r="27" spans="1:19" hidden="1">
      <c r="A27" s="97" t="s">
        <v>50</v>
      </c>
      <c r="B27" s="91" t="s">
        <v>51</v>
      </c>
      <c r="C27" s="91">
        <v>4500095362</v>
      </c>
      <c r="D27" s="97" t="s">
        <v>497</v>
      </c>
      <c r="E27" s="91" t="s">
        <v>498</v>
      </c>
      <c r="F27" s="303">
        <v>45680</v>
      </c>
      <c r="G27" s="92">
        <v>1014701</v>
      </c>
      <c r="H27" s="92"/>
      <c r="I27" s="91" t="s">
        <v>89</v>
      </c>
      <c r="J27" s="97">
        <v>4325</v>
      </c>
      <c r="K27" s="303">
        <v>45811</v>
      </c>
      <c r="L27" s="99">
        <v>74975</v>
      </c>
      <c r="M27" s="93">
        <f t="shared" si="6"/>
        <v>1499.5</v>
      </c>
      <c r="N27" s="93">
        <f t="shared" si="7"/>
        <v>86971</v>
      </c>
      <c r="O27" s="306">
        <f>VLOOKUP(J27,'Billing and Payment Details'!J:K,2,0)</f>
        <v>45869</v>
      </c>
      <c r="P27" s="93">
        <v>86971</v>
      </c>
      <c r="Q27" s="303">
        <v>45882</v>
      </c>
      <c r="R27" s="93">
        <f t="shared" si="8"/>
        <v>0</v>
      </c>
      <c r="S27" s="97" t="s">
        <v>501</v>
      </c>
    </row>
    <row r="28" spans="1:19" hidden="1">
      <c r="A28" s="97" t="s">
        <v>52</v>
      </c>
      <c r="B28" s="91" t="s">
        <v>25</v>
      </c>
      <c r="C28" s="97">
        <v>4500092529</v>
      </c>
      <c r="D28" s="91" t="s">
        <v>502</v>
      </c>
      <c r="E28" s="97" t="s">
        <v>503</v>
      </c>
      <c r="F28" s="303">
        <v>45566</v>
      </c>
      <c r="G28" s="92">
        <v>1634844</v>
      </c>
      <c r="H28" s="92"/>
      <c r="I28" s="91"/>
      <c r="J28" s="97" t="s">
        <v>504</v>
      </c>
      <c r="K28" s="303">
        <v>45645</v>
      </c>
      <c r="L28" s="99">
        <v>371561</v>
      </c>
      <c r="M28" s="93">
        <f t="shared" si="6"/>
        <v>7431.22</v>
      </c>
      <c r="N28" s="93">
        <f t="shared" si="7"/>
        <v>431010.76</v>
      </c>
      <c r="O28" s="306">
        <f>VLOOKUP(J28,'Billing and Payment Details'!J:K,2,0)</f>
        <v>45609</v>
      </c>
      <c r="P28" s="93">
        <v>381010</v>
      </c>
      <c r="Q28" s="303">
        <v>45672</v>
      </c>
      <c r="R28" s="93">
        <f>N28-P28</f>
        <v>50000.760000000009</v>
      </c>
      <c r="S28" s="91"/>
    </row>
    <row r="29" spans="1:19" hidden="1">
      <c r="A29" s="97" t="s">
        <v>52</v>
      </c>
      <c r="B29" s="91" t="s">
        <v>25</v>
      </c>
      <c r="C29" s="97">
        <v>4500097684</v>
      </c>
      <c r="D29" s="91" t="s">
        <v>502</v>
      </c>
      <c r="E29" s="97" t="s">
        <v>503</v>
      </c>
      <c r="F29" s="303">
        <v>45566</v>
      </c>
      <c r="G29" s="92">
        <v>1634844</v>
      </c>
      <c r="H29" s="92"/>
      <c r="I29" s="91"/>
      <c r="J29" s="97" t="s">
        <v>505</v>
      </c>
      <c r="K29" s="303">
        <v>45751</v>
      </c>
      <c r="L29" s="99">
        <v>553175</v>
      </c>
      <c r="M29" s="93">
        <f t="shared" si="6"/>
        <v>11063.5</v>
      </c>
      <c r="N29" s="93">
        <f t="shared" si="7"/>
        <v>641683</v>
      </c>
      <c r="O29" s="306">
        <f>VLOOKUP(J29,'Billing and Payment Details'!J:K,2,0)</f>
        <v>45777</v>
      </c>
      <c r="P29" s="93">
        <v>636773</v>
      </c>
      <c r="Q29" s="303">
        <v>45833</v>
      </c>
      <c r="R29" s="93">
        <f t="shared" ref="R29:R31" si="9">N29-P29</f>
        <v>4910</v>
      </c>
      <c r="S29" s="91"/>
    </row>
    <row r="30" spans="1:19" hidden="1">
      <c r="A30" s="97" t="s">
        <v>52</v>
      </c>
      <c r="B30" s="91" t="s">
        <v>25</v>
      </c>
      <c r="C30" s="97">
        <v>4500097799</v>
      </c>
      <c r="D30" s="91" t="s">
        <v>502</v>
      </c>
      <c r="E30" s="97" t="s">
        <v>506</v>
      </c>
      <c r="F30" s="306">
        <v>45776</v>
      </c>
      <c r="G30" s="99">
        <v>245500</v>
      </c>
      <c r="H30" s="99"/>
      <c r="I30" s="91"/>
      <c r="J30" s="97" t="s">
        <v>507</v>
      </c>
      <c r="K30" s="303">
        <v>45786</v>
      </c>
      <c r="L30" s="99">
        <v>245500</v>
      </c>
      <c r="M30" s="93">
        <f t="shared" si="6"/>
        <v>4910</v>
      </c>
      <c r="N30" s="93">
        <f t="shared" si="7"/>
        <v>284780</v>
      </c>
      <c r="O30" s="306">
        <f>VLOOKUP(J30,'Billing and Payment Details'!J:K,2,0)</f>
        <v>45798</v>
      </c>
      <c r="P30" s="93">
        <v>289690</v>
      </c>
      <c r="Q30" s="303">
        <v>45805</v>
      </c>
      <c r="R30" s="93">
        <f t="shared" si="9"/>
        <v>-4910</v>
      </c>
      <c r="S30" s="97"/>
    </row>
    <row r="31" spans="1:19" ht="14.4" hidden="1">
      <c r="A31" s="97" t="s">
        <v>52</v>
      </c>
      <c r="B31" s="91" t="s">
        <v>25</v>
      </c>
      <c r="C31" s="101">
        <v>4500100035</v>
      </c>
      <c r="D31" s="91" t="s">
        <v>502</v>
      </c>
      <c r="E31" s="97" t="s">
        <v>508</v>
      </c>
      <c r="F31" s="306">
        <v>45736</v>
      </c>
      <c r="G31" s="99">
        <v>50000</v>
      </c>
      <c r="H31" s="99"/>
      <c r="I31" s="91"/>
      <c r="J31" s="97" t="s">
        <v>509</v>
      </c>
      <c r="K31" s="303">
        <v>45798</v>
      </c>
      <c r="L31" s="92">
        <v>50000</v>
      </c>
      <c r="M31" s="93">
        <f t="shared" si="6"/>
        <v>1000</v>
      </c>
      <c r="N31" s="93">
        <f>(L31*1.18)-M31</f>
        <v>58000</v>
      </c>
      <c r="O31" s="306">
        <f>VLOOKUP(J31,'Billing and Payment Details'!J:K,2,0)</f>
        <v>45882</v>
      </c>
      <c r="P31" s="93"/>
      <c r="Q31" s="303"/>
      <c r="R31" s="93">
        <f t="shared" si="9"/>
        <v>58000</v>
      </c>
      <c r="S31" s="97" t="s">
        <v>510</v>
      </c>
    </row>
    <row r="32" spans="1:19" hidden="1">
      <c r="A32" s="91" t="s">
        <v>53</v>
      </c>
      <c r="B32" s="91" t="s">
        <v>25</v>
      </c>
      <c r="C32" s="97">
        <v>4500092808</v>
      </c>
      <c r="D32" s="91" t="s">
        <v>511</v>
      </c>
      <c r="E32" s="97" t="s">
        <v>512</v>
      </c>
      <c r="F32" s="303">
        <v>45556</v>
      </c>
      <c r="G32" s="92">
        <v>3053531</v>
      </c>
      <c r="H32" s="92"/>
      <c r="I32" s="91"/>
      <c r="J32" s="91" t="s">
        <v>513</v>
      </c>
      <c r="K32" s="306">
        <v>45600</v>
      </c>
      <c r="L32" s="99">
        <v>282917</v>
      </c>
      <c r="M32" s="93">
        <f t="shared" si="6"/>
        <v>5658.34</v>
      </c>
      <c r="N32" s="93">
        <f>(L32*1.18)-M32</f>
        <v>328183.71999999997</v>
      </c>
      <c r="O32" s="306" t="e">
        <f>VLOOKUP(J32,'Billing and Payment Details'!J:K,2,0)</f>
        <v>#N/A</v>
      </c>
      <c r="P32" s="97">
        <v>328184</v>
      </c>
      <c r="Q32" s="303">
        <v>45646</v>
      </c>
      <c r="R32" s="93">
        <f t="shared" ref="R32:R35" si="10">N32-P32</f>
        <v>-0.28000000002793968</v>
      </c>
      <c r="S32" s="91"/>
    </row>
    <row r="33" spans="1:19" hidden="1">
      <c r="A33" s="91" t="s">
        <v>53</v>
      </c>
      <c r="B33" s="91" t="s">
        <v>25</v>
      </c>
      <c r="C33" s="97">
        <v>4500092808</v>
      </c>
      <c r="D33" s="91" t="s">
        <v>511</v>
      </c>
      <c r="E33" s="97" t="s">
        <v>512</v>
      </c>
      <c r="F33" s="303">
        <v>45556</v>
      </c>
      <c r="G33" s="92">
        <v>0</v>
      </c>
      <c r="H33" s="92"/>
      <c r="I33" s="91"/>
      <c r="J33" s="91" t="s">
        <v>514</v>
      </c>
      <c r="K33" s="303">
        <v>45744</v>
      </c>
      <c r="L33" s="99">
        <v>229642</v>
      </c>
      <c r="M33" s="93">
        <f t="shared" si="6"/>
        <v>4592.84</v>
      </c>
      <c r="N33" s="93">
        <f>(L33*1.18)-M33</f>
        <v>266384.71999999997</v>
      </c>
      <c r="O33" s="306" t="e">
        <f>VLOOKUP(J33,'Billing and Payment Details'!J:K,2,0)</f>
        <v>#N/A</v>
      </c>
      <c r="P33" s="97">
        <v>266385</v>
      </c>
      <c r="Q33" s="303">
        <v>45789</v>
      </c>
      <c r="R33" s="93">
        <f t="shared" ref="R33" si="11">N33-P33</f>
        <v>-0.28000000002793968</v>
      </c>
      <c r="S33" s="91"/>
    </row>
    <row r="34" spans="1:19" ht="14.4" hidden="1">
      <c r="A34" s="91" t="s">
        <v>53</v>
      </c>
      <c r="B34" s="91" t="s">
        <v>25</v>
      </c>
      <c r="C34" s="88">
        <v>4500092930</v>
      </c>
      <c r="D34" s="91" t="s">
        <v>511</v>
      </c>
      <c r="E34" s="97" t="s">
        <v>512</v>
      </c>
      <c r="F34" s="303">
        <v>45556</v>
      </c>
      <c r="G34" s="92">
        <v>0</v>
      </c>
      <c r="H34" s="92"/>
      <c r="I34" s="91"/>
      <c r="J34" s="91" t="s">
        <v>514</v>
      </c>
      <c r="K34" s="303">
        <v>45744</v>
      </c>
      <c r="L34" s="99">
        <v>12858</v>
      </c>
      <c r="M34" s="93">
        <f t="shared" ref="M34" si="12">L34*2%</f>
        <v>257.16000000000003</v>
      </c>
      <c r="N34" s="93">
        <f>(L34*1.18)-M34</f>
        <v>14915.279999999999</v>
      </c>
      <c r="O34" s="306" t="e">
        <f>VLOOKUP(J34,'Billing and Payment Details'!J:K,2,0)</f>
        <v>#N/A</v>
      </c>
      <c r="P34" s="97">
        <v>14915</v>
      </c>
      <c r="Q34" s="303">
        <v>45789</v>
      </c>
      <c r="R34" s="93">
        <f t="shared" si="10"/>
        <v>0.27999999999883585</v>
      </c>
      <c r="S34" s="91"/>
    </row>
    <row r="35" spans="1:19" hidden="1">
      <c r="A35" s="91" t="s">
        <v>53</v>
      </c>
      <c r="B35" s="91" t="s">
        <v>25</v>
      </c>
      <c r="C35" s="97">
        <v>4500097527</v>
      </c>
      <c r="D35" s="91" t="s">
        <v>511</v>
      </c>
      <c r="E35" s="97" t="s">
        <v>512</v>
      </c>
      <c r="F35" s="303">
        <v>45556</v>
      </c>
      <c r="G35" s="92">
        <v>0</v>
      </c>
      <c r="H35" s="92"/>
      <c r="I35" s="91"/>
      <c r="J35" s="91" t="s">
        <v>515</v>
      </c>
      <c r="K35" s="303">
        <v>45748</v>
      </c>
      <c r="L35" s="99">
        <v>1050268</v>
      </c>
      <c r="M35" s="93">
        <f t="shared" ref="M35" si="13">L35*2%</f>
        <v>21005.360000000001</v>
      </c>
      <c r="N35" s="93">
        <f>(L35*1.18)-M35</f>
        <v>1218310.8799999999</v>
      </c>
      <c r="O35" s="306" t="e">
        <f>VLOOKUP(J35,'Billing and Payment Details'!J:K,2,0)</f>
        <v>#N/A</v>
      </c>
      <c r="P35" s="97">
        <v>1218311</v>
      </c>
      <c r="Q35" s="303">
        <v>45778</v>
      </c>
      <c r="R35" s="93">
        <f t="shared" si="10"/>
        <v>-0.12000000011175871</v>
      </c>
      <c r="S35" s="91"/>
    </row>
    <row r="36" spans="1:19" hidden="1">
      <c r="A36" s="91" t="s">
        <v>54</v>
      </c>
      <c r="B36" s="97" t="s">
        <v>55</v>
      </c>
      <c r="C36" s="97">
        <v>4500091403</v>
      </c>
      <c r="D36" s="97" t="s">
        <v>516</v>
      </c>
      <c r="E36" s="91" t="s">
        <v>517</v>
      </c>
      <c r="F36" s="303" t="s">
        <v>518</v>
      </c>
      <c r="G36" s="92">
        <v>197838</v>
      </c>
      <c r="H36" s="92"/>
      <c r="I36" s="91"/>
      <c r="J36" s="97" t="s">
        <v>519</v>
      </c>
      <c r="K36" s="306">
        <v>45546</v>
      </c>
      <c r="L36" s="99">
        <v>150357</v>
      </c>
      <c r="M36" s="93">
        <f>L36*10%</f>
        <v>15035.7</v>
      </c>
      <c r="N36" s="93">
        <f t="shared" ref="N36" si="14">(L36*1.18)-M36</f>
        <v>162385.55999999997</v>
      </c>
      <c r="O36" s="303">
        <v>45574</v>
      </c>
      <c r="P36" s="100">
        <v>162386</v>
      </c>
      <c r="Q36" s="306">
        <v>45603</v>
      </c>
      <c r="R36" s="93">
        <f>N36-P36</f>
        <v>-0.44000000003143214</v>
      </c>
      <c r="S36" s="97" t="s">
        <v>520</v>
      </c>
    </row>
    <row r="37" spans="1:19" hidden="1">
      <c r="A37" s="91" t="s">
        <v>54</v>
      </c>
      <c r="B37" s="97" t="s">
        <v>55</v>
      </c>
      <c r="C37" s="97">
        <v>4500091403</v>
      </c>
      <c r="D37" s="97" t="s">
        <v>516</v>
      </c>
      <c r="E37" s="91" t="s">
        <v>517</v>
      </c>
      <c r="F37" s="303" t="s">
        <v>518</v>
      </c>
      <c r="G37" s="92" t="s">
        <v>518</v>
      </c>
      <c r="H37" s="92"/>
      <c r="I37" s="91"/>
      <c r="J37" s="97" t="s">
        <v>521</v>
      </c>
      <c r="K37" s="306">
        <v>45546</v>
      </c>
      <c r="L37" s="99">
        <v>47481</v>
      </c>
      <c r="M37" s="93">
        <f t="shared" ref="M37:M43" si="15">L37*10%</f>
        <v>4748.1000000000004</v>
      </c>
      <c r="N37" s="93">
        <f t="shared" ref="N37:N43" si="16">(L37*1.18)-M37</f>
        <v>51279.479999999996</v>
      </c>
      <c r="O37" s="303">
        <v>45574</v>
      </c>
      <c r="P37" s="100">
        <v>51279</v>
      </c>
      <c r="Q37" s="306">
        <v>45603</v>
      </c>
      <c r="R37" s="93">
        <f t="shared" ref="R37:R43" si="17">N37-P37</f>
        <v>0.47999999999592546</v>
      </c>
      <c r="S37" s="97" t="s">
        <v>520</v>
      </c>
    </row>
    <row r="38" spans="1:19" hidden="1">
      <c r="A38" s="91" t="s">
        <v>54</v>
      </c>
      <c r="B38" s="97" t="s">
        <v>55</v>
      </c>
      <c r="C38" s="97">
        <v>4500091408</v>
      </c>
      <c r="D38" s="97" t="s">
        <v>516</v>
      </c>
      <c r="E38" s="91" t="s">
        <v>522</v>
      </c>
      <c r="F38" s="303" t="s">
        <v>518</v>
      </c>
      <c r="G38" s="92">
        <v>637038</v>
      </c>
      <c r="H38" s="92"/>
      <c r="I38" s="91"/>
      <c r="J38" s="97" t="s">
        <v>523</v>
      </c>
      <c r="K38" s="306">
        <v>45546</v>
      </c>
      <c r="L38" s="99">
        <v>118703</v>
      </c>
      <c r="M38" s="93">
        <f t="shared" si="15"/>
        <v>11870.300000000001</v>
      </c>
      <c r="N38" s="93">
        <f t="shared" si="16"/>
        <v>128199.23999999998</v>
      </c>
      <c r="O38" s="303">
        <v>45574</v>
      </c>
      <c r="P38" s="100">
        <v>128199</v>
      </c>
      <c r="Q38" s="306">
        <v>45603</v>
      </c>
      <c r="R38" s="93">
        <f t="shared" si="17"/>
        <v>0.23999999997613486</v>
      </c>
      <c r="S38" s="97" t="s">
        <v>520</v>
      </c>
    </row>
    <row r="39" spans="1:19" hidden="1">
      <c r="A39" s="91" t="s">
        <v>54</v>
      </c>
      <c r="B39" s="97" t="s">
        <v>55</v>
      </c>
      <c r="C39" s="97">
        <v>4500091408</v>
      </c>
      <c r="D39" s="97" t="s">
        <v>516</v>
      </c>
      <c r="E39" s="91" t="s">
        <v>522</v>
      </c>
      <c r="F39" s="303" t="s">
        <v>518</v>
      </c>
      <c r="G39" s="92" t="s">
        <v>518</v>
      </c>
      <c r="H39" s="92"/>
      <c r="I39" s="91"/>
      <c r="J39" s="97" t="s">
        <v>524</v>
      </c>
      <c r="K39" s="306">
        <v>45546</v>
      </c>
      <c r="L39" s="99">
        <v>94962</v>
      </c>
      <c r="M39" s="93">
        <f t="shared" si="15"/>
        <v>9496.2000000000007</v>
      </c>
      <c r="N39" s="93">
        <f t="shared" si="16"/>
        <v>102558.95999999999</v>
      </c>
      <c r="O39" s="303">
        <v>45574</v>
      </c>
      <c r="P39" s="100">
        <v>102559</v>
      </c>
      <c r="Q39" s="306">
        <v>45603</v>
      </c>
      <c r="R39" s="93">
        <f t="shared" si="17"/>
        <v>-4.0000000008149073E-2</v>
      </c>
      <c r="S39" s="97" t="s">
        <v>520</v>
      </c>
    </row>
    <row r="40" spans="1:19" hidden="1">
      <c r="A40" s="91" t="s">
        <v>54</v>
      </c>
      <c r="B40" s="97" t="s">
        <v>55</v>
      </c>
      <c r="C40" s="97">
        <v>4500091408</v>
      </c>
      <c r="D40" s="97" t="s">
        <v>516</v>
      </c>
      <c r="E40" s="91" t="s">
        <v>522</v>
      </c>
      <c r="F40" s="303" t="s">
        <v>518</v>
      </c>
      <c r="G40" s="92" t="s">
        <v>518</v>
      </c>
      <c r="H40" s="92"/>
      <c r="I40" s="91"/>
      <c r="J40" s="97" t="s">
        <v>525</v>
      </c>
      <c r="K40" s="306">
        <v>45546</v>
      </c>
      <c r="L40" s="99">
        <v>98919</v>
      </c>
      <c r="M40" s="93">
        <f t="shared" si="15"/>
        <v>9891.9000000000015</v>
      </c>
      <c r="N40" s="93">
        <f t="shared" si="16"/>
        <v>106832.51999999999</v>
      </c>
      <c r="O40" s="303">
        <v>45574</v>
      </c>
      <c r="P40" s="100">
        <v>106833</v>
      </c>
      <c r="Q40" s="306">
        <v>45603</v>
      </c>
      <c r="R40" s="93">
        <f t="shared" si="17"/>
        <v>-0.48000000001047738</v>
      </c>
      <c r="S40" s="97" t="s">
        <v>520</v>
      </c>
    </row>
    <row r="41" spans="1:19" hidden="1">
      <c r="A41" s="91" t="s">
        <v>54</v>
      </c>
      <c r="B41" s="97" t="s">
        <v>55</v>
      </c>
      <c r="C41" s="97">
        <v>4500091408</v>
      </c>
      <c r="D41" s="97" t="s">
        <v>516</v>
      </c>
      <c r="E41" s="91" t="s">
        <v>522</v>
      </c>
      <c r="F41" s="303" t="s">
        <v>518</v>
      </c>
      <c r="G41" s="92" t="s">
        <v>518</v>
      </c>
      <c r="H41" s="92"/>
      <c r="I41" s="91"/>
      <c r="J41" s="97" t="s">
        <v>526</v>
      </c>
      <c r="K41" s="306">
        <v>45546</v>
      </c>
      <c r="L41" s="99">
        <v>98919</v>
      </c>
      <c r="M41" s="93">
        <f t="shared" si="15"/>
        <v>9891.9000000000015</v>
      </c>
      <c r="N41" s="93">
        <f t="shared" si="16"/>
        <v>106832.51999999999</v>
      </c>
      <c r="O41" s="303">
        <v>45574</v>
      </c>
      <c r="P41" s="100">
        <v>106833</v>
      </c>
      <c r="Q41" s="306">
        <v>45603</v>
      </c>
      <c r="R41" s="93">
        <f t="shared" si="17"/>
        <v>-0.48000000001047738</v>
      </c>
      <c r="S41" s="97" t="s">
        <v>520</v>
      </c>
    </row>
    <row r="42" spans="1:19" hidden="1">
      <c r="A42" s="91" t="s">
        <v>54</v>
      </c>
      <c r="B42" s="97" t="s">
        <v>55</v>
      </c>
      <c r="C42" s="97">
        <v>4500091408</v>
      </c>
      <c r="D42" s="97" t="s">
        <v>516</v>
      </c>
      <c r="E42" s="91" t="s">
        <v>522</v>
      </c>
      <c r="F42" s="303" t="s">
        <v>518</v>
      </c>
      <c r="G42" s="92" t="s">
        <v>518</v>
      </c>
      <c r="H42" s="92"/>
      <c r="I42" s="91"/>
      <c r="J42" s="97" t="s">
        <v>527</v>
      </c>
      <c r="K42" s="306">
        <v>45546</v>
      </c>
      <c r="L42" s="99">
        <v>94962</v>
      </c>
      <c r="M42" s="93">
        <f t="shared" si="15"/>
        <v>9496.2000000000007</v>
      </c>
      <c r="N42" s="93">
        <f t="shared" si="16"/>
        <v>102558.95999999999</v>
      </c>
      <c r="O42" s="303">
        <v>45574</v>
      </c>
      <c r="P42" s="100">
        <v>102559</v>
      </c>
      <c r="Q42" s="306">
        <v>45603</v>
      </c>
      <c r="R42" s="93">
        <f t="shared" si="17"/>
        <v>-4.0000000008149073E-2</v>
      </c>
      <c r="S42" s="97" t="s">
        <v>520</v>
      </c>
    </row>
    <row r="43" spans="1:19" hidden="1">
      <c r="A43" s="91" t="s">
        <v>54</v>
      </c>
      <c r="B43" s="97" t="s">
        <v>55</v>
      </c>
      <c r="C43" s="97">
        <v>4500091408</v>
      </c>
      <c r="D43" s="97" t="s">
        <v>516</v>
      </c>
      <c r="E43" s="91" t="s">
        <v>522</v>
      </c>
      <c r="F43" s="303" t="s">
        <v>518</v>
      </c>
      <c r="G43" s="92" t="s">
        <v>518</v>
      </c>
      <c r="H43" s="92"/>
      <c r="I43" s="91"/>
      <c r="J43" s="97" t="s">
        <v>528</v>
      </c>
      <c r="K43" s="306">
        <v>45546</v>
      </c>
      <c r="L43" s="99">
        <v>130573</v>
      </c>
      <c r="M43" s="93">
        <f t="shared" si="15"/>
        <v>13057.300000000001</v>
      </c>
      <c r="N43" s="93">
        <f t="shared" si="16"/>
        <v>141018.84</v>
      </c>
      <c r="O43" s="303">
        <v>45574</v>
      </c>
      <c r="P43" s="100">
        <v>141019</v>
      </c>
      <c r="Q43" s="306">
        <v>45603</v>
      </c>
      <c r="R43" s="93">
        <f t="shared" si="17"/>
        <v>-0.16000000000349246</v>
      </c>
      <c r="S43" s="97" t="s">
        <v>520</v>
      </c>
    </row>
    <row r="44" spans="1:19" hidden="1">
      <c r="A44" s="91"/>
      <c r="B44" s="97"/>
      <c r="C44" s="97"/>
      <c r="D44" s="91" t="s">
        <v>529</v>
      </c>
      <c r="E44" s="91"/>
      <c r="F44" s="303"/>
      <c r="G44" s="92"/>
      <c r="H44" s="92"/>
      <c r="I44" s="91"/>
      <c r="J44" s="97" t="s">
        <v>530</v>
      </c>
      <c r="K44" s="306"/>
      <c r="L44" s="99"/>
      <c r="M44" s="93"/>
      <c r="N44" s="93">
        <v>411480</v>
      </c>
      <c r="O44" s="303" t="s">
        <v>531</v>
      </c>
      <c r="P44" s="99">
        <f>274320+137160</f>
        <v>411480</v>
      </c>
      <c r="Q44" s="306" t="s">
        <v>532</v>
      </c>
      <c r="R44" s="93">
        <f>N44-P44</f>
        <v>0</v>
      </c>
      <c r="S44" s="97"/>
    </row>
    <row r="45" spans="1:19" hidden="1">
      <c r="A45" s="91"/>
      <c r="B45" s="97" t="s">
        <v>56</v>
      </c>
      <c r="C45" s="97">
        <v>4500087051</v>
      </c>
      <c r="D45" s="91" t="s">
        <v>529</v>
      </c>
      <c r="E45" s="91"/>
      <c r="F45" s="303"/>
      <c r="G45" s="92"/>
      <c r="H45" s="92"/>
      <c r="I45" s="91"/>
      <c r="J45" s="102" t="s">
        <v>533</v>
      </c>
      <c r="K45" s="306">
        <v>45407</v>
      </c>
      <c r="L45" s="99">
        <v>507000</v>
      </c>
      <c r="M45" s="93">
        <f t="shared" ref="M45:M68" si="18">L45*10%</f>
        <v>50700</v>
      </c>
      <c r="N45" s="93">
        <f t="shared" ref="N45:N86" si="19">(L45*1.18)-M45</f>
        <v>547560</v>
      </c>
      <c r="O45" s="303" t="s">
        <v>531</v>
      </c>
      <c r="P45" s="99">
        <v>547560</v>
      </c>
      <c r="Q45" s="306">
        <v>45415</v>
      </c>
      <c r="R45" s="93">
        <f t="shared" ref="R45:R68" si="20">N45-P45</f>
        <v>0</v>
      </c>
      <c r="S45" s="91"/>
    </row>
    <row r="46" spans="1:19" hidden="1">
      <c r="A46" s="91"/>
      <c r="B46" s="97" t="s">
        <v>57</v>
      </c>
      <c r="C46" s="97">
        <v>4500089409</v>
      </c>
      <c r="D46" s="91" t="s">
        <v>529</v>
      </c>
      <c r="E46" s="91"/>
      <c r="F46" s="303"/>
      <c r="G46" s="92"/>
      <c r="H46" s="92"/>
      <c r="I46" s="91"/>
      <c r="J46" s="103" t="s">
        <v>534</v>
      </c>
      <c r="K46" s="312">
        <v>45471</v>
      </c>
      <c r="L46" s="99">
        <v>500000</v>
      </c>
      <c r="M46" s="93">
        <f t="shared" si="18"/>
        <v>50000</v>
      </c>
      <c r="N46" s="93">
        <f t="shared" si="19"/>
        <v>540000</v>
      </c>
      <c r="O46" s="303" t="s">
        <v>531</v>
      </c>
      <c r="P46" s="99">
        <v>540000</v>
      </c>
      <c r="Q46" s="306">
        <v>45502</v>
      </c>
      <c r="R46" s="93">
        <f>N46-P46</f>
        <v>0</v>
      </c>
      <c r="S46" s="91"/>
    </row>
    <row r="47" spans="1:19" hidden="1">
      <c r="A47" s="91"/>
      <c r="B47" s="97" t="s">
        <v>57</v>
      </c>
      <c r="C47" s="97">
        <v>4500093384</v>
      </c>
      <c r="D47" s="91" t="s">
        <v>529</v>
      </c>
      <c r="E47" s="91"/>
      <c r="F47" s="303"/>
      <c r="G47" s="92"/>
      <c r="H47" s="92"/>
      <c r="I47" s="91"/>
      <c r="J47" s="103" t="s">
        <v>535</v>
      </c>
      <c r="K47" s="312">
        <v>45611</v>
      </c>
      <c r="L47" s="99">
        <v>600000</v>
      </c>
      <c r="M47" s="93">
        <f t="shared" si="18"/>
        <v>60000</v>
      </c>
      <c r="N47" s="93">
        <f t="shared" si="19"/>
        <v>648000</v>
      </c>
      <c r="O47" s="303" t="s">
        <v>531</v>
      </c>
      <c r="P47" s="99">
        <v>648000</v>
      </c>
      <c r="Q47" s="306">
        <v>45689</v>
      </c>
      <c r="R47" s="93">
        <f>N47-P47</f>
        <v>0</v>
      </c>
      <c r="S47" s="91"/>
    </row>
    <row r="48" spans="1:19" hidden="1">
      <c r="A48" s="91"/>
      <c r="B48" s="97" t="s">
        <v>56</v>
      </c>
      <c r="C48" s="97">
        <v>4500094223</v>
      </c>
      <c r="D48" s="91" t="s">
        <v>529</v>
      </c>
      <c r="E48" s="91"/>
      <c r="F48" s="303"/>
      <c r="G48" s="92"/>
      <c r="H48" s="92"/>
      <c r="I48" s="91"/>
      <c r="J48" s="103" t="s">
        <v>536</v>
      </c>
      <c r="K48" s="312">
        <v>45675</v>
      </c>
      <c r="L48" s="99">
        <v>600000</v>
      </c>
      <c r="M48" s="93">
        <f t="shared" si="18"/>
        <v>60000</v>
      </c>
      <c r="N48" s="93">
        <f t="shared" si="19"/>
        <v>648000</v>
      </c>
      <c r="O48" s="303" t="s">
        <v>531</v>
      </c>
      <c r="P48" s="99">
        <f>639360+8640</f>
        <v>648000</v>
      </c>
      <c r="Q48" s="306" t="s">
        <v>537</v>
      </c>
      <c r="R48" s="93">
        <f t="shared" si="20"/>
        <v>0</v>
      </c>
      <c r="S48" s="91"/>
    </row>
    <row r="49" spans="1:19" hidden="1">
      <c r="A49" s="91"/>
      <c r="B49" s="97" t="s">
        <v>57</v>
      </c>
      <c r="C49" s="97">
        <v>4500097505</v>
      </c>
      <c r="D49" s="91" t="s">
        <v>529</v>
      </c>
      <c r="E49" s="91"/>
      <c r="F49" s="303"/>
      <c r="G49" s="92"/>
      <c r="H49" s="92"/>
      <c r="I49" s="91"/>
      <c r="J49" s="103" t="s">
        <v>538</v>
      </c>
      <c r="K49" s="312">
        <v>45735</v>
      </c>
      <c r="L49" s="99">
        <v>600000</v>
      </c>
      <c r="M49" s="93">
        <f t="shared" si="18"/>
        <v>60000</v>
      </c>
      <c r="N49" s="93">
        <f t="shared" si="19"/>
        <v>648000</v>
      </c>
      <c r="O49" s="303" t="s">
        <v>531</v>
      </c>
      <c r="P49" s="92">
        <v>648000</v>
      </c>
      <c r="Q49" s="306">
        <v>45772</v>
      </c>
      <c r="R49" s="93">
        <f t="shared" si="20"/>
        <v>0</v>
      </c>
      <c r="S49" s="91"/>
    </row>
    <row r="50" spans="1:19" hidden="1">
      <c r="A50" s="91"/>
      <c r="B50" s="97" t="s">
        <v>57</v>
      </c>
      <c r="C50" s="97">
        <v>4500083659</v>
      </c>
      <c r="D50" s="91" t="s">
        <v>529</v>
      </c>
      <c r="E50" s="91"/>
      <c r="F50" s="303"/>
      <c r="G50" s="92"/>
      <c r="H50" s="92"/>
      <c r="I50" s="91"/>
      <c r="J50" s="103" t="s">
        <v>539</v>
      </c>
      <c r="K50" s="312">
        <v>45412</v>
      </c>
      <c r="L50" s="99">
        <v>127000</v>
      </c>
      <c r="M50" s="93">
        <f t="shared" si="18"/>
        <v>12700</v>
      </c>
      <c r="N50" s="93">
        <f t="shared" si="19"/>
        <v>137160</v>
      </c>
      <c r="O50" s="303" t="s">
        <v>531</v>
      </c>
      <c r="P50" s="99">
        <v>137160</v>
      </c>
      <c r="Q50" s="306">
        <v>45415</v>
      </c>
      <c r="R50" s="93">
        <f t="shared" si="20"/>
        <v>0</v>
      </c>
      <c r="S50" s="91"/>
    </row>
    <row r="51" spans="1:19" hidden="1">
      <c r="A51" s="91"/>
      <c r="B51" s="97" t="s">
        <v>57</v>
      </c>
      <c r="C51" s="97">
        <v>4500083659</v>
      </c>
      <c r="D51" s="91" t="s">
        <v>529</v>
      </c>
      <c r="E51" s="91"/>
      <c r="F51" s="303"/>
      <c r="G51" s="92"/>
      <c r="H51" s="92"/>
      <c r="I51" s="91"/>
      <c r="J51" s="103" t="s">
        <v>540</v>
      </c>
      <c r="K51" s="312">
        <v>45443</v>
      </c>
      <c r="L51" s="99">
        <v>127000</v>
      </c>
      <c r="M51" s="93">
        <f t="shared" si="18"/>
        <v>12700</v>
      </c>
      <c r="N51" s="93">
        <f t="shared" si="19"/>
        <v>137160</v>
      </c>
      <c r="O51" s="303" t="s">
        <v>531</v>
      </c>
      <c r="P51" s="99">
        <v>137160</v>
      </c>
      <c r="Q51" s="306">
        <v>45483</v>
      </c>
      <c r="R51" s="93">
        <f t="shared" si="20"/>
        <v>0</v>
      </c>
      <c r="S51" s="91"/>
    </row>
    <row r="52" spans="1:19" hidden="1">
      <c r="A52" s="91"/>
      <c r="B52" s="97" t="s">
        <v>57</v>
      </c>
      <c r="C52" s="97">
        <v>4500083659</v>
      </c>
      <c r="D52" s="91" t="s">
        <v>529</v>
      </c>
      <c r="E52" s="91"/>
      <c r="F52" s="303"/>
      <c r="G52" s="92"/>
      <c r="H52" s="92"/>
      <c r="I52" s="91"/>
      <c r="J52" s="103" t="s">
        <v>541</v>
      </c>
      <c r="K52" s="312">
        <v>45471</v>
      </c>
      <c r="L52" s="99">
        <v>127000</v>
      </c>
      <c r="M52" s="93">
        <f t="shared" si="18"/>
        <v>12700</v>
      </c>
      <c r="N52" s="93">
        <f t="shared" si="19"/>
        <v>137160</v>
      </c>
      <c r="O52" s="303" t="s">
        <v>531</v>
      </c>
      <c r="P52" s="99">
        <v>137160</v>
      </c>
      <c r="Q52" s="306">
        <v>45506</v>
      </c>
      <c r="R52" s="93">
        <f t="shared" si="20"/>
        <v>0</v>
      </c>
      <c r="S52" s="91"/>
    </row>
    <row r="53" spans="1:19" hidden="1">
      <c r="A53" s="91"/>
      <c r="B53" s="97" t="s">
        <v>57</v>
      </c>
      <c r="C53" s="97">
        <v>4500083659</v>
      </c>
      <c r="D53" s="91" t="s">
        <v>529</v>
      </c>
      <c r="E53" s="91"/>
      <c r="F53" s="303"/>
      <c r="G53" s="92"/>
      <c r="H53" s="92"/>
      <c r="I53" s="91"/>
      <c r="J53" s="103" t="s">
        <v>542</v>
      </c>
      <c r="K53" s="312">
        <v>45504</v>
      </c>
      <c r="L53" s="99">
        <v>127000</v>
      </c>
      <c r="M53" s="93">
        <f t="shared" si="18"/>
        <v>12700</v>
      </c>
      <c r="N53" s="93">
        <f t="shared" si="19"/>
        <v>137160</v>
      </c>
      <c r="O53" s="303" t="s">
        <v>531</v>
      </c>
      <c r="P53" s="99">
        <v>137160</v>
      </c>
      <c r="Q53" s="306">
        <v>45539</v>
      </c>
      <c r="R53" s="93">
        <f t="shared" si="20"/>
        <v>0</v>
      </c>
      <c r="S53" s="91"/>
    </row>
    <row r="54" spans="1:19" hidden="1">
      <c r="A54" s="91"/>
      <c r="B54" s="97" t="s">
        <v>57</v>
      </c>
      <c r="C54" s="97">
        <v>4500083659</v>
      </c>
      <c r="D54" s="91" t="s">
        <v>529</v>
      </c>
      <c r="E54" s="91"/>
      <c r="F54" s="303"/>
      <c r="G54" s="92"/>
      <c r="H54" s="92"/>
      <c r="I54" s="91"/>
      <c r="J54" s="103" t="s">
        <v>543</v>
      </c>
      <c r="K54" s="312">
        <v>45535</v>
      </c>
      <c r="L54" s="99">
        <v>127000</v>
      </c>
      <c r="M54" s="93">
        <f t="shared" si="18"/>
        <v>12700</v>
      </c>
      <c r="N54" s="93">
        <f t="shared" si="19"/>
        <v>137160</v>
      </c>
      <c r="O54" s="303" t="s">
        <v>531</v>
      </c>
      <c r="P54" s="99">
        <v>137160</v>
      </c>
      <c r="Q54" s="306">
        <v>45646</v>
      </c>
      <c r="R54" s="93">
        <f t="shared" si="20"/>
        <v>0</v>
      </c>
      <c r="S54" s="91"/>
    </row>
    <row r="55" spans="1:19" hidden="1">
      <c r="A55" s="91"/>
      <c r="B55" s="97" t="s">
        <v>56</v>
      </c>
      <c r="C55" s="97">
        <v>4500083659</v>
      </c>
      <c r="D55" s="91" t="s">
        <v>529</v>
      </c>
      <c r="E55" s="91"/>
      <c r="F55" s="303"/>
      <c r="G55" s="92"/>
      <c r="H55" s="92"/>
      <c r="I55" s="91"/>
      <c r="J55" s="103" t="s">
        <v>544</v>
      </c>
      <c r="K55" s="312">
        <v>45565</v>
      </c>
      <c r="L55" s="99">
        <v>127000</v>
      </c>
      <c r="M55" s="93">
        <f t="shared" si="18"/>
        <v>12700</v>
      </c>
      <c r="N55" s="93">
        <f t="shared" si="19"/>
        <v>137160</v>
      </c>
      <c r="O55" s="303" t="s">
        <v>531</v>
      </c>
      <c r="P55" s="99">
        <v>137160</v>
      </c>
      <c r="Q55" s="306">
        <v>45646</v>
      </c>
      <c r="R55" s="93">
        <f t="shared" si="20"/>
        <v>0</v>
      </c>
      <c r="S55" s="91"/>
    </row>
    <row r="56" spans="1:19" hidden="1">
      <c r="A56" s="91"/>
      <c r="B56" s="97" t="s">
        <v>56</v>
      </c>
      <c r="C56" s="97">
        <v>4500093722</v>
      </c>
      <c r="D56" s="91" t="s">
        <v>529</v>
      </c>
      <c r="E56" s="91"/>
      <c r="F56" s="303"/>
      <c r="G56" s="92"/>
      <c r="H56" s="92"/>
      <c r="I56" s="91"/>
      <c r="J56" s="103" t="s">
        <v>545</v>
      </c>
      <c r="K56" s="312">
        <v>45581</v>
      </c>
      <c r="L56" s="99">
        <v>428145</v>
      </c>
      <c r="M56" s="93">
        <f t="shared" si="18"/>
        <v>42814.5</v>
      </c>
      <c r="N56" s="93">
        <f t="shared" si="19"/>
        <v>462396.6</v>
      </c>
      <c r="O56" s="303" t="s">
        <v>531</v>
      </c>
      <c r="P56" s="99">
        <f>29160+433236</f>
        <v>462396</v>
      </c>
      <c r="Q56" s="306" t="s">
        <v>546</v>
      </c>
      <c r="R56" s="93">
        <f t="shared" si="20"/>
        <v>0.59999999997671694</v>
      </c>
      <c r="S56" s="91"/>
    </row>
    <row r="57" spans="1:19" hidden="1">
      <c r="A57" s="91"/>
      <c r="B57" s="97" t="s">
        <v>57</v>
      </c>
      <c r="C57" s="97">
        <v>4500083659</v>
      </c>
      <c r="D57" s="91" t="s">
        <v>529</v>
      </c>
      <c r="E57" s="91"/>
      <c r="F57" s="303"/>
      <c r="G57" s="92"/>
      <c r="H57" s="92"/>
      <c r="I57" s="91"/>
      <c r="J57" s="103" t="s">
        <v>547</v>
      </c>
      <c r="K57" s="312">
        <v>45600</v>
      </c>
      <c r="L57" s="99">
        <v>127000</v>
      </c>
      <c r="M57" s="93">
        <f t="shared" si="18"/>
        <v>12700</v>
      </c>
      <c r="N57" s="93">
        <f t="shared" si="19"/>
        <v>137160</v>
      </c>
      <c r="O57" s="303" t="s">
        <v>531</v>
      </c>
      <c r="P57" s="99">
        <v>137160</v>
      </c>
      <c r="Q57" s="306">
        <v>45687</v>
      </c>
      <c r="R57" s="93">
        <f t="shared" si="20"/>
        <v>0</v>
      </c>
      <c r="S57" s="91"/>
    </row>
    <row r="58" spans="1:19" hidden="1">
      <c r="A58" s="91"/>
      <c r="B58" s="97" t="s">
        <v>58</v>
      </c>
      <c r="C58" s="97">
        <v>4500094574</v>
      </c>
      <c r="D58" s="91" t="s">
        <v>529</v>
      </c>
      <c r="E58" s="91"/>
      <c r="F58" s="303"/>
      <c r="G58" s="92"/>
      <c r="H58" s="92"/>
      <c r="I58" s="91"/>
      <c r="J58" s="103" t="s">
        <v>548</v>
      </c>
      <c r="K58" s="312">
        <v>45675</v>
      </c>
      <c r="L58" s="99">
        <v>292000</v>
      </c>
      <c r="M58" s="93">
        <f t="shared" si="18"/>
        <v>29200</v>
      </c>
      <c r="N58" s="93">
        <f t="shared" si="19"/>
        <v>315360</v>
      </c>
      <c r="O58" s="303" t="s">
        <v>531</v>
      </c>
      <c r="P58" s="99">
        <v>315360</v>
      </c>
      <c r="Q58" s="306">
        <v>45708</v>
      </c>
      <c r="R58" s="93">
        <f t="shared" si="20"/>
        <v>0</v>
      </c>
      <c r="S58" s="91"/>
    </row>
    <row r="59" spans="1:19" hidden="1">
      <c r="A59" s="91"/>
      <c r="B59" s="97" t="s">
        <v>58</v>
      </c>
      <c r="C59" s="97">
        <v>4500094574</v>
      </c>
      <c r="D59" s="91" t="s">
        <v>529</v>
      </c>
      <c r="E59" s="91"/>
      <c r="F59" s="303"/>
      <c r="G59" s="92"/>
      <c r="H59" s="92"/>
      <c r="I59" s="91"/>
      <c r="J59" s="103" t="s">
        <v>549</v>
      </c>
      <c r="K59" s="312">
        <v>45692</v>
      </c>
      <c r="L59" s="99">
        <v>146000</v>
      </c>
      <c r="M59" s="93">
        <f t="shared" si="18"/>
        <v>14600</v>
      </c>
      <c r="N59" s="93">
        <f t="shared" si="19"/>
        <v>157680</v>
      </c>
      <c r="O59" s="303" t="s">
        <v>531</v>
      </c>
      <c r="P59" s="99">
        <v>157680</v>
      </c>
      <c r="Q59" s="306">
        <v>45687</v>
      </c>
      <c r="R59" s="93">
        <f t="shared" si="20"/>
        <v>0</v>
      </c>
      <c r="S59" s="91"/>
    </row>
    <row r="60" spans="1:19" hidden="1">
      <c r="A60" s="91"/>
      <c r="B60" s="97" t="s">
        <v>58</v>
      </c>
      <c r="C60" s="97">
        <v>4500093723</v>
      </c>
      <c r="D60" s="91" t="s">
        <v>529</v>
      </c>
      <c r="E60" s="91"/>
      <c r="F60" s="303"/>
      <c r="G60" s="92"/>
      <c r="H60" s="92"/>
      <c r="I60" s="91"/>
      <c r="J60" s="103" t="s">
        <v>550</v>
      </c>
      <c r="K60" s="312">
        <v>45712</v>
      </c>
      <c r="L60" s="99">
        <v>486910</v>
      </c>
      <c r="M60" s="93">
        <f t="shared" si="18"/>
        <v>48691</v>
      </c>
      <c r="N60" s="93">
        <f t="shared" si="19"/>
        <v>525862.79999999993</v>
      </c>
      <c r="O60" s="303" t="s">
        <v>531</v>
      </c>
      <c r="P60" s="99">
        <v>525863</v>
      </c>
      <c r="Q60" s="306">
        <v>45687</v>
      </c>
      <c r="R60" s="93">
        <f t="shared" si="20"/>
        <v>-0.20000000006984919</v>
      </c>
      <c r="S60" s="91"/>
    </row>
    <row r="61" spans="1:19" hidden="1">
      <c r="A61" s="91"/>
      <c r="B61" s="97" t="s">
        <v>57</v>
      </c>
      <c r="C61" s="97">
        <v>4500094574</v>
      </c>
      <c r="D61" s="91" t="s">
        <v>529</v>
      </c>
      <c r="E61" s="91"/>
      <c r="F61" s="303"/>
      <c r="G61" s="92"/>
      <c r="H61" s="92"/>
      <c r="I61" s="91"/>
      <c r="J61" s="103" t="s">
        <v>551</v>
      </c>
      <c r="K61" s="312">
        <v>45717</v>
      </c>
      <c r="L61" s="99">
        <v>146000</v>
      </c>
      <c r="M61" s="93">
        <f t="shared" si="18"/>
        <v>14600</v>
      </c>
      <c r="N61" s="93">
        <f t="shared" si="19"/>
        <v>157680</v>
      </c>
      <c r="O61" s="303" t="s">
        <v>531</v>
      </c>
      <c r="P61" s="99">
        <v>157680</v>
      </c>
      <c r="Q61" s="306">
        <v>45687</v>
      </c>
      <c r="R61" s="93">
        <f t="shared" si="20"/>
        <v>0</v>
      </c>
      <c r="S61" s="91"/>
    </row>
    <row r="62" spans="1:19" hidden="1">
      <c r="A62" s="91"/>
      <c r="B62" s="97" t="s">
        <v>57</v>
      </c>
      <c r="C62" s="97">
        <v>4500094574</v>
      </c>
      <c r="D62" s="91" t="s">
        <v>529</v>
      </c>
      <c r="E62" s="91"/>
      <c r="F62" s="303"/>
      <c r="G62" s="92"/>
      <c r="H62" s="92"/>
      <c r="I62" s="91"/>
      <c r="J62" s="103" t="s">
        <v>552</v>
      </c>
      <c r="K62" s="312">
        <v>45735</v>
      </c>
      <c r="L62" s="99">
        <v>146000</v>
      </c>
      <c r="M62" s="93">
        <f t="shared" si="18"/>
        <v>14600</v>
      </c>
      <c r="N62" s="93">
        <f t="shared" si="19"/>
        <v>157680</v>
      </c>
      <c r="O62" s="303" t="s">
        <v>531</v>
      </c>
      <c r="P62" s="99">
        <v>157680</v>
      </c>
      <c r="Q62" s="306">
        <v>45728</v>
      </c>
      <c r="R62" s="93">
        <f t="shared" si="20"/>
        <v>0</v>
      </c>
      <c r="S62" s="91"/>
    </row>
    <row r="63" spans="1:19" hidden="1">
      <c r="A63" s="91"/>
      <c r="B63" s="97" t="s">
        <v>57</v>
      </c>
      <c r="C63" s="97">
        <v>4500093705</v>
      </c>
      <c r="D63" s="91" t="s">
        <v>529</v>
      </c>
      <c r="E63" s="91"/>
      <c r="F63" s="303"/>
      <c r="G63" s="92"/>
      <c r="H63" s="92"/>
      <c r="I63" s="91"/>
      <c r="J63" s="103" t="s">
        <v>553</v>
      </c>
      <c r="K63" s="312">
        <v>45737</v>
      </c>
      <c r="L63" s="99">
        <v>435448</v>
      </c>
      <c r="M63" s="93">
        <f t="shared" si="18"/>
        <v>43544.800000000003</v>
      </c>
      <c r="N63" s="93">
        <f t="shared" si="19"/>
        <v>470283.83999999997</v>
      </c>
      <c r="O63" s="303" t="s">
        <v>531</v>
      </c>
      <c r="P63" s="99">
        <f>315360+101907+53017</f>
        <v>470284</v>
      </c>
      <c r="Q63" s="306" t="s">
        <v>554</v>
      </c>
      <c r="R63" s="93">
        <f t="shared" si="20"/>
        <v>-0.16000000003259629</v>
      </c>
      <c r="S63" s="91"/>
    </row>
    <row r="64" spans="1:19" hidden="1">
      <c r="A64" s="91"/>
      <c r="B64" s="97" t="s">
        <v>56</v>
      </c>
      <c r="C64" s="97">
        <v>4500094807</v>
      </c>
      <c r="D64" s="91" t="s">
        <v>529</v>
      </c>
      <c r="E64" s="91"/>
      <c r="F64" s="303"/>
      <c r="G64" s="92"/>
      <c r="H64" s="92"/>
      <c r="I64" s="91"/>
      <c r="J64" s="103" t="s">
        <v>555</v>
      </c>
      <c r="K64" s="312">
        <v>45680</v>
      </c>
      <c r="L64" s="99">
        <v>237500</v>
      </c>
      <c r="M64" s="93">
        <f t="shared" si="18"/>
        <v>23750</v>
      </c>
      <c r="N64" s="93">
        <f t="shared" si="19"/>
        <v>256500</v>
      </c>
      <c r="O64" s="303" t="s">
        <v>531</v>
      </c>
      <c r="P64" s="92">
        <v>256500</v>
      </c>
      <c r="Q64" s="306">
        <v>45819</v>
      </c>
      <c r="R64" s="93">
        <f t="shared" si="20"/>
        <v>0</v>
      </c>
      <c r="S64" s="91"/>
    </row>
    <row r="65" spans="1:19" hidden="1">
      <c r="A65" s="91"/>
      <c r="B65" s="97" t="s">
        <v>57</v>
      </c>
      <c r="C65" s="97">
        <v>4500095010</v>
      </c>
      <c r="D65" s="91" t="s">
        <v>529</v>
      </c>
      <c r="E65" s="91"/>
      <c r="F65" s="303"/>
      <c r="G65" s="92"/>
      <c r="H65" s="92"/>
      <c r="I65" s="91"/>
      <c r="J65" s="103" t="s">
        <v>556</v>
      </c>
      <c r="K65" s="312">
        <v>45680</v>
      </c>
      <c r="L65" s="99">
        <v>237500</v>
      </c>
      <c r="M65" s="93">
        <f t="shared" si="18"/>
        <v>23750</v>
      </c>
      <c r="N65" s="93">
        <f t="shared" si="19"/>
        <v>256500</v>
      </c>
      <c r="O65" s="303" t="s">
        <v>531</v>
      </c>
      <c r="P65" s="92">
        <v>256500</v>
      </c>
      <c r="Q65" s="306">
        <v>45819</v>
      </c>
      <c r="R65" s="93">
        <f t="shared" si="20"/>
        <v>0</v>
      </c>
      <c r="S65" s="91"/>
    </row>
    <row r="66" spans="1:19" hidden="1">
      <c r="A66" s="91"/>
      <c r="B66" s="97" t="s">
        <v>57</v>
      </c>
      <c r="C66" s="97">
        <v>4500095007</v>
      </c>
      <c r="D66" s="91" t="s">
        <v>529</v>
      </c>
      <c r="E66" s="91"/>
      <c r="F66" s="303"/>
      <c r="G66" s="92"/>
      <c r="H66" s="92"/>
      <c r="I66" s="91"/>
      <c r="J66" s="103" t="s">
        <v>557</v>
      </c>
      <c r="K66" s="312">
        <v>45680</v>
      </c>
      <c r="L66" s="99">
        <v>380000</v>
      </c>
      <c r="M66" s="93">
        <f t="shared" si="18"/>
        <v>38000</v>
      </c>
      <c r="N66" s="93">
        <f t="shared" si="19"/>
        <v>410400</v>
      </c>
      <c r="O66" s="303" t="s">
        <v>531</v>
      </c>
      <c r="P66" s="92">
        <f>29160+381240</f>
        <v>410400</v>
      </c>
      <c r="Q66" s="303" t="s">
        <v>558</v>
      </c>
      <c r="R66" s="93">
        <f t="shared" si="20"/>
        <v>0</v>
      </c>
      <c r="S66" s="91"/>
    </row>
    <row r="67" spans="1:19" hidden="1">
      <c r="A67" s="91"/>
      <c r="B67" s="97" t="s">
        <v>57</v>
      </c>
      <c r="C67" s="97">
        <v>4500094574</v>
      </c>
      <c r="D67" s="91" t="s">
        <v>529</v>
      </c>
      <c r="E67" s="91"/>
      <c r="F67" s="303"/>
      <c r="G67" s="92"/>
      <c r="H67" s="92"/>
      <c r="I67" s="91"/>
      <c r="J67" s="103" t="s">
        <v>559</v>
      </c>
      <c r="K67" s="312">
        <v>45778</v>
      </c>
      <c r="L67" s="99">
        <v>146000</v>
      </c>
      <c r="M67" s="93">
        <f t="shared" si="18"/>
        <v>14600</v>
      </c>
      <c r="N67" s="93">
        <f t="shared" si="19"/>
        <v>157680</v>
      </c>
      <c r="O67" s="303" t="s">
        <v>531</v>
      </c>
      <c r="P67" s="92">
        <v>157680</v>
      </c>
      <c r="Q67" s="303">
        <v>45839</v>
      </c>
      <c r="R67" s="93">
        <f t="shared" si="20"/>
        <v>0</v>
      </c>
      <c r="S67" s="91" t="s">
        <v>560</v>
      </c>
    </row>
    <row r="68" spans="1:19" hidden="1">
      <c r="A68" s="91"/>
      <c r="B68" s="97" t="s">
        <v>56</v>
      </c>
      <c r="C68" s="97">
        <v>4500097457</v>
      </c>
      <c r="D68" s="91" t="s">
        <v>529</v>
      </c>
      <c r="E68" s="91"/>
      <c r="F68" s="303"/>
      <c r="G68" s="92"/>
      <c r="H68" s="92"/>
      <c r="I68" s="91"/>
      <c r="J68" s="103" t="s">
        <v>561</v>
      </c>
      <c r="K68" s="312">
        <v>45790</v>
      </c>
      <c r="L68" s="99">
        <v>36178</v>
      </c>
      <c r="M68" s="93">
        <f t="shared" si="18"/>
        <v>3617.8</v>
      </c>
      <c r="N68" s="93">
        <f t="shared" si="19"/>
        <v>39072.239999999998</v>
      </c>
      <c r="O68" s="303" t="s">
        <v>531</v>
      </c>
      <c r="P68" s="92">
        <v>39072</v>
      </c>
      <c r="Q68" s="306">
        <v>45819</v>
      </c>
      <c r="R68" s="93">
        <f t="shared" si="20"/>
        <v>0.23999999999796273</v>
      </c>
      <c r="S68" s="91"/>
    </row>
    <row r="69" spans="1:19" hidden="1">
      <c r="A69" s="91"/>
      <c r="B69" s="97" t="s">
        <v>236</v>
      </c>
      <c r="C69" s="89">
        <v>4500089309</v>
      </c>
      <c r="D69" s="97" t="s">
        <v>562</v>
      </c>
      <c r="E69" s="91"/>
      <c r="F69" s="303"/>
      <c r="G69" s="92"/>
      <c r="H69" s="92"/>
      <c r="I69" s="91"/>
      <c r="J69" s="97" t="s">
        <v>563</v>
      </c>
      <c r="K69" s="306">
        <v>45456</v>
      </c>
      <c r="L69" s="99">
        <v>1698647</v>
      </c>
      <c r="M69" s="93">
        <f>L69*2%</f>
        <v>33972.94</v>
      </c>
      <c r="N69" s="93">
        <f t="shared" si="19"/>
        <v>1970430.52</v>
      </c>
      <c r="O69" s="303" t="s">
        <v>531</v>
      </c>
      <c r="P69" s="93">
        <v>1970430</v>
      </c>
      <c r="Q69" s="303">
        <v>45500</v>
      </c>
      <c r="R69" s="93">
        <f>N69-P69</f>
        <v>0.52000000001862645</v>
      </c>
      <c r="S69" s="91"/>
    </row>
    <row r="70" spans="1:19" hidden="1">
      <c r="A70" s="91"/>
      <c r="B70" s="97" t="s">
        <v>74</v>
      </c>
      <c r="C70" s="89">
        <v>4500090795</v>
      </c>
      <c r="D70" s="97" t="s">
        <v>562</v>
      </c>
      <c r="E70" s="91"/>
      <c r="F70" s="303"/>
      <c r="G70" s="92"/>
      <c r="H70" s="92"/>
      <c r="I70" s="91"/>
      <c r="J70" s="97" t="s">
        <v>564</v>
      </c>
      <c r="K70" s="306">
        <v>45617</v>
      </c>
      <c r="L70" s="99">
        <v>415266</v>
      </c>
      <c r="M70" s="93">
        <f t="shared" ref="M70:M86" si="21">L70*2%</f>
        <v>8305.32</v>
      </c>
      <c r="N70" s="93">
        <f t="shared" si="19"/>
        <v>481708.55999999994</v>
      </c>
      <c r="O70" s="303" t="s">
        <v>531</v>
      </c>
      <c r="P70" s="104">
        <f>996876+252769-P71</f>
        <v>481708</v>
      </c>
      <c r="Q70" s="303" t="s">
        <v>565</v>
      </c>
      <c r="R70" s="93">
        <f t="shared" ref="R70:R86" si="22">N70-P70</f>
        <v>0.55999999993946403</v>
      </c>
      <c r="S70" s="91"/>
    </row>
    <row r="71" spans="1:19" ht="14.4" hidden="1">
      <c r="A71" s="91"/>
      <c r="B71" s="97" t="s">
        <v>74</v>
      </c>
      <c r="C71" s="88" t="s">
        <v>261</v>
      </c>
      <c r="D71" s="97" t="s">
        <v>562</v>
      </c>
      <c r="E71" s="91"/>
      <c r="F71" s="303"/>
      <c r="G71" s="92"/>
      <c r="H71" s="92"/>
      <c r="I71" s="91"/>
      <c r="J71" s="97" t="s">
        <v>564</v>
      </c>
      <c r="K71" s="306">
        <v>45617</v>
      </c>
      <c r="L71" s="99">
        <v>662015</v>
      </c>
      <c r="M71" s="93">
        <f t="shared" ref="M71" si="23">L71*2%</f>
        <v>13240.300000000001</v>
      </c>
      <c r="N71" s="93">
        <f t="shared" ref="N71" si="24">(L71*1.18)-M71</f>
        <v>767937.39999999991</v>
      </c>
      <c r="O71" s="303" t="s">
        <v>531</v>
      </c>
      <c r="P71" s="104">
        <v>767937</v>
      </c>
      <c r="Q71" s="303" t="s">
        <v>565</v>
      </c>
      <c r="R71" s="93">
        <f t="shared" ref="R71" si="25">N71-P71</f>
        <v>0.39999999990686774</v>
      </c>
      <c r="S71" s="91" t="s">
        <v>566</v>
      </c>
    </row>
    <row r="72" spans="1:19" hidden="1">
      <c r="A72" s="91"/>
      <c r="B72" s="97" t="s">
        <v>74</v>
      </c>
      <c r="C72" s="89">
        <v>4500093849</v>
      </c>
      <c r="D72" s="97" t="s">
        <v>562</v>
      </c>
      <c r="E72" s="91"/>
      <c r="F72" s="303"/>
      <c r="G72" s="92"/>
      <c r="H72" s="92"/>
      <c r="I72" s="91"/>
      <c r="J72" s="97" t="s">
        <v>567</v>
      </c>
      <c r="K72" s="306">
        <v>45672</v>
      </c>
      <c r="L72" s="99">
        <v>379155</v>
      </c>
      <c r="M72" s="93">
        <f t="shared" si="21"/>
        <v>7583.1</v>
      </c>
      <c r="N72" s="93">
        <f t="shared" si="19"/>
        <v>439819.8</v>
      </c>
      <c r="O72" s="303" t="s">
        <v>531</v>
      </c>
      <c r="P72" s="104">
        <v>439819</v>
      </c>
      <c r="Q72" s="303">
        <v>45708</v>
      </c>
      <c r="R72" s="93">
        <f t="shared" si="22"/>
        <v>0.79999999998835847</v>
      </c>
      <c r="S72" s="91"/>
    </row>
    <row r="73" spans="1:19" hidden="1">
      <c r="A73" s="91"/>
      <c r="B73" s="97" t="s">
        <v>74</v>
      </c>
      <c r="C73" s="89">
        <v>4500090795</v>
      </c>
      <c r="D73" s="97" t="s">
        <v>562</v>
      </c>
      <c r="E73" s="91"/>
      <c r="F73" s="303"/>
      <c r="G73" s="92"/>
      <c r="H73" s="92"/>
      <c r="I73" s="91"/>
      <c r="J73" s="97" t="s">
        <v>568</v>
      </c>
      <c r="K73" s="306">
        <v>45715</v>
      </c>
      <c r="L73" s="99">
        <v>207632</v>
      </c>
      <c r="M73" s="93">
        <f t="shared" si="21"/>
        <v>4152.6400000000003</v>
      </c>
      <c r="N73" s="93">
        <f t="shared" si="19"/>
        <v>240853.11999999997</v>
      </c>
      <c r="O73" s="303" t="s">
        <v>531</v>
      </c>
      <c r="P73" s="104">
        <v>240853</v>
      </c>
      <c r="Q73" s="303" t="s">
        <v>569</v>
      </c>
      <c r="R73" s="93">
        <f t="shared" si="22"/>
        <v>0.11999999996623956</v>
      </c>
      <c r="S73" s="91"/>
    </row>
    <row r="74" spans="1:19" hidden="1">
      <c r="A74" s="105"/>
      <c r="B74" s="105" t="s">
        <v>74</v>
      </c>
      <c r="C74" s="156" t="s">
        <v>279</v>
      </c>
      <c r="D74" s="105" t="s">
        <v>562</v>
      </c>
      <c r="E74" s="105"/>
      <c r="F74" s="307"/>
      <c r="G74" s="107"/>
      <c r="H74" s="107"/>
      <c r="I74" s="105"/>
      <c r="J74" s="105" t="s">
        <v>568</v>
      </c>
      <c r="K74" s="307">
        <v>45715</v>
      </c>
      <c r="L74" s="107">
        <v>103816</v>
      </c>
      <c r="M74" s="108">
        <f t="shared" ref="M74" si="26">L74*2%</f>
        <v>2076.3200000000002</v>
      </c>
      <c r="N74" s="108">
        <f t="shared" ref="N74" si="27">(L74*1.18)-M74</f>
        <v>120426.55999999998</v>
      </c>
      <c r="O74" s="307" t="s">
        <v>531</v>
      </c>
      <c r="P74" s="109">
        <v>120427</v>
      </c>
      <c r="Q74" s="307" t="s">
        <v>569</v>
      </c>
      <c r="R74" s="108">
        <f t="shared" ref="R74" si="28">N74-P74</f>
        <v>-0.44000000001688022</v>
      </c>
      <c r="S74" s="105" t="s">
        <v>570</v>
      </c>
    </row>
    <row r="75" spans="1:19" hidden="1">
      <c r="A75" s="105"/>
      <c r="B75" s="105" t="s">
        <v>74</v>
      </c>
      <c r="C75" s="156" t="s">
        <v>279</v>
      </c>
      <c r="D75" s="105" t="s">
        <v>562</v>
      </c>
      <c r="E75" s="105"/>
      <c r="F75" s="307"/>
      <c r="G75" s="107"/>
      <c r="H75" s="107"/>
      <c r="I75" s="105"/>
      <c r="J75" s="105" t="s">
        <v>568</v>
      </c>
      <c r="K75" s="307">
        <v>45715</v>
      </c>
      <c r="L75" s="107">
        <v>126385</v>
      </c>
      <c r="M75" s="108">
        <f t="shared" ref="M75" si="29">L75*2%</f>
        <v>2527.7000000000003</v>
      </c>
      <c r="N75" s="108">
        <f t="shared" ref="N75" si="30">(L75*1.18)-M75</f>
        <v>146606.59999999998</v>
      </c>
      <c r="O75" s="307" t="s">
        <v>531</v>
      </c>
      <c r="P75" s="109">
        <v>146607</v>
      </c>
      <c r="Q75" s="307" t="s">
        <v>569</v>
      </c>
      <c r="R75" s="108">
        <f t="shared" ref="R75" si="31">N75-P75</f>
        <v>-0.40000000002328306</v>
      </c>
      <c r="S75" s="105" t="s">
        <v>570</v>
      </c>
    </row>
    <row r="76" spans="1:19" hidden="1">
      <c r="A76" s="91"/>
      <c r="B76" s="97" t="s">
        <v>74</v>
      </c>
      <c r="C76" s="89" t="s">
        <v>276</v>
      </c>
      <c r="D76" s="97" t="s">
        <v>562</v>
      </c>
      <c r="E76" s="91"/>
      <c r="F76" s="303"/>
      <c r="G76" s="92"/>
      <c r="H76" s="92"/>
      <c r="I76" s="91"/>
      <c r="J76" s="97" t="s">
        <v>568</v>
      </c>
      <c r="K76" s="306">
        <v>45715</v>
      </c>
      <c r="L76" s="99">
        <v>252770</v>
      </c>
      <c r="M76" s="93">
        <f t="shared" ref="M76" si="32">L76*2%</f>
        <v>5055.4000000000005</v>
      </c>
      <c r="N76" s="93">
        <f t="shared" ref="N76" si="33">(L76*1.18)-M76</f>
        <v>293213.19999999995</v>
      </c>
      <c r="O76" s="303" t="s">
        <v>531</v>
      </c>
      <c r="P76" s="104">
        <v>293213</v>
      </c>
      <c r="Q76" s="303" t="s">
        <v>569</v>
      </c>
      <c r="R76" s="93">
        <f t="shared" si="22"/>
        <v>0.19999999995343387</v>
      </c>
      <c r="S76" s="91" t="s">
        <v>566</v>
      </c>
    </row>
    <row r="77" spans="1:19" ht="14.4" hidden="1">
      <c r="A77" s="91"/>
      <c r="B77" s="97" t="s">
        <v>74</v>
      </c>
      <c r="C77" s="88" t="s">
        <v>255</v>
      </c>
      <c r="D77" s="97" t="s">
        <v>562</v>
      </c>
      <c r="E77" s="91"/>
      <c r="F77" s="303"/>
      <c r="G77" s="92"/>
      <c r="H77" s="92"/>
      <c r="I77" s="91"/>
      <c r="J77" s="97" t="s">
        <v>571</v>
      </c>
      <c r="K77" s="306">
        <v>45745</v>
      </c>
      <c r="L77" s="99">
        <v>97440</v>
      </c>
      <c r="M77" s="93">
        <f t="shared" si="21"/>
        <v>1948.8</v>
      </c>
      <c r="N77" s="93">
        <f t="shared" si="19"/>
        <v>113030.39999999999</v>
      </c>
      <c r="O77" s="303" t="s">
        <v>531</v>
      </c>
      <c r="P77" s="104">
        <v>113030</v>
      </c>
      <c r="Q77" s="303" t="s">
        <v>572</v>
      </c>
      <c r="R77" s="93">
        <f t="shared" si="22"/>
        <v>0.39999999999417923</v>
      </c>
      <c r="S77" s="91"/>
    </row>
    <row r="78" spans="1:19" ht="14.4" hidden="1">
      <c r="A78" s="91"/>
      <c r="B78" s="97" t="s">
        <v>74</v>
      </c>
      <c r="C78" s="88" t="s">
        <v>255</v>
      </c>
      <c r="D78" s="97" t="s">
        <v>562</v>
      </c>
      <c r="E78" s="91"/>
      <c r="F78" s="303"/>
      <c r="G78" s="92"/>
      <c r="H78" s="92"/>
      <c r="I78" s="91"/>
      <c r="J78" s="97" t="s">
        <v>573</v>
      </c>
      <c r="K78" s="306">
        <v>45745</v>
      </c>
      <c r="L78" s="99">
        <v>120366</v>
      </c>
      <c r="M78" s="93">
        <f t="shared" si="21"/>
        <v>2407.3200000000002</v>
      </c>
      <c r="N78" s="93">
        <f t="shared" si="19"/>
        <v>139624.56</v>
      </c>
      <c r="O78" s="303" t="s">
        <v>531</v>
      </c>
      <c r="P78" s="104">
        <v>139625</v>
      </c>
      <c r="Q78" s="303">
        <v>45772</v>
      </c>
      <c r="R78" s="93">
        <f t="shared" si="22"/>
        <v>-0.44000000000232831</v>
      </c>
      <c r="S78" s="91"/>
    </row>
    <row r="79" spans="1:19" hidden="1">
      <c r="A79" s="91"/>
      <c r="B79" s="97" t="s">
        <v>247</v>
      </c>
      <c r="C79" s="89">
        <v>4500093610</v>
      </c>
      <c r="D79" s="97" t="s">
        <v>562</v>
      </c>
      <c r="E79" s="91"/>
      <c r="F79" s="303"/>
      <c r="G79" s="92"/>
      <c r="H79" s="92"/>
      <c r="I79" s="91"/>
      <c r="J79" s="97" t="s">
        <v>574</v>
      </c>
      <c r="K79" s="306">
        <v>45687</v>
      </c>
      <c r="L79" s="99">
        <v>293143</v>
      </c>
      <c r="M79" s="93">
        <f t="shared" si="21"/>
        <v>5862.86</v>
      </c>
      <c r="N79" s="93">
        <f t="shared" si="19"/>
        <v>340045.88</v>
      </c>
      <c r="O79" s="303" t="s">
        <v>531</v>
      </c>
      <c r="P79" s="104">
        <f>324894+15152</f>
        <v>340046</v>
      </c>
      <c r="Q79" s="303">
        <v>45789</v>
      </c>
      <c r="R79" s="93">
        <f t="shared" si="22"/>
        <v>-0.11999999999534339</v>
      </c>
      <c r="S79" s="91"/>
    </row>
    <row r="80" spans="1:19" ht="14.4" hidden="1">
      <c r="A80" s="91"/>
      <c r="B80" s="97" t="s">
        <v>74</v>
      </c>
      <c r="C80" s="88">
        <v>4500090795</v>
      </c>
      <c r="D80" s="97" t="s">
        <v>562</v>
      </c>
      <c r="E80" s="91"/>
      <c r="F80" s="303"/>
      <c r="G80" s="92"/>
      <c r="H80" s="92"/>
      <c r="I80" s="91"/>
      <c r="J80" s="97" t="s">
        <v>571</v>
      </c>
      <c r="K80" s="306">
        <v>45745</v>
      </c>
      <c r="L80" s="99">
        <v>103816</v>
      </c>
      <c r="M80" s="93">
        <f t="shared" ref="M80:M81" si="34">L80*2%</f>
        <v>2076.3200000000002</v>
      </c>
      <c r="N80" s="93">
        <f t="shared" ref="N80:N81" si="35">(L80*1.18)-M80</f>
        <v>120426.55999999998</v>
      </c>
      <c r="O80" s="303" t="s">
        <v>531</v>
      </c>
      <c r="P80" s="104">
        <v>120427</v>
      </c>
      <c r="Q80" s="303" t="s">
        <v>572</v>
      </c>
      <c r="R80" s="93">
        <f t="shared" ref="R80:R81" si="36">N80-P80</f>
        <v>-0.44000000001688022</v>
      </c>
      <c r="S80" s="91"/>
    </row>
    <row r="81" spans="1:19" ht="14.4" hidden="1">
      <c r="A81" s="91"/>
      <c r="B81" s="97" t="s">
        <v>74</v>
      </c>
      <c r="C81" s="88">
        <v>4500090795</v>
      </c>
      <c r="D81" s="97" t="s">
        <v>562</v>
      </c>
      <c r="E81" s="91"/>
      <c r="F81" s="303"/>
      <c r="G81" s="92"/>
      <c r="H81" s="92"/>
      <c r="I81" s="91"/>
      <c r="J81" s="97" t="s">
        <v>573</v>
      </c>
      <c r="K81" s="306">
        <v>45745</v>
      </c>
      <c r="L81" s="99">
        <v>103816</v>
      </c>
      <c r="M81" s="93">
        <f t="shared" si="34"/>
        <v>2076.3200000000002</v>
      </c>
      <c r="N81" s="93">
        <f t="shared" si="35"/>
        <v>120426.55999999998</v>
      </c>
      <c r="O81" s="303" t="s">
        <v>531</v>
      </c>
      <c r="P81" s="104">
        <v>120427</v>
      </c>
      <c r="Q81" s="303">
        <v>45772</v>
      </c>
      <c r="R81" s="93">
        <f t="shared" si="36"/>
        <v>-0.44000000001688022</v>
      </c>
      <c r="S81" s="91"/>
    </row>
    <row r="82" spans="1:19" ht="14.4" hidden="1">
      <c r="A82" s="91"/>
      <c r="B82" s="97" t="s">
        <v>247</v>
      </c>
      <c r="C82" s="88">
        <v>4500096896</v>
      </c>
      <c r="D82" s="97" t="s">
        <v>562</v>
      </c>
      <c r="E82" s="91"/>
      <c r="F82" s="303"/>
      <c r="G82" s="92"/>
      <c r="H82" s="92"/>
      <c r="I82" s="91"/>
      <c r="J82" s="97" t="s">
        <v>571</v>
      </c>
      <c r="K82" s="306">
        <v>45745</v>
      </c>
      <c r="L82" s="99">
        <v>171000</v>
      </c>
      <c r="M82" s="93">
        <f t="shared" si="21"/>
        <v>3420</v>
      </c>
      <c r="N82" s="93">
        <f t="shared" si="19"/>
        <v>198360</v>
      </c>
      <c r="O82" s="303" t="s">
        <v>531</v>
      </c>
      <c r="P82" s="104">
        <v>198360</v>
      </c>
      <c r="Q82" s="303">
        <v>45789</v>
      </c>
      <c r="R82" s="93">
        <f t="shared" si="22"/>
        <v>0</v>
      </c>
      <c r="S82" s="91"/>
    </row>
    <row r="83" spans="1:19" ht="14.4" hidden="1">
      <c r="A83" s="91"/>
      <c r="B83" s="97" t="s">
        <v>247</v>
      </c>
      <c r="C83" s="88">
        <v>4500096896</v>
      </c>
      <c r="D83" s="97" t="s">
        <v>562</v>
      </c>
      <c r="E83" s="91"/>
      <c r="F83" s="303"/>
      <c r="G83" s="92"/>
      <c r="H83" s="92"/>
      <c r="I83" s="91"/>
      <c r="J83" s="97" t="s">
        <v>573</v>
      </c>
      <c r="K83" s="306">
        <v>45745</v>
      </c>
      <c r="L83" s="99">
        <v>171000.66</v>
      </c>
      <c r="M83" s="93">
        <f t="shared" si="21"/>
        <v>3420.0132000000003</v>
      </c>
      <c r="N83" s="93">
        <f t="shared" si="19"/>
        <v>198360.76560000001</v>
      </c>
      <c r="O83" s="303" t="s">
        <v>531</v>
      </c>
      <c r="P83" s="104">
        <f>169005+29356</f>
        <v>198361</v>
      </c>
      <c r="Q83" s="303" t="s">
        <v>554</v>
      </c>
      <c r="R83" s="93">
        <f t="shared" si="22"/>
        <v>-0.23439999998663552</v>
      </c>
      <c r="S83" s="91"/>
    </row>
    <row r="84" spans="1:19" ht="14.4" hidden="1">
      <c r="A84" s="91"/>
      <c r="B84" s="97" t="s">
        <v>74</v>
      </c>
      <c r="C84" s="88" t="s">
        <v>255</v>
      </c>
      <c r="D84" s="97" t="s">
        <v>562</v>
      </c>
      <c r="E84" s="91"/>
      <c r="F84" s="303"/>
      <c r="G84" s="92"/>
      <c r="H84" s="92"/>
      <c r="I84" s="91"/>
      <c r="J84" s="97" t="s">
        <v>575</v>
      </c>
      <c r="K84" s="306">
        <v>45759</v>
      </c>
      <c r="L84" s="99">
        <v>126385</v>
      </c>
      <c r="M84" s="93">
        <f t="shared" si="21"/>
        <v>2527.7000000000003</v>
      </c>
      <c r="N84" s="93">
        <f t="shared" si="19"/>
        <v>146606.59999999998</v>
      </c>
      <c r="O84" s="303" t="s">
        <v>531</v>
      </c>
      <c r="P84" s="104">
        <v>146607</v>
      </c>
      <c r="Q84" s="303">
        <v>45819</v>
      </c>
      <c r="R84" s="93">
        <f t="shared" si="22"/>
        <v>-0.40000000002328306</v>
      </c>
      <c r="S84" s="91"/>
    </row>
    <row r="85" spans="1:19" ht="14.4" hidden="1">
      <c r="A85" s="91"/>
      <c r="B85" s="97" t="s">
        <v>74</v>
      </c>
      <c r="C85" s="88">
        <v>4500090795</v>
      </c>
      <c r="D85" s="97" t="s">
        <v>562</v>
      </c>
      <c r="E85" s="91"/>
      <c r="F85" s="303"/>
      <c r="G85" s="92"/>
      <c r="H85" s="92"/>
      <c r="I85" s="91"/>
      <c r="J85" s="97" t="s">
        <v>575</v>
      </c>
      <c r="K85" s="306">
        <v>45759</v>
      </c>
      <c r="L85" s="99">
        <v>103816</v>
      </c>
      <c r="M85" s="93">
        <f t="shared" ref="M85" si="37">L85*2%</f>
        <v>2076.3200000000002</v>
      </c>
      <c r="N85" s="93">
        <f t="shared" ref="N85" si="38">(L85*1.18)-M85</f>
        <v>120426.55999999998</v>
      </c>
      <c r="O85" s="303" t="s">
        <v>531</v>
      </c>
      <c r="P85" s="104">
        <v>120427</v>
      </c>
      <c r="Q85" s="303">
        <v>45819</v>
      </c>
      <c r="R85" s="93">
        <f t="shared" ref="R85" si="39">N85-P85</f>
        <v>-0.44000000001688022</v>
      </c>
      <c r="S85" s="91"/>
    </row>
    <row r="86" spans="1:19" ht="14.4" hidden="1">
      <c r="A86" s="91"/>
      <c r="B86" s="97" t="s">
        <v>247</v>
      </c>
      <c r="C86" s="88">
        <v>4500096896</v>
      </c>
      <c r="D86" s="97" t="s">
        <v>562</v>
      </c>
      <c r="E86" s="91"/>
      <c r="F86" s="303"/>
      <c r="G86" s="92"/>
      <c r="H86" s="92"/>
      <c r="I86" s="91"/>
      <c r="J86" s="97" t="s">
        <v>575</v>
      </c>
      <c r="K86" s="306">
        <v>45759</v>
      </c>
      <c r="L86" s="99">
        <v>171000</v>
      </c>
      <c r="M86" s="93">
        <f t="shared" si="21"/>
        <v>3420</v>
      </c>
      <c r="N86" s="93">
        <f t="shared" si="19"/>
        <v>198360</v>
      </c>
      <c r="O86" s="303" t="s">
        <v>531</v>
      </c>
      <c r="P86" s="104">
        <f>84390+62242</f>
        <v>146632</v>
      </c>
      <c r="Q86" s="303" t="s">
        <v>576</v>
      </c>
      <c r="R86" s="93">
        <f t="shared" si="22"/>
        <v>51728</v>
      </c>
      <c r="S86" s="105" t="s">
        <v>577</v>
      </c>
    </row>
    <row r="87" spans="1:19" hidden="1">
      <c r="A87" s="91"/>
      <c r="B87" s="97" t="s">
        <v>74</v>
      </c>
      <c r="C87" s="91">
        <v>4500088398</v>
      </c>
      <c r="D87" s="91" t="s">
        <v>314</v>
      </c>
      <c r="E87" s="91"/>
      <c r="F87" s="303"/>
      <c r="G87" s="92"/>
      <c r="H87" s="92"/>
      <c r="I87" s="91"/>
      <c r="J87" s="97" t="s">
        <v>284</v>
      </c>
      <c r="K87" s="306">
        <v>45433</v>
      </c>
      <c r="L87" s="99">
        <v>253448.28</v>
      </c>
      <c r="M87" s="93">
        <f>L87*10%</f>
        <v>25344.828000000001</v>
      </c>
      <c r="N87" s="93">
        <f t="shared" ref="N87" si="40">(L87*1.18)-M87</f>
        <v>273724.14240000001</v>
      </c>
      <c r="O87" s="303"/>
      <c r="P87" s="104">
        <v>273724</v>
      </c>
      <c r="Q87" s="306"/>
      <c r="R87" s="93">
        <f>ROUND(N87-P87,0)</f>
        <v>0</v>
      </c>
      <c r="S87" s="91" t="s">
        <v>578</v>
      </c>
    </row>
    <row r="88" spans="1:19" hidden="1">
      <c r="A88" s="91"/>
      <c r="B88" s="97" t="s">
        <v>74</v>
      </c>
      <c r="C88" s="91">
        <v>4500088398</v>
      </c>
      <c r="D88" s="91" t="s">
        <v>314</v>
      </c>
      <c r="E88" s="91"/>
      <c r="F88" s="303"/>
      <c r="G88" s="92"/>
      <c r="H88" s="92"/>
      <c r="I88" s="91"/>
      <c r="J88" s="97" t="s">
        <v>286</v>
      </c>
      <c r="K88" s="306">
        <v>45433</v>
      </c>
      <c r="L88" s="99">
        <v>592741.93999999994</v>
      </c>
      <c r="M88" s="93">
        <f t="shared" ref="M88:M149" si="41">L88*10%</f>
        <v>59274.193999999996</v>
      </c>
      <c r="N88" s="93">
        <f t="shared" ref="N88:N149" si="42">(L88*1.18)-M88</f>
        <v>640161.29519999993</v>
      </c>
      <c r="O88" s="303"/>
      <c r="P88" s="100">
        <v>640161</v>
      </c>
      <c r="Q88" s="306"/>
      <c r="R88" s="93">
        <f t="shared" ref="R88:R151" si="43">ROUND(N88-P88,0)</f>
        <v>0</v>
      </c>
      <c r="S88" s="91" t="s">
        <v>578</v>
      </c>
    </row>
    <row r="89" spans="1:19" hidden="1">
      <c r="A89" s="91"/>
      <c r="B89" s="97" t="s">
        <v>74</v>
      </c>
      <c r="C89" s="91">
        <v>4500088398</v>
      </c>
      <c r="D89" s="91" t="s">
        <v>314</v>
      </c>
      <c r="E89" s="91"/>
      <c r="F89" s="303"/>
      <c r="G89" s="92"/>
      <c r="H89" s="92"/>
      <c r="I89" s="91"/>
      <c r="J89" s="97" t="s">
        <v>288</v>
      </c>
      <c r="K89" s="306">
        <v>45433</v>
      </c>
      <c r="L89" s="99">
        <v>762000</v>
      </c>
      <c r="M89" s="93">
        <f t="shared" si="41"/>
        <v>76200</v>
      </c>
      <c r="N89" s="93">
        <f t="shared" si="42"/>
        <v>822960</v>
      </c>
      <c r="O89" s="303"/>
      <c r="P89" s="104">
        <v>822960</v>
      </c>
      <c r="Q89" s="306"/>
      <c r="R89" s="93">
        <f t="shared" si="43"/>
        <v>0</v>
      </c>
      <c r="S89" s="91" t="s">
        <v>578</v>
      </c>
    </row>
    <row r="90" spans="1:19" hidden="1">
      <c r="A90" s="91"/>
      <c r="B90" s="97" t="s">
        <v>74</v>
      </c>
      <c r="C90" s="91">
        <v>4500088323</v>
      </c>
      <c r="D90" s="91" t="s">
        <v>314</v>
      </c>
      <c r="E90" s="91"/>
      <c r="F90" s="303"/>
      <c r="G90" s="92"/>
      <c r="H90" s="92"/>
      <c r="I90" s="91"/>
      <c r="J90" s="97" t="s">
        <v>291</v>
      </c>
      <c r="K90" s="306">
        <v>45448</v>
      </c>
      <c r="L90" s="99">
        <v>965000</v>
      </c>
      <c r="M90" s="93">
        <f t="shared" si="41"/>
        <v>96500</v>
      </c>
      <c r="N90" s="93">
        <f t="shared" si="42"/>
        <v>1042200</v>
      </c>
      <c r="O90" s="303"/>
      <c r="P90" s="93">
        <v>1042200</v>
      </c>
      <c r="Q90" s="306"/>
      <c r="R90" s="93">
        <f t="shared" si="43"/>
        <v>0</v>
      </c>
      <c r="S90" s="91" t="s">
        <v>578</v>
      </c>
    </row>
    <row r="91" spans="1:19" hidden="1">
      <c r="A91" s="91"/>
      <c r="B91" s="97" t="s">
        <v>74</v>
      </c>
      <c r="C91" s="91">
        <v>4500089164</v>
      </c>
      <c r="D91" s="91" t="s">
        <v>314</v>
      </c>
      <c r="E91" s="91"/>
      <c r="F91" s="303"/>
      <c r="G91" s="92"/>
      <c r="H91" s="92"/>
      <c r="I91" s="91"/>
      <c r="J91" s="97" t="s">
        <v>294</v>
      </c>
      <c r="K91" s="306">
        <v>45452</v>
      </c>
      <c r="L91" s="99">
        <v>209843</v>
      </c>
      <c r="M91" s="93">
        <f t="shared" si="41"/>
        <v>20984.300000000003</v>
      </c>
      <c r="N91" s="93">
        <f t="shared" si="42"/>
        <v>226630.44</v>
      </c>
      <c r="O91" s="303"/>
      <c r="P91" s="100">
        <v>226630</v>
      </c>
      <c r="Q91" s="306"/>
      <c r="R91" s="93">
        <f t="shared" si="43"/>
        <v>0</v>
      </c>
      <c r="S91" s="91" t="s">
        <v>578</v>
      </c>
    </row>
    <row r="92" spans="1:19" hidden="1">
      <c r="A92" s="91"/>
      <c r="B92" s="97" t="s">
        <v>74</v>
      </c>
      <c r="C92" s="91">
        <v>4500089649</v>
      </c>
      <c r="D92" s="91" t="s">
        <v>314</v>
      </c>
      <c r="E92" s="91"/>
      <c r="F92" s="303"/>
      <c r="G92" s="92"/>
      <c r="H92" s="92"/>
      <c r="I92" s="91"/>
      <c r="J92" s="97" t="s">
        <v>298</v>
      </c>
      <c r="K92" s="306">
        <v>45484</v>
      </c>
      <c r="L92" s="99">
        <v>245000</v>
      </c>
      <c r="M92" s="93">
        <f t="shared" si="41"/>
        <v>24500</v>
      </c>
      <c r="N92" s="93">
        <f t="shared" si="42"/>
        <v>264600</v>
      </c>
      <c r="O92" s="303"/>
      <c r="P92" s="100">
        <v>264600</v>
      </c>
      <c r="Q92" s="306"/>
      <c r="R92" s="93">
        <f t="shared" si="43"/>
        <v>0</v>
      </c>
      <c r="S92" s="91" t="s">
        <v>578</v>
      </c>
    </row>
    <row r="93" spans="1:19" hidden="1">
      <c r="A93" s="91"/>
      <c r="B93" s="97" t="s">
        <v>74</v>
      </c>
      <c r="C93" s="91">
        <v>4500088398</v>
      </c>
      <c r="D93" s="91" t="s">
        <v>314</v>
      </c>
      <c r="E93" s="91"/>
      <c r="F93" s="303"/>
      <c r="G93" s="92"/>
      <c r="H93" s="92"/>
      <c r="I93" s="91"/>
      <c r="J93" s="97" t="s">
        <v>300</v>
      </c>
      <c r="K93" s="306">
        <v>45484</v>
      </c>
      <c r="L93" s="99">
        <v>647789</v>
      </c>
      <c r="M93" s="93">
        <f t="shared" si="41"/>
        <v>64778.9</v>
      </c>
      <c r="N93" s="93">
        <f t="shared" si="42"/>
        <v>699612.11999999988</v>
      </c>
      <c r="O93" s="303"/>
      <c r="P93" s="104">
        <v>699612</v>
      </c>
      <c r="Q93" s="306"/>
      <c r="R93" s="93">
        <f t="shared" si="43"/>
        <v>0</v>
      </c>
      <c r="S93" s="91" t="s">
        <v>578</v>
      </c>
    </row>
    <row r="94" spans="1:19" hidden="1">
      <c r="A94" s="91"/>
      <c r="B94" s="97" t="s">
        <v>74</v>
      </c>
      <c r="C94" s="91">
        <v>4500088323</v>
      </c>
      <c r="D94" s="91" t="s">
        <v>314</v>
      </c>
      <c r="E94" s="91"/>
      <c r="F94" s="303"/>
      <c r="G94" s="92"/>
      <c r="H94" s="92"/>
      <c r="I94" s="91"/>
      <c r="J94" s="97" t="s">
        <v>296</v>
      </c>
      <c r="K94" s="306">
        <v>45484</v>
      </c>
      <c r="L94" s="99">
        <v>290000</v>
      </c>
      <c r="M94" s="93">
        <f t="shared" si="41"/>
        <v>29000</v>
      </c>
      <c r="N94" s="93">
        <f t="shared" si="42"/>
        <v>313200</v>
      </c>
      <c r="O94" s="303"/>
      <c r="P94" s="93">
        <v>313200</v>
      </c>
      <c r="Q94" s="306"/>
      <c r="R94" s="93">
        <f t="shared" si="43"/>
        <v>0</v>
      </c>
      <c r="S94" s="91" t="s">
        <v>578</v>
      </c>
    </row>
    <row r="95" spans="1:19" hidden="1">
      <c r="A95" s="91"/>
      <c r="B95" s="97" t="s">
        <v>74</v>
      </c>
      <c r="C95" s="91">
        <v>4500089164</v>
      </c>
      <c r="D95" s="91" t="s">
        <v>314</v>
      </c>
      <c r="E95" s="91"/>
      <c r="F95" s="303"/>
      <c r="G95" s="92"/>
      <c r="H95" s="92"/>
      <c r="I95" s="91"/>
      <c r="J95" s="97" t="s">
        <v>302</v>
      </c>
      <c r="K95" s="306">
        <v>45484</v>
      </c>
      <c r="L95" s="99">
        <v>56387</v>
      </c>
      <c r="M95" s="93">
        <f t="shared" si="41"/>
        <v>5638.7000000000007</v>
      </c>
      <c r="N95" s="93">
        <f t="shared" si="42"/>
        <v>60897.960000000006</v>
      </c>
      <c r="O95" s="303"/>
      <c r="P95" s="93">
        <v>60898</v>
      </c>
      <c r="Q95" s="306"/>
      <c r="R95" s="93">
        <f t="shared" si="43"/>
        <v>0</v>
      </c>
      <c r="S95" s="91" t="s">
        <v>578</v>
      </c>
    </row>
    <row r="96" spans="1:19" hidden="1">
      <c r="A96" s="91"/>
      <c r="B96" s="97" t="s">
        <v>74</v>
      </c>
      <c r="C96" s="91">
        <v>4500089164</v>
      </c>
      <c r="D96" s="91" t="s">
        <v>314</v>
      </c>
      <c r="E96" s="91"/>
      <c r="F96" s="303"/>
      <c r="G96" s="92"/>
      <c r="H96" s="92"/>
      <c r="I96" s="91"/>
      <c r="J96" s="97" t="s">
        <v>304</v>
      </c>
      <c r="K96" s="306">
        <v>45501</v>
      </c>
      <c r="L96" s="99">
        <v>42272</v>
      </c>
      <c r="M96" s="93">
        <f t="shared" si="41"/>
        <v>4227.2</v>
      </c>
      <c r="N96" s="93">
        <f t="shared" si="42"/>
        <v>45653.760000000002</v>
      </c>
      <c r="O96" s="303"/>
      <c r="P96" s="93">
        <v>45654</v>
      </c>
      <c r="Q96" s="306"/>
      <c r="R96" s="93">
        <f t="shared" si="43"/>
        <v>0</v>
      </c>
      <c r="S96" s="91" t="s">
        <v>578</v>
      </c>
    </row>
    <row r="97" spans="1:19" hidden="1">
      <c r="A97" s="91"/>
      <c r="B97" s="97" t="s">
        <v>74</v>
      </c>
      <c r="C97" s="91">
        <v>4500088397</v>
      </c>
      <c r="D97" s="91" t="s">
        <v>314</v>
      </c>
      <c r="E97" s="91"/>
      <c r="F97" s="303"/>
      <c r="G97" s="92"/>
      <c r="H97" s="92"/>
      <c r="I97" s="91"/>
      <c r="J97" s="97" t="s">
        <v>306</v>
      </c>
      <c r="K97" s="306">
        <v>45505</v>
      </c>
      <c r="L97" s="99">
        <v>675000</v>
      </c>
      <c r="M97" s="93">
        <f t="shared" si="41"/>
        <v>67500</v>
      </c>
      <c r="N97" s="93">
        <f t="shared" si="42"/>
        <v>729000</v>
      </c>
      <c r="O97" s="303"/>
      <c r="P97" s="93">
        <v>729000</v>
      </c>
      <c r="Q97" s="306"/>
      <c r="R97" s="93">
        <f t="shared" si="43"/>
        <v>0</v>
      </c>
      <c r="S97" s="91" t="s">
        <v>578</v>
      </c>
    </row>
    <row r="98" spans="1:19" hidden="1">
      <c r="A98" s="91"/>
      <c r="B98" s="97" t="s">
        <v>74</v>
      </c>
      <c r="C98" s="91">
        <v>4500088323</v>
      </c>
      <c r="D98" s="91" t="s">
        <v>314</v>
      </c>
      <c r="E98" s="91"/>
      <c r="F98" s="303"/>
      <c r="G98" s="92"/>
      <c r="H98" s="92"/>
      <c r="I98" s="91"/>
      <c r="J98" s="97" t="s">
        <v>308</v>
      </c>
      <c r="K98" s="306">
        <v>45505</v>
      </c>
      <c r="L98" s="99">
        <v>188387</v>
      </c>
      <c r="M98" s="93">
        <f t="shared" si="41"/>
        <v>18838.7</v>
      </c>
      <c r="N98" s="93">
        <f t="shared" si="42"/>
        <v>203457.95999999996</v>
      </c>
      <c r="O98" s="303"/>
      <c r="P98" s="93">
        <v>203458</v>
      </c>
      <c r="Q98" s="306"/>
      <c r="R98" s="93">
        <f t="shared" si="43"/>
        <v>0</v>
      </c>
      <c r="S98" s="91" t="s">
        <v>578</v>
      </c>
    </row>
    <row r="99" spans="1:19" hidden="1">
      <c r="A99" s="91"/>
      <c r="B99" s="97" t="s">
        <v>74</v>
      </c>
      <c r="C99" s="91">
        <v>4500089649</v>
      </c>
      <c r="D99" s="91" t="s">
        <v>314</v>
      </c>
      <c r="E99" s="91"/>
      <c r="F99" s="303"/>
      <c r="G99" s="92"/>
      <c r="H99" s="92"/>
      <c r="I99" s="91"/>
      <c r="J99" s="97" t="s">
        <v>310</v>
      </c>
      <c r="K99" s="306">
        <v>45505</v>
      </c>
      <c r="L99" s="99">
        <v>300000</v>
      </c>
      <c r="M99" s="93">
        <f t="shared" si="41"/>
        <v>30000</v>
      </c>
      <c r="N99" s="93">
        <f t="shared" si="42"/>
        <v>324000</v>
      </c>
      <c r="O99" s="303"/>
      <c r="P99" s="93">
        <v>324000</v>
      </c>
      <c r="Q99" s="306"/>
      <c r="R99" s="93">
        <f t="shared" si="43"/>
        <v>0</v>
      </c>
      <c r="S99" s="91" t="s">
        <v>578</v>
      </c>
    </row>
    <row r="100" spans="1:19" hidden="1">
      <c r="A100" s="91"/>
      <c r="B100" s="97" t="s">
        <v>74</v>
      </c>
      <c r="C100" s="91">
        <v>4500090771</v>
      </c>
      <c r="D100" s="91" t="s">
        <v>314</v>
      </c>
      <c r="E100" s="91"/>
      <c r="F100" s="303"/>
      <c r="G100" s="92"/>
      <c r="H100" s="92"/>
      <c r="I100" s="91"/>
      <c r="J100" s="97" t="s">
        <v>316</v>
      </c>
      <c r="K100" s="306">
        <v>45505</v>
      </c>
      <c r="L100" s="99">
        <v>116129</v>
      </c>
      <c r="M100" s="93">
        <f t="shared" si="41"/>
        <v>11612.900000000001</v>
      </c>
      <c r="N100" s="93">
        <f t="shared" si="42"/>
        <v>125419.32</v>
      </c>
      <c r="O100" s="303"/>
      <c r="P100" s="93">
        <v>125419</v>
      </c>
      <c r="Q100" s="306"/>
      <c r="R100" s="93">
        <f t="shared" si="43"/>
        <v>0</v>
      </c>
      <c r="S100" s="91" t="s">
        <v>578</v>
      </c>
    </row>
    <row r="101" spans="1:19" hidden="1">
      <c r="A101" s="91"/>
      <c r="B101" s="97" t="s">
        <v>74</v>
      </c>
      <c r="C101" s="91">
        <v>4500089164</v>
      </c>
      <c r="D101" s="91" t="s">
        <v>314</v>
      </c>
      <c r="E101" s="91"/>
      <c r="F101" s="303"/>
      <c r="G101" s="92"/>
      <c r="H101" s="92"/>
      <c r="I101" s="91"/>
      <c r="J101" s="97" t="s">
        <v>312</v>
      </c>
      <c r="K101" s="306">
        <v>45513</v>
      </c>
      <c r="L101" s="99">
        <v>35723</v>
      </c>
      <c r="M101" s="93">
        <f t="shared" si="41"/>
        <v>3572.3</v>
      </c>
      <c r="N101" s="93">
        <f t="shared" si="42"/>
        <v>38580.839999999997</v>
      </c>
      <c r="O101" s="303"/>
      <c r="P101" s="93">
        <v>38581</v>
      </c>
      <c r="Q101" s="306"/>
      <c r="R101" s="93">
        <f t="shared" si="43"/>
        <v>0</v>
      </c>
      <c r="S101" s="91" t="s">
        <v>578</v>
      </c>
    </row>
    <row r="102" spans="1:19" hidden="1">
      <c r="A102" s="91"/>
      <c r="B102" s="97" t="s">
        <v>74</v>
      </c>
      <c r="C102" s="91">
        <v>4500089164</v>
      </c>
      <c r="D102" s="91" t="s">
        <v>314</v>
      </c>
      <c r="E102" s="91"/>
      <c r="F102" s="303"/>
      <c r="G102" s="92"/>
      <c r="H102" s="92"/>
      <c r="I102" s="91"/>
      <c r="J102" s="97" t="s">
        <v>326</v>
      </c>
      <c r="K102" s="306">
        <v>45534</v>
      </c>
      <c r="L102" s="99">
        <v>72192</v>
      </c>
      <c r="M102" s="93">
        <f t="shared" si="41"/>
        <v>7219.2000000000007</v>
      </c>
      <c r="N102" s="93">
        <f t="shared" si="42"/>
        <v>77967.360000000001</v>
      </c>
      <c r="O102" s="303"/>
      <c r="P102" s="93">
        <v>77967</v>
      </c>
      <c r="Q102" s="306"/>
      <c r="R102" s="93">
        <f t="shared" si="43"/>
        <v>0</v>
      </c>
      <c r="S102" s="91" t="s">
        <v>578</v>
      </c>
    </row>
    <row r="103" spans="1:19" hidden="1">
      <c r="A103" s="91"/>
      <c r="B103" s="97" t="s">
        <v>74</v>
      </c>
      <c r="C103" s="91">
        <v>4500088397</v>
      </c>
      <c r="D103" s="91" t="s">
        <v>314</v>
      </c>
      <c r="E103" s="91"/>
      <c r="F103" s="303"/>
      <c r="G103" s="92"/>
      <c r="H103" s="92"/>
      <c r="I103" s="91"/>
      <c r="J103" s="97" t="s">
        <v>318</v>
      </c>
      <c r="K103" s="306">
        <v>45537</v>
      </c>
      <c r="L103" s="99">
        <v>675000</v>
      </c>
      <c r="M103" s="93">
        <f t="shared" si="41"/>
        <v>67500</v>
      </c>
      <c r="N103" s="93">
        <f t="shared" si="42"/>
        <v>729000</v>
      </c>
      <c r="O103" s="303"/>
      <c r="P103" s="93">
        <v>729000</v>
      </c>
      <c r="Q103" s="306"/>
      <c r="R103" s="93">
        <f t="shared" si="43"/>
        <v>0</v>
      </c>
      <c r="S103" s="91" t="s">
        <v>578</v>
      </c>
    </row>
    <row r="104" spans="1:19" hidden="1">
      <c r="A104" s="91"/>
      <c r="B104" s="97" t="s">
        <v>74</v>
      </c>
      <c r="C104" s="91">
        <v>4500088323</v>
      </c>
      <c r="D104" s="91" t="s">
        <v>314</v>
      </c>
      <c r="E104" s="91"/>
      <c r="F104" s="303"/>
      <c r="G104" s="92"/>
      <c r="H104" s="92"/>
      <c r="I104" s="91"/>
      <c r="J104" s="97" t="s">
        <v>320</v>
      </c>
      <c r="K104" s="306">
        <v>45537</v>
      </c>
      <c r="L104" s="99">
        <v>140000</v>
      </c>
      <c r="M104" s="93">
        <f t="shared" si="41"/>
        <v>14000</v>
      </c>
      <c r="N104" s="93">
        <f t="shared" si="42"/>
        <v>151200</v>
      </c>
      <c r="O104" s="303"/>
      <c r="P104" s="93">
        <v>151200</v>
      </c>
      <c r="Q104" s="306"/>
      <c r="R104" s="93">
        <f t="shared" si="43"/>
        <v>0</v>
      </c>
      <c r="S104" s="91" t="s">
        <v>578</v>
      </c>
    </row>
    <row r="105" spans="1:19" hidden="1">
      <c r="A105" s="91"/>
      <c r="B105" s="97" t="s">
        <v>74</v>
      </c>
      <c r="C105" s="91">
        <v>4500089649</v>
      </c>
      <c r="D105" s="91" t="s">
        <v>314</v>
      </c>
      <c r="E105" s="91"/>
      <c r="F105" s="303"/>
      <c r="G105" s="92"/>
      <c r="H105" s="92"/>
      <c r="I105" s="91"/>
      <c r="J105" s="97" t="s">
        <v>328</v>
      </c>
      <c r="K105" s="306">
        <v>45537</v>
      </c>
      <c r="L105" s="99">
        <v>300000</v>
      </c>
      <c r="M105" s="93">
        <f t="shared" si="41"/>
        <v>30000</v>
      </c>
      <c r="N105" s="93">
        <f t="shared" si="42"/>
        <v>324000</v>
      </c>
      <c r="O105" s="303"/>
      <c r="P105" s="93">
        <v>321570</v>
      </c>
      <c r="Q105" s="306"/>
      <c r="R105" s="93">
        <f t="shared" si="43"/>
        <v>2430</v>
      </c>
      <c r="S105" s="91" t="s">
        <v>579</v>
      </c>
    </row>
    <row r="106" spans="1:19" hidden="1">
      <c r="A106" s="91"/>
      <c r="B106" s="97" t="s">
        <v>74</v>
      </c>
      <c r="C106" s="91">
        <v>4500090771</v>
      </c>
      <c r="D106" s="91" t="s">
        <v>314</v>
      </c>
      <c r="E106" s="91"/>
      <c r="F106" s="303"/>
      <c r="G106" s="92"/>
      <c r="H106" s="92"/>
      <c r="I106" s="91"/>
      <c r="J106" s="97" t="s">
        <v>324</v>
      </c>
      <c r="K106" s="306">
        <v>45541</v>
      </c>
      <c r="L106" s="99">
        <v>150000</v>
      </c>
      <c r="M106" s="93">
        <f t="shared" si="41"/>
        <v>15000</v>
      </c>
      <c r="N106" s="93">
        <f t="shared" si="42"/>
        <v>162000</v>
      </c>
      <c r="O106" s="303"/>
      <c r="P106" s="93">
        <v>162000</v>
      </c>
      <c r="Q106" s="306"/>
      <c r="R106" s="93">
        <f t="shared" si="43"/>
        <v>0</v>
      </c>
      <c r="S106" s="91" t="s">
        <v>578</v>
      </c>
    </row>
    <row r="107" spans="1:19" hidden="1">
      <c r="A107" s="91"/>
      <c r="B107" s="97" t="s">
        <v>74</v>
      </c>
      <c r="C107" s="91">
        <v>4500089164</v>
      </c>
      <c r="D107" s="91" t="s">
        <v>314</v>
      </c>
      <c r="E107" s="91"/>
      <c r="F107" s="303"/>
      <c r="G107" s="92"/>
      <c r="H107" s="92"/>
      <c r="I107" s="91"/>
      <c r="J107" s="97" t="s">
        <v>333</v>
      </c>
      <c r="K107" s="306">
        <v>45549</v>
      </c>
      <c r="L107" s="99">
        <v>37988</v>
      </c>
      <c r="M107" s="93">
        <f t="shared" si="41"/>
        <v>3798.8</v>
      </c>
      <c r="N107" s="93">
        <f t="shared" si="42"/>
        <v>41027.039999999994</v>
      </c>
      <c r="O107" s="303"/>
      <c r="P107" s="93">
        <v>41028</v>
      </c>
      <c r="Q107" s="306"/>
      <c r="R107" s="93">
        <f t="shared" si="43"/>
        <v>-1</v>
      </c>
      <c r="S107" s="91" t="s">
        <v>578</v>
      </c>
    </row>
    <row r="108" spans="1:19" hidden="1">
      <c r="A108" s="91"/>
      <c r="B108" s="97" t="s">
        <v>74</v>
      </c>
      <c r="C108" s="91">
        <v>4500088397</v>
      </c>
      <c r="D108" s="91" t="s">
        <v>314</v>
      </c>
      <c r="E108" s="91"/>
      <c r="F108" s="303"/>
      <c r="G108" s="92"/>
      <c r="H108" s="92"/>
      <c r="I108" s="91"/>
      <c r="J108" s="97" t="s">
        <v>357</v>
      </c>
      <c r="K108" s="306">
        <v>45561</v>
      </c>
      <c r="L108" s="99">
        <v>35369</v>
      </c>
      <c r="M108" s="93">
        <f t="shared" si="41"/>
        <v>3536.9</v>
      </c>
      <c r="N108" s="93">
        <f t="shared" si="42"/>
        <v>38198.519999999997</v>
      </c>
      <c r="O108" s="303"/>
      <c r="P108" s="93">
        <v>38199</v>
      </c>
      <c r="Q108" s="306"/>
      <c r="R108" s="93">
        <f t="shared" si="43"/>
        <v>0</v>
      </c>
      <c r="S108" s="91" t="s">
        <v>578</v>
      </c>
    </row>
    <row r="109" spans="1:19" hidden="1">
      <c r="A109" s="91"/>
      <c r="B109" s="97" t="s">
        <v>74</v>
      </c>
      <c r="C109" s="91">
        <v>4500088397</v>
      </c>
      <c r="D109" s="91" t="s">
        <v>314</v>
      </c>
      <c r="E109" s="91"/>
      <c r="F109" s="303"/>
      <c r="G109" s="92"/>
      <c r="H109" s="92"/>
      <c r="I109" s="91"/>
      <c r="J109" s="97" t="s">
        <v>335</v>
      </c>
      <c r="K109" s="306">
        <v>45567</v>
      </c>
      <c r="L109" s="99">
        <v>675000</v>
      </c>
      <c r="M109" s="93">
        <f t="shared" si="41"/>
        <v>67500</v>
      </c>
      <c r="N109" s="93">
        <f t="shared" si="42"/>
        <v>729000</v>
      </c>
      <c r="O109" s="303"/>
      <c r="P109" s="93">
        <v>729000</v>
      </c>
      <c r="Q109" s="306"/>
      <c r="R109" s="93">
        <f t="shared" si="43"/>
        <v>0</v>
      </c>
      <c r="S109" s="91" t="s">
        <v>578</v>
      </c>
    </row>
    <row r="110" spans="1:19" hidden="1">
      <c r="A110" s="91"/>
      <c r="B110" s="97" t="s">
        <v>74</v>
      </c>
      <c r="C110" s="91">
        <v>4500090771</v>
      </c>
      <c r="D110" s="91" t="s">
        <v>314</v>
      </c>
      <c r="E110" s="91"/>
      <c r="F110" s="303"/>
      <c r="G110" s="92"/>
      <c r="H110" s="92"/>
      <c r="I110" s="91"/>
      <c r="J110" s="97" t="s">
        <v>341</v>
      </c>
      <c r="K110" s="306">
        <v>45567</v>
      </c>
      <c r="L110" s="99">
        <v>75000</v>
      </c>
      <c r="M110" s="93">
        <f t="shared" si="41"/>
        <v>7500</v>
      </c>
      <c r="N110" s="93">
        <f t="shared" si="42"/>
        <v>81000</v>
      </c>
      <c r="O110" s="303"/>
      <c r="P110" s="93">
        <v>81000</v>
      </c>
      <c r="Q110" s="306"/>
      <c r="R110" s="93">
        <f t="shared" si="43"/>
        <v>0</v>
      </c>
      <c r="S110" s="91" t="s">
        <v>578</v>
      </c>
    </row>
    <row r="111" spans="1:19" hidden="1">
      <c r="A111" s="91"/>
      <c r="B111" s="97" t="s">
        <v>74</v>
      </c>
      <c r="C111" s="91">
        <v>4500089649</v>
      </c>
      <c r="D111" s="91" t="s">
        <v>314</v>
      </c>
      <c r="E111" s="91"/>
      <c r="F111" s="303"/>
      <c r="G111" s="92"/>
      <c r="H111" s="92"/>
      <c r="I111" s="91"/>
      <c r="J111" s="97" t="s">
        <v>339</v>
      </c>
      <c r="K111" s="306">
        <v>45567</v>
      </c>
      <c r="L111" s="99">
        <v>300000</v>
      </c>
      <c r="M111" s="93">
        <f t="shared" si="41"/>
        <v>30000</v>
      </c>
      <c r="N111" s="93">
        <f t="shared" si="42"/>
        <v>324000</v>
      </c>
      <c r="O111" s="303"/>
      <c r="P111" s="93">
        <v>324000</v>
      </c>
      <c r="Q111" s="306"/>
      <c r="R111" s="93">
        <f t="shared" si="43"/>
        <v>0</v>
      </c>
      <c r="S111" s="91" t="s">
        <v>578</v>
      </c>
    </row>
    <row r="112" spans="1:19" hidden="1">
      <c r="A112" s="91"/>
      <c r="B112" s="97" t="s">
        <v>74</v>
      </c>
      <c r="C112" s="91">
        <v>4500088323</v>
      </c>
      <c r="D112" s="91" t="s">
        <v>314</v>
      </c>
      <c r="E112" s="91"/>
      <c r="F112" s="303"/>
      <c r="G112" s="92"/>
      <c r="H112" s="92"/>
      <c r="I112" s="91"/>
      <c r="J112" s="97" t="s">
        <v>337</v>
      </c>
      <c r="K112" s="306">
        <v>45567</v>
      </c>
      <c r="L112" s="99">
        <v>140000</v>
      </c>
      <c r="M112" s="93">
        <f t="shared" si="41"/>
        <v>14000</v>
      </c>
      <c r="N112" s="93">
        <f t="shared" si="42"/>
        <v>151200</v>
      </c>
      <c r="O112" s="303"/>
      <c r="P112" s="93">
        <v>151200</v>
      </c>
      <c r="Q112" s="306"/>
      <c r="R112" s="93">
        <f t="shared" si="43"/>
        <v>0</v>
      </c>
      <c r="S112" s="91" t="s">
        <v>578</v>
      </c>
    </row>
    <row r="113" spans="1:19" hidden="1">
      <c r="A113" s="91"/>
      <c r="B113" s="97" t="s">
        <v>74</v>
      </c>
      <c r="C113" s="91">
        <v>4500089164</v>
      </c>
      <c r="D113" s="91" t="s">
        <v>314</v>
      </c>
      <c r="E113" s="91"/>
      <c r="F113" s="303"/>
      <c r="G113" s="92"/>
      <c r="H113" s="92"/>
      <c r="I113" s="91"/>
      <c r="J113" s="97" t="s">
        <v>344</v>
      </c>
      <c r="K113" s="306">
        <v>45577</v>
      </c>
      <c r="L113" s="99">
        <v>49417</v>
      </c>
      <c r="M113" s="93">
        <f t="shared" si="41"/>
        <v>4941.7000000000007</v>
      </c>
      <c r="N113" s="93">
        <f t="shared" si="42"/>
        <v>53370.36</v>
      </c>
      <c r="O113" s="303"/>
      <c r="P113" s="93">
        <v>53370</v>
      </c>
      <c r="Q113" s="306"/>
      <c r="R113" s="93">
        <f t="shared" si="43"/>
        <v>0</v>
      </c>
      <c r="S113" s="91" t="s">
        <v>578</v>
      </c>
    </row>
    <row r="114" spans="1:19" hidden="1">
      <c r="A114" s="91"/>
      <c r="B114" s="97" t="s">
        <v>74</v>
      </c>
      <c r="C114" s="91">
        <v>4500094640</v>
      </c>
      <c r="D114" s="91" t="s">
        <v>314</v>
      </c>
      <c r="E114" s="91"/>
      <c r="F114" s="303"/>
      <c r="G114" s="92"/>
      <c r="H114" s="92"/>
      <c r="I114" s="91"/>
      <c r="J114" s="97" t="s">
        <v>354</v>
      </c>
      <c r="K114" s="306">
        <v>45602</v>
      </c>
      <c r="L114" s="99">
        <v>300000</v>
      </c>
      <c r="M114" s="93">
        <f t="shared" si="41"/>
        <v>30000</v>
      </c>
      <c r="N114" s="93">
        <f t="shared" si="42"/>
        <v>324000</v>
      </c>
      <c r="O114" s="303"/>
      <c r="P114" s="93">
        <v>307800</v>
      </c>
      <c r="Q114" s="306"/>
      <c r="R114" s="93">
        <f t="shared" si="43"/>
        <v>16200</v>
      </c>
      <c r="S114" s="91" t="s">
        <v>579</v>
      </c>
    </row>
    <row r="115" spans="1:19" hidden="1">
      <c r="A115" s="91"/>
      <c r="B115" s="97" t="s">
        <v>74</v>
      </c>
      <c r="C115" s="91">
        <v>4500088323</v>
      </c>
      <c r="D115" s="91" t="s">
        <v>314</v>
      </c>
      <c r="E115" s="91"/>
      <c r="F115" s="303"/>
      <c r="G115" s="92"/>
      <c r="H115" s="92"/>
      <c r="I115" s="91"/>
      <c r="J115" s="97" t="s">
        <v>346</v>
      </c>
      <c r="K115" s="306">
        <v>45602</v>
      </c>
      <c r="L115" s="99">
        <v>140000</v>
      </c>
      <c r="M115" s="93">
        <f t="shared" si="41"/>
        <v>14000</v>
      </c>
      <c r="N115" s="93">
        <f t="shared" si="42"/>
        <v>151200</v>
      </c>
      <c r="O115" s="303"/>
      <c r="P115" s="93">
        <v>151200</v>
      </c>
      <c r="Q115" s="306"/>
      <c r="R115" s="93">
        <f t="shared" si="43"/>
        <v>0</v>
      </c>
      <c r="S115" s="91" t="s">
        <v>578</v>
      </c>
    </row>
    <row r="116" spans="1:19" hidden="1">
      <c r="A116" s="91"/>
      <c r="B116" s="97" t="s">
        <v>74</v>
      </c>
      <c r="C116" s="91">
        <v>4500094642</v>
      </c>
      <c r="D116" s="91" t="s">
        <v>314</v>
      </c>
      <c r="E116" s="91"/>
      <c r="F116" s="303"/>
      <c r="G116" s="92"/>
      <c r="H116" s="92"/>
      <c r="I116" s="91"/>
      <c r="J116" s="97" t="s">
        <v>369</v>
      </c>
      <c r="K116" s="306">
        <v>45602</v>
      </c>
      <c r="L116" s="99">
        <v>675000</v>
      </c>
      <c r="M116" s="93">
        <f t="shared" si="41"/>
        <v>67500</v>
      </c>
      <c r="N116" s="93">
        <f t="shared" si="42"/>
        <v>729000</v>
      </c>
      <c r="O116" s="303"/>
      <c r="P116" s="93">
        <v>719028</v>
      </c>
      <c r="Q116" s="306"/>
      <c r="R116" s="93">
        <f t="shared" si="43"/>
        <v>9972</v>
      </c>
      <c r="S116" s="91" t="s">
        <v>579</v>
      </c>
    </row>
    <row r="117" spans="1:19" hidden="1">
      <c r="A117" s="91"/>
      <c r="B117" s="97" t="s">
        <v>74</v>
      </c>
      <c r="C117" s="91">
        <v>4500088397</v>
      </c>
      <c r="D117" s="91" t="s">
        <v>314</v>
      </c>
      <c r="E117" s="91"/>
      <c r="F117" s="303"/>
      <c r="G117" s="92"/>
      <c r="H117" s="92"/>
      <c r="I117" s="91"/>
      <c r="J117" s="97" t="s">
        <v>359</v>
      </c>
      <c r="K117" s="306">
        <v>45602</v>
      </c>
      <c r="L117" s="99">
        <v>42534</v>
      </c>
      <c r="M117" s="93">
        <f t="shared" si="41"/>
        <v>4253.4000000000005</v>
      </c>
      <c r="N117" s="93">
        <f t="shared" si="42"/>
        <v>45936.719999999994</v>
      </c>
      <c r="O117" s="303"/>
      <c r="P117" s="93">
        <v>45937</v>
      </c>
      <c r="Q117" s="306"/>
      <c r="R117" s="93">
        <f t="shared" si="43"/>
        <v>0</v>
      </c>
      <c r="S117" s="91" t="s">
        <v>578</v>
      </c>
    </row>
    <row r="118" spans="1:19" hidden="1">
      <c r="A118" s="91"/>
      <c r="B118" s="97" t="s">
        <v>74</v>
      </c>
      <c r="C118" s="91">
        <v>4500088397</v>
      </c>
      <c r="D118" s="91" t="s">
        <v>314</v>
      </c>
      <c r="E118" s="91"/>
      <c r="F118" s="303"/>
      <c r="G118" s="92"/>
      <c r="H118" s="92"/>
      <c r="I118" s="91"/>
      <c r="J118" s="97" t="s">
        <v>361</v>
      </c>
      <c r="K118" s="306">
        <v>45624</v>
      </c>
      <c r="L118" s="99">
        <v>66213</v>
      </c>
      <c r="M118" s="93">
        <f t="shared" si="41"/>
        <v>6621.3</v>
      </c>
      <c r="N118" s="93">
        <f t="shared" si="42"/>
        <v>71510.039999999994</v>
      </c>
      <c r="O118" s="303"/>
      <c r="P118" s="93">
        <v>71510</v>
      </c>
      <c r="Q118" s="306"/>
      <c r="R118" s="93">
        <f t="shared" si="43"/>
        <v>0</v>
      </c>
      <c r="S118" s="91" t="s">
        <v>578</v>
      </c>
    </row>
    <row r="119" spans="1:19" hidden="1">
      <c r="A119" s="91"/>
      <c r="B119" s="97" t="s">
        <v>74</v>
      </c>
      <c r="C119" s="91">
        <v>4500094640</v>
      </c>
      <c r="D119" s="91" t="s">
        <v>314</v>
      </c>
      <c r="E119" s="91"/>
      <c r="F119" s="303"/>
      <c r="G119" s="92"/>
      <c r="H119" s="92"/>
      <c r="I119" s="91"/>
      <c r="J119" s="97" t="s">
        <v>373</v>
      </c>
      <c r="K119" s="306">
        <v>45629</v>
      </c>
      <c r="L119" s="99">
        <v>140000</v>
      </c>
      <c r="M119" s="93">
        <f t="shared" si="41"/>
        <v>14000</v>
      </c>
      <c r="N119" s="93">
        <f t="shared" si="42"/>
        <v>151200</v>
      </c>
      <c r="O119" s="303"/>
      <c r="P119" s="93">
        <v>145476</v>
      </c>
      <c r="Q119" s="306"/>
      <c r="R119" s="93">
        <f t="shared" si="43"/>
        <v>5724</v>
      </c>
      <c r="S119" s="91" t="s">
        <v>579</v>
      </c>
    </row>
    <row r="120" spans="1:19" hidden="1">
      <c r="A120" s="91"/>
      <c r="B120" s="97" t="s">
        <v>74</v>
      </c>
      <c r="C120" s="91">
        <v>4500094642</v>
      </c>
      <c r="D120" s="91" t="s">
        <v>314</v>
      </c>
      <c r="E120" s="91"/>
      <c r="F120" s="303"/>
      <c r="G120" s="92"/>
      <c r="H120" s="92"/>
      <c r="I120" s="91"/>
      <c r="J120" s="97" t="s">
        <v>349</v>
      </c>
      <c r="K120" s="306">
        <v>45629</v>
      </c>
      <c r="L120" s="99">
        <v>600000</v>
      </c>
      <c r="M120" s="93">
        <f t="shared" si="41"/>
        <v>60000</v>
      </c>
      <c r="N120" s="93">
        <f t="shared" si="42"/>
        <v>648000</v>
      </c>
      <c r="O120" s="303"/>
      <c r="P120" s="93">
        <v>647676</v>
      </c>
      <c r="Q120" s="306"/>
      <c r="R120" s="93">
        <f t="shared" si="43"/>
        <v>324</v>
      </c>
      <c r="S120" s="91" t="s">
        <v>579</v>
      </c>
    </row>
    <row r="121" spans="1:19" hidden="1">
      <c r="A121" s="91"/>
      <c r="B121" s="97" t="s">
        <v>74</v>
      </c>
      <c r="C121" s="91">
        <v>4500094640</v>
      </c>
      <c r="D121" s="91" t="s">
        <v>314</v>
      </c>
      <c r="E121" s="91"/>
      <c r="F121" s="303"/>
      <c r="G121" s="92"/>
      <c r="H121" s="92"/>
      <c r="I121" s="91"/>
      <c r="J121" s="97" t="s">
        <v>352</v>
      </c>
      <c r="K121" s="306">
        <v>45629</v>
      </c>
      <c r="L121" s="99">
        <v>300000</v>
      </c>
      <c r="M121" s="93">
        <f t="shared" si="41"/>
        <v>30000</v>
      </c>
      <c r="N121" s="93">
        <f t="shared" si="42"/>
        <v>324000</v>
      </c>
      <c r="O121" s="303"/>
      <c r="P121" s="93">
        <v>307800</v>
      </c>
      <c r="Q121" s="306"/>
      <c r="R121" s="93">
        <f t="shared" si="43"/>
        <v>16200</v>
      </c>
      <c r="S121" s="91" t="s">
        <v>579</v>
      </c>
    </row>
    <row r="122" spans="1:19" hidden="1">
      <c r="A122" s="91"/>
      <c r="B122" s="97" t="s">
        <v>74</v>
      </c>
      <c r="C122" s="91">
        <v>4500088397</v>
      </c>
      <c r="D122" s="91" t="s">
        <v>314</v>
      </c>
      <c r="E122" s="91"/>
      <c r="F122" s="303"/>
      <c r="G122" s="92"/>
      <c r="H122" s="92"/>
      <c r="I122" s="91"/>
      <c r="J122" s="97" t="s">
        <v>363</v>
      </c>
      <c r="K122" s="306">
        <v>45641</v>
      </c>
      <c r="L122" s="99">
        <v>54258</v>
      </c>
      <c r="M122" s="93">
        <f t="shared" si="41"/>
        <v>5425.8</v>
      </c>
      <c r="N122" s="93">
        <f t="shared" si="42"/>
        <v>58598.639999999992</v>
      </c>
      <c r="O122" s="303"/>
      <c r="P122" s="93">
        <v>58599</v>
      </c>
      <c r="Q122" s="306"/>
      <c r="R122" s="93">
        <f t="shared" si="43"/>
        <v>0</v>
      </c>
      <c r="S122" s="91" t="s">
        <v>578</v>
      </c>
    </row>
    <row r="123" spans="1:19" hidden="1">
      <c r="A123" s="91"/>
      <c r="B123" s="97" t="s">
        <v>74</v>
      </c>
      <c r="C123" s="91">
        <v>4500088397</v>
      </c>
      <c r="D123" s="91" t="s">
        <v>314</v>
      </c>
      <c r="E123" s="91"/>
      <c r="F123" s="303"/>
      <c r="G123" s="92"/>
      <c r="H123" s="92"/>
      <c r="I123" s="91"/>
      <c r="J123" s="97" t="s">
        <v>365</v>
      </c>
      <c r="K123" s="306">
        <v>45655</v>
      </c>
      <c r="L123" s="99">
        <v>66200</v>
      </c>
      <c r="M123" s="93">
        <f t="shared" si="41"/>
        <v>6620</v>
      </c>
      <c r="N123" s="93">
        <f t="shared" si="42"/>
        <v>71496</v>
      </c>
      <c r="O123" s="303"/>
      <c r="P123" s="93">
        <v>71496</v>
      </c>
      <c r="Q123" s="306"/>
      <c r="R123" s="93">
        <f t="shared" si="43"/>
        <v>0</v>
      </c>
      <c r="S123" s="91" t="s">
        <v>578</v>
      </c>
    </row>
    <row r="124" spans="1:19" hidden="1">
      <c r="A124" s="91"/>
      <c r="B124" s="97" t="s">
        <v>74</v>
      </c>
      <c r="C124" s="91">
        <v>4500094642</v>
      </c>
      <c r="D124" s="91" t="s">
        <v>314</v>
      </c>
      <c r="E124" s="91"/>
      <c r="F124" s="303"/>
      <c r="G124" s="92"/>
      <c r="H124" s="92"/>
      <c r="I124" s="91"/>
      <c r="J124" s="97" t="s">
        <v>377</v>
      </c>
      <c r="K124" s="306">
        <v>45665</v>
      </c>
      <c r="L124" s="99">
        <v>625000</v>
      </c>
      <c r="M124" s="93">
        <f t="shared" si="41"/>
        <v>62500</v>
      </c>
      <c r="N124" s="93">
        <f t="shared" si="42"/>
        <v>675000</v>
      </c>
      <c r="O124" s="303"/>
      <c r="P124" s="93">
        <v>675000</v>
      </c>
      <c r="Q124" s="306"/>
      <c r="R124" s="93">
        <f t="shared" si="43"/>
        <v>0</v>
      </c>
      <c r="S124" s="91" t="s">
        <v>578</v>
      </c>
    </row>
    <row r="125" spans="1:19" hidden="1">
      <c r="A125" s="91"/>
      <c r="B125" s="97" t="s">
        <v>74</v>
      </c>
      <c r="C125" s="91">
        <v>4500094640</v>
      </c>
      <c r="D125" s="91" t="s">
        <v>314</v>
      </c>
      <c r="E125" s="91"/>
      <c r="F125" s="303"/>
      <c r="G125" s="92"/>
      <c r="H125" s="92"/>
      <c r="I125" s="91"/>
      <c r="J125" s="97" t="s">
        <v>375</v>
      </c>
      <c r="K125" s="306">
        <v>45665</v>
      </c>
      <c r="L125" s="99">
        <v>150000</v>
      </c>
      <c r="M125" s="93">
        <f t="shared" si="41"/>
        <v>15000</v>
      </c>
      <c r="N125" s="93">
        <f t="shared" si="42"/>
        <v>162000</v>
      </c>
      <c r="O125" s="303"/>
      <c r="P125" s="93">
        <v>162000</v>
      </c>
      <c r="Q125" s="306"/>
      <c r="R125" s="93">
        <f t="shared" si="43"/>
        <v>0</v>
      </c>
      <c r="S125" s="91" t="s">
        <v>578</v>
      </c>
    </row>
    <row r="126" spans="1:19" hidden="1">
      <c r="A126" s="91"/>
      <c r="B126" s="97" t="s">
        <v>74</v>
      </c>
      <c r="C126" s="91">
        <v>4500094640</v>
      </c>
      <c r="D126" s="91" t="s">
        <v>314</v>
      </c>
      <c r="E126" s="91"/>
      <c r="F126" s="303"/>
      <c r="G126" s="92"/>
      <c r="H126" s="92"/>
      <c r="I126" s="91"/>
      <c r="J126" s="97" t="s">
        <v>580</v>
      </c>
      <c r="K126" s="306">
        <v>45665</v>
      </c>
      <c r="L126" s="99">
        <v>140000</v>
      </c>
      <c r="M126" s="93">
        <f t="shared" si="41"/>
        <v>14000</v>
      </c>
      <c r="N126" s="93">
        <f t="shared" si="42"/>
        <v>151200</v>
      </c>
      <c r="O126" s="303"/>
      <c r="P126" s="93">
        <v>151200</v>
      </c>
      <c r="Q126" s="306"/>
      <c r="R126" s="93">
        <f t="shared" si="43"/>
        <v>0</v>
      </c>
      <c r="S126" s="91" t="s">
        <v>578</v>
      </c>
    </row>
    <row r="127" spans="1:19" hidden="1">
      <c r="A127" s="91"/>
      <c r="B127" s="97" t="s">
        <v>74</v>
      </c>
      <c r="C127" s="91">
        <v>4500098208</v>
      </c>
      <c r="D127" s="91" t="s">
        <v>314</v>
      </c>
      <c r="E127" s="91"/>
      <c r="F127" s="303"/>
      <c r="G127" s="92"/>
      <c r="H127" s="92"/>
      <c r="I127" s="91"/>
      <c r="J127" s="97" t="s">
        <v>388</v>
      </c>
      <c r="K127" s="306">
        <v>45665</v>
      </c>
      <c r="L127" s="99">
        <v>68254</v>
      </c>
      <c r="M127" s="93">
        <f t="shared" si="41"/>
        <v>6825.4000000000005</v>
      </c>
      <c r="N127" s="93">
        <f t="shared" si="42"/>
        <v>73714.320000000007</v>
      </c>
      <c r="O127" s="303"/>
      <c r="P127" s="93">
        <v>73714</v>
      </c>
      <c r="Q127" s="306"/>
      <c r="R127" s="93">
        <f t="shared" si="43"/>
        <v>0</v>
      </c>
      <c r="S127" s="91" t="s">
        <v>578</v>
      </c>
    </row>
    <row r="128" spans="1:19" hidden="1">
      <c r="A128" s="91"/>
      <c r="B128" s="97" t="s">
        <v>74</v>
      </c>
      <c r="C128" s="91">
        <v>4500098208</v>
      </c>
      <c r="D128" s="91" t="s">
        <v>314</v>
      </c>
      <c r="E128" s="91"/>
      <c r="F128" s="303"/>
      <c r="G128" s="92"/>
      <c r="H128" s="92"/>
      <c r="I128" s="91"/>
      <c r="J128" s="97" t="s">
        <v>390</v>
      </c>
      <c r="K128" s="306">
        <v>45687</v>
      </c>
      <c r="L128" s="99">
        <v>113175</v>
      </c>
      <c r="M128" s="93">
        <f t="shared" si="41"/>
        <v>11317.5</v>
      </c>
      <c r="N128" s="93">
        <f t="shared" si="42"/>
        <v>122229</v>
      </c>
      <c r="O128" s="303"/>
      <c r="P128" s="93">
        <v>122229</v>
      </c>
      <c r="Q128" s="306"/>
      <c r="R128" s="93">
        <f t="shared" si="43"/>
        <v>0</v>
      </c>
      <c r="S128" s="91" t="s">
        <v>578</v>
      </c>
    </row>
    <row r="129" spans="1:19" hidden="1">
      <c r="A129" s="91"/>
      <c r="B129" s="97" t="s">
        <v>74</v>
      </c>
      <c r="C129" s="91">
        <v>4500096735</v>
      </c>
      <c r="D129" s="91" t="s">
        <v>314</v>
      </c>
      <c r="E129" s="91"/>
      <c r="F129" s="303"/>
      <c r="G129" s="92"/>
      <c r="H129" s="92"/>
      <c r="I129" s="91"/>
      <c r="J129" s="97" t="s">
        <v>378</v>
      </c>
      <c r="K129" s="306">
        <v>45690</v>
      </c>
      <c r="L129" s="99">
        <v>150000</v>
      </c>
      <c r="M129" s="93">
        <f t="shared" si="41"/>
        <v>15000</v>
      </c>
      <c r="N129" s="93">
        <f t="shared" si="42"/>
        <v>162000</v>
      </c>
      <c r="O129" s="303"/>
      <c r="P129" s="93">
        <v>123043</v>
      </c>
      <c r="Q129" s="306"/>
      <c r="R129" s="93">
        <f t="shared" si="43"/>
        <v>38957</v>
      </c>
      <c r="S129" s="91" t="s">
        <v>579</v>
      </c>
    </row>
    <row r="130" spans="1:19" hidden="1">
      <c r="A130" s="91"/>
      <c r="B130" s="97" t="s">
        <v>74</v>
      </c>
      <c r="C130" s="91">
        <v>4500096736</v>
      </c>
      <c r="D130" s="91" t="s">
        <v>314</v>
      </c>
      <c r="E130" s="91"/>
      <c r="F130" s="303"/>
      <c r="G130" s="92"/>
      <c r="H130" s="92"/>
      <c r="I130" s="91"/>
      <c r="J130" s="97" t="s">
        <v>381</v>
      </c>
      <c r="K130" s="306">
        <v>45690</v>
      </c>
      <c r="L130" s="99">
        <v>625000</v>
      </c>
      <c r="M130" s="93">
        <f t="shared" si="41"/>
        <v>62500</v>
      </c>
      <c r="N130" s="93">
        <f t="shared" si="42"/>
        <v>675000</v>
      </c>
      <c r="O130" s="303"/>
      <c r="P130" s="93">
        <v>526886</v>
      </c>
      <c r="Q130" s="306"/>
      <c r="R130" s="93">
        <f t="shared" si="43"/>
        <v>148114</v>
      </c>
      <c r="S130" s="91" t="s">
        <v>579</v>
      </c>
    </row>
    <row r="131" spans="1:19" hidden="1">
      <c r="A131" s="91"/>
      <c r="B131" s="97" t="s">
        <v>74</v>
      </c>
      <c r="C131" s="91">
        <v>4500096735</v>
      </c>
      <c r="D131" s="91" t="s">
        <v>314</v>
      </c>
      <c r="E131" s="91"/>
      <c r="F131" s="303"/>
      <c r="G131" s="92"/>
      <c r="H131" s="92"/>
      <c r="I131" s="91"/>
      <c r="J131" s="97" t="s">
        <v>581</v>
      </c>
      <c r="K131" s="306">
        <v>45692</v>
      </c>
      <c r="L131" s="99">
        <v>140000</v>
      </c>
      <c r="M131" s="93">
        <f t="shared" si="41"/>
        <v>14000</v>
      </c>
      <c r="N131" s="93">
        <f t="shared" si="42"/>
        <v>151200</v>
      </c>
      <c r="O131" s="303"/>
      <c r="P131" s="93">
        <v>116370</v>
      </c>
      <c r="Q131" s="306"/>
      <c r="R131" s="93">
        <f t="shared" si="43"/>
        <v>34830</v>
      </c>
      <c r="S131" s="91" t="s">
        <v>579</v>
      </c>
    </row>
    <row r="132" spans="1:19" hidden="1">
      <c r="A132" s="91"/>
      <c r="B132" s="97" t="s">
        <v>74</v>
      </c>
      <c r="C132" s="91">
        <v>4500098208</v>
      </c>
      <c r="D132" s="91" t="s">
        <v>314</v>
      </c>
      <c r="E132" s="91"/>
      <c r="F132" s="303"/>
      <c r="G132" s="92"/>
      <c r="H132" s="92"/>
      <c r="I132" s="91"/>
      <c r="J132" s="97" t="s">
        <v>392</v>
      </c>
      <c r="K132" s="306">
        <v>45711</v>
      </c>
      <c r="L132" s="99">
        <v>127102</v>
      </c>
      <c r="M132" s="93">
        <f t="shared" si="41"/>
        <v>12710.2</v>
      </c>
      <c r="N132" s="93">
        <f t="shared" si="42"/>
        <v>137270.15999999997</v>
      </c>
      <c r="O132" s="303"/>
      <c r="P132" s="93">
        <v>137270</v>
      </c>
      <c r="Q132" s="306"/>
      <c r="R132" s="93">
        <f t="shared" si="43"/>
        <v>0</v>
      </c>
      <c r="S132" s="91" t="s">
        <v>578</v>
      </c>
    </row>
    <row r="133" spans="1:19" hidden="1">
      <c r="A133" s="91"/>
      <c r="B133" s="97" t="s">
        <v>74</v>
      </c>
      <c r="C133" s="91">
        <v>4500096736</v>
      </c>
      <c r="D133" s="91" t="s">
        <v>314</v>
      </c>
      <c r="E133" s="91"/>
      <c r="F133" s="303"/>
      <c r="G133" s="92"/>
      <c r="H133" s="92"/>
      <c r="I133" s="91"/>
      <c r="J133" s="97" t="s">
        <v>383</v>
      </c>
      <c r="K133" s="306">
        <v>45718</v>
      </c>
      <c r="L133" s="99">
        <v>625000</v>
      </c>
      <c r="M133" s="93">
        <f t="shared" si="41"/>
        <v>62500</v>
      </c>
      <c r="N133" s="93">
        <f t="shared" si="42"/>
        <v>675000</v>
      </c>
      <c r="O133" s="303"/>
      <c r="P133" s="93">
        <v>658800</v>
      </c>
      <c r="Q133" s="306"/>
      <c r="R133" s="93">
        <f t="shared" si="43"/>
        <v>16200</v>
      </c>
      <c r="S133" s="91" t="s">
        <v>579</v>
      </c>
    </row>
    <row r="134" spans="1:19" hidden="1">
      <c r="A134" s="91"/>
      <c r="B134" s="97" t="s">
        <v>74</v>
      </c>
      <c r="C134" s="91">
        <v>4500096735</v>
      </c>
      <c r="D134" s="91" t="s">
        <v>314</v>
      </c>
      <c r="E134" s="91"/>
      <c r="F134" s="303"/>
      <c r="G134" s="92"/>
      <c r="H134" s="92"/>
      <c r="I134" s="91"/>
      <c r="J134" s="97" t="s">
        <v>379</v>
      </c>
      <c r="K134" s="306">
        <v>45718</v>
      </c>
      <c r="L134" s="99">
        <v>150000</v>
      </c>
      <c r="M134" s="93">
        <f t="shared" si="41"/>
        <v>15000</v>
      </c>
      <c r="N134" s="93">
        <f t="shared" si="42"/>
        <v>162000</v>
      </c>
      <c r="O134" s="303"/>
      <c r="P134" s="93">
        <v>153900</v>
      </c>
      <c r="Q134" s="306"/>
      <c r="R134" s="93">
        <f t="shared" si="43"/>
        <v>8100</v>
      </c>
      <c r="S134" s="91" t="s">
        <v>579</v>
      </c>
    </row>
    <row r="135" spans="1:19" hidden="1">
      <c r="A135" s="91"/>
      <c r="B135" s="97" t="s">
        <v>74</v>
      </c>
      <c r="C135" s="91">
        <v>4500096735</v>
      </c>
      <c r="D135" s="91" t="s">
        <v>314</v>
      </c>
      <c r="E135" s="91"/>
      <c r="F135" s="303"/>
      <c r="G135" s="92"/>
      <c r="H135" s="92"/>
      <c r="I135" s="91"/>
      <c r="J135" s="97" t="s">
        <v>582</v>
      </c>
      <c r="K135" s="306">
        <v>45718</v>
      </c>
      <c r="L135" s="99">
        <v>140000</v>
      </c>
      <c r="M135" s="93">
        <f t="shared" si="41"/>
        <v>14000</v>
      </c>
      <c r="N135" s="93">
        <f t="shared" si="42"/>
        <v>151200</v>
      </c>
      <c r="O135" s="303"/>
      <c r="P135" s="93">
        <v>145530</v>
      </c>
      <c r="Q135" s="306"/>
      <c r="R135" s="93">
        <f t="shared" si="43"/>
        <v>5670</v>
      </c>
      <c r="S135" s="91" t="s">
        <v>579</v>
      </c>
    </row>
    <row r="136" spans="1:19" hidden="1">
      <c r="A136" s="91"/>
      <c r="B136" s="97" t="s">
        <v>74</v>
      </c>
      <c r="C136" s="91">
        <v>4500098208</v>
      </c>
      <c r="D136" s="91" t="s">
        <v>314</v>
      </c>
      <c r="E136" s="91"/>
      <c r="F136" s="303"/>
      <c r="G136" s="92"/>
      <c r="H136" s="92"/>
      <c r="I136" s="91"/>
      <c r="J136" s="97" t="s">
        <v>396</v>
      </c>
      <c r="K136" s="306">
        <v>45718</v>
      </c>
      <c r="L136" s="99">
        <v>118462</v>
      </c>
      <c r="M136" s="93">
        <f t="shared" si="41"/>
        <v>11846.2</v>
      </c>
      <c r="N136" s="93">
        <f t="shared" si="42"/>
        <v>127938.96</v>
      </c>
      <c r="O136" s="303"/>
      <c r="P136" s="93">
        <v>0</v>
      </c>
      <c r="Q136" s="306"/>
      <c r="R136" s="93">
        <f t="shared" si="43"/>
        <v>127939</v>
      </c>
      <c r="S136" s="91" t="s">
        <v>322</v>
      </c>
    </row>
    <row r="137" spans="1:19" hidden="1">
      <c r="A137" s="91"/>
      <c r="B137" s="97" t="s">
        <v>74</v>
      </c>
      <c r="C137" s="91">
        <v>4500098208</v>
      </c>
      <c r="D137" s="91" t="s">
        <v>314</v>
      </c>
      <c r="E137" s="91"/>
      <c r="F137" s="303"/>
      <c r="G137" s="92"/>
      <c r="H137" s="92"/>
      <c r="I137" s="91"/>
      <c r="J137" s="97" t="s">
        <v>394</v>
      </c>
      <c r="K137" s="306">
        <v>45721</v>
      </c>
      <c r="L137" s="99">
        <v>79301</v>
      </c>
      <c r="M137" s="93">
        <f t="shared" si="41"/>
        <v>7930.1</v>
      </c>
      <c r="N137" s="93">
        <f t="shared" si="42"/>
        <v>85645.079999999987</v>
      </c>
      <c r="O137" s="303"/>
      <c r="P137" s="93">
        <v>0</v>
      </c>
      <c r="Q137" s="306"/>
      <c r="R137" s="93">
        <f t="shared" si="43"/>
        <v>85645</v>
      </c>
      <c r="S137" s="91" t="s">
        <v>322</v>
      </c>
    </row>
    <row r="138" spans="1:19" hidden="1">
      <c r="A138" s="91"/>
      <c r="B138" s="97" t="s">
        <v>74</v>
      </c>
      <c r="C138" s="91">
        <v>4500098208</v>
      </c>
      <c r="D138" s="91" t="s">
        <v>314</v>
      </c>
      <c r="E138" s="91"/>
      <c r="F138" s="303"/>
      <c r="G138" s="92"/>
      <c r="H138" s="92"/>
      <c r="I138" s="91"/>
      <c r="J138" s="97" t="s">
        <v>398</v>
      </c>
      <c r="K138" s="306">
        <v>45731</v>
      </c>
      <c r="L138" s="99">
        <v>51549</v>
      </c>
      <c r="M138" s="93">
        <f t="shared" si="41"/>
        <v>5154.9000000000005</v>
      </c>
      <c r="N138" s="93">
        <f t="shared" si="42"/>
        <v>55672.92</v>
      </c>
      <c r="O138" s="303"/>
      <c r="P138" s="93">
        <v>55673</v>
      </c>
      <c r="Q138" s="306"/>
      <c r="R138" s="93">
        <f t="shared" si="43"/>
        <v>0</v>
      </c>
      <c r="S138" s="91" t="s">
        <v>578</v>
      </c>
    </row>
    <row r="139" spans="1:19" hidden="1">
      <c r="A139" s="91"/>
      <c r="B139" s="97" t="s">
        <v>74</v>
      </c>
      <c r="C139" s="91">
        <v>4500098208</v>
      </c>
      <c r="D139" s="91" t="s">
        <v>314</v>
      </c>
      <c r="E139" s="91"/>
      <c r="F139" s="303"/>
      <c r="G139" s="92"/>
      <c r="H139" s="92"/>
      <c r="I139" s="91"/>
      <c r="J139" s="97" t="s">
        <v>400</v>
      </c>
      <c r="K139" s="306">
        <v>45745</v>
      </c>
      <c r="L139" s="99">
        <v>55507</v>
      </c>
      <c r="M139" s="93">
        <f t="shared" si="41"/>
        <v>5550.7000000000007</v>
      </c>
      <c r="N139" s="93">
        <f t="shared" si="42"/>
        <v>59947.56</v>
      </c>
      <c r="O139" s="303"/>
      <c r="P139" s="93">
        <v>59948</v>
      </c>
      <c r="Q139" s="306"/>
      <c r="R139" s="93">
        <f t="shared" si="43"/>
        <v>0</v>
      </c>
      <c r="S139" s="91" t="s">
        <v>578</v>
      </c>
    </row>
    <row r="140" spans="1:19" hidden="1">
      <c r="A140" s="91"/>
      <c r="B140" s="97" t="s">
        <v>74</v>
      </c>
      <c r="C140" s="91" t="s">
        <v>583</v>
      </c>
      <c r="D140" s="91" t="s">
        <v>314</v>
      </c>
      <c r="E140" s="91"/>
      <c r="F140" s="303"/>
      <c r="G140" s="92"/>
      <c r="H140" s="92"/>
      <c r="I140" s="91"/>
      <c r="J140" s="97" t="s">
        <v>584</v>
      </c>
      <c r="K140" s="306">
        <v>45747</v>
      </c>
      <c r="L140" s="99">
        <v>-1096429</v>
      </c>
      <c r="M140" s="93">
        <f t="shared" si="41"/>
        <v>-109642.90000000001</v>
      </c>
      <c r="N140" s="93">
        <f t="shared" si="42"/>
        <v>-1184143.32</v>
      </c>
      <c r="O140" s="303"/>
      <c r="P140" s="93">
        <v>0</v>
      </c>
      <c r="Q140" s="306"/>
      <c r="R140" s="93">
        <f t="shared" si="43"/>
        <v>-1184143</v>
      </c>
      <c r="S140" s="91" t="s">
        <v>322</v>
      </c>
    </row>
    <row r="141" spans="1:19" hidden="1">
      <c r="A141" s="91"/>
      <c r="B141" s="97" t="s">
        <v>74</v>
      </c>
      <c r="C141" s="91" t="s">
        <v>585</v>
      </c>
      <c r="D141" s="91" t="s">
        <v>314</v>
      </c>
      <c r="E141" s="91"/>
      <c r="F141" s="303"/>
      <c r="G141" s="92"/>
      <c r="H141" s="92"/>
      <c r="I141" s="91"/>
      <c r="J141" s="97" t="s">
        <v>403</v>
      </c>
      <c r="K141" s="306">
        <v>45756</v>
      </c>
      <c r="L141" s="99">
        <v>50318</v>
      </c>
      <c r="M141" s="93">
        <f t="shared" si="41"/>
        <v>5031.8</v>
      </c>
      <c r="N141" s="93">
        <f t="shared" si="42"/>
        <v>54343.439999999995</v>
      </c>
      <c r="O141" s="303"/>
      <c r="P141" s="93">
        <v>0</v>
      </c>
      <c r="Q141" s="306"/>
      <c r="R141" s="93">
        <f t="shared" si="43"/>
        <v>54343</v>
      </c>
      <c r="S141" s="91" t="s">
        <v>585</v>
      </c>
    </row>
    <row r="142" spans="1:19" hidden="1">
      <c r="A142" s="91"/>
      <c r="B142" s="97" t="s">
        <v>74</v>
      </c>
      <c r="C142" s="91">
        <v>4500096735</v>
      </c>
      <c r="D142" s="91" t="s">
        <v>314</v>
      </c>
      <c r="E142" s="91"/>
      <c r="F142" s="303"/>
      <c r="G142" s="92"/>
      <c r="H142" s="92"/>
      <c r="I142" s="91"/>
      <c r="J142" s="97" t="s">
        <v>384</v>
      </c>
      <c r="K142" s="306">
        <v>45756</v>
      </c>
      <c r="L142" s="99">
        <v>150000</v>
      </c>
      <c r="M142" s="93">
        <f t="shared" si="41"/>
        <v>15000</v>
      </c>
      <c r="N142" s="93">
        <f t="shared" si="42"/>
        <v>162000</v>
      </c>
      <c r="O142" s="303"/>
      <c r="P142" s="93">
        <v>153900</v>
      </c>
      <c r="Q142" s="306"/>
      <c r="R142" s="93">
        <f t="shared" si="43"/>
        <v>8100</v>
      </c>
      <c r="S142" s="91" t="s">
        <v>579</v>
      </c>
    </row>
    <row r="143" spans="1:19" hidden="1">
      <c r="A143" s="91"/>
      <c r="B143" s="97" t="s">
        <v>74</v>
      </c>
      <c r="C143" s="91">
        <v>4500096735</v>
      </c>
      <c r="D143" s="91" t="s">
        <v>314</v>
      </c>
      <c r="E143" s="91"/>
      <c r="F143" s="303"/>
      <c r="G143" s="92"/>
      <c r="H143" s="92"/>
      <c r="I143" s="91"/>
      <c r="J143" s="97" t="s">
        <v>586</v>
      </c>
      <c r="K143" s="306">
        <v>45756</v>
      </c>
      <c r="L143" s="99">
        <v>140000</v>
      </c>
      <c r="M143" s="93">
        <f t="shared" si="41"/>
        <v>14000</v>
      </c>
      <c r="N143" s="93">
        <f t="shared" si="42"/>
        <v>151200</v>
      </c>
      <c r="O143" s="303"/>
      <c r="P143" s="93">
        <v>145530</v>
      </c>
      <c r="Q143" s="306"/>
      <c r="R143" s="93">
        <f t="shared" si="43"/>
        <v>5670</v>
      </c>
      <c r="S143" s="91" t="s">
        <v>579</v>
      </c>
    </row>
    <row r="144" spans="1:19" hidden="1">
      <c r="A144" s="91"/>
      <c r="B144" s="97" t="s">
        <v>74</v>
      </c>
      <c r="C144" s="91">
        <v>4500096736</v>
      </c>
      <c r="D144" s="91" t="s">
        <v>314</v>
      </c>
      <c r="E144" s="91"/>
      <c r="F144" s="303"/>
      <c r="G144" s="92"/>
      <c r="H144" s="92"/>
      <c r="I144" s="91"/>
      <c r="J144" s="97" t="s">
        <v>386</v>
      </c>
      <c r="K144" s="306">
        <v>45756</v>
      </c>
      <c r="L144" s="99">
        <v>625000</v>
      </c>
      <c r="M144" s="93">
        <f t="shared" si="41"/>
        <v>62500</v>
      </c>
      <c r="N144" s="93">
        <f t="shared" si="42"/>
        <v>675000</v>
      </c>
      <c r="O144" s="303"/>
      <c r="P144" s="93">
        <v>509046</v>
      </c>
      <c r="Q144" s="306"/>
      <c r="R144" s="93">
        <f t="shared" si="43"/>
        <v>165954</v>
      </c>
      <c r="S144" s="91" t="s">
        <v>579</v>
      </c>
    </row>
    <row r="145" spans="1:19" hidden="1">
      <c r="A145" s="91"/>
      <c r="B145" s="97" t="s">
        <v>74</v>
      </c>
      <c r="C145" s="91" t="s">
        <v>583</v>
      </c>
      <c r="D145" s="91" t="s">
        <v>314</v>
      </c>
      <c r="E145" s="91"/>
      <c r="F145" s="303"/>
      <c r="G145" s="92"/>
      <c r="H145" s="92"/>
      <c r="I145" s="91"/>
      <c r="J145" s="97" t="s">
        <v>587</v>
      </c>
      <c r="K145" s="306">
        <v>45762</v>
      </c>
      <c r="L145" s="99">
        <v>1096429</v>
      </c>
      <c r="M145" s="93">
        <f t="shared" si="41"/>
        <v>109642.90000000001</v>
      </c>
      <c r="N145" s="93">
        <f t="shared" si="42"/>
        <v>1184143.32</v>
      </c>
      <c r="O145" s="303"/>
      <c r="P145" s="93">
        <v>0</v>
      </c>
      <c r="Q145" s="306"/>
      <c r="R145" s="93">
        <f t="shared" si="43"/>
        <v>1184143</v>
      </c>
      <c r="S145" s="91" t="s">
        <v>322</v>
      </c>
    </row>
    <row r="146" spans="1:19" hidden="1">
      <c r="A146" s="91"/>
      <c r="B146" s="97" t="s">
        <v>74</v>
      </c>
      <c r="C146" s="91">
        <v>4500098208</v>
      </c>
      <c r="D146" s="91" t="s">
        <v>314</v>
      </c>
      <c r="E146" s="91"/>
      <c r="F146" s="303"/>
      <c r="G146" s="92"/>
      <c r="H146" s="92"/>
      <c r="I146" s="91"/>
      <c r="J146" s="97" t="s">
        <v>405</v>
      </c>
      <c r="K146" s="306">
        <v>45763</v>
      </c>
      <c r="L146" s="99">
        <v>40837</v>
      </c>
      <c r="M146" s="93">
        <f t="shared" si="41"/>
        <v>4083.7000000000003</v>
      </c>
      <c r="N146" s="93">
        <f t="shared" si="42"/>
        <v>44103.96</v>
      </c>
      <c r="O146" s="303"/>
      <c r="P146" s="93">
        <v>44104</v>
      </c>
      <c r="Q146" s="306"/>
      <c r="R146" s="93">
        <f t="shared" si="43"/>
        <v>0</v>
      </c>
      <c r="S146" s="91" t="s">
        <v>578</v>
      </c>
    </row>
    <row r="147" spans="1:19" hidden="1">
      <c r="A147" s="91"/>
      <c r="B147" s="97" t="s">
        <v>74</v>
      </c>
      <c r="C147" s="91" t="s">
        <v>585</v>
      </c>
      <c r="D147" s="91" t="s">
        <v>314</v>
      </c>
      <c r="E147" s="91"/>
      <c r="F147" s="303"/>
      <c r="G147" s="92"/>
      <c r="H147" s="92"/>
      <c r="I147" s="91"/>
      <c r="J147" s="97" t="s">
        <v>588</v>
      </c>
      <c r="K147" s="306">
        <v>45775</v>
      </c>
      <c r="L147" s="99">
        <v>40769</v>
      </c>
      <c r="M147" s="93">
        <f t="shared" si="41"/>
        <v>4076.9</v>
      </c>
      <c r="N147" s="93">
        <f t="shared" si="42"/>
        <v>44030.52</v>
      </c>
      <c r="O147" s="303"/>
      <c r="P147" s="93">
        <v>0</v>
      </c>
      <c r="Q147" s="306"/>
      <c r="R147" s="93">
        <f t="shared" si="43"/>
        <v>44031</v>
      </c>
      <c r="S147" s="91" t="s">
        <v>585</v>
      </c>
    </row>
    <row r="148" spans="1:19" hidden="1">
      <c r="A148" s="157" t="s">
        <v>73</v>
      </c>
      <c r="B148" s="97" t="s">
        <v>74</v>
      </c>
      <c r="C148" s="205">
        <v>4500100823</v>
      </c>
      <c r="D148" s="91" t="s">
        <v>314</v>
      </c>
      <c r="E148" s="91" t="s">
        <v>589</v>
      </c>
      <c r="F148" s="308">
        <v>45882</v>
      </c>
      <c r="G148" s="92">
        <v>625000</v>
      </c>
      <c r="H148" s="92"/>
      <c r="I148" s="91" t="s">
        <v>89</v>
      </c>
      <c r="J148" s="97" t="s">
        <v>590</v>
      </c>
      <c r="K148" s="306">
        <v>45780</v>
      </c>
      <c r="L148" s="99">
        <v>625000</v>
      </c>
      <c r="M148" s="93">
        <f t="shared" si="41"/>
        <v>62500</v>
      </c>
      <c r="N148" s="93">
        <f t="shared" si="42"/>
        <v>675000</v>
      </c>
      <c r="O148" s="303"/>
      <c r="P148" s="93">
        <v>0</v>
      </c>
      <c r="Q148" s="306"/>
      <c r="R148" s="93">
        <f t="shared" si="43"/>
        <v>675000</v>
      </c>
      <c r="S148" s="91" t="s">
        <v>591</v>
      </c>
    </row>
    <row r="149" spans="1:19" hidden="1">
      <c r="A149" s="91"/>
      <c r="B149" s="97" t="s">
        <v>74</v>
      </c>
      <c r="C149" s="91">
        <v>4500098208</v>
      </c>
      <c r="D149" s="91" t="s">
        <v>314</v>
      </c>
      <c r="E149" s="91"/>
      <c r="F149" s="303"/>
      <c r="G149" s="92"/>
      <c r="H149" s="92"/>
      <c r="I149" s="91"/>
      <c r="J149" s="97" t="s">
        <v>592</v>
      </c>
      <c r="K149" s="306">
        <v>45826</v>
      </c>
      <c r="L149" s="99">
        <v>-118462</v>
      </c>
      <c r="M149" s="93">
        <f t="shared" si="41"/>
        <v>-11846.2</v>
      </c>
      <c r="N149" s="93">
        <f t="shared" si="42"/>
        <v>-127938.96</v>
      </c>
      <c r="O149" s="303"/>
      <c r="P149" s="93">
        <v>0</v>
      </c>
      <c r="Q149" s="306"/>
      <c r="R149" s="93">
        <f t="shared" si="43"/>
        <v>-127939</v>
      </c>
      <c r="S149" s="91"/>
    </row>
    <row r="150" spans="1:19" hidden="1">
      <c r="A150" s="91"/>
      <c r="B150" s="97" t="s">
        <v>74</v>
      </c>
      <c r="C150" s="157">
        <v>4500098208</v>
      </c>
      <c r="D150" s="91" t="s">
        <v>314</v>
      </c>
      <c r="E150" s="91"/>
      <c r="F150" s="303"/>
      <c r="G150" s="92"/>
      <c r="H150" s="92"/>
      <c r="I150" s="91"/>
      <c r="J150" s="91" t="s">
        <v>593</v>
      </c>
      <c r="K150" s="303">
        <v>45847</v>
      </c>
      <c r="L150" s="92">
        <v>120000</v>
      </c>
      <c r="M150" s="93">
        <f t="shared" ref="M150" si="44">L150*10%</f>
        <v>12000</v>
      </c>
      <c r="N150" s="93">
        <f t="shared" ref="N150:N151" si="45">(L150*1.18)-M150</f>
        <v>129600</v>
      </c>
      <c r="O150" s="303"/>
      <c r="P150" s="93">
        <v>0</v>
      </c>
      <c r="Q150" s="306"/>
      <c r="R150" s="93">
        <f t="shared" si="43"/>
        <v>129600</v>
      </c>
      <c r="S150" s="91"/>
    </row>
    <row r="151" spans="1:19" hidden="1">
      <c r="A151" s="91"/>
      <c r="B151" s="97" t="s">
        <v>61</v>
      </c>
      <c r="C151" s="97">
        <v>4500099372</v>
      </c>
      <c r="D151" s="97" t="s">
        <v>562</v>
      </c>
      <c r="E151" s="97" t="s">
        <v>594</v>
      </c>
      <c r="F151" s="306">
        <v>45823</v>
      </c>
      <c r="G151" s="99">
        <v>1299957</v>
      </c>
      <c r="H151" s="99"/>
      <c r="I151" s="91" t="s">
        <v>89</v>
      </c>
      <c r="J151" s="97" t="s">
        <v>595</v>
      </c>
      <c r="K151" s="306">
        <v>45840</v>
      </c>
      <c r="L151" s="99">
        <v>352072</v>
      </c>
      <c r="M151" s="93">
        <f t="shared" ref="M151" si="46">L151*2%</f>
        <v>7041.4400000000005</v>
      </c>
      <c r="N151" s="93">
        <f t="shared" si="45"/>
        <v>408403.51999999996</v>
      </c>
      <c r="O151" s="306">
        <f>VLOOKUP(J151,'Billing and Payment Details'!J:K,2,0)</f>
        <v>45868</v>
      </c>
      <c r="P151" s="93">
        <v>408404</v>
      </c>
      <c r="Q151" s="303">
        <v>45882</v>
      </c>
      <c r="R151" s="93">
        <f t="shared" si="43"/>
        <v>0</v>
      </c>
      <c r="S151" s="91"/>
    </row>
    <row r="152" spans="1:19" hidden="1">
      <c r="A152" s="91" t="s">
        <v>46</v>
      </c>
      <c r="B152" s="91" t="s">
        <v>47</v>
      </c>
      <c r="C152" s="97">
        <v>4500098672</v>
      </c>
      <c r="D152" s="91" t="s">
        <v>478</v>
      </c>
      <c r="E152" s="91" t="s">
        <v>479</v>
      </c>
      <c r="F152" s="303">
        <v>45810</v>
      </c>
      <c r="G152" s="92">
        <v>993446</v>
      </c>
      <c r="H152" s="92"/>
      <c r="I152" s="91" t="s">
        <v>89</v>
      </c>
      <c r="J152" s="97" t="s">
        <v>596</v>
      </c>
      <c r="K152" s="306">
        <v>45840</v>
      </c>
      <c r="L152" s="99">
        <v>87657</v>
      </c>
      <c r="M152" s="93">
        <f>L152*2%</f>
        <v>1753.14</v>
      </c>
      <c r="N152" s="93">
        <f>(L152*1.18)-M152</f>
        <v>101682.12</v>
      </c>
      <c r="O152" s="306">
        <f>VLOOKUP(J152,'Billing and Payment Details'!J:K,2,0)</f>
        <v>45868</v>
      </c>
      <c r="P152" s="93">
        <v>101434</v>
      </c>
      <c r="Q152" s="303">
        <v>45875</v>
      </c>
      <c r="R152" s="93">
        <f t="shared" ref="R152:R175" si="47">ROUND(N152-P152,0)</f>
        <v>248</v>
      </c>
      <c r="S152" s="91" t="s">
        <v>597</v>
      </c>
    </row>
    <row r="153" spans="1:19" hidden="1">
      <c r="A153" s="91" t="s">
        <v>54</v>
      </c>
      <c r="B153" s="97" t="s">
        <v>55</v>
      </c>
      <c r="C153" s="97">
        <v>4500092198</v>
      </c>
      <c r="D153" s="97" t="s">
        <v>516</v>
      </c>
      <c r="E153" s="97" t="s">
        <v>598</v>
      </c>
      <c r="F153" s="306" t="s">
        <v>599</v>
      </c>
      <c r="G153" s="99">
        <v>160000</v>
      </c>
      <c r="H153" s="99"/>
      <c r="I153" s="91"/>
      <c r="J153" s="97" t="s">
        <v>600</v>
      </c>
      <c r="K153" s="306">
        <v>45846</v>
      </c>
      <c r="L153" s="99">
        <v>160000</v>
      </c>
      <c r="M153" s="93">
        <f t="shared" ref="M153" si="48">L153*10%</f>
        <v>16000</v>
      </c>
      <c r="N153" s="93">
        <f t="shared" ref="N153" si="49">(L153*1.18)-M153</f>
        <v>172800</v>
      </c>
      <c r="O153" s="306">
        <v>45602</v>
      </c>
      <c r="P153" s="93">
        <v>172800</v>
      </c>
      <c r="Q153" s="303">
        <v>45853</v>
      </c>
      <c r="R153" s="93">
        <f t="shared" si="47"/>
        <v>0</v>
      </c>
      <c r="S153" s="91" t="s">
        <v>601</v>
      </c>
    </row>
    <row r="154" spans="1:19" hidden="1">
      <c r="A154" s="97" t="s">
        <v>50</v>
      </c>
      <c r="B154" s="91" t="s">
        <v>51</v>
      </c>
      <c r="C154" s="91">
        <v>4500095362</v>
      </c>
      <c r="D154" s="97" t="s">
        <v>497</v>
      </c>
      <c r="E154" s="91" t="s">
        <v>498</v>
      </c>
      <c r="F154" s="303">
        <v>45680</v>
      </c>
      <c r="G154" s="92">
        <v>1014701</v>
      </c>
      <c r="H154" s="92"/>
      <c r="I154" s="91" t="s">
        <v>89</v>
      </c>
      <c r="J154" s="91">
        <v>4341</v>
      </c>
      <c r="K154" s="303">
        <v>45848</v>
      </c>
      <c r="L154" s="92">
        <v>74975</v>
      </c>
      <c r="M154" s="93">
        <f t="shared" ref="M154" si="50">L154*2%</f>
        <v>1499.5</v>
      </c>
      <c r="N154" s="93">
        <f t="shared" ref="N154" si="51">(L154*1.18)-M154</f>
        <v>86971</v>
      </c>
      <c r="O154" s="306">
        <f>VLOOKUP(J154,'Billing and Payment Details'!J:K,2,0)</f>
        <v>45510</v>
      </c>
      <c r="P154" s="93">
        <v>86971</v>
      </c>
      <c r="Q154" s="303">
        <v>45882</v>
      </c>
      <c r="R154" s="93">
        <f t="shared" si="47"/>
        <v>0</v>
      </c>
      <c r="S154" s="97" t="s">
        <v>602</v>
      </c>
    </row>
    <row r="155" spans="1:19" hidden="1">
      <c r="A155" s="91" t="s">
        <v>44</v>
      </c>
      <c r="B155" s="97" t="s">
        <v>45</v>
      </c>
      <c r="C155" s="97">
        <v>4500095649</v>
      </c>
      <c r="D155" s="97" t="s">
        <v>474</v>
      </c>
      <c r="E155" s="91" t="s">
        <v>475</v>
      </c>
      <c r="F155" s="303">
        <v>45687</v>
      </c>
      <c r="G155" s="92">
        <v>1904748</v>
      </c>
      <c r="H155" s="92">
        <f>VLOOKUP(E155,E:G,3,0)-SUMIF(E:E,$E$8,L:L)</f>
        <v>694189</v>
      </c>
      <c r="I155" s="91" t="s">
        <v>89</v>
      </c>
      <c r="J155" s="153">
        <v>210607280029</v>
      </c>
      <c r="K155" s="306">
        <v>45848</v>
      </c>
      <c r="L155" s="99">
        <v>137565</v>
      </c>
      <c r="M155" s="93">
        <f>L155*10%</f>
        <v>13756.5</v>
      </c>
      <c r="N155" s="93">
        <f>(L155*1.18)-M155</f>
        <v>148570.19999999998</v>
      </c>
      <c r="O155" s="306">
        <f>VLOOKUP(J155,'Billing and Payment Details'!J:K,2,0)</f>
        <v>45876</v>
      </c>
      <c r="P155" s="93">
        <v>148570</v>
      </c>
      <c r="Q155" s="303">
        <v>45882</v>
      </c>
      <c r="R155" s="93">
        <f t="shared" si="47"/>
        <v>0</v>
      </c>
      <c r="S155" s="97" t="s">
        <v>603</v>
      </c>
    </row>
    <row r="156" spans="1:19" hidden="1">
      <c r="A156" s="91" t="s">
        <v>446</v>
      </c>
      <c r="B156" s="97" t="s">
        <v>61</v>
      </c>
      <c r="C156" s="97">
        <v>4500099372</v>
      </c>
      <c r="D156" s="97" t="s">
        <v>562</v>
      </c>
      <c r="E156" s="97" t="s">
        <v>594</v>
      </c>
      <c r="F156" s="306">
        <v>45823</v>
      </c>
      <c r="G156" s="99">
        <v>0</v>
      </c>
      <c r="H156" s="99"/>
      <c r="I156" s="91" t="s">
        <v>89</v>
      </c>
      <c r="J156" s="97" t="s">
        <v>604</v>
      </c>
      <c r="K156" s="306">
        <v>45850</v>
      </c>
      <c r="L156" s="99">
        <v>189577</v>
      </c>
      <c r="M156" s="93">
        <f t="shared" ref="M156" si="52">L156*2%</f>
        <v>3791.54</v>
      </c>
      <c r="N156" s="93">
        <f t="shared" ref="N156" si="53">(L156*1.18)-M156</f>
        <v>219909.31999999998</v>
      </c>
      <c r="O156" s="306">
        <f>VLOOKUP(J156,'Billing and Payment Details'!J:K,2,0)</f>
        <v>45882</v>
      </c>
      <c r="P156" s="93">
        <v>0</v>
      </c>
      <c r="Q156" s="303"/>
      <c r="R156" s="93">
        <f t="shared" si="47"/>
        <v>219909</v>
      </c>
      <c r="S156" s="183" t="s">
        <v>605</v>
      </c>
    </row>
    <row r="157" spans="1:19" hidden="1">
      <c r="A157" s="91" t="s">
        <v>606</v>
      </c>
      <c r="B157" s="91" t="s">
        <v>428</v>
      </c>
      <c r="C157" s="97">
        <v>4500100039</v>
      </c>
      <c r="D157" s="97" t="s">
        <v>607</v>
      </c>
      <c r="E157" s="97" t="s">
        <v>608</v>
      </c>
      <c r="F157" s="306" t="s">
        <v>136</v>
      </c>
      <c r="G157" s="99">
        <v>1058334</v>
      </c>
      <c r="H157" s="99"/>
      <c r="I157" s="91" t="s">
        <v>89</v>
      </c>
      <c r="J157" s="91">
        <v>25260085</v>
      </c>
      <c r="K157" s="303">
        <v>45859</v>
      </c>
      <c r="L157" s="92">
        <v>416667</v>
      </c>
      <c r="M157" s="93">
        <f t="shared" ref="M157" si="54">L157*2%</f>
        <v>8333.34</v>
      </c>
      <c r="N157" s="93">
        <f t="shared" ref="N157" si="55">(L157*1.18)-M157</f>
        <v>483333.72</v>
      </c>
      <c r="O157" s="306" t="str">
        <f>VLOOKUP(J157,'Billing and Payment Details'!J:K,2,0)</f>
        <v>Pending as on 30 July</v>
      </c>
      <c r="P157" s="93"/>
      <c r="Q157" s="303"/>
      <c r="R157" s="93">
        <f t="shared" si="47"/>
        <v>483334</v>
      </c>
      <c r="S157" s="91"/>
    </row>
    <row r="158" spans="1:19" hidden="1">
      <c r="A158" s="91" t="s">
        <v>450</v>
      </c>
      <c r="B158" s="91" t="s">
        <v>42</v>
      </c>
      <c r="C158" s="97">
        <v>4500100053</v>
      </c>
      <c r="D158" s="97" t="s">
        <v>43</v>
      </c>
      <c r="E158" s="97" t="s">
        <v>609</v>
      </c>
      <c r="F158" s="306">
        <v>45855</v>
      </c>
      <c r="G158" s="99">
        <v>1006335</v>
      </c>
      <c r="H158" s="99"/>
      <c r="I158" s="91" t="s">
        <v>89</v>
      </c>
      <c r="J158" s="91" t="s">
        <v>610</v>
      </c>
      <c r="K158" s="303">
        <v>45869</v>
      </c>
      <c r="L158" s="92">
        <v>90173</v>
      </c>
      <c r="M158" s="93">
        <f>L158*2%</f>
        <v>1803.46</v>
      </c>
      <c r="N158" s="93">
        <f>L158*1.18-M158</f>
        <v>104600.68</v>
      </c>
      <c r="O158" s="306" t="str">
        <f>VLOOKUP(J158,'Billing and Payment Details'!J:K,2,0)</f>
        <v>Pending</v>
      </c>
      <c r="P158" s="93"/>
      <c r="Q158" s="303"/>
      <c r="R158" s="93">
        <f t="shared" si="47"/>
        <v>104601</v>
      </c>
      <c r="S158" s="91"/>
    </row>
    <row r="159" spans="1:19" hidden="1">
      <c r="A159" s="91" t="s">
        <v>437</v>
      </c>
      <c r="B159" s="91" t="s">
        <v>196</v>
      </c>
      <c r="C159" s="97">
        <v>4500100034</v>
      </c>
      <c r="D159" s="97" t="s">
        <v>474</v>
      </c>
      <c r="E159" s="97" t="s">
        <v>611</v>
      </c>
      <c r="F159" s="306">
        <v>45855</v>
      </c>
      <c r="G159" s="99">
        <v>102600</v>
      </c>
      <c r="H159" s="99"/>
      <c r="I159" s="92" t="s">
        <v>612</v>
      </c>
      <c r="J159" s="160" t="s">
        <v>613</v>
      </c>
      <c r="K159" s="303">
        <v>45867</v>
      </c>
      <c r="L159" s="92">
        <v>102600</v>
      </c>
      <c r="M159" s="93">
        <f>L159*2%</f>
        <v>2052</v>
      </c>
      <c r="N159" s="93">
        <f>(L159*1.18)-M159</f>
        <v>119016</v>
      </c>
      <c r="O159" s="306" t="str">
        <f>VLOOKUP(J159,'Billing and Payment Details'!J:K,2,0)</f>
        <v>Pending</v>
      </c>
      <c r="P159" s="93"/>
      <c r="Q159" s="303"/>
      <c r="R159" s="93">
        <f t="shared" si="47"/>
        <v>119016</v>
      </c>
      <c r="S159" s="91"/>
    </row>
    <row r="160" spans="1:19" hidden="1">
      <c r="A160" s="91" t="s">
        <v>614</v>
      </c>
      <c r="B160" s="91" t="s">
        <v>196</v>
      </c>
      <c r="C160" s="97">
        <v>4500100033</v>
      </c>
      <c r="D160" s="97" t="s">
        <v>474</v>
      </c>
      <c r="E160" s="97" t="s">
        <v>615</v>
      </c>
      <c r="F160" s="306">
        <v>45855</v>
      </c>
      <c r="G160" s="99">
        <v>85500</v>
      </c>
      <c r="H160" s="99"/>
      <c r="I160" s="92" t="s">
        <v>612</v>
      </c>
      <c r="J160" s="159" t="s">
        <v>616</v>
      </c>
      <c r="K160" s="303">
        <v>45867</v>
      </c>
      <c r="L160" s="92">
        <v>85500</v>
      </c>
      <c r="M160" s="93">
        <f>L160*2%</f>
        <v>1710</v>
      </c>
      <c r="N160" s="93">
        <f>(L160*1.18)-M160</f>
        <v>99180</v>
      </c>
      <c r="O160" s="306" t="str">
        <f>VLOOKUP(J160,'Billing and Payment Details'!J:K,2,0)</f>
        <v>Pending</v>
      </c>
      <c r="P160" s="93"/>
      <c r="Q160" s="303"/>
      <c r="R160" s="93">
        <f t="shared" si="47"/>
        <v>99180</v>
      </c>
      <c r="S160" s="91"/>
    </row>
    <row r="161" spans="1:19" hidden="1">
      <c r="A161" s="91" t="s">
        <v>70</v>
      </c>
      <c r="B161" s="110" t="s">
        <v>64</v>
      </c>
      <c r="C161" s="97">
        <v>4500100130</v>
      </c>
      <c r="D161" s="97" t="s">
        <v>516</v>
      </c>
      <c r="E161" s="97" t="s">
        <v>617</v>
      </c>
      <c r="F161" s="306" t="s">
        <v>618</v>
      </c>
      <c r="G161" s="99">
        <v>80952.38</v>
      </c>
      <c r="H161" s="99"/>
      <c r="I161" s="91"/>
      <c r="J161" s="97" t="s">
        <v>619</v>
      </c>
      <c r="K161" s="303">
        <v>45860</v>
      </c>
      <c r="L161" s="92">
        <v>80952.38</v>
      </c>
      <c r="M161" s="93">
        <f t="shared" ref="M161" si="56">L161*10%</f>
        <v>8095.2380000000012</v>
      </c>
      <c r="N161" s="93">
        <f t="shared" ref="N161" si="57">(L161*1.18)-M161</f>
        <v>87428.570399999997</v>
      </c>
      <c r="O161" s="306" t="str">
        <f>VLOOKUP(J161,'Billing and Payment Details'!J:K,2,0)</f>
        <v>Pending</v>
      </c>
      <c r="P161" s="93"/>
      <c r="Q161" s="303"/>
      <c r="R161" s="93">
        <f t="shared" si="47"/>
        <v>87429</v>
      </c>
      <c r="S161" s="91"/>
    </row>
    <row r="162" spans="1:19" ht="14.4" hidden="1">
      <c r="A162" s="111" t="s">
        <v>71</v>
      </c>
      <c r="B162" s="112" t="s">
        <v>51</v>
      </c>
      <c r="C162" s="89">
        <v>4500100177</v>
      </c>
      <c r="D162" s="89" t="s">
        <v>620</v>
      </c>
      <c r="E162" s="89" t="s">
        <v>621</v>
      </c>
      <c r="F162" s="309" t="s">
        <v>622</v>
      </c>
      <c r="G162" s="144">
        <v>1852497</v>
      </c>
      <c r="H162" s="144"/>
      <c r="I162" s="91" t="s">
        <v>89</v>
      </c>
      <c r="J162" s="91" t="s">
        <v>623</v>
      </c>
      <c r="K162" s="303">
        <v>45870</v>
      </c>
      <c r="L162" s="92">
        <v>205833</v>
      </c>
      <c r="M162" s="93">
        <f>L162*2%</f>
        <v>4116.66</v>
      </c>
      <c r="N162" s="93">
        <f>(L162*1.18)-M162</f>
        <v>238766.27999999997</v>
      </c>
      <c r="O162" s="306" t="str">
        <f>VLOOKUP(J162,'Billing and Payment Details'!J:K,2,0)</f>
        <v>Pending</v>
      </c>
      <c r="P162" s="92"/>
      <c r="Q162" s="303"/>
      <c r="R162" s="93">
        <f t="shared" si="47"/>
        <v>238766</v>
      </c>
      <c r="S162" s="91"/>
    </row>
    <row r="163" spans="1:19" hidden="1">
      <c r="A163" s="91" t="s">
        <v>624</v>
      </c>
      <c r="B163" s="91" t="s">
        <v>428</v>
      </c>
      <c r="C163" s="97">
        <v>4500100039</v>
      </c>
      <c r="D163" s="97" t="s">
        <v>607</v>
      </c>
      <c r="E163" s="97" t="s">
        <v>608</v>
      </c>
      <c r="F163" s="306" t="s">
        <v>136</v>
      </c>
      <c r="G163" s="99">
        <v>0</v>
      </c>
      <c r="H163" s="99"/>
      <c r="I163" s="91" t="s">
        <v>89</v>
      </c>
      <c r="J163" s="91">
        <v>25260090</v>
      </c>
      <c r="K163" s="303">
        <v>45870</v>
      </c>
      <c r="L163" s="92">
        <v>175000</v>
      </c>
      <c r="M163" s="93">
        <f t="shared" ref="M163" si="58">L163*2%</f>
        <v>3500</v>
      </c>
      <c r="N163" s="93">
        <f t="shared" ref="N163" si="59">(L163*1.18)-M163</f>
        <v>203000</v>
      </c>
      <c r="O163" s="306" t="str">
        <f>VLOOKUP(J163,'Billing and Payment Details'!J:K,2,0)</f>
        <v>Pending as on 30 July</v>
      </c>
      <c r="P163" s="93"/>
      <c r="Q163" s="303"/>
      <c r="R163" s="93">
        <f t="shared" si="47"/>
        <v>203000</v>
      </c>
      <c r="S163" s="91"/>
    </row>
    <row r="164" spans="1:19" hidden="1">
      <c r="A164" s="91" t="s">
        <v>625</v>
      </c>
      <c r="B164" s="91" t="s">
        <v>47</v>
      </c>
      <c r="C164" s="97">
        <v>4500098672</v>
      </c>
      <c r="D164" s="91" t="s">
        <v>478</v>
      </c>
      <c r="E164" s="91" t="s">
        <v>479</v>
      </c>
      <c r="F164" s="303">
        <v>45810</v>
      </c>
      <c r="G164" s="92">
        <v>993446</v>
      </c>
      <c r="H164" s="92"/>
      <c r="I164" s="91" t="s">
        <v>89</v>
      </c>
      <c r="J164" s="97" t="s">
        <v>626</v>
      </c>
      <c r="K164" s="306">
        <v>45873</v>
      </c>
      <c r="L164" s="99">
        <v>87657</v>
      </c>
      <c r="M164" s="93">
        <f>L164*2%</f>
        <v>1753.14</v>
      </c>
      <c r="N164" s="93">
        <f>(L164*1.18)-M164</f>
        <v>101682.12</v>
      </c>
      <c r="O164" s="306" t="str">
        <f>VLOOKUP(J164,'Billing and Payment Details'!J:K,2,0)</f>
        <v>Pending</v>
      </c>
      <c r="P164" s="93"/>
      <c r="Q164" s="303"/>
      <c r="R164" s="93">
        <f t="shared" si="47"/>
        <v>101682</v>
      </c>
      <c r="S164" s="91"/>
    </row>
    <row r="165" spans="1:19" ht="14.4" hidden="1">
      <c r="A165" s="111" t="s">
        <v>71</v>
      </c>
      <c r="B165" s="112" t="s">
        <v>51</v>
      </c>
      <c r="C165" s="89">
        <v>4500100177</v>
      </c>
      <c r="D165" s="89" t="s">
        <v>620</v>
      </c>
      <c r="E165" s="89" t="s">
        <v>621</v>
      </c>
      <c r="F165" s="309" t="s">
        <v>622</v>
      </c>
      <c r="G165" s="144">
        <v>1852497</v>
      </c>
      <c r="H165" s="144"/>
      <c r="I165" s="91" t="s">
        <v>89</v>
      </c>
      <c r="J165" s="91" t="s">
        <v>627</v>
      </c>
      <c r="K165" s="303">
        <v>45870</v>
      </c>
      <c r="L165" s="92">
        <v>205833</v>
      </c>
      <c r="M165" s="93">
        <f>L165*2%</f>
        <v>4116.66</v>
      </c>
      <c r="N165" s="93">
        <f>(L165*1.18)-M165</f>
        <v>238766.27999999997</v>
      </c>
      <c r="O165" s="306" t="str">
        <f>VLOOKUP(J165,'Billing and Payment Details'!J:K,2,0)</f>
        <v>Pending</v>
      </c>
      <c r="P165" s="92"/>
      <c r="Q165" s="303"/>
      <c r="R165" s="93">
        <f t="shared" si="47"/>
        <v>238766</v>
      </c>
      <c r="S165" s="91"/>
    </row>
    <row r="166" spans="1:19" ht="14.4" hidden="1">
      <c r="A166" s="193" t="s">
        <v>71</v>
      </c>
      <c r="B166" s="194" t="s">
        <v>51</v>
      </c>
      <c r="C166" s="195">
        <v>4500100177</v>
      </c>
      <c r="D166" s="195" t="s">
        <v>620</v>
      </c>
      <c r="E166" s="195" t="s">
        <v>621</v>
      </c>
      <c r="F166" s="310" t="s">
        <v>622</v>
      </c>
      <c r="G166" s="196">
        <v>1852497</v>
      </c>
      <c r="H166" s="196"/>
      <c r="I166" s="164" t="s">
        <v>89</v>
      </c>
      <c r="J166" s="164" t="s">
        <v>628</v>
      </c>
      <c r="K166" s="313">
        <v>45870</v>
      </c>
      <c r="L166" s="197">
        <v>205833</v>
      </c>
      <c r="M166" s="198">
        <f>L166*2%</f>
        <v>4116.66</v>
      </c>
      <c r="N166" s="198">
        <f>(L166*1.18)-M166</f>
        <v>238766.27999999997</v>
      </c>
      <c r="O166" s="314" t="str">
        <f>VLOOKUP(J166,'Billing and Payment Details'!J:K,2,0)</f>
        <v>Pending</v>
      </c>
      <c r="P166" s="92"/>
      <c r="Q166" s="303"/>
      <c r="R166" s="93">
        <f t="shared" si="47"/>
        <v>238766</v>
      </c>
      <c r="S166" s="91"/>
    </row>
    <row r="167" spans="1:19" hidden="1">
      <c r="A167" s="91" t="s">
        <v>446</v>
      </c>
      <c r="B167" s="97" t="s">
        <v>61</v>
      </c>
      <c r="C167" s="97">
        <v>4500099372</v>
      </c>
      <c r="D167" s="97" t="s">
        <v>562</v>
      </c>
      <c r="E167" s="97" t="s">
        <v>594</v>
      </c>
      <c r="F167" s="306">
        <v>45823</v>
      </c>
      <c r="G167" s="99">
        <v>0</v>
      </c>
      <c r="H167" s="99"/>
      <c r="I167" s="91" t="s">
        <v>89</v>
      </c>
      <c r="J167" s="97" t="s">
        <v>629</v>
      </c>
      <c r="K167" s="306">
        <v>45871</v>
      </c>
      <c r="L167" s="99">
        <v>189577</v>
      </c>
      <c r="M167" s="93">
        <f t="shared" ref="M167:M168" si="60">L167*2%</f>
        <v>3791.54</v>
      </c>
      <c r="N167" s="93">
        <f t="shared" ref="N167:N168" si="61">(L167*1.18)-M167</f>
        <v>219909.31999999998</v>
      </c>
      <c r="O167" s="306" t="str">
        <f>VLOOKUP(J167,'Billing and Payment Details'!J:K,2,0)</f>
        <v>Pending</v>
      </c>
      <c r="P167" s="191"/>
      <c r="Q167" s="303"/>
      <c r="R167" s="93">
        <f t="shared" si="47"/>
        <v>219909</v>
      </c>
    </row>
    <row r="168" spans="1:19" hidden="1">
      <c r="A168" s="97" t="s">
        <v>50</v>
      </c>
      <c r="B168" s="91" t="s">
        <v>51</v>
      </c>
      <c r="C168" s="91">
        <v>4500095362</v>
      </c>
      <c r="D168" s="97" t="s">
        <v>497</v>
      </c>
      <c r="E168" s="91" t="s">
        <v>498</v>
      </c>
      <c r="F168" s="303">
        <v>45680</v>
      </c>
      <c r="G168" s="92">
        <v>1014701</v>
      </c>
      <c r="H168" s="92"/>
      <c r="I168" s="91" t="s">
        <v>89</v>
      </c>
      <c r="J168" s="91">
        <v>4349</v>
      </c>
      <c r="K168" s="303">
        <v>45870</v>
      </c>
      <c r="L168" s="92">
        <v>74975</v>
      </c>
      <c r="M168" s="93">
        <f t="shared" si="60"/>
        <v>1499.5</v>
      </c>
      <c r="N168" s="93">
        <f t="shared" si="61"/>
        <v>86971</v>
      </c>
      <c r="O168" s="306" t="str">
        <f>VLOOKUP(J168,'Billing and Payment Details'!J:K,2,0)</f>
        <v>Pending</v>
      </c>
      <c r="P168" s="192"/>
      <c r="Q168" s="303"/>
      <c r="R168" s="93">
        <f t="shared" si="47"/>
        <v>86971</v>
      </c>
      <c r="S168" s="91"/>
    </row>
    <row r="169" spans="1:19" hidden="1">
      <c r="A169" s="157"/>
      <c r="B169" s="97"/>
      <c r="C169" s="89"/>
      <c r="D169" s="91"/>
      <c r="E169" s="91"/>
      <c r="F169" s="308"/>
      <c r="G169" s="92"/>
      <c r="H169" s="92"/>
      <c r="I169" s="40"/>
      <c r="J169" s="40"/>
      <c r="K169" s="308"/>
      <c r="L169" s="190"/>
      <c r="M169" s="41"/>
      <c r="N169" s="41"/>
      <c r="O169" s="308"/>
      <c r="R169" s="93">
        <f t="shared" si="47"/>
        <v>0</v>
      </c>
    </row>
    <row r="170" spans="1:19" hidden="1">
      <c r="A170" s="157" t="s">
        <v>73</v>
      </c>
      <c r="B170" s="97" t="s">
        <v>74</v>
      </c>
      <c r="C170" s="205">
        <v>4500100823</v>
      </c>
      <c r="D170" s="91" t="s">
        <v>314</v>
      </c>
      <c r="E170" s="91" t="s">
        <v>630</v>
      </c>
      <c r="F170" s="308">
        <v>45882</v>
      </c>
      <c r="G170" s="92">
        <v>625000</v>
      </c>
      <c r="H170" s="92"/>
      <c r="I170" s="91" t="s">
        <v>89</v>
      </c>
      <c r="J170" s="97" t="s">
        <v>631</v>
      </c>
      <c r="K170" s="306">
        <v>45780</v>
      </c>
      <c r="L170" s="99">
        <v>625000</v>
      </c>
      <c r="M170" s="93">
        <f t="shared" ref="M170" si="62">L170*10%</f>
        <v>62500</v>
      </c>
      <c r="N170" s="93">
        <f t="shared" ref="N170" si="63">(L170*1.18)-M170</f>
        <v>675000</v>
      </c>
      <c r="O170" s="303"/>
      <c r="P170" s="93">
        <v>0</v>
      </c>
      <c r="Q170" s="306"/>
      <c r="R170" s="93">
        <f t="shared" si="47"/>
        <v>675000</v>
      </c>
      <c r="S170" s="91"/>
    </row>
    <row r="171" spans="1:19" hidden="1">
      <c r="A171" s="105" t="s">
        <v>632</v>
      </c>
      <c r="B171" s="105" t="s">
        <v>74</v>
      </c>
      <c r="C171" s="156" t="s">
        <v>279</v>
      </c>
      <c r="D171" s="105" t="s">
        <v>562</v>
      </c>
      <c r="E171" s="105"/>
      <c r="F171" s="307"/>
      <c r="G171" s="107"/>
      <c r="H171" s="107"/>
      <c r="I171" s="105"/>
      <c r="J171" s="105" t="s">
        <v>633</v>
      </c>
      <c r="K171" s="307">
        <v>45882</v>
      </c>
      <c r="L171" s="107">
        <v>-230201</v>
      </c>
      <c r="M171" s="108">
        <v>0</v>
      </c>
      <c r="N171" s="108">
        <f t="shared" ref="N171" si="64">(L171*1.18)-M171</f>
        <v>-271637.18</v>
      </c>
      <c r="O171" s="315" t="s">
        <v>531</v>
      </c>
      <c r="P171" s="201">
        <v>0</v>
      </c>
      <c r="Q171" s="315"/>
      <c r="R171" s="93">
        <f t="shared" si="47"/>
        <v>-271637</v>
      </c>
      <c r="S171" s="202" t="s">
        <v>634</v>
      </c>
    </row>
    <row r="172" spans="1:19" hidden="1">
      <c r="A172" s="91" t="s">
        <v>44</v>
      </c>
      <c r="B172" s="91" t="s">
        <v>45</v>
      </c>
      <c r="C172" s="97">
        <v>4500095649</v>
      </c>
      <c r="D172" s="97" t="s">
        <v>474</v>
      </c>
      <c r="E172" s="91" t="s">
        <v>475</v>
      </c>
      <c r="F172" s="303">
        <v>45687</v>
      </c>
      <c r="G172" s="92">
        <v>1904748</v>
      </c>
      <c r="H172" s="92">
        <f>VLOOKUP(E172,E:G,3,0)-SUMIF(E:E,$E$8,L:L)</f>
        <v>694189</v>
      </c>
      <c r="I172" s="91" t="s">
        <v>89</v>
      </c>
      <c r="J172" s="189" t="s">
        <v>635</v>
      </c>
      <c r="K172" s="303">
        <v>45877</v>
      </c>
      <c r="L172" s="190">
        <v>153609</v>
      </c>
      <c r="M172" s="93">
        <f>L172*2%</f>
        <v>3072.1800000000003</v>
      </c>
      <c r="N172" s="200">
        <f>(L172*1.18)-M172</f>
        <v>178186.44</v>
      </c>
      <c r="O172" s="306" t="str">
        <f>VLOOKUP(J172,'Billing and Payment Details'!J:K,2,0)</f>
        <v>Pending</v>
      </c>
      <c r="P172" s="199"/>
      <c r="Q172" s="308"/>
      <c r="R172" s="93">
        <f t="shared" si="47"/>
        <v>178186</v>
      </c>
      <c r="S172" s="40"/>
    </row>
    <row r="173" spans="1:19" hidden="1">
      <c r="R173" s="93">
        <f t="shared" si="47"/>
        <v>0</v>
      </c>
    </row>
    <row r="174" spans="1:19" hidden="1">
      <c r="A174" s="157"/>
      <c r="B174" s="97" t="s">
        <v>74</v>
      </c>
      <c r="C174" s="205">
        <v>4500098208</v>
      </c>
      <c r="D174" s="91" t="s">
        <v>314</v>
      </c>
      <c r="E174" s="91"/>
      <c r="F174" s="308"/>
      <c r="G174" s="92"/>
      <c r="H174" s="92"/>
      <c r="I174" s="91"/>
      <c r="J174" s="97" t="s">
        <v>394</v>
      </c>
      <c r="K174" s="306">
        <v>45840</v>
      </c>
      <c r="L174" s="99">
        <v>-79301</v>
      </c>
      <c r="M174" s="93">
        <f t="shared" ref="M174:M175" si="65">L174*10%</f>
        <v>-7930.1</v>
      </c>
      <c r="N174" s="93">
        <f t="shared" ref="N174:N175" si="66">(L174*1.18)-M174</f>
        <v>-85645.079999999987</v>
      </c>
      <c r="O174" s="303"/>
      <c r="P174" s="93">
        <v>0</v>
      </c>
      <c r="Q174" s="306"/>
      <c r="R174" s="93">
        <f t="shared" si="47"/>
        <v>-85645</v>
      </c>
      <c r="S174" s="91" t="s">
        <v>636</v>
      </c>
    </row>
    <row r="175" spans="1:19" hidden="1">
      <c r="A175" s="157"/>
      <c r="B175" s="97" t="s">
        <v>74</v>
      </c>
      <c r="C175" s="205">
        <v>4500098208</v>
      </c>
      <c r="D175" s="91" t="s">
        <v>314</v>
      </c>
      <c r="E175" s="91"/>
      <c r="F175" s="308"/>
      <c r="G175" s="92"/>
      <c r="H175" s="92"/>
      <c r="I175" s="91"/>
      <c r="J175" s="97" t="s">
        <v>637</v>
      </c>
      <c r="K175" s="306">
        <v>45840</v>
      </c>
      <c r="L175" s="99">
        <v>72092</v>
      </c>
      <c r="M175" s="93">
        <f t="shared" si="65"/>
        <v>7209.2000000000007</v>
      </c>
      <c r="N175" s="93">
        <f t="shared" si="66"/>
        <v>77859.360000000001</v>
      </c>
      <c r="O175" s="303"/>
      <c r="P175" s="93">
        <v>0</v>
      </c>
      <c r="Q175" s="306"/>
      <c r="R175" s="93">
        <f t="shared" si="47"/>
        <v>77859</v>
      </c>
      <c r="S175" s="91"/>
    </row>
  </sheetData>
  <autoFilter ref="A2:S175" xr:uid="{5351C4FA-754E-4B23-BAD5-F50DA5EFAFB9}">
    <filterColumn colId="2">
      <filters>
        <filter val="4500095281"/>
      </filters>
    </filterColumn>
  </autoFilter>
  <conditionalFormatting sqref="J1:J1048576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D446-4A3E-4C63-8377-3470B1C44EB1}">
  <sheetPr filterMode="1"/>
  <dimension ref="A1:P286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/>
  <cols>
    <col min="1" max="2" width="15" style="1" customWidth="1"/>
    <col min="3" max="3" width="18.88671875" style="1" customWidth="1"/>
    <col min="4" max="6" width="15" style="38" customWidth="1"/>
    <col min="7" max="7" width="16.88671875" style="1" customWidth="1"/>
    <col min="8" max="8" width="15" style="48" customWidth="1"/>
    <col min="9" max="9" width="15" style="1" customWidth="1"/>
    <col min="10" max="10" width="43.33203125" style="1" bestFit="1" customWidth="1"/>
    <col min="11" max="11" width="11.33203125" style="1" customWidth="1"/>
    <col min="12" max="16384" width="9.109375" style="1"/>
  </cols>
  <sheetData>
    <row r="1" spans="1:11" s="35" customFormat="1" ht="30.75" customHeight="1">
      <c r="A1" s="75" cm="1">
        <f t="array" ref="A1:A63">_xlfn.UNIQUE('Billing and Payment Details'!C:C)</f>
        <v>0</v>
      </c>
      <c r="B1" s="75"/>
      <c r="C1" s="76"/>
      <c r="D1" s="75">
        <f>SUBTOTAL(9,D3:D1048576)</f>
        <v>163548</v>
      </c>
      <c r="E1" s="75">
        <f>SUBTOTAL(9,E3:E1048576)</f>
        <v>171725</v>
      </c>
      <c r="F1" s="75">
        <f>SUBTOTAL(9,F3:F1048576)</f>
        <v>8177</v>
      </c>
      <c r="G1" s="77">
        <f>F1/D1</f>
        <v>4.9997554234842367E-2</v>
      </c>
      <c r="H1" s="77"/>
      <c r="I1" s="76"/>
    </row>
    <row r="2" spans="1:11" ht="28.8">
      <c r="A2" s="36" t="str">
        <v>Customer PO</v>
      </c>
      <c r="B2" s="36" t="s">
        <v>638</v>
      </c>
      <c r="C2" s="33" t="s">
        <v>639</v>
      </c>
      <c r="D2" s="34" t="s">
        <v>640</v>
      </c>
      <c r="E2" s="34" t="s">
        <v>641</v>
      </c>
      <c r="F2" s="34" t="s">
        <v>642</v>
      </c>
      <c r="G2" s="33" t="s">
        <v>643</v>
      </c>
      <c r="H2" s="47" t="s">
        <v>644</v>
      </c>
      <c r="I2" s="33" t="s">
        <v>645</v>
      </c>
      <c r="J2" s="33" t="s">
        <v>34</v>
      </c>
      <c r="K2" s="33" t="s">
        <v>646</v>
      </c>
    </row>
    <row r="3" spans="1:11">
      <c r="A3" s="49">
        <v>4500095281</v>
      </c>
      <c r="B3" s="49">
        <v>4500095281</v>
      </c>
      <c r="C3" s="49" t="str">
        <f>IFERROR(VLOOKUP(A3,'Outsourcing Details'!C:E,3,0),"PO not raised")</f>
        <v>CTPL/PO/24-25/396</v>
      </c>
      <c r="D3" s="50">
        <f>SUMIF('Outsourcing Details'!C:C,'PO Utilization'!B3,'Outsourcing Details'!L:L)</f>
        <v>163548</v>
      </c>
      <c r="E3" s="50">
        <f>SUMIF('Billing and Payment Details'!C:C,'PO Utilization'!B3,'Billing and Payment Details'!G:G)</f>
        <v>171725</v>
      </c>
      <c r="F3" s="50">
        <f>E3-D3</f>
        <v>8177</v>
      </c>
      <c r="G3" s="51">
        <f>F3/D3</f>
        <v>4.9997554234842367E-2</v>
      </c>
      <c r="H3" s="51">
        <f>VLOOKUP(B3,'PO Details'!F:J,5,0)</f>
        <v>0.05</v>
      </c>
      <c r="I3" s="51">
        <f>G3-H3</f>
        <v>-2.4457651576353934E-6</v>
      </c>
      <c r="J3" s="49" t="str">
        <f>VLOOKUP(B3,'Outsourcing Details'!C:D,2,0)</f>
        <v>VRATA TECH SOLUTIONS PRIVATE LIMITED</v>
      </c>
      <c r="K3" s="2" t="b">
        <f>A3=B3</f>
        <v>1</v>
      </c>
    </row>
    <row r="4" spans="1:11" hidden="1">
      <c r="A4" s="49">
        <v>4500098831</v>
      </c>
      <c r="B4" s="49">
        <v>4500098831</v>
      </c>
      <c r="C4" s="49" t="str">
        <f>IFERROR(VLOOKUP(A4,'Outsourcing Details'!C:E,3,0),"PO not raised")</f>
        <v>CTPL/PO/25-26/104</v>
      </c>
      <c r="D4" s="50">
        <f>SUMIF('Outsourcing Details'!C:C,'PO Utilization'!B4,'Outsourcing Details'!L:L)</f>
        <v>130000</v>
      </c>
      <c r="E4" s="50">
        <f>SUMIF('Billing and Payment Details'!C:C,'PO Utilization'!B4,'Billing and Payment Details'!G:G)</f>
        <v>136500</v>
      </c>
      <c r="F4" s="50">
        <f t="shared" ref="F4:F37" si="0">E4-D4</f>
        <v>6500</v>
      </c>
      <c r="G4" s="51">
        <f t="shared" ref="G4:G37" si="1">F4/D4</f>
        <v>0.05</v>
      </c>
      <c r="H4" s="51">
        <f>VLOOKUP(B4,'PO Details'!F:J,5,0)</f>
        <v>0.05</v>
      </c>
      <c r="I4" s="51">
        <f t="shared" ref="I4:I37" si="2">G4-H4</f>
        <v>0</v>
      </c>
      <c r="J4" s="49" t="str">
        <f>VLOOKUP(B4,'Outsourcing Details'!C:D,2,0)</f>
        <v>VRATA TECH SOLUTIONS PRIVATE LIMITED</v>
      </c>
      <c r="K4" s="2" t="b">
        <f t="shared" ref="K4:K40" si="3">A4=B4</f>
        <v>1</v>
      </c>
    </row>
    <row r="5" spans="1:11" hidden="1">
      <c r="A5" s="49">
        <v>4500095649</v>
      </c>
      <c r="B5" s="49">
        <v>4500095649</v>
      </c>
      <c r="C5" s="49" t="str">
        <f>IFERROR(VLOOKUP(A5,'Outsourcing Details'!C:E,3,0),"PO not raised")</f>
        <v>CTPL/PO/24-25/400</v>
      </c>
      <c r="D5" s="50">
        <f>SUMIF('Outsourcing Details'!C:C,'PO Utilization'!B5,'Outsourcing Details'!L:L)</f>
        <v>1210559</v>
      </c>
      <c r="E5" s="50">
        <f>SUMIF('Billing and Payment Details'!C:C,'PO Utilization'!B5,'Billing and Payment Details'!G:G)</f>
        <v>1328307.75</v>
      </c>
      <c r="F5" s="50">
        <f t="shared" si="0"/>
        <v>117748.75</v>
      </c>
      <c r="G5" s="51">
        <f t="shared" si="1"/>
        <v>9.7268080283571479E-2</v>
      </c>
      <c r="H5" s="51">
        <f>VLOOKUP(B5,'PO Details'!F:J,5,0)</f>
        <v>0.1</v>
      </c>
      <c r="I5" s="51">
        <f t="shared" si="2"/>
        <v>-2.7319197164285269E-3</v>
      </c>
      <c r="J5" s="49" t="str">
        <f>VLOOKUP(B5,'Outsourcing Details'!C:D,2,0)</f>
        <v>BCT Consulting Private Limited</v>
      </c>
      <c r="K5" s="2" t="b">
        <f t="shared" si="3"/>
        <v>1</v>
      </c>
    </row>
    <row r="6" spans="1:11" hidden="1">
      <c r="A6" s="49">
        <v>4500098672</v>
      </c>
      <c r="B6" s="49">
        <v>4500098672</v>
      </c>
      <c r="C6" s="49" t="str">
        <f>IFERROR(VLOOKUP(A6,'Outsourcing Details'!C:E,3,0),"PO not raised")</f>
        <v>CTPL/PO/25-26/101</v>
      </c>
      <c r="D6" s="50">
        <f>SUMIF('Outsourcing Details'!C:C,'PO Utilization'!B6,'Outsourcing Details'!L:L)</f>
        <v>292190</v>
      </c>
      <c r="E6" s="50">
        <f>SUMIF('Billing and Payment Details'!C:C,'PO Utilization'!B6,'Billing and Payment Details'!G:G)</f>
        <v>306800</v>
      </c>
      <c r="F6" s="50">
        <f t="shared" si="0"/>
        <v>14610</v>
      </c>
      <c r="G6" s="51">
        <f t="shared" si="1"/>
        <v>5.0001711215305111E-2</v>
      </c>
      <c r="H6" s="51">
        <f>VLOOKUP(B6,'PO Details'!F:J,5,0)</f>
        <v>0.05</v>
      </c>
      <c r="I6" s="51">
        <f t="shared" si="2"/>
        <v>1.7112153051085377E-6</v>
      </c>
      <c r="J6" s="49" t="str">
        <f>VLOOKUP(B6,'Outsourcing Details'!C:D,2,0)</f>
        <v>CANTICLE TECHNOLOGIES PRIVATE LIMITED</v>
      </c>
      <c r="K6" s="2" t="b">
        <f t="shared" si="3"/>
        <v>1</v>
      </c>
    </row>
    <row r="7" spans="1:11" hidden="1">
      <c r="A7" s="2">
        <v>4500097314</v>
      </c>
      <c r="B7" s="2">
        <v>4500097314</v>
      </c>
      <c r="C7" s="2" t="str">
        <f>IFERROR(VLOOKUP(A7,'Outsourcing Details'!C:E,3,0),"PO not raised")</f>
        <v>CTPL/PO/25-26/081</v>
      </c>
      <c r="D7" s="37">
        <f>SUMIF('Outsourcing Details'!C:C,'PO Utilization'!B7,'Outsourcing Details'!L:L)</f>
        <v>546241</v>
      </c>
      <c r="E7" s="37">
        <f>SUMIF('Billing and Payment Details'!C:C,'PO Utilization'!B7,'Billing and Payment Details'!G:G)</f>
        <v>574984</v>
      </c>
      <c r="F7" s="37">
        <f t="shared" si="0"/>
        <v>28743</v>
      </c>
      <c r="G7" s="39">
        <f t="shared" si="1"/>
        <v>5.2619631261659229E-2</v>
      </c>
      <c r="H7" s="39">
        <f>VLOOKUP(B7,'PO Details'!F:J,5,0)</f>
        <v>0.05</v>
      </c>
      <c r="I7" s="39">
        <f t="shared" si="2"/>
        <v>2.6196312616592263E-3</v>
      </c>
      <c r="J7" s="2" t="str">
        <f>VLOOKUP(B7,'Outsourcing Details'!C:D,2,0)</f>
        <v>TRIBAL SOLUTIONS CONSULTING SERVICES PVT</v>
      </c>
      <c r="K7" s="2" t="b">
        <f t="shared" si="3"/>
        <v>1</v>
      </c>
    </row>
    <row r="8" spans="1:11" hidden="1">
      <c r="A8" s="2">
        <v>4500095362</v>
      </c>
      <c r="B8" s="2">
        <v>4500095362</v>
      </c>
      <c r="C8" s="2" t="str">
        <f>IFERROR(VLOOKUP(A8,'Outsourcing Details'!C:E,3,0),"PO not raised")</f>
        <v>CTPL/PO/24-25/392</v>
      </c>
      <c r="D8" s="37">
        <f>SUMIF('Outsourcing Details'!C:C,'PO Utilization'!B8,'Outsourcing Details'!L:L)</f>
        <v>789775</v>
      </c>
      <c r="E8" s="37">
        <f>SUMIF('Billing and Payment Details'!C:C,'PO Utilization'!B8,'Billing and Payment Details'!G:G)</f>
        <v>827938</v>
      </c>
      <c r="F8" s="37">
        <f t="shared" si="0"/>
        <v>38163</v>
      </c>
      <c r="G8" s="39">
        <f t="shared" si="1"/>
        <v>4.8321357348611947E-2</v>
      </c>
      <c r="H8" s="39">
        <f>VLOOKUP(B8,'PO Details'!F:J,5,0)</f>
        <v>0.05</v>
      </c>
      <c r="I8" s="39">
        <f t="shared" si="2"/>
        <v>-1.6786426513880556E-3</v>
      </c>
      <c r="J8" s="2" t="str">
        <f>VLOOKUP(B8,'Outsourcing Details'!C:D,2,0)</f>
        <v>CARMATEC IT SOLUTIONS PRIVATE LIMITED</v>
      </c>
      <c r="K8" s="2" t="b">
        <f t="shared" si="3"/>
        <v>1</v>
      </c>
    </row>
    <row r="9" spans="1:11" hidden="1">
      <c r="A9" s="2">
        <v>4500092529</v>
      </c>
      <c r="B9" s="2">
        <v>4500092529</v>
      </c>
      <c r="C9" s="2" t="str">
        <f>IFERROR(VLOOKUP(A9,'Outsourcing Details'!C:E,3,0),"PO not raised")</f>
        <v>CTPL/PO/24-25/247</v>
      </c>
      <c r="D9" s="37">
        <f>SUMIF('Outsourcing Details'!C:C,'PO Utilization'!B9,'Outsourcing Details'!L:L)</f>
        <v>371561</v>
      </c>
      <c r="E9" s="37">
        <f>SUMIF('Billing and Payment Details'!C:C,'PO Utilization'!B9,'Billing and Payment Details'!G:G)</f>
        <v>390141.15</v>
      </c>
      <c r="F9" s="37">
        <f t="shared" si="0"/>
        <v>18580.150000000023</v>
      </c>
      <c r="G9" s="39">
        <f t="shared" si="1"/>
        <v>5.0005651831058762E-2</v>
      </c>
      <c r="H9" s="39">
        <f>VLOOKUP(B9,'PO Details'!F:J,5,0)</f>
        <v>0</v>
      </c>
      <c r="I9" s="39">
        <f t="shared" si="2"/>
        <v>5.0005651831058762E-2</v>
      </c>
      <c r="J9" s="2" t="str">
        <f>VLOOKUP(B9,'Outsourcing Details'!C:D,2,0)</f>
        <v>Winnovation Education Services Pvt</v>
      </c>
      <c r="K9" s="2" t="b">
        <f t="shared" si="3"/>
        <v>1</v>
      </c>
    </row>
    <row r="10" spans="1:11" hidden="1">
      <c r="A10" s="2">
        <v>4500097684</v>
      </c>
      <c r="B10" s="2">
        <v>4500097684</v>
      </c>
      <c r="C10" s="2" t="str">
        <f>IFERROR(VLOOKUP(A10,'Outsourcing Details'!C:E,3,0),"PO not raised")</f>
        <v>CTPL/PO/24-25/247</v>
      </c>
      <c r="D10" s="37">
        <f>SUMIF('Outsourcing Details'!C:C,'PO Utilization'!B10,'Outsourcing Details'!L:L)</f>
        <v>553175</v>
      </c>
      <c r="E10" s="37">
        <f>SUMIF('Billing and Payment Details'!C:C,'PO Utilization'!B10,'Billing and Payment Details'!G:G)</f>
        <v>578812.5</v>
      </c>
      <c r="F10" s="37">
        <f t="shared" si="0"/>
        <v>25637.5</v>
      </c>
      <c r="G10" s="39">
        <f t="shared" si="1"/>
        <v>4.6346093008541603E-2</v>
      </c>
      <c r="H10" s="39">
        <f>VLOOKUP(B10,'PO Details'!F:J,5,0)</f>
        <v>0</v>
      </c>
      <c r="I10" s="39">
        <f t="shared" si="2"/>
        <v>4.6346093008541603E-2</v>
      </c>
      <c r="J10" s="2" t="str">
        <f>VLOOKUP(B10,'Outsourcing Details'!C:D,2,0)</f>
        <v>Winnovation Education Services Pvt</v>
      </c>
      <c r="K10" s="2" t="b">
        <f t="shared" si="3"/>
        <v>1</v>
      </c>
    </row>
    <row r="11" spans="1:11" hidden="1">
      <c r="A11" s="2">
        <v>4500097799</v>
      </c>
      <c r="B11" s="2">
        <v>4500097799</v>
      </c>
      <c r="C11" s="2" t="str">
        <f>IFERROR(VLOOKUP(A11,'Outsourcing Details'!C:E,3,0),"PO not raised")</f>
        <v>CTPL/PO/25-26/039</v>
      </c>
      <c r="D11" s="37">
        <f>SUMIF('Outsourcing Details'!C:C,'PO Utilization'!B11,'Outsourcing Details'!L:L)</f>
        <v>245500</v>
      </c>
      <c r="E11" s="37">
        <f>SUMIF('Billing and Payment Details'!C:C,'PO Utilization'!B11,'Billing and Payment Details'!G:G)</f>
        <v>257800</v>
      </c>
      <c r="F11" s="37">
        <f t="shared" si="0"/>
        <v>12300</v>
      </c>
      <c r="G11" s="39">
        <f t="shared" si="1"/>
        <v>5.0101832993890018E-2</v>
      </c>
      <c r="H11" s="39">
        <f>VLOOKUP(B11,'PO Details'!F:J,5,0)</f>
        <v>0</v>
      </c>
      <c r="I11" s="39">
        <f>G11-H11</f>
        <v>5.0101832993890018E-2</v>
      </c>
      <c r="J11" s="2" t="str">
        <f>VLOOKUP(B11,'Outsourcing Details'!C:D,2,0)</f>
        <v>Winnovation Education Services Pvt</v>
      </c>
      <c r="K11" s="2" t="b">
        <f t="shared" si="3"/>
        <v>1</v>
      </c>
    </row>
    <row r="12" spans="1:11" hidden="1">
      <c r="A12" s="2">
        <v>4500092808</v>
      </c>
      <c r="B12" s="2">
        <v>4500092808</v>
      </c>
      <c r="C12" s="2" t="str">
        <f>IFERROR(VLOOKUP(A12,'Outsourcing Details'!C:E,3,0),"PO not raised")</f>
        <v>CTPL/PO/24-25/235</v>
      </c>
      <c r="D12" s="37">
        <f>SUMIF('Outsourcing Details'!C:C,'PO Utilization'!B12,'Outsourcing Details'!L:L)</f>
        <v>512559</v>
      </c>
      <c r="E12" s="37">
        <f>SUMIF('Billing and Payment Details'!C:C,'PO Utilization'!B12,'Billing and Payment Details'!G:G)</f>
        <v>552500</v>
      </c>
      <c r="F12" s="37">
        <f t="shared" si="0"/>
        <v>39941</v>
      </c>
      <c r="G12" s="39">
        <f t="shared" si="1"/>
        <v>7.7924687694489805E-2</v>
      </c>
      <c r="H12" s="39">
        <f>VLOOKUP(B12,'PO Details'!F:J,5,0)</f>
        <v>0</v>
      </c>
      <c r="I12" s="39">
        <f t="shared" si="2"/>
        <v>7.7924687694489805E-2</v>
      </c>
      <c r="J12" s="2" t="str">
        <f>VLOOKUP(B12,'Outsourcing Details'!C:D,2,0)</f>
        <v>SeaInfonet Pvt Ltd</v>
      </c>
      <c r="K12" s="2" t="b">
        <f t="shared" si="3"/>
        <v>1</v>
      </c>
    </row>
    <row r="13" spans="1:11" hidden="1">
      <c r="A13" s="2">
        <v>4500092930</v>
      </c>
      <c r="B13" s="2">
        <v>4500092930</v>
      </c>
      <c r="C13" s="2" t="str">
        <f>IFERROR(VLOOKUP(A13,'Outsourcing Details'!C:E,3,0),"PO not raised")</f>
        <v>CTPL/PO/24-25/235</v>
      </c>
      <c r="D13" s="37">
        <f>SUMIF('Outsourcing Details'!C:C,'PO Utilization'!B13,'Outsourcing Details'!L:L)</f>
        <v>12858</v>
      </c>
      <c r="E13" s="37">
        <f>SUMIF('Billing and Payment Details'!C:C,'PO Utilization'!B13,'Billing and Payment Details'!G:G)</f>
        <v>13500</v>
      </c>
      <c r="F13" s="37">
        <f t="shared" si="0"/>
        <v>642</v>
      </c>
      <c r="G13" s="39">
        <f t="shared" si="1"/>
        <v>4.9930004666355575E-2</v>
      </c>
      <c r="H13" s="39">
        <f>VLOOKUP(B13,'PO Details'!F:J,5,0)</f>
        <v>0</v>
      </c>
      <c r="I13" s="39">
        <f t="shared" si="2"/>
        <v>4.9930004666355575E-2</v>
      </c>
      <c r="J13" s="2" t="str">
        <f>VLOOKUP(B13,'Outsourcing Details'!C:D,2,0)</f>
        <v>SeaInfonet Pvt Ltd</v>
      </c>
      <c r="K13" s="2" t="b">
        <f t="shared" si="3"/>
        <v>1</v>
      </c>
    </row>
    <row r="14" spans="1:11" hidden="1">
      <c r="A14" s="2">
        <v>4500097527</v>
      </c>
      <c r="B14" s="2">
        <v>4500097527</v>
      </c>
      <c r="C14" s="2" t="str">
        <f>IFERROR(VLOOKUP(A14,'Outsourcing Details'!C:E,3,0),"PO not raised")</f>
        <v>CTPL/PO/24-25/235</v>
      </c>
      <c r="D14" s="37">
        <f>SUMIF('Outsourcing Details'!C:C,'PO Utilization'!B14,'Outsourcing Details'!L:L)</f>
        <v>1050268</v>
      </c>
      <c r="E14" s="37">
        <f>SUMIF('Billing and Payment Details'!C:C,'PO Utilization'!B14,'Billing and Payment Details'!G:G)</f>
        <v>1231905</v>
      </c>
      <c r="F14" s="37">
        <f t="shared" si="0"/>
        <v>181637</v>
      </c>
      <c r="G14" s="39">
        <f t="shared" si="1"/>
        <v>0.17294347728389325</v>
      </c>
      <c r="H14" s="39">
        <f>VLOOKUP(B14,'PO Details'!F:J,5,0)</f>
        <v>0</v>
      </c>
      <c r="I14" s="39">
        <f t="shared" si="2"/>
        <v>0.17294347728389325</v>
      </c>
      <c r="J14" s="2" t="str">
        <f>VLOOKUP(B14,'Outsourcing Details'!C:D,2,0)</f>
        <v>SeaInfonet Pvt Ltd</v>
      </c>
      <c r="K14" s="2" t="b">
        <f t="shared" si="3"/>
        <v>1</v>
      </c>
    </row>
    <row r="15" spans="1:11" hidden="1">
      <c r="A15" s="2">
        <v>4500091403</v>
      </c>
      <c r="B15" s="2">
        <v>4500091403</v>
      </c>
      <c r="C15" s="2" t="str">
        <f>IFERROR(VLOOKUP(A15,'Outsourcing Details'!C:E,3,0),"PO not raised")</f>
        <v>Without PO-1403</v>
      </c>
      <c r="D15" s="37">
        <f>SUMIF('Outsourcing Details'!C:C,'PO Utilization'!B15,'Outsourcing Details'!L:L)</f>
        <v>197838</v>
      </c>
      <c r="E15" s="37">
        <f>SUMIF('Billing and Payment Details'!C:C,'PO Utilization'!B15,'Billing and Payment Details'!G:G)</f>
        <v>229075</v>
      </c>
      <c r="F15" s="37">
        <f t="shared" si="0"/>
        <v>31237</v>
      </c>
      <c r="G15" s="39">
        <f t="shared" si="1"/>
        <v>0.15789181047119361</v>
      </c>
      <c r="H15" s="39">
        <f>VLOOKUP(B15,'PO Details'!F:J,5,0)</f>
        <v>0</v>
      </c>
      <c r="I15" s="39">
        <f t="shared" si="2"/>
        <v>0.15789181047119361</v>
      </c>
      <c r="J15" s="2" t="str">
        <f>VLOOKUP(B15,'Outsourcing Details'!C:D,2,0)</f>
        <v>AUROPRO SOFT SYSTEMS PVT LTD</v>
      </c>
      <c r="K15" s="2" t="b">
        <f t="shared" si="3"/>
        <v>1</v>
      </c>
    </row>
    <row r="16" spans="1:11" hidden="1">
      <c r="A16" s="2">
        <v>4500091408</v>
      </c>
      <c r="B16" s="2">
        <v>4500091408</v>
      </c>
      <c r="C16" s="2" t="str">
        <f>IFERROR(VLOOKUP(A16,'Outsourcing Details'!C:E,3,0),"PO not raised")</f>
        <v>Without PO-1408</v>
      </c>
      <c r="D16" s="37">
        <f>SUMIF('Outsourcing Details'!C:C,'PO Utilization'!B16,'Outsourcing Details'!L:L)</f>
        <v>637038</v>
      </c>
      <c r="E16" s="37">
        <f>SUMIF('Billing and Payment Details'!C:C,'PO Utilization'!B16,'Billing and Payment Details'!G:G)</f>
        <v>649740</v>
      </c>
      <c r="F16" s="37">
        <f t="shared" si="0"/>
        <v>12702</v>
      </c>
      <c r="G16" s="39">
        <f t="shared" si="1"/>
        <v>1.9939155905927118E-2</v>
      </c>
      <c r="H16" s="39">
        <f>VLOOKUP(B16,'PO Details'!F:J,5,0)</f>
        <v>0</v>
      </c>
      <c r="I16" s="39">
        <f t="shared" si="2"/>
        <v>1.9939155905927118E-2</v>
      </c>
      <c r="J16" s="2" t="str">
        <f>VLOOKUP(B16,'Outsourcing Details'!C:D,2,0)</f>
        <v>AUROPRO SOFT SYSTEMS PVT LTD</v>
      </c>
      <c r="K16" s="2" t="b">
        <f t="shared" si="3"/>
        <v>1</v>
      </c>
    </row>
    <row r="17" spans="1:11" hidden="1">
      <c r="A17" s="66">
        <v>4500092198</v>
      </c>
      <c r="B17" s="66">
        <v>4500092198</v>
      </c>
      <c r="C17" s="66" t="str">
        <f>IFERROR(VLOOKUP(A17,'Outsourcing Details'!C:E,3,0),"PO not raised")</f>
        <v>CTPL/PO/25-26/140</v>
      </c>
      <c r="D17" s="67">
        <f>SUMIF('Outsourcing Details'!C:C,'PO Utilization'!B17,'Outsourcing Details'!L:L)</f>
        <v>160000</v>
      </c>
      <c r="E17" s="67">
        <f>SUMIF('Billing and Payment Details'!C:C,'PO Utilization'!B17,'Billing and Payment Details'!G:G)</f>
        <v>168000</v>
      </c>
      <c r="F17" s="67">
        <f t="shared" si="0"/>
        <v>8000</v>
      </c>
      <c r="G17" s="68">
        <f t="shared" si="1"/>
        <v>0.05</v>
      </c>
      <c r="H17" s="68">
        <f>VLOOKUP(B17,'PO Details'!F:J,5,0)</f>
        <v>0.05</v>
      </c>
      <c r="I17" s="68">
        <f t="shared" si="2"/>
        <v>0</v>
      </c>
      <c r="J17" s="66" t="str">
        <f>VLOOKUP(B17,'Outsourcing Details'!C:D,2,0)</f>
        <v>AUROPRO SOFT SYSTEMS PVT LTD</v>
      </c>
      <c r="K17" s="2" t="b">
        <f t="shared" si="3"/>
        <v>1</v>
      </c>
    </row>
    <row r="18" spans="1:11" hidden="1">
      <c r="A18" s="2">
        <v>4500087051</v>
      </c>
      <c r="B18" s="2">
        <v>4500087051</v>
      </c>
      <c r="C18" s="2">
        <f>IFERROR(VLOOKUP(A18,'Outsourcing Details'!C:E,3,0),"PO not raised")</f>
        <v>0</v>
      </c>
      <c r="D18" s="37">
        <f>SUMIF('Outsourcing Details'!C:C,'PO Utilization'!B18,'Outsourcing Details'!L:L)</f>
        <v>507000</v>
      </c>
      <c r="E18" s="37">
        <f>SUMIF('Billing and Payment Details'!C:C,'PO Utilization'!B18,'Billing and Payment Details'!G:G)</f>
        <v>525000</v>
      </c>
      <c r="F18" s="37">
        <f t="shared" si="0"/>
        <v>18000</v>
      </c>
      <c r="G18" s="39">
        <f t="shared" si="1"/>
        <v>3.5502958579881658E-2</v>
      </c>
      <c r="H18" s="39">
        <f>VLOOKUP(B18,'PO Details'!F:J,5,0)</f>
        <v>0.05</v>
      </c>
      <c r="I18" s="39">
        <f t="shared" si="2"/>
        <v>-1.4497041420118345E-2</v>
      </c>
      <c r="J18" s="2" t="str">
        <f>VLOOKUP(B18,'Outsourcing Details'!C:D,2,0)</f>
        <v>BUSYBOTS PRIVATE LIMITED</v>
      </c>
      <c r="K18" s="2" t="b">
        <f t="shared" si="3"/>
        <v>1</v>
      </c>
    </row>
    <row r="19" spans="1:11" hidden="1">
      <c r="A19" s="2">
        <v>4500083659</v>
      </c>
      <c r="B19" s="2">
        <v>4500083659</v>
      </c>
      <c r="C19" s="2">
        <f>IFERROR(VLOOKUP(A19,'Outsourcing Details'!C:E,3,0),"PO not raised")</f>
        <v>0</v>
      </c>
      <c r="D19" s="37">
        <f>SUMIF('Outsourcing Details'!C:C,'PO Utilization'!B19,'Outsourcing Details'!L:L)</f>
        <v>889000</v>
      </c>
      <c r="E19" s="37">
        <f>SUMIF('Billing and Payment Details'!C:C,'PO Utilization'!B19,'Billing and Payment Details'!G:G)</f>
        <v>924000</v>
      </c>
      <c r="F19" s="37">
        <f t="shared" si="0"/>
        <v>35000</v>
      </c>
      <c r="G19" s="39">
        <f t="shared" si="1"/>
        <v>3.937007874015748E-2</v>
      </c>
      <c r="H19" s="39" t="e">
        <f>VLOOKUP(B19,'PO Details'!F:J,5,0)</f>
        <v>#N/A</v>
      </c>
      <c r="I19" s="39" t="e">
        <f t="shared" si="2"/>
        <v>#N/A</v>
      </c>
      <c r="J19" s="2" t="str">
        <f>VLOOKUP(B19,'Outsourcing Details'!C:D,2,0)</f>
        <v>BUSYBOTS PRIVATE LIMITED</v>
      </c>
      <c r="K19" s="2" t="b">
        <f t="shared" si="3"/>
        <v>1</v>
      </c>
    </row>
    <row r="20" spans="1:11" hidden="1">
      <c r="A20" s="2">
        <v>4500089409</v>
      </c>
      <c r="B20" s="2">
        <v>4500089409</v>
      </c>
      <c r="C20" s="2">
        <f>IFERROR(VLOOKUP(A20,'Outsourcing Details'!C:E,3,0),"PO not raised")</f>
        <v>0</v>
      </c>
      <c r="D20" s="37">
        <f>SUMIF('Outsourcing Details'!C:C,'PO Utilization'!B20,'Outsourcing Details'!L:L)</f>
        <v>500000</v>
      </c>
      <c r="E20" s="37">
        <f>SUMIF('Billing and Payment Details'!C:C,'PO Utilization'!B20,'Billing and Payment Details'!G:G)</f>
        <v>525000</v>
      </c>
      <c r="F20" s="37">
        <f t="shared" si="0"/>
        <v>25000</v>
      </c>
      <c r="G20" s="39">
        <f t="shared" si="1"/>
        <v>0.05</v>
      </c>
      <c r="H20" s="39">
        <f>VLOOKUP(B20,'PO Details'!F:J,5,0)</f>
        <v>0.05</v>
      </c>
      <c r="I20" s="39">
        <f t="shared" si="2"/>
        <v>0</v>
      </c>
      <c r="J20" s="2" t="str">
        <f>VLOOKUP(B20,'Outsourcing Details'!C:D,2,0)</f>
        <v>BUSYBOTS PRIVATE LIMITED</v>
      </c>
      <c r="K20" s="2" t="b">
        <f t="shared" si="3"/>
        <v>1</v>
      </c>
    </row>
    <row r="21" spans="1:11" hidden="1">
      <c r="A21" s="2">
        <v>4500093384</v>
      </c>
      <c r="B21" s="2">
        <v>4500093384</v>
      </c>
      <c r="C21" s="2">
        <f>IFERROR(VLOOKUP(A21,'Outsourcing Details'!C:E,3,0),"PO not raised")</f>
        <v>0</v>
      </c>
      <c r="D21" s="37">
        <f>SUMIF('Outsourcing Details'!C:C,'PO Utilization'!B21,'Outsourcing Details'!L:L)</f>
        <v>600000</v>
      </c>
      <c r="E21" s="37">
        <f>SUMIF('Billing and Payment Details'!C:C,'PO Utilization'!B21,'Billing and Payment Details'!G:G)</f>
        <v>525000</v>
      </c>
      <c r="F21" s="37">
        <f t="shared" si="0"/>
        <v>-75000</v>
      </c>
      <c r="G21" s="39">
        <f t="shared" si="1"/>
        <v>-0.125</v>
      </c>
      <c r="H21" s="39" t="e">
        <f>VLOOKUP(B21,'PO Details'!F:J,5,0)</f>
        <v>#N/A</v>
      </c>
      <c r="I21" s="39" t="e">
        <f t="shared" si="2"/>
        <v>#N/A</v>
      </c>
      <c r="J21" s="2" t="str">
        <f>VLOOKUP(B21,'Outsourcing Details'!C:D,2,0)</f>
        <v>BUSYBOTS PRIVATE LIMITED</v>
      </c>
      <c r="K21" s="2" t="b">
        <f t="shared" si="3"/>
        <v>1</v>
      </c>
    </row>
    <row r="22" spans="1:11" hidden="1">
      <c r="A22" s="2">
        <v>4500093705</v>
      </c>
      <c r="B22" s="2">
        <v>4500093705</v>
      </c>
      <c r="C22" s="2">
        <f>IFERROR(VLOOKUP(A22,'Outsourcing Details'!C:E,3,0),"PO not raised")</f>
        <v>0</v>
      </c>
      <c r="D22" s="37">
        <f>SUMIF('Outsourcing Details'!C:C,'PO Utilization'!B22,'Outsourcing Details'!L:L)</f>
        <v>435448</v>
      </c>
      <c r="E22" s="37">
        <f>SUMIF('Billing and Payment Details'!C:C,'PO Utilization'!B22,'Billing and Payment Details'!G:G)</f>
        <v>458367</v>
      </c>
      <c r="F22" s="37">
        <f t="shared" si="0"/>
        <v>22919</v>
      </c>
      <c r="G22" s="39">
        <f t="shared" si="1"/>
        <v>5.2633150226892765E-2</v>
      </c>
      <c r="H22" s="39" t="e">
        <f>VLOOKUP(B22,'PO Details'!F:J,5,0)</f>
        <v>#N/A</v>
      </c>
      <c r="I22" s="39" t="e">
        <f t="shared" si="2"/>
        <v>#N/A</v>
      </c>
      <c r="J22" s="2" t="str">
        <f>VLOOKUP(B22,'Outsourcing Details'!C:D,2,0)</f>
        <v>BUSYBOTS PRIVATE LIMITED</v>
      </c>
      <c r="K22" s="2" t="b">
        <f t="shared" si="3"/>
        <v>1</v>
      </c>
    </row>
    <row r="23" spans="1:11" hidden="1">
      <c r="A23" s="2">
        <v>4500093723</v>
      </c>
      <c r="B23" s="2">
        <v>4500093723</v>
      </c>
      <c r="C23" s="2">
        <f>IFERROR(VLOOKUP(A23,'Outsourcing Details'!C:E,3,0),"PO not raised")</f>
        <v>0</v>
      </c>
      <c r="D23" s="37">
        <f>SUMIF('Outsourcing Details'!C:C,'PO Utilization'!B23,'Outsourcing Details'!L:L)</f>
        <v>486910</v>
      </c>
      <c r="E23" s="37">
        <f>SUMIF('Billing and Payment Details'!C:C,'PO Utilization'!B23,'Billing and Payment Details'!G:G)</f>
        <v>511255</v>
      </c>
      <c r="F23" s="37">
        <f t="shared" si="0"/>
        <v>24345</v>
      </c>
      <c r="G23" s="39">
        <f t="shared" si="1"/>
        <v>4.9998973116181636E-2</v>
      </c>
      <c r="H23" s="39" t="e">
        <f>VLOOKUP(B23,'PO Details'!F:J,5,0)</f>
        <v>#N/A</v>
      </c>
      <c r="I23" s="39" t="e">
        <f t="shared" si="2"/>
        <v>#N/A</v>
      </c>
      <c r="J23" s="2" t="str">
        <f>VLOOKUP(B23,'Outsourcing Details'!C:D,2,0)</f>
        <v>BUSYBOTS PRIVATE LIMITED</v>
      </c>
      <c r="K23" s="2" t="b">
        <f t="shared" si="3"/>
        <v>1</v>
      </c>
    </row>
    <row r="24" spans="1:11" hidden="1">
      <c r="A24" s="2">
        <v>4500093722</v>
      </c>
      <c r="B24" s="2">
        <v>4500093722</v>
      </c>
      <c r="C24" s="2">
        <f>IFERROR(VLOOKUP(A24,'Outsourcing Details'!C:E,3,0),"PO not raised")</f>
        <v>0</v>
      </c>
      <c r="D24" s="37">
        <f>SUMIF('Outsourcing Details'!C:C,'PO Utilization'!B24,'Outsourcing Details'!L:L)</f>
        <v>428145</v>
      </c>
      <c r="E24" s="37">
        <f>SUMIF('Billing and Payment Details'!C:C,'PO Utilization'!B24,'Billing and Payment Details'!G:G)</f>
        <v>449552</v>
      </c>
      <c r="F24" s="37">
        <f t="shared" si="0"/>
        <v>21407</v>
      </c>
      <c r="G24" s="39">
        <f t="shared" si="1"/>
        <v>4.9999416085671912E-2</v>
      </c>
      <c r="H24" s="39" t="e">
        <f>VLOOKUP(B24,'PO Details'!F:J,5,0)</f>
        <v>#N/A</v>
      </c>
      <c r="I24" s="39" t="e">
        <f t="shared" si="2"/>
        <v>#N/A</v>
      </c>
      <c r="J24" s="2" t="str">
        <f>VLOOKUP(B24,'Outsourcing Details'!C:D,2,0)</f>
        <v>BUSYBOTS PRIVATE LIMITED</v>
      </c>
      <c r="K24" s="2" t="b">
        <f t="shared" si="3"/>
        <v>1</v>
      </c>
    </row>
    <row r="25" spans="1:11" hidden="1">
      <c r="A25" s="2">
        <v>4500094223</v>
      </c>
      <c r="B25" s="2">
        <v>4500094223</v>
      </c>
      <c r="C25" s="2">
        <f>IFERROR(VLOOKUP(A25,'Outsourcing Details'!C:E,3,0),"PO not raised")</f>
        <v>0</v>
      </c>
      <c r="D25" s="37">
        <f>SUMIF('Outsourcing Details'!C:C,'PO Utilization'!B25,'Outsourcing Details'!L:L)</f>
        <v>600000</v>
      </c>
      <c r="E25" s="37">
        <f>SUMIF('Billing and Payment Details'!C:C,'PO Utilization'!B25,'Billing and Payment Details'!G:G)</f>
        <v>885000</v>
      </c>
      <c r="F25" s="37">
        <f t="shared" si="0"/>
        <v>285000</v>
      </c>
      <c r="G25" s="39">
        <f t="shared" si="1"/>
        <v>0.47499999999999998</v>
      </c>
      <c r="H25" s="39" t="e">
        <f>VLOOKUP(B25,'PO Details'!F:J,5,0)</f>
        <v>#N/A</v>
      </c>
      <c r="I25" s="39" t="e">
        <f t="shared" si="2"/>
        <v>#N/A</v>
      </c>
      <c r="J25" s="2" t="str">
        <f>VLOOKUP(B25,'Outsourcing Details'!C:D,2,0)</f>
        <v>BUSYBOTS PRIVATE LIMITED</v>
      </c>
      <c r="K25" s="2" t="b">
        <f t="shared" si="3"/>
        <v>1</v>
      </c>
    </row>
    <row r="26" spans="1:11" hidden="1">
      <c r="A26" s="2">
        <v>4500094807</v>
      </c>
      <c r="B26" s="2">
        <v>4500094807</v>
      </c>
      <c r="C26" s="2">
        <f>IFERROR(VLOOKUP(A26,'Outsourcing Details'!C:E,3,0),"PO not raised")</f>
        <v>0</v>
      </c>
      <c r="D26" s="37">
        <f>SUMIF('Outsourcing Details'!C:C,'PO Utilization'!B26,'Outsourcing Details'!L:L)</f>
        <v>237500</v>
      </c>
      <c r="E26" s="37">
        <f>SUMIF('Billing and Payment Details'!C:C,'PO Utilization'!B26,'Billing and Payment Details'!G:G)</f>
        <v>250000</v>
      </c>
      <c r="F26" s="37">
        <f t="shared" si="0"/>
        <v>12500</v>
      </c>
      <c r="G26" s="39">
        <f t="shared" si="1"/>
        <v>5.2631578947368418E-2</v>
      </c>
      <c r="H26" s="39" t="e">
        <f>VLOOKUP(B26,'PO Details'!F:J,5,0)</f>
        <v>#N/A</v>
      </c>
      <c r="I26" s="39" t="e">
        <f t="shared" si="2"/>
        <v>#N/A</v>
      </c>
      <c r="J26" s="2" t="str">
        <f>VLOOKUP(B26,'Outsourcing Details'!C:D,2,0)</f>
        <v>BUSYBOTS PRIVATE LIMITED</v>
      </c>
      <c r="K26" s="2" t="b">
        <f t="shared" si="3"/>
        <v>1</v>
      </c>
    </row>
    <row r="27" spans="1:11" hidden="1">
      <c r="A27" s="2">
        <v>4500094574</v>
      </c>
      <c r="B27" s="2">
        <v>4500094574</v>
      </c>
      <c r="C27" s="2">
        <f>IFERROR(VLOOKUP(A27,'Outsourcing Details'!C:E,3,0),"PO not raised")</f>
        <v>0</v>
      </c>
      <c r="D27" s="37">
        <f>SUMIF('Outsourcing Details'!C:C,'PO Utilization'!B27,'Outsourcing Details'!L:L)</f>
        <v>876000</v>
      </c>
      <c r="E27" s="37">
        <f>SUMIF('Billing and Payment Details'!C:C,'PO Utilization'!B27,'Billing and Payment Details'!G:G)</f>
        <v>919800</v>
      </c>
      <c r="F27" s="37">
        <f t="shared" si="0"/>
        <v>43800</v>
      </c>
      <c r="G27" s="39">
        <f t="shared" si="1"/>
        <v>0.05</v>
      </c>
      <c r="H27" s="39">
        <f>VLOOKUP(B27,'PO Details'!F:J,5,0)</f>
        <v>0.05</v>
      </c>
      <c r="I27" s="39">
        <f t="shared" si="2"/>
        <v>0</v>
      </c>
      <c r="J27" s="2" t="str">
        <f>VLOOKUP(B27,'Outsourcing Details'!C:D,2,0)</f>
        <v>BUSYBOTS PRIVATE LIMITED</v>
      </c>
      <c r="K27" s="2" t="b">
        <f t="shared" si="3"/>
        <v>1</v>
      </c>
    </row>
    <row r="28" spans="1:11" hidden="1">
      <c r="A28" s="2">
        <v>4500095007</v>
      </c>
      <c r="B28" s="2">
        <v>4500095007</v>
      </c>
      <c r="C28" s="2">
        <f>IFERROR(VLOOKUP(A28,'Outsourcing Details'!C:E,3,0),"PO not raised")</f>
        <v>0</v>
      </c>
      <c r="D28" s="37">
        <f>SUMIF('Outsourcing Details'!C:C,'PO Utilization'!B28,'Outsourcing Details'!L:L)</f>
        <v>380000</v>
      </c>
      <c r="E28" s="37">
        <f>SUMIF('Billing and Payment Details'!C:C,'PO Utilization'!B28,'Billing and Payment Details'!G:G)</f>
        <v>400000</v>
      </c>
      <c r="F28" s="37">
        <f t="shared" si="0"/>
        <v>20000</v>
      </c>
      <c r="G28" s="39">
        <f t="shared" si="1"/>
        <v>5.2631578947368418E-2</v>
      </c>
      <c r="H28" s="39" t="e">
        <f>VLOOKUP(B28,'PO Details'!F:J,5,0)</f>
        <v>#N/A</v>
      </c>
      <c r="I28" s="39" t="e">
        <f t="shared" si="2"/>
        <v>#N/A</v>
      </c>
      <c r="J28" s="2" t="str">
        <f>VLOOKUP(B28,'Outsourcing Details'!C:D,2,0)</f>
        <v>BUSYBOTS PRIVATE LIMITED</v>
      </c>
      <c r="K28" s="2" t="b">
        <f t="shared" si="3"/>
        <v>1</v>
      </c>
    </row>
    <row r="29" spans="1:11" hidden="1">
      <c r="A29" s="2">
        <v>4500095010</v>
      </c>
      <c r="B29" s="2">
        <v>4500095010</v>
      </c>
      <c r="C29" s="2">
        <f>IFERROR(VLOOKUP(A29,'Outsourcing Details'!C:E,3,0),"PO not raised")</f>
        <v>0</v>
      </c>
      <c r="D29" s="37">
        <f>SUMIF('Outsourcing Details'!C:C,'PO Utilization'!B29,'Outsourcing Details'!L:L)</f>
        <v>237500</v>
      </c>
      <c r="E29" s="37">
        <f>SUMIF('Billing and Payment Details'!C:C,'PO Utilization'!B29,'Billing and Payment Details'!G:G)</f>
        <v>250000</v>
      </c>
      <c r="F29" s="37">
        <f t="shared" si="0"/>
        <v>12500</v>
      </c>
      <c r="G29" s="39">
        <f t="shared" si="1"/>
        <v>5.2631578947368418E-2</v>
      </c>
      <c r="H29" s="39" t="e">
        <f>VLOOKUP(B29,'PO Details'!F:J,5,0)</f>
        <v>#N/A</v>
      </c>
      <c r="I29" s="39" t="e">
        <f t="shared" si="2"/>
        <v>#N/A</v>
      </c>
      <c r="J29" s="2" t="str">
        <f>VLOOKUP(B29,'Outsourcing Details'!C:D,2,0)</f>
        <v>BUSYBOTS PRIVATE LIMITED</v>
      </c>
      <c r="K29" s="2" t="b">
        <f t="shared" si="3"/>
        <v>1</v>
      </c>
    </row>
    <row r="30" spans="1:11" hidden="1">
      <c r="A30" s="2">
        <v>4500097457</v>
      </c>
      <c r="B30" s="2">
        <v>4500097457</v>
      </c>
      <c r="C30" s="2">
        <f>IFERROR(VLOOKUP(A30,'Outsourcing Details'!C:E,3,0),"PO not raised")</f>
        <v>0</v>
      </c>
      <c r="D30" s="37">
        <f>SUMIF('Outsourcing Details'!C:C,'PO Utilization'!B30,'Outsourcing Details'!L:L)</f>
        <v>36178</v>
      </c>
      <c r="E30" s="37">
        <f>SUMIF('Billing and Payment Details'!C:C,'PO Utilization'!B30,'Billing and Payment Details'!G:G)</f>
        <v>37987</v>
      </c>
      <c r="F30" s="37">
        <f t="shared" si="0"/>
        <v>1809</v>
      </c>
      <c r="G30" s="39">
        <f t="shared" si="1"/>
        <v>5.0002764110785559E-2</v>
      </c>
      <c r="H30" s="39" t="e">
        <f>VLOOKUP(B30,'PO Details'!F:J,5,0)</f>
        <v>#N/A</v>
      </c>
      <c r="I30" s="39" t="e">
        <f t="shared" si="2"/>
        <v>#N/A</v>
      </c>
      <c r="J30" s="2" t="str">
        <f>VLOOKUP(B30,'Outsourcing Details'!C:D,2,0)</f>
        <v>BUSYBOTS PRIVATE LIMITED</v>
      </c>
      <c r="K30" s="2" t="b">
        <f t="shared" si="3"/>
        <v>1</v>
      </c>
    </row>
    <row r="31" spans="1:11" hidden="1">
      <c r="A31" s="2">
        <v>4500097505</v>
      </c>
      <c r="B31" s="2">
        <v>4500097505</v>
      </c>
      <c r="C31" s="2">
        <f>IFERROR(VLOOKUP(A31,'Outsourcing Details'!C:E,3,0),"PO not raised")</f>
        <v>0</v>
      </c>
      <c r="D31" s="37">
        <f>SUMIF('Outsourcing Details'!C:C,'PO Utilization'!B31,'Outsourcing Details'!L:L)</f>
        <v>600000</v>
      </c>
      <c r="E31" s="37">
        <f>SUMIF('Billing and Payment Details'!C:C,'PO Utilization'!B31,'Billing and Payment Details'!G:G)</f>
        <v>630000</v>
      </c>
      <c r="F31" s="37">
        <f t="shared" si="0"/>
        <v>30000</v>
      </c>
      <c r="G31" s="39">
        <f t="shared" si="1"/>
        <v>0.05</v>
      </c>
      <c r="H31" s="39" t="e">
        <f>VLOOKUP(B31,'PO Details'!F:J,5,0)</f>
        <v>#N/A</v>
      </c>
      <c r="I31" s="39" t="e">
        <f t="shared" si="2"/>
        <v>#N/A</v>
      </c>
      <c r="J31" s="2" t="str">
        <f>VLOOKUP(B31,'Outsourcing Details'!C:D,2,0)</f>
        <v>BUSYBOTS PRIVATE LIMITED</v>
      </c>
      <c r="K31" s="2" t="b">
        <f t="shared" si="3"/>
        <v>1</v>
      </c>
    </row>
    <row r="32" spans="1:11" hidden="1">
      <c r="A32" s="2">
        <v>4500089309</v>
      </c>
      <c r="B32" s="2">
        <v>4500089309</v>
      </c>
      <c r="C32" s="2">
        <f>IFERROR(VLOOKUP(A32,'Outsourcing Details'!C:E,3,0),"PO not raised")</f>
        <v>0</v>
      </c>
      <c r="D32" s="37">
        <f>SUMIF('Outsourcing Details'!C:C,'PO Utilization'!B32,'Outsourcing Details'!L:L)</f>
        <v>1698647</v>
      </c>
      <c r="E32" s="37">
        <f>SUMIF('Billing and Payment Details'!C:C,'PO Utilization'!B32,'Billing and Payment Details'!G:G)</f>
        <v>1783582</v>
      </c>
      <c r="F32" s="37">
        <f t="shared" si="0"/>
        <v>84935</v>
      </c>
      <c r="G32" s="39">
        <f t="shared" si="1"/>
        <v>5.0001560065157741E-2</v>
      </c>
      <c r="H32" s="39" t="e">
        <f>VLOOKUP(B32,'PO Details'!F:J,5,0)</f>
        <v>#N/A</v>
      </c>
      <c r="I32" s="39" t="e">
        <f t="shared" si="2"/>
        <v>#N/A</v>
      </c>
      <c r="J32" s="2" t="str">
        <f>VLOOKUP(B32,'Outsourcing Details'!C:D,2,0)</f>
        <v>Highsky IT Solutions Private Limited</v>
      </c>
      <c r="K32" s="2" t="b">
        <f t="shared" si="3"/>
        <v>1</v>
      </c>
    </row>
    <row r="33" spans="1:16" hidden="1">
      <c r="A33" s="2">
        <v>4500093610</v>
      </c>
      <c r="B33" s="2">
        <v>4500093610</v>
      </c>
      <c r="C33" s="2">
        <f>IFERROR(VLOOKUP(A33,'Outsourcing Details'!C:E,3,0),"PO not raised")</f>
        <v>0</v>
      </c>
      <c r="D33" s="37">
        <f>SUMIF('Outsourcing Details'!C:C,'PO Utilization'!B33,'Outsourcing Details'!L:L)</f>
        <v>293143</v>
      </c>
      <c r="E33" s="37">
        <f>SUMIF('Billing and Payment Details'!C:C,'PO Utilization'!B33,'Billing and Payment Details'!G:G)</f>
        <v>307800</v>
      </c>
      <c r="F33" s="37">
        <f t="shared" si="0"/>
        <v>14657</v>
      </c>
      <c r="G33" s="39">
        <f t="shared" si="1"/>
        <v>4.9999488304342934E-2</v>
      </c>
      <c r="H33" s="39" t="e">
        <f>VLOOKUP(B33,'PO Details'!F:J,5,0)</f>
        <v>#N/A</v>
      </c>
      <c r="I33" s="39" t="e">
        <f t="shared" si="2"/>
        <v>#N/A</v>
      </c>
      <c r="J33" s="2" t="str">
        <f>VLOOKUP(B33,'Outsourcing Details'!C:D,2,0)</f>
        <v>Highsky IT Solutions Private Limited</v>
      </c>
      <c r="K33" s="2" t="b">
        <f t="shared" si="3"/>
        <v>1</v>
      </c>
    </row>
    <row r="34" spans="1:16" hidden="1">
      <c r="A34" s="2">
        <v>4500096896</v>
      </c>
      <c r="B34" s="2">
        <v>4500096896</v>
      </c>
      <c r="C34" s="2">
        <f>IFERROR(VLOOKUP(A34,'Outsourcing Details'!C:E,3,0),"PO not raised")</f>
        <v>0</v>
      </c>
      <c r="D34" s="37">
        <f>SUMIF('Outsourcing Details'!C:C,'PO Utilization'!B34,'Outsourcing Details'!L:L)</f>
        <v>513000.66000000003</v>
      </c>
      <c r="E34" s="37">
        <f>SUMIF('Billing and Payment Details'!C:C,'PO Utilization'!B34,'Billing and Payment Details'!G:G)</f>
        <v>538650</v>
      </c>
      <c r="F34" s="37">
        <f t="shared" si="0"/>
        <v>25649.339999999967</v>
      </c>
      <c r="G34" s="39">
        <f t="shared" si="1"/>
        <v>4.9998649124544922E-2</v>
      </c>
      <c r="H34" s="39" t="e">
        <f>VLOOKUP(B34,'PO Details'!F:J,5,0)</f>
        <v>#N/A</v>
      </c>
      <c r="I34" s="39" t="e">
        <f t="shared" si="2"/>
        <v>#N/A</v>
      </c>
      <c r="J34" s="2" t="str">
        <f>VLOOKUP(B34,'Outsourcing Details'!C:D,2,0)</f>
        <v>Highsky IT Solutions Private Limited</v>
      </c>
      <c r="K34" s="2" t="b">
        <f t="shared" si="3"/>
        <v>1</v>
      </c>
    </row>
    <row r="35" spans="1:16" hidden="1">
      <c r="A35" s="2">
        <v>4500090795</v>
      </c>
      <c r="B35" s="2">
        <v>4500090795</v>
      </c>
      <c r="C35" s="2">
        <f>IFERROR(VLOOKUP(A35,'Outsourcing Details'!C:E,3,0),"PO not raised")</f>
        <v>0</v>
      </c>
      <c r="D35" s="37">
        <f>SUMIF('Outsourcing Details'!C:C,'PO Utilization'!B35,'Outsourcing Details'!L:L)</f>
        <v>934346</v>
      </c>
      <c r="E35" s="37">
        <f>SUMIF('Billing and Payment Details'!C:C,'PO Utilization'!B35,'Billing and Payment Details'!G:G)</f>
        <v>981063</v>
      </c>
      <c r="F35" s="37">
        <f t="shared" si="0"/>
        <v>46717</v>
      </c>
      <c r="G35" s="39">
        <f t="shared" si="1"/>
        <v>4.9999678919800589E-2</v>
      </c>
      <c r="H35" s="39" t="e">
        <f>VLOOKUP(B35,'PO Details'!F:J,5,0)</f>
        <v>#N/A</v>
      </c>
      <c r="I35" s="39" t="e">
        <f t="shared" si="2"/>
        <v>#N/A</v>
      </c>
      <c r="J35" s="2" t="str">
        <f>VLOOKUP(B35,'Outsourcing Details'!C:D,2,0)</f>
        <v>Highsky IT Solutions Private Limited</v>
      </c>
      <c r="K35" s="2" t="b">
        <f t="shared" si="3"/>
        <v>1</v>
      </c>
    </row>
    <row r="36" spans="1:16" s="69" customFormat="1" hidden="1">
      <c r="A36" s="66" t="str">
        <v>4500096735-1</v>
      </c>
      <c r="B36" s="66" t="s">
        <v>255</v>
      </c>
      <c r="C36" s="66">
        <f>IFERROR(VLOOKUP(A36,'Outsourcing Details'!C:E,3,0),"PO not raised")</f>
        <v>0</v>
      </c>
      <c r="D36" s="67">
        <f>SUMIF('Outsourcing Details'!C:C,'PO Utilization'!B36,'Outsourcing Details'!L:L)</f>
        <v>344191</v>
      </c>
      <c r="E36" s="67">
        <f>SUMIF('Billing and Payment Details'!C:C,'PO Utilization'!B36,'Billing and Payment Details'!G:G)</f>
        <v>355082</v>
      </c>
      <c r="F36" s="67">
        <f t="shared" si="0"/>
        <v>10891</v>
      </c>
      <c r="G36" s="68">
        <f t="shared" si="1"/>
        <v>3.1642314877495345E-2</v>
      </c>
      <c r="H36" s="68" t="e">
        <f>VLOOKUP(B36,'PO Details'!F:J,5,0)</f>
        <v>#N/A</v>
      </c>
      <c r="I36" s="68" t="e">
        <f t="shared" si="2"/>
        <v>#N/A</v>
      </c>
      <c r="J36" s="66" t="str">
        <f>VLOOKUP(B36,'Outsourcing Details'!C:D,2,0)</f>
        <v>Highsky IT Solutions Private Limited</v>
      </c>
      <c r="K36" s="66" t="b">
        <f t="shared" si="3"/>
        <v>1</v>
      </c>
      <c r="L36" s="69" t="s">
        <v>566</v>
      </c>
    </row>
    <row r="37" spans="1:16" hidden="1">
      <c r="A37" s="66" t="str">
        <v>4500090771-1</v>
      </c>
      <c r="B37" s="66" t="s">
        <v>261</v>
      </c>
      <c r="C37" s="66">
        <f>IFERROR(VLOOKUP(A37,'Outsourcing Details'!C:E,3,0),"PO not raised")</f>
        <v>0</v>
      </c>
      <c r="D37" s="67">
        <f>SUMIF('Outsourcing Details'!C:C,'PO Utilization'!B37,'Outsourcing Details'!L:L)</f>
        <v>662015</v>
      </c>
      <c r="E37" s="67">
        <f>SUMIF('Billing and Payment Details'!C:C,'PO Utilization'!B37,'Billing and Payment Details'!G:G)</f>
        <v>695116</v>
      </c>
      <c r="F37" s="67">
        <f t="shared" si="0"/>
        <v>33101</v>
      </c>
      <c r="G37" s="68">
        <f t="shared" si="1"/>
        <v>5.000037763494785E-2</v>
      </c>
      <c r="H37" s="68" t="e">
        <f>VLOOKUP(B37,'PO Details'!F:J,5,0)</f>
        <v>#N/A</v>
      </c>
      <c r="I37" s="68" t="e">
        <f t="shared" si="2"/>
        <v>#N/A</v>
      </c>
      <c r="J37" s="66" t="str">
        <f>VLOOKUP(B37,'Outsourcing Details'!C:D,2,0)</f>
        <v>Highsky IT Solutions Private Limited</v>
      </c>
      <c r="K37" s="66" t="b">
        <f t="shared" si="3"/>
        <v>1</v>
      </c>
      <c r="L37" s="69" t="s">
        <v>566</v>
      </c>
    </row>
    <row r="38" spans="1:16" hidden="1">
      <c r="A38" s="70">
        <v>4500093849</v>
      </c>
      <c r="B38" s="85">
        <v>4500093849</v>
      </c>
      <c r="C38" s="70">
        <f>IFERROR(VLOOKUP(A38,'Outsourcing Details'!C:E,3,0),"PO not raised")</f>
        <v>0</v>
      </c>
      <c r="D38" s="55">
        <f>SUMIF('Outsourcing Details'!C:C,'PO Utilization'!B38,'Outsourcing Details'!L:L)</f>
        <v>379155</v>
      </c>
      <c r="E38" s="55">
        <f>SUMIF('Billing and Payment Details'!C:C,'PO Utilization'!B38,'Billing and Payment Details'!G:G)</f>
        <v>398112</v>
      </c>
      <c r="F38" s="55">
        <f t="shared" ref="F38:F40" si="4">E38-D38</f>
        <v>18957</v>
      </c>
      <c r="G38" s="71">
        <f t="shared" ref="G38:G40" si="5">F38/D38</f>
        <v>4.9998021917157888E-2</v>
      </c>
      <c r="H38" s="71" t="e">
        <f>VLOOKUP(B38,'PO Details'!F:J,5,0)</f>
        <v>#N/A</v>
      </c>
      <c r="I38" s="71" t="e">
        <f t="shared" ref="I38:I40" si="6">G38-H38</f>
        <v>#N/A</v>
      </c>
      <c r="J38" s="2" t="str">
        <f>VLOOKUP(B38,'Outsourcing Details'!C:D,2,0)</f>
        <v>Highsky IT Solutions Private Limited</v>
      </c>
      <c r="K38" s="2" t="b">
        <f t="shared" si="3"/>
        <v>1</v>
      </c>
      <c r="L38" s="69"/>
    </row>
    <row r="39" spans="1:16" hidden="1">
      <c r="A39" s="66" t="str">
        <v>4500094640-1</v>
      </c>
      <c r="B39" s="86" t="s">
        <v>276</v>
      </c>
      <c r="C39" s="66">
        <f>IFERROR(VLOOKUP(A39,'Outsourcing Details'!C:E,3,0),"PO not raised")</f>
        <v>0</v>
      </c>
      <c r="D39" s="67">
        <f>SUMIF('Outsourcing Details'!C:C,'PO Utilization'!B39,'Outsourcing Details'!L:L)</f>
        <v>252770</v>
      </c>
      <c r="E39" s="67">
        <f>SUMIF('Billing and Payment Details'!C:C,'PO Utilization'!B39,'Billing and Payment Details'!G:G)</f>
        <v>394861</v>
      </c>
      <c r="F39" s="67">
        <f t="shared" si="4"/>
        <v>142091</v>
      </c>
      <c r="G39" s="68">
        <f t="shared" si="5"/>
        <v>0.56213553823634133</v>
      </c>
      <c r="H39" s="68" t="e">
        <f>VLOOKUP(B39,'PO Details'!F:J,5,0)</f>
        <v>#N/A</v>
      </c>
      <c r="I39" s="68" t="e">
        <f t="shared" si="6"/>
        <v>#N/A</v>
      </c>
      <c r="J39" s="66" t="str">
        <f>VLOOKUP(B39,'Outsourcing Details'!C:D,2,0)</f>
        <v>Highsky IT Solutions Private Limited</v>
      </c>
      <c r="K39" s="66" t="b">
        <f t="shared" si="3"/>
        <v>1</v>
      </c>
      <c r="L39" s="69" t="s">
        <v>566</v>
      </c>
      <c r="P39" s="1" t="s">
        <v>647</v>
      </c>
    </row>
    <row r="40" spans="1:16" hidden="1">
      <c r="A40" s="2" t="str">
        <v>Duplicate Invoice for Oct'24 For Chandershekhar &amp; Shriniwas</v>
      </c>
      <c r="B40" s="53" t="s">
        <v>279</v>
      </c>
      <c r="C40" s="2">
        <f>IFERROR(VLOOKUP(A40,'Outsourcing Details'!C:E,3,0),"PO not raised")</f>
        <v>0</v>
      </c>
      <c r="D40" s="37">
        <f>SUMIF('Outsourcing Details'!C:C,'PO Utilization'!B40,'Outsourcing Details'!L:L)</f>
        <v>0</v>
      </c>
      <c r="E40" s="37">
        <f>SUMIF('Billing and Payment Details'!C:C,'PO Utilization'!B40,'Billing and Payment Details'!G:G)</f>
        <v>0</v>
      </c>
      <c r="F40" s="37">
        <f t="shared" si="4"/>
        <v>0</v>
      </c>
      <c r="G40" s="39" t="e">
        <f t="shared" si="5"/>
        <v>#DIV/0!</v>
      </c>
      <c r="H40" s="39" t="e">
        <f>VLOOKUP(B40,'PO Details'!F:J,5,0)</f>
        <v>#N/A</v>
      </c>
      <c r="I40" s="39" t="e">
        <f t="shared" si="6"/>
        <v>#DIV/0!</v>
      </c>
      <c r="J40" s="2" t="str">
        <f>VLOOKUP(B40,'Outsourcing Details'!C:D,2,0)</f>
        <v>Highsky IT Solutions Private Limited</v>
      </c>
      <c r="K40" s="2" t="b">
        <f t="shared" si="3"/>
        <v>1</v>
      </c>
    </row>
    <row r="41" spans="1:16" hidden="1">
      <c r="A41" s="2">
        <v>4500088398</v>
      </c>
      <c r="B41" s="78">
        <v>4500088398</v>
      </c>
      <c r="C41" s="2">
        <f>IFERROR(VLOOKUP(A41,'Outsourcing Details'!C:E,3,0),"PO not raised")</f>
        <v>0</v>
      </c>
      <c r="D41" s="37">
        <f>SUMIF('Outsourcing Details'!C:C,'PO Utilization'!B41,'Outsourcing Details'!L:L)</f>
        <v>2255979.2199999997</v>
      </c>
      <c r="E41" s="37">
        <f>SUMIF('Billing and Payment Details'!C:C,'PO Utilization'!B41,'Billing and Payment Details'!G:G)</f>
        <v>2986179.21</v>
      </c>
      <c r="F41" s="37">
        <f t="shared" ref="F41:F53" si="7">E41-D41</f>
        <v>730199.99000000022</v>
      </c>
      <c r="G41" s="39">
        <f t="shared" ref="G41:G53" si="8">F41/D41</f>
        <v>0.32367318968478809</v>
      </c>
      <c r="H41" s="39" t="e">
        <f>VLOOKUP(B41,'PO Details'!F:J,5,0)</f>
        <v>#N/A</v>
      </c>
      <c r="I41" s="39" t="e">
        <f t="shared" ref="I41:I53" si="9">G41-H41</f>
        <v>#N/A</v>
      </c>
      <c r="J41" s="2" t="str">
        <f>VLOOKUP(B41,'Outsourcing Details'!C:D,2,0)</f>
        <v>KAPARTHI CONSULTANCY SERVICES</v>
      </c>
      <c r="K41" s="2" t="b">
        <f t="shared" ref="K41:K61" si="10">A41=B41</f>
        <v>1</v>
      </c>
    </row>
    <row r="42" spans="1:16" hidden="1">
      <c r="A42" s="2">
        <v>4500088323</v>
      </c>
      <c r="B42" s="78">
        <v>4500088323</v>
      </c>
      <c r="C42" s="2">
        <f>IFERROR(VLOOKUP(A42,'Outsourcing Details'!C:E,3,0),"PO not raised")</f>
        <v>0</v>
      </c>
      <c r="D42" s="37">
        <f>SUMIF('Outsourcing Details'!C:C,'PO Utilization'!B42,'Outsourcing Details'!L:L)</f>
        <v>1863387</v>
      </c>
      <c r="E42" s="37">
        <f>SUMIF('Billing and Payment Details'!C:C,'PO Utilization'!B42,'Billing and Payment Details'!G:G)</f>
        <v>1339156.05</v>
      </c>
      <c r="F42" s="37">
        <f t="shared" si="7"/>
        <v>-524230.94999999995</v>
      </c>
      <c r="G42" s="39">
        <f t="shared" si="8"/>
        <v>-0.28133229973161772</v>
      </c>
      <c r="H42" s="39" t="e">
        <f>VLOOKUP(B42,'PO Details'!F:J,5,0)</f>
        <v>#N/A</v>
      </c>
      <c r="I42" s="39" t="e">
        <f t="shared" si="9"/>
        <v>#N/A</v>
      </c>
      <c r="J42" s="2" t="str">
        <f>VLOOKUP(B42,'Outsourcing Details'!C:D,2,0)</f>
        <v>KAPARTHI CONSULTANCY SERVICES</v>
      </c>
      <c r="K42" s="2" t="b">
        <f t="shared" si="10"/>
        <v>1</v>
      </c>
    </row>
    <row r="43" spans="1:16" hidden="1">
      <c r="A43" s="2">
        <v>4500089164</v>
      </c>
      <c r="B43" s="78">
        <v>4500089164</v>
      </c>
      <c r="C43" s="2">
        <f>IFERROR(VLOOKUP(A43,'Outsourcing Details'!C:E,3,0),"PO not raised")</f>
        <v>0</v>
      </c>
      <c r="D43" s="37">
        <f>SUMIF('Outsourcing Details'!C:C,'PO Utilization'!B43,'Outsourcing Details'!L:L)</f>
        <v>503822</v>
      </c>
      <c r="E43" s="37">
        <f>SUMIF('Billing and Payment Details'!C:C,'PO Utilization'!B43,'Billing and Payment Details'!G:G)</f>
        <v>529014</v>
      </c>
      <c r="F43" s="37">
        <f t="shared" si="7"/>
        <v>25192</v>
      </c>
      <c r="G43" s="39">
        <f t="shared" si="8"/>
        <v>5.0001786345177462E-2</v>
      </c>
      <c r="H43" s="39" t="e">
        <f>VLOOKUP(B43,'PO Details'!F:J,5,0)</f>
        <v>#N/A</v>
      </c>
      <c r="I43" s="39" t="e">
        <f t="shared" si="9"/>
        <v>#N/A</v>
      </c>
      <c r="J43" s="2" t="str">
        <f>VLOOKUP(B43,'Outsourcing Details'!C:D,2,0)</f>
        <v>KAPARTHI CONSULTANCY SERVICES</v>
      </c>
      <c r="K43" s="2" t="b">
        <f t="shared" si="10"/>
        <v>1</v>
      </c>
    </row>
    <row r="44" spans="1:16" hidden="1">
      <c r="A44" s="2">
        <v>4500089649</v>
      </c>
      <c r="B44" s="78">
        <v>4500089649</v>
      </c>
      <c r="C44" s="2">
        <f>IFERROR(VLOOKUP(A44,'Outsourcing Details'!C:E,3,0),"PO not raised")</f>
        <v>0</v>
      </c>
      <c r="D44" s="37">
        <f>SUMIF('Outsourcing Details'!C:C,'PO Utilization'!B44,'Outsourcing Details'!L:L)</f>
        <v>1145000</v>
      </c>
      <c r="E44" s="37">
        <f>SUMIF('Billing and Payment Details'!C:C,'PO Utilization'!B44,'Billing and Payment Details'!G:G)</f>
        <v>1142857</v>
      </c>
      <c r="F44" s="37">
        <f t="shared" si="7"/>
        <v>-2143</v>
      </c>
      <c r="G44" s="39">
        <f t="shared" si="8"/>
        <v>-1.8716157205240175E-3</v>
      </c>
      <c r="H44" s="39" t="e">
        <f>VLOOKUP(B44,'PO Details'!F:J,5,0)</f>
        <v>#N/A</v>
      </c>
      <c r="I44" s="39" t="e">
        <f t="shared" si="9"/>
        <v>#N/A</v>
      </c>
      <c r="J44" s="2" t="str">
        <f>VLOOKUP(B44,'Outsourcing Details'!C:D,2,0)</f>
        <v>KAPARTHI CONSULTANCY SERVICES</v>
      </c>
      <c r="K44" s="2" t="b">
        <f t="shared" si="10"/>
        <v>1</v>
      </c>
    </row>
    <row r="45" spans="1:16" hidden="1">
      <c r="A45" s="2">
        <v>4500088397</v>
      </c>
      <c r="B45" s="78">
        <v>4500088397</v>
      </c>
      <c r="C45" s="2">
        <f>IFERROR(VLOOKUP(A45,'Outsourcing Details'!C:E,3,0),"PO not raised")</f>
        <v>0</v>
      </c>
      <c r="D45" s="37">
        <f>SUMIF('Outsourcing Details'!C:C,'PO Utilization'!B45,'Outsourcing Details'!L:L)</f>
        <v>2289574</v>
      </c>
      <c r="E45" s="37">
        <f>SUMIF('Billing and Payment Details'!C:C,'PO Utilization'!B45,'Billing and Payment Details'!G:G)</f>
        <v>2907803</v>
      </c>
      <c r="F45" s="37">
        <f t="shared" si="7"/>
        <v>618229</v>
      </c>
      <c r="G45" s="39">
        <f t="shared" si="8"/>
        <v>0.27001922628401615</v>
      </c>
      <c r="H45" s="39" t="e">
        <f>VLOOKUP(B45,'PO Details'!F:J,5,0)</f>
        <v>#N/A</v>
      </c>
      <c r="I45" s="39" t="e">
        <f t="shared" si="9"/>
        <v>#N/A</v>
      </c>
      <c r="J45" s="2" t="str">
        <f>VLOOKUP(B45,'Outsourcing Details'!C:D,2,0)</f>
        <v>KAPARTHI CONSULTANCY SERVICES</v>
      </c>
      <c r="K45" s="2" t="b">
        <f t="shared" si="10"/>
        <v>1</v>
      </c>
    </row>
    <row r="46" spans="1:16" hidden="1">
      <c r="A46" s="2">
        <v>4500090699</v>
      </c>
      <c r="B46" s="78">
        <v>4500090699</v>
      </c>
      <c r="C46" s="2" t="str">
        <f>IFERROR(VLOOKUP(A46,'Outsourcing Details'!C:E,3,0),"PO not raised")</f>
        <v>PO not raised</v>
      </c>
      <c r="D46" s="37">
        <f>SUMIF('Outsourcing Details'!C:C,'PO Utilization'!B46,'Outsourcing Details'!L:L)</f>
        <v>0</v>
      </c>
      <c r="E46" s="37">
        <f>SUMIF('Billing and Payment Details'!C:C,'PO Utilization'!B46,'Billing and Payment Details'!G:G)</f>
        <v>57143</v>
      </c>
      <c r="F46" s="37">
        <f t="shared" si="7"/>
        <v>57143</v>
      </c>
      <c r="G46" s="39" t="e">
        <f t="shared" si="8"/>
        <v>#DIV/0!</v>
      </c>
      <c r="H46" s="39" t="e">
        <f>VLOOKUP(B46,'PO Details'!F:J,5,0)</f>
        <v>#N/A</v>
      </c>
      <c r="I46" s="39" t="e">
        <f t="shared" si="9"/>
        <v>#DIV/0!</v>
      </c>
      <c r="J46" s="2" t="e">
        <f>VLOOKUP(B46,'Outsourcing Details'!C:D,2,0)</f>
        <v>#N/A</v>
      </c>
      <c r="K46" s="2" t="b">
        <f t="shared" si="10"/>
        <v>1</v>
      </c>
    </row>
    <row r="47" spans="1:16" hidden="1">
      <c r="A47" s="2">
        <v>4500090771</v>
      </c>
      <c r="B47" s="78">
        <v>4500090771</v>
      </c>
      <c r="C47" s="2">
        <f>IFERROR(VLOOKUP(A47,'Outsourcing Details'!C:E,3,0),"PO not raised")</f>
        <v>0</v>
      </c>
      <c r="D47" s="37">
        <f>SUMIF('Outsourcing Details'!C:C,'PO Utilization'!B47,'Outsourcing Details'!L:L)</f>
        <v>341129</v>
      </c>
      <c r="E47" s="37">
        <f>SUMIF('Billing and Payment Details'!C:C,'PO Utilization'!B47,'Billing and Payment Details'!G:G)</f>
        <v>358185.45</v>
      </c>
      <c r="F47" s="37">
        <f t="shared" si="7"/>
        <v>17056.450000000012</v>
      </c>
      <c r="G47" s="39">
        <f t="shared" si="8"/>
        <v>5.0000000000000037E-2</v>
      </c>
      <c r="H47" s="39" t="e">
        <f>VLOOKUP(B47,'PO Details'!F:J,5,0)</f>
        <v>#N/A</v>
      </c>
      <c r="I47" s="39" t="e">
        <f t="shared" si="9"/>
        <v>#N/A</v>
      </c>
      <c r="J47" s="2" t="str">
        <f>VLOOKUP(B47,'Outsourcing Details'!C:D,2,0)</f>
        <v>KAPARTHI CONSULTANCY SERVICES</v>
      </c>
      <c r="K47" s="2" t="b">
        <f t="shared" si="10"/>
        <v>1</v>
      </c>
    </row>
    <row r="48" spans="1:16" hidden="1">
      <c r="A48" s="2">
        <v>4500094642</v>
      </c>
      <c r="B48" s="78">
        <v>4500094642</v>
      </c>
      <c r="C48" s="2">
        <f>IFERROR(VLOOKUP(A48,'Outsourcing Details'!C:E,3,0),"PO not raised")</f>
        <v>0</v>
      </c>
      <c r="D48" s="37">
        <f>SUMIF('Outsourcing Details'!C:C,'PO Utilization'!B48,'Outsourcing Details'!L:L)</f>
        <v>1900000</v>
      </c>
      <c r="E48" s="37">
        <f>SUMIF('Billing and Payment Details'!C:C,'PO Utilization'!B48,'Billing and Payment Details'!G:G)</f>
        <v>1365767</v>
      </c>
      <c r="F48" s="37">
        <f t="shared" si="7"/>
        <v>-534233</v>
      </c>
      <c r="G48" s="39">
        <f t="shared" si="8"/>
        <v>-0.28117526315789476</v>
      </c>
      <c r="H48" s="39" t="e">
        <f>VLOOKUP(B48,'PO Details'!F:J,5,0)</f>
        <v>#N/A</v>
      </c>
      <c r="I48" s="39" t="e">
        <f t="shared" si="9"/>
        <v>#N/A</v>
      </c>
      <c r="J48" s="2" t="str">
        <f>VLOOKUP(B48,'Outsourcing Details'!C:D,2,0)</f>
        <v>KAPARTHI CONSULTANCY SERVICES</v>
      </c>
      <c r="K48" s="2" t="b">
        <f t="shared" si="10"/>
        <v>1</v>
      </c>
    </row>
    <row r="49" spans="1:11" hidden="1">
      <c r="A49" s="2">
        <v>4500094602</v>
      </c>
      <c r="B49" s="78">
        <v>4500094602</v>
      </c>
      <c r="C49" s="2" t="str">
        <f>IFERROR(VLOOKUP(A49,'Outsourcing Details'!C:E,3,0),"PO not raised")</f>
        <v>PO not raised</v>
      </c>
      <c r="D49" s="37">
        <f>SUMIF('Outsourcing Details'!C:C,'PO Utilization'!B49,'Outsourcing Details'!L:L)</f>
        <v>0</v>
      </c>
      <c r="E49" s="37">
        <f>SUMIF('Billing and Payment Details'!C:C,'PO Utilization'!B49,'Billing and Payment Details'!G:G)</f>
        <v>415950</v>
      </c>
      <c r="F49" s="37">
        <f t="shared" si="7"/>
        <v>415950</v>
      </c>
      <c r="G49" s="39" t="e">
        <f t="shared" si="8"/>
        <v>#DIV/0!</v>
      </c>
      <c r="H49" s="39" t="e">
        <f>VLOOKUP(B49,'PO Details'!F:J,5,0)</f>
        <v>#N/A</v>
      </c>
      <c r="I49" s="39" t="e">
        <f t="shared" si="9"/>
        <v>#DIV/0!</v>
      </c>
      <c r="J49" s="2" t="e">
        <f>VLOOKUP(B49,'Outsourcing Details'!C:D,2,0)</f>
        <v>#N/A</v>
      </c>
      <c r="K49" s="2" t="b">
        <f t="shared" si="10"/>
        <v>1</v>
      </c>
    </row>
    <row r="50" spans="1:11" hidden="1">
      <c r="A50" s="2">
        <v>4500094640</v>
      </c>
      <c r="B50" s="78">
        <v>4500094640</v>
      </c>
      <c r="C50" s="2">
        <f>IFERROR(VLOOKUP(A50,'Outsourcing Details'!C:E,3,0),"PO not raised")</f>
        <v>0</v>
      </c>
      <c r="D50" s="37">
        <f>SUMIF('Outsourcing Details'!C:C,'PO Utilization'!B50,'Outsourcing Details'!L:L)</f>
        <v>1030000</v>
      </c>
      <c r="E50" s="37">
        <f>SUMIF('Billing and Payment Details'!C:C,'PO Utilization'!B50,'Billing and Payment Details'!G:G)</f>
        <v>746200</v>
      </c>
      <c r="F50" s="37">
        <f t="shared" si="7"/>
        <v>-283800</v>
      </c>
      <c r="G50" s="39">
        <f t="shared" si="8"/>
        <v>-0.27553398058252426</v>
      </c>
      <c r="H50" s="39" t="e">
        <f>VLOOKUP(B50,'PO Details'!F:J,5,0)</f>
        <v>#N/A</v>
      </c>
      <c r="I50" s="39" t="e">
        <f t="shared" si="9"/>
        <v>#N/A</v>
      </c>
      <c r="J50" s="2" t="str">
        <f>VLOOKUP(B50,'Outsourcing Details'!C:D,2,0)</f>
        <v>KAPARTHI CONSULTANCY SERVICES</v>
      </c>
      <c r="K50" s="2" t="b">
        <f t="shared" si="10"/>
        <v>1</v>
      </c>
    </row>
    <row r="51" spans="1:11" hidden="1">
      <c r="A51" s="2">
        <v>4500096735</v>
      </c>
      <c r="B51" s="2">
        <v>4500096735</v>
      </c>
      <c r="C51" s="2">
        <f>IFERROR(VLOOKUP(A51,'Outsourcing Details'!C:E,3,0),"PO not raised")</f>
        <v>0</v>
      </c>
      <c r="D51" s="37">
        <f>SUMIF('Outsourcing Details'!C:C,'PO Utilization'!B51,'Outsourcing Details'!L:L)</f>
        <v>870000</v>
      </c>
      <c r="E51" s="37">
        <f>SUMIF('Billing and Payment Details'!C:C,'PO Utilization'!B51,'Billing and Payment Details'!G:G)</f>
        <v>819679</v>
      </c>
      <c r="F51" s="37">
        <f t="shared" si="7"/>
        <v>-50321</v>
      </c>
      <c r="G51" s="39">
        <f t="shared" si="8"/>
        <v>-5.7840229885057472E-2</v>
      </c>
      <c r="H51" s="39" t="e">
        <f>VLOOKUP(B51,'PO Details'!F:J,5,0)</f>
        <v>#N/A</v>
      </c>
      <c r="I51" s="39" t="e">
        <f t="shared" si="9"/>
        <v>#N/A</v>
      </c>
      <c r="J51" s="2" t="str">
        <f>VLOOKUP(B51,'Outsourcing Details'!C:D,2,0)</f>
        <v>KAPARTHI CONSULTANCY SERVICES</v>
      </c>
      <c r="K51" s="2" t="b">
        <f t="shared" si="10"/>
        <v>1</v>
      </c>
    </row>
    <row r="52" spans="1:11" hidden="1">
      <c r="A52" s="2">
        <v>4500096736</v>
      </c>
      <c r="B52" s="2">
        <v>4500096736</v>
      </c>
      <c r="C52" s="2">
        <f>IFERROR(VLOOKUP(A52,'Outsourcing Details'!C:E,3,0),"PO not raised")</f>
        <v>0</v>
      </c>
      <c r="D52" s="37">
        <f>SUMIF('Outsourcing Details'!C:C,'PO Utilization'!B52,'Outsourcing Details'!L:L)</f>
        <v>1875000</v>
      </c>
      <c r="E52" s="37">
        <f>SUMIF('Billing and Payment Details'!C:C,'PO Utilization'!B52,'Billing and Payment Details'!G:G)</f>
        <v>1801607</v>
      </c>
      <c r="F52" s="37">
        <f t="shared" si="7"/>
        <v>-73393</v>
      </c>
      <c r="G52" s="39">
        <f t="shared" si="8"/>
        <v>-3.9142933333333331E-2</v>
      </c>
      <c r="H52" s="39" t="e">
        <f>VLOOKUP(B52,'PO Details'!F:J,5,0)</f>
        <v>#N/A</v>
      </c>
      <c r="I52" s="39" t="e">
        <f t="shared" si="9"/>
        <v>#N/A</v>
      </c>
      <c r="J52" s="2" t="str">
        <f>VLOOKUP(B52,'Outsourcing Details'!C:D,2,0)</f>
        <v>KAPARTHI CONSULTANCY SERVICES</v>
      </c>
      <c r="K52" s="2" t="b">
        <f t="shared" si="10"/>
        <v>1</v>
      </c>
    </row>
    <row r="53" spans="1:11" hidden="1">
      <c r="A53" s="2">
        <v>4500098208</v>
      </c>
      <c r="B53" s="2">
        <v>4500098208</v>
      </c>
      <c r="C53" s="2">
        <f>IFERROR(VLOOKUP(A53,'Outsourcing Details'!C:E,3,0),"PO not raised")</f>
        <v>0</v>
      </c>
      <c r="D53" s="37">
        <f>SUMIF('Outsourcing Details'!C:C,'PO Utilization'!B53,'Outsourcing Details'!L:L)</f>
        <v>648516</v>
      </c>
      <c r="E53" s="37">
        <f>SUMIF('Billing and Payment Details'!C:C,'PO Utilization'!B53,'Billing and Payment Details'!G:G)</f>
        <v>615343.75</v>
      </c>
      <c r="F53" s="37">
        <f t="shared" si="7"/>
        <v>-33172.25</v>
      </c>
      <c r="G53" s="39">
        <f t="shared" si="8"/>
        <v>-5.1151012465382506E-2</v>
      </c>
      <c r="H53" s="39" t="e">
        <f>VLOOKUP(B53,'PO Details'!F:J,5,0)</f>
        <v>#N/A</v>
      </c>
      <c r="I53" s="39" t="e">
        <f t="shared" si="9"/>
        <v>#N/A</v>
      </c>
      <c r="J53" s="2" t="str">
        <f>VLOOKUP(B53,'Outsourcing Details'!C:D,2,0)</f>
        <v>KAPARTHI CONSULTANCY SERVICES</v>
      </c>
      <c r="K53" s="2" t="b">
        <f t="shared" si="10"/>
        <v>1</v>
      </c>
    </row>
    <row r="54" spans="1:11" hidden="1">
      <c r="A54" s="2">
        <v>4500099372</v>
      </c>
      <c r="B54" s="2">
        <v>4500099372</v>
      </c>
      <c r="C54" s="2" t="str">
        <f>IFERROR(VLOOKUP(A54,'Outsourcing Details'!C:E,3,0),"PO not raised")</f>
        <v>CTPL/PO/25-26/139</v>
      </c>
      <c r="D54" s="37">
        <f>SUMIF('Outsourcing Details'!C:C,'PO Utilization'!B54,'Outsourcing Details'!L:L)</f>
        <v>731226</v>
      </c>
      <c r="E54" s="37">
        <f>SUMIF('Billing and Payment Details'!C:C,'PO Utilization'!B54,'Billing and Payment Details'!G:G)</f>
        <v>767787</v>
      </c>
      <c r="F54" s="37">
        <f t="shared" ref="F54:F59" si="11">E54-D54</f>
        <v>36561</v>
      </c>
      <c r="G54" s="39">
        <f t="shared" ref="G54:G59" si="12">F54/D54</f>
        <v>4.9999589730124479E-2</v>
      </c>
      <c r="H54" s="39">
        <f>VLOOKUP(B54,'PO Details'!F:J,5,0)</f>
        <v>0.05</v>
      </c>
      <c r="I54" s="39">
        <f t="shared" ref="I54:I59" si="13">G54-H54</f>
        <v>-4.1026987552400529E-7</v>
      </c>
      <c r="J54" s="2" t="str">
        <f>VLOOKUP(B54,'Outsourcing Details'!C:D,2,0)</f>
        <v>Highsky IT Solutions Private Limited</v>
      </c>
      <c r="K54" s="2" t="b">
        <f t="shared" si="10"/>
        <v>1</v>
      </c>
    </row>
    <row r="55" spans="1:11" hidden="1">
      <c r="A55" s="2">
        <v>4500100035</v>
      </c>
      <c r="B55" s="2">
        <v>4500100035</v>
      </c>
      <c r="C55" s="2" t="str">
        <f>IFERROR(VLOOKUP(A55,'Outsourcing Details'!C:E,3,0),"PO not raised")</f>
        <v>CTPL/PO/24-25/454</v>
      </c>
      <c r="D55" s="37">
        <f>SUMIF('Outsourcing Details'!C:C,'PO Utilization'!B55,'Outsourcing Details'!L:L)</f>
        <v>50000</v>
      </c>
      <c r="E55" s="37">
        <f>SUMIF('Billing and Payment Details'!C:C,'PO Utilization'!B55,'Billing and Payment Details'!G:G)</f>
        <v>50000</v>
      </c>
      <c r="F55" s="37">
        <f t="shared" si="11"/>
        <v>0</v>
      </c>
      <c r="G55" s="39">
        <f t="shared" si="12"/>
        <v>0</v>
      </c>
      <c r="H55" s="39">
        <f>VLOOKUP(B55,'PO Details'!F:J,5,0)</f>
        <v>0.05</v>
      </c>
      <c r="I55" s="39">
        <f t="shared" si="13"/>
        <v>-0.05</v>
      </c>
      <c r="J55" s="2" t="str">
        <f>VLOOKUP(B55,'Outsourcing Details'!C:D,2,0)</f>
        <v>Winnovation Education Services Pvt</v>
      </c>
      <c r="K55" s="2" t="b">
        <f t="shared" si="10"/>
        <v>1</v>
      </c>
    </row>
    <row r="56" spans="1:11" hidden="1">
      <c r="A56" s="2">
        <v>4500083044</v>
      </c>
      <c r="B56" s="2">
        <v>4500083044</v>
      </c>
      <c r="C56" s="2" t="str">
        <f>IFERROR(VLOOKUP(A56,'Outsourcing Details'!C:E,3,0),"PO not raised")</f>
        <v>Without PO-83044</v>
      </c>
      <c r="D56" s="37">
        <f>SUMIF('Outsourcing Details'!C:C,'PO Utilization'!B56,'Outsourcing Details'!L:L)</f>
        <v>325440</v>
      </c>
      <c r="E56" s="37">
        <f>SUMIF('Billing and Payment Details'!C:C,'PO Utilization'!B56,'Billing and Payment Details'!G:G)</f>
        <v>345986.14999999997</v>
      </c>
      <c r="F56" s="37">
        <f t="shared" si="11"/>
        <v>20546.149999999965</v>
      </c>
      <c r="G56" s="39">
        <f t="shared" si="12"/>
        <v>6.3133450098328311E-2</v>
      </c>
      <c r="H56" s="39">
        <f>VLOOKUP(B56,'PO Details'!F:J,5,0)</f>
        <v>0.05</v>
      </c>
      <c r="I56" s="39">
        <f t="shared" si="13"/>
        <v>1.3133450098328309E-2</v>
      </c>
      <c r="J56" s="2" t="str">
        <f>VLOOKUP(B56,'Outsourcing Details'!C:D,2,0)</f>
        <v>Cinesonic Audio Visual Pvt Ltd</v>
      </c>
      <c r="K56" s="2" t="b">
        <f t="shared" si="10"/>
        <v>1</v>
      </c>
    </row>
    <row r="57" spans="1:11" hidden="1">
      <c r="A57" s="2">
        <v>4500094598</v>
      </c>
      <c r="B57" s="2">
        <v>4500094598</v>
      </c>
      <c r="C57" s="2" t="str">
        <f>IFERROR(VLOOKUP(A57,'Outsourcing Details'!C:E,3,0),"PO not raised")</f>
        <v>Without PO-94598</v>
      </c>
      <c r="D57" s="37">
        <f>SUMIF('Outsourcing Details'!C:C,'PO Utilization'!B57,'Outsourcing Details'!L:L)</f>
        <v>433920</v>
      </c>
      <c r="E57" s="37">
        <f>SUMIF('Billing and Payment Details'!C:C,'PO Utilization'!B57,'Billing and Payment Details'!G:G)</f>
        <v>673920</v>
      </c>
      <c r="F57" s="37">
        <f t="shared" si="11"/>
        <v>240000</v>
      </c>
      <c r="G57" s="39">
        <f t="shared" si="12"/>
        <v>0.55309734513274333</v>
      </c>
      <c r="H57" s="39">
        <f>VLOOKUP(B57,'PO Details'!F:J,5,0)</f>
        <v>0.05</v>
      </c>
      <c r="I57" s="39">
        <f t="shared" si="13"/>
        <v>0.50309734513274329</v>
      </c>
      <c r="J57" s="2" t="str">
        <f>VLOOKUP(B57,'Outsourcing Details'!C:D,2,0)</f>
        <v>Cinesonic Audio Visual Pvt Ltd</v>
      </c>
      <c r="K57" s="2" t="b">
        <f t="shared" si="10"/>
        <v>1</v>
      </c>
    </row>
    <row r="58" spans="1:11" hidden="1">
      <c r="A58" s="2">
        <v>4500100039</v>
      </c>
      <c r="B58" s="2">
        <v>4500100039</v>
      </c>
      <c r="C58" s="2" t="str">
        <f>IFERROR(VLOOKUP(A58,'Outsourcing Details'!C:E,3,0),"PO not raised")</f>
        <v>CTPL/PO/25-26/160</v>
      </c>
      <c r="D58" s="37">
        <f>SUMIF('Outsourcing Details'!C:C,'PO Utilization'!B58,'Outsourcing Details'!L:L)</f>
        <v>591667</v>
      </c>
      <c r="E58" s="37">
        <f>SUMIF('Billing and Payment Details'!C:C,'PO Utilization'!B58,'Billing and Payment Details'!G:G)</f>
        <v>650833</v>
      </c>
      <c r="F58" s="37">
        <f t="shared" si="11"/>
        <v>59166</v>
      </c>
      <c r="G58" s="39">
        <f t="shared" si="12"/>
        <v>9.9998816902074988E-2</v>
      </c>
      <c r="H58" s="39">
        <f>VLOOKUP(B58,'PO Details'!F:J,5,0)</f>
        <v>0.1</v>
      </c>
      <c r="I58" s="39">
        <f t="shared" si="13"/>
        <v>-1.1830979250171403E-6</v>
      </c>
      <c r="J58" s="2" t="str">
        <f>VLOOKUP(B58,'Outsourcing Details'!C:D,2,0)</f>
        <v>Abhiyanta India Solution Private Limited</v>
      </c>
      <c r="K58" s="2" t="b">
        <f t="shared" si="10"/>
        <v>1</v>
      </c>
    </row>
    <row r="59" spans="1:11" hidden="1">
      <c r="A59" s="2">
        <v>4500100130</v>
      </c>
      <c r="B59" s="158">
        <v>4500100130</v>
      </c>
      <c r="C59" s="2" t="str">
        <f>IFERROR(VLOOKUP(A59,'Outsourcing Details'!C:E,3,0),"PO not raised")</f>
        <v>CTPL/PO/25-26/179</v>
      </c>
      <c r="D59" s="37">
        <f>SUMIF('Outsourcing Details'!C:C,'PO Utilization'!B59,'Outsourcing Details'!L:L)</f>
        <v>80952.38</v>
      </c>
      <c r="E59" s="37">
        <f>SUMIF('Billing and Payment Details'!C:C,'PO Utilization'!B59,'Billing and Payment Details'!G:G)</f>
        <v>85000</v>
      </c>
      <c r="F59" s="37">
        <f t="shared" si="11"/>
        <v>4047.6199999999953</v>
      </c>
      <c r="G59" s="39">
        <f t="shared" si="12"/>
        <v>5.0000012352941263E-2</v>
      </c>
      <c r="H59" s="39">
        <f>VLOOKUP(B59,'PO Details'!F:J,5,0)</f>
        <v>0.05</v>
      </c>
      <c r="I59" s="39">
        <f t="shared" si="13"/>
        <v>1.2352941260174166E-8</v>
      </c>
      <c r="J59" s="2" t="str">
        <f>VLOOKUP(B59,'Outsourcing Details'!C:D,2,0)</f>
        <v>AUROPRO SOFT SYSTEMS PVT LTD</v>
      </c>
      <c r="K59" s="2" t="b">
        <f t="shared" si="10"/>
        <v>1</v>
      </c>
    </row>
    <row r="60" spans="1:11" hidden="1">
      <c r="A60" s="2">
        <v>4500100034</v>
      </c>
      <c r="B60" s="161">
        <v>4500100034</v>
      </c>
      <c r="C60" s="2" t="str">
        <f>IFERROR(VLOOKUP(A60,'Outsourcing Details'!C:E,3,0),"PO not raised")</f>
        <v>CTPL/PO/25-26/158</v>
      </c>
      <c r="D60" s="37">
        <f>SUMIF('Outsourcing Details'!C:C,'PO Utilization'!B60,'Outsourcing Details'!L:L)</f>
        <v>102600</v>
      </c>
      <c r="E60" s="37">
        <f>SUMIF('Billing and Payment Details'!C:C,'PO Utilization'!B60,'Billing and Payment Details'!G:G)</f>
        <v>108000</v>
      </c>
      <c r="F60" s="37">
        <f t="shared" ref="F60:F61" si="14">E60-D60</f>
        <v>5400</v>
      </c>
      <c r="G60" s="39">
        <f t="shared" ref="G60:G61" si="15">F60/D60</f>
        <v>5.2631578947368418E-2</v>
      </c>
      <c r="H60" s="39">
        <f>VLOOKUP(B60,'PO Details'!F:J,5,0)</f>
        <v>0.05</v>
      </c>
      <c r="I60" s="39">
        <f t="shared" ref="I60:I61" si="16">G60-H60</f>
        <v>2.6315789473684154E-3</v>
      </c>
      <c r="J60" s="2" t="str">
        <f>VLOOKUP(B60,'Outsourcing Details'!C:D,2,0)</f>
        <v>BCT Consulting Private Limited</v>
      </c>
      <c r="K60" s="2" t="b">
        <f t="shared" si="10"/>
        <v>1</v>
      </c>
    </row>
    <row r="61" spans="1:11" hidden="1">
      <c r="A61" s="2">
        <v>4500100033</v>
      </c>
      <c r="B61" s="162">
        <v>4500100033</v>
      </c>
      <c r="C61" s="2" t="str">
        <f>IFERROR(VLOOKUP(A61,'Outsourcing Details'!C:E,3,0),"PO not raised")</f>
        <v>CTPL/PO/25-26/159</v>
      </c>
      <c r="D61" s="37">
        <f>SUMIF('Outsourcing Details'!C:C,'PO Utilization'!B61,'Outsourcing Details'!L:L)</f>
        <v>85500</v>
      </c>
      <c r="E61" s="37">
        <f>SUMIF('Billing and Payment Details'!C:C,'PO Utilization'!B61,'Billing and Payment Details'!G:G)</f>
        <v>90000</v>
      </c>
      <c r="F61" s="37">
        <f t="shared" si="14"/>
        <v>4500</v>
      </c>
      <c r="G61" s="39">
        <f t="shared" si="15"/>
        <v>5.2631578947368418E-2</v>
      </c>
      <c r="H61" s="39">
        <f>VLOOKUP(B61,'PO Details'!F:J,5,0)</f>
        <v>0.05</v>
      </c>
      <c r="I61" s="39">
        <f t="shared" si="16"/>
        <v>2.6315789473684154E-3</v>
      </c>
      <c r="J61" s="2" t="str">
        <f>VLOOKUP(B61,'Outsourcing Details'!C:D,2,0)</f>
        <v>BCT Consulting Private Limited</v>
      </c>
      <c r="K61" s="2" t="b">
        <f t="shared" si="10"/>
        <v>1</v>
      </c>
    </row>
    <row r="62" spans="1:11" hidden="1">
      <c r="A62" s="2">
        <v>4500100177</v>
      </c>
      <c r="B62" s="2">
        <v>4500100177</v>
      </c>
      <c r="C62" s="2" t="str">
        <f>IFERROR(VLOOKUP(A62,'Outsourcing Details'!C:E,3,0),"PO not raised")</f>
        <v>CTPL/PO/25-26/206</v>
      </c>
      <c r="D62" s="37">
        <f>SUMIF('Outsourcing Details'!C:C,'PO Utilization'!B62,'Outsourcing Details'!L:L)</f>
        <v>617499</v>
      </c>
      <c r="E62" s="37">
        <f>SUMIF('Billing and Payment Details'!C:C,'PO Utilization'!B62,'Billing and Payment Details'!G:G)</f>
        <v>648375</v>
      </c>
      <c r="F62" s="37">
        <f t="shared" ref="F62" si="17">E62-D62</f>
        <v>30876</v>
      </c>
      <c r="G62" s="39">
        <f t="shared" ref="G62" si="18">F62/D62</f>
        <v>5.0001700407611996E-2</v>
      </c>
      <c r="H62" s="39">
        <f>VLOOKUP(B62,'PO Details'!F:J,5,0)</f>
        <v>0.05</v>
      </c>
      <c r="I62" s="39">
        <f t="shared" ref="I62" si="19">G62-H62</f>
        <v>1.7004076119930822E-6</v>
      </c>
      <c r="J62" s="2" t="str">
        <f>VLOOKUP(B62,'Outsourcing Details'!C:D,2,0)</f>
        <v>ITSHRI SOLUTION LLP</v>
      </c>
      <c r="K62" s="2" t="b">
        <f t="shared" ref="K62" si="20">A62=B62</f>
        <v>1</v>
      </c>
    </row>
    <row r="63" spans="1:11" hidden="1">
      <c r="A63" s="2">
        <v>4500100053</v>
      </c>
      <c r="B63" s="2">
        <v>4500100053</v>
      </c>
      <c r="C63" s="2" t="str">
        <f>IFERROR(VLOOKUP(A63,'Outsourcing Details'!C:E,3,0),"PO not raised")</f>
        <v>CTPL/PO/25-26/161</v>
      </c>
      <c r="D63" s="37">
        <f>SUMIF('Outsourcing Details'!C:C,'PO Utilization'!B63,'Outsourcing Details'!L:L)</f>
        <v>90173</v>
      </c>
      <c r="E63" s="37">
        <f>SUMIF('Billing and Payment Details'!C:C,'PO Utilization'!B63,'Billing and Payment Details'!G:G)</f>
        <v>94681.65</v>
      </c>
      <c r="F63" s="37">
        <f t="shared" ref="F63" si="21">E63-D63</f>
        <v>4508.6499999999942</v>
      </c>
      <c r="G63" s="39">
        <f t="shared" ref="G63" si="22">F63/D63</f>
        <v>4.9999999999999933E-2</v>
      </c>
      <c r="H63" s="39">
        <f>VLOOKUP(B63,'PO Details'!F:J,5,0)</f>
        <v>0.05</v>
      </c>
      <c r="I63" s="39">
        <f t="shared" ref="I63" si="23">G63-H63</f>
        <v>-6.9388939039072284E-17</v>
      </c>
      <c r="J63" s="2" t="str">
        <f>VLOOKUP(B63,'Outsourcing Details'!C:D,2,0)</f>
        <v>VRATA TECH SOLUTIONS PRIVATE LIMITED</v>
      </c>
      <c r="K63" s="2" t="b">
        <f t="shared" ref="K63" si="24">A63=B63</f>
        <v>1</v>
      </c>
    </row>
    <row r="64" spans="1:11" hidden="1">
      <c r="A64" s="2"/>
      <c r="B64" s="2"/>
      <c r="C64" s="2"/>
      <c r="D64" s="37"/>
      <c r="E64" s="37"/>
      <c r="F64" s="37"/>
      <c r="G64" s="2"/>
      <c r="H64" s="39"/>
      <c r="I64" s="2"/>
      <c r="J64" s="2"/>
      <c r="K64" s="2"/>
    </row>
    <row r="65" spans="1:11" hidden="1">
      <c r="A65" s="2"/>
      <c r="B65" s="2"/>
      <c r="C65" s="2"/>
      <c r="D65" s="37"/>
      <c r="E65" s="37"/>
      <c r="F65" s="37"/>
      <c r="G65" s="2"/>
      <c r="H65" s="39"/>
      <c r="I65" s="2"/>
      <c r="J65" s="2"/>
      <c r="K65" s="2"/>
    </row>
    <row r="66" spans="1:11" hidden="1">
      <c r="A66" s="2"/>
      <c r="B66" s="2"/>
      <c r="C66" s="2"/>
      <c r="D66" s="37"/>
      <c r="E66" s="37"/>
      <c r="F66" s="37"/>
      <c r="G66" s="2"/>
      <c r="H66" s="39"/>
      <c r="I66" s="2"/>
      <c r="J66" s="2"/>
      <c r="K66" s="2"/>
    </row>
    <row r="67" spans="1:11" hidden="1">
      <c r="A67" s="2"/>
      <c r="B67" s="2"/>
      <c r="C67" s="2"/>
      <c r="D67" s="37"/>
      <c r="E67" s="37"/>
      <c r="F67" s="37"/>
      <c r="G67" s="2"/>
      <c r="H67" s="39"/>
      <c r="I67" s="2"/>
      <c r="J67" s="2"/>
      <c r="K67" s="2"/>
    </row>
    <row r="68" spans="1:11" hidden="1">
      <c r="A68" s="2"/>
      <c r="B68" s="2"/>
      <c r="C68" s="2"/>
      <c r="D68" s="37"/>
      <c r="E68" s="37"/>
      <c r="F68" s="37"/>
      <c r="G68" s="2"/>
      <c r="H68" s="39"/>
      <c r="I68" s="2"/>
      <c r="J68" s="2"/>
      <c r="K68" s="2"/>
    </row>
    <row r="69" spans="1:11" hidden="1">
      <c r="A69" s="2"/>
      <c r="B69" s="2"/>
      <c r="C69" s="2"/>
      <c r="D69" s="37"/>
      <c r="E69" s="37"/>
      <c r="F69" s="37"/>
      <c r="G69" s="2"/>
      <c r="H69" s="39"/>
      <c r="I69" s="2"/>
      <c r="J69" s="2"/>
      <c r="K69" s="2"/>
    </row>
    <row r="70" spans="1:11" hidden="1">
      <c r="A70" s="2"/>
      <c r="B70" s="2"/>
      <c r="C70" s="2"/>
      <c r="D70" s="37"/>
      <c r="E70" s="37"/>
      <c r="F70" s="37"/>
      <c r="G70" s="2"/>
      <c r="H70" s="39"/>
      <c r="I70" s="2"/>
      <c r="J70" s="2"/>
      <c r="K70" s="2"/>
    </row>
    <row r="71" spans="1:11" hidden="1">
      <c r="A71" s="2"/>
      <c r="B71" s="2"/>
      <c r="C71" s="2"/>
      <c r="D71" s="37"/>
      <c r="E71" s="37"/>
      <c r="F71" s="37"/>
      <c r="G71" s="2"/>
      <c r="H71" s="39"/>
      <c r="I71" s="2"/>
      <c r="J71" s="2"/>
      <c r="K71" s="2"/>
    </row>
    <row r="72" spans="1:11" hidden="1">
      <c r="A72" s="2"/>
      <c r="B72" s="2"/>
      <c r="C72" s="2"/>
      <c r="D72" s="37"/>
      <c r="E72" s="37"/>
      <c r="F72" s="37"/>
      <c r="G72" s="2"/>
      <c r="H72" s="39"/>
      <c r="I72" s="2"/>
      <c r="J72" s="2"/>
      <c r="K72" s="2"/>
    </row>
    <row r="73" spans="1:11" hidden="1">
      <c r="A73" s="2"/>
      <c r="B73" s="2"/>
      <c r="C73" s="2"/>
      <c r="D73" s="37"/>
      <c r="E73" s="37"/>
      <c r="F73" s="37"/>
      <c r="G73" s="2"/>
      <c r="H73" s="39"/>
      <c r="I73" s="2"/>
      <c r="J73" s="2"/>
      <c r="K73" s="2"/>
    </row>
    <row r="74" spans="1:11" hidden="1">
      <c r="A74" s="2"/>
      <c r="B74" s="2"/>
      <c r="C74" s="2"/>
      <c r="D74" s="37"/>
      <c r="E74" s="37"/>
      <c r="F74" s="37"/>
      <c r="G74" s="2"/>
      <c r="H74" s="39"/>
      <c r="I74" s="2"/>
      <c r="J74" s="2"/>
      <c r="K74" s="2"/>
    </row>
    <row r="75" spans="1:11" hidden="1">
      <c r="A75" s="2"/>
      <c r="B75" s="2"/>
      <c r="C75" s="2"/>
      <c r="D75" s="37"/>
      <c r="E75" s="37"/>
      <c r="F75" s="37"/>
      <c r="G75" s="2"/>
      <c r="H75" s="39"/>
      <c r="I75" s="2"/>
      <c r="J75" s="2"/>
      <c r="K75" s="2"/>
    </row>
    <row r="76" spans="1:11" hidden="1">
      <c r="A76" s="2"/>
      <c r="B76" s="2"/>
      <c r="C76" s="2"/>
      <c r="D76" s="37"/>
      <c r="E76" s="37"/>
      <c r="F76" s="37"/>
      <c r="G76" s="2"/>
      <c r="H76" s="39"/>
      <c r="I76" s="2"/>
      <c r="J76" s="2"/>
      <c r="K76" s="2"/>
    </row>
    <row r="77" spans="1:11" hidden="1">
      <c r="A77" s="2"/>
      <c r="B77" s="2"/>
      <c r="C77" s="2"/>
      <c r="D77" s="37"/>
      <c r="E77" s="37"/>
      <c r="F77" s="37"/>
      <c r="G77" s="2"/>
      <c r="H77" s="39"/>
      <c r="I77" s="2"/>
      <c r="J77" s="2"/>
      <c r="K77" s="2"/>
    </row>
    <row r="78" spans="1:11" hidden="1">
      <c r="A78" s="2"/>
      <c r="B78" s="2"/>
      <c r="C78" s="2"/>
      <c r="D78" s="37"/>
      <c r="E78" s="37"/>
      <c r="F78" s="37"/>
      <c r="G78" s="2"/>
      <c r="H78" s="39"/>
      <c r="I78" s="2"/>
      <c r="J78" s="2"/>
      <c r="K78" s="2"/>
    </row>
    <row r="79" spans="1:11" hidden="1">
      <c r="A79" s="2"/>
      <c r="B79" s="2"/>
      <c r="C79" s="2"/>
      <c r="D79" s="37"/>
      <c r="E79" s="37"/>
      <c r="F79" s="37"/>
      <c r="G79" s="2"/>
      <c r="H79" s="39"/>
      <c r="I79" s="2"/>
      <c r="J79" s="2"/>
      <c r="K79" s="2"/>
    </row>
    <row r="80" spans="1:11" hidden="1">
      <c r="A80" s="2"/>
      <c r="B80" s="2"/>
      <c r="C80" s="2"/>
      <c r="D80" s="37"/>
      <c r="E80" s="37"/>
      <c r="F80" s="37"/>
      <c r="G80" s="2"/>
      <c r="H80" s="39"/>
      <c r="I80" s="2"/>
      <c r="J80" s="2"/>
      <c r="K80" s="2"/>
    </row>
    <row r="81" spans="1:11" hidden="1">
      <c r="A81" s="2"/>
      <c r="B81" s="2"/>
      <c r="C81" s="2"/>
      <c r="D81" s="37"/>
      <c r="E81" s="37"/>
      <c r="F81" s="37"/>
      <c r="G81" s="2"/>
      <c r="H81" s="39"/>
      <c r="I81" s="2"/>
      <c r="J81" s="2"/>
      <c r="K81" s="2"/>
    </row>
    <row r="82" spans="1:11" hidden="1">
      <c r="A82" s="2"/>
      <c r="B82" s="2"/>
      <c r="C82" s="2"/>
      <c r="D82" s="37"/>
      <c r="E82" s="37"/>
      <c r="F82" s="37"/>
      <c r="G82" s="2"/>
      <c r="H82" s="39"/>
      <c r="I82" s="2"/>
      <c r="J82" s="2"/>
      <c r="K82" s="2"/>
    </row>
    <row r="83" spans="1:11" hidden="1">
      <c r="A83" s="2"/>
      <c r="B83" s="2"/>
      <c r="C83" s="2"/>
      <c r="D83" s="37"/>
      <c r="E83" s="37"/>
      <c r="F83" s="37"/>
      <c r="G83" s="2"/>
      <c r="H83" s="39"/>
      <c r="I83" s="2"/>
      <c r="J83" s="2"/>
      <c r="K83" s="2"/>
    </row>
    <row r="84" spans="1:11" hidden="1">
      <c r="A84" s="2"/>
      <c r="B84" s="2"/>
      <c r="C84" s="2"/>
      <c r="D84" s="37"/>
      <c r="E84" s="37"/>
      <c r="F84" s="37"/>
      <c r="G84" s="2"/>
      <c r="H84" s="39"/>
      <c r="I84" s="2"/>
      <c r="J84" s="2"/>
      <c r="K84" s="2"/>
    </row>
    <row r="85" spans="1:11" hidden="1">
      <c r="A85" s="2"/>
      <c r="B85" s="2"/>
      <c r="C85" s="2"/>
      <c r="D85" s="37"/>
      <c r="E85" s="37"/>
      <c r="F85" s="37"/>
      <c r="G85" s="2"/>
      <c r="H85" s="39"/>
      <c r="I85" s="2"/>
      <c r="J85" s="2"/>
      <c r="K85" s="2"/>
    </row>
    <row r="86" spans="1:11" hidden="1">
      <c r="A86" s="2"/>
      <c r="B86" s="2"/>
      <c r="C86" s="2"/>
      <c r="D86" s="37"/>
      <c r="E86" s="37"/>
      <c r="F86" s="37"/>
      <c r="G86" s="2"/>
      <c r="H86" s="39"/>
      <c r="I86" s="2"/>
      <c r="J86" s="2"/>
      <c r="K86" s="2"/>
    </row>
    <row r="87" spans="1:11" hidden="1">
      <c r="A87" s="2"/>
      <c r="B87" s="2"/>
      <c r="C87" s="2"/>
      <c r="D87" s="37"/>
      <c r="E87" s="37"/>
      <c r="F87" s="37"/>
      <c r="G87" s="2"/>
      <c r="H87" s="39"/>
      <c r="I87" s="2"/>
      <c r="J87" s="2"/>
      <c r="K87" s="2"/>
    </row>
    <row r="88" spans="1:11" hidden="1">
      <c r="A88" s="2"/>
      <c r="B88" s="2"/>
      <c r="C88" s="2"/>
      <c r="D88" s="37"/>
      <c r="E88" s="37"/>
      <c r="F88" s="37"/>
      <c r="G88" s="2"/>
      <c r="H88" s="39"/>
      <c r="I88" s="2"/>
      <c r="J88" s="2"/>
      <c r="K88" s="2"/>
    </row>
    <row r="89" spans="1:11" hidden="1">
      <c r="A89" s="2"/>
      <c r="B89" s="2"/>
      <c r="C89" s="2"/>
      <c r="D89" s="37"/>
      <c r="E89" s="37"/>
      <c r="F89" s="37"/>
      <c r="G89" s="2"/>
      <c r="H89" s="39"/>
      <c r="I89" s="2"/>
      <c r="J89" s="2"/>
      <c r="K89" s="2"/>
    </row>
    <row r="90" spans="1:11" hidden="1">
      <c r="A90" s="2"/>
      <c r="B90" s="2"/>
      <c r="C90" s="2"/>
      <c r="D90" s="37"/>
      <c r="E90" s="37"/>
      <c r="F90" s="37"/>
      <c r="G90" s="2"/>
      <c r="H90" s="39"/>
      <c r="I90" s="2"/>
      <c r="J90" s="2"/>
      <c r="K90" s="2"/>
    </row>
    <row r="91" spans="1:11" hidden="1">
      <c r="A91" s="2"/>
      <c r="B91" s="2"/>
      <c r="C91" s="2"/>
      <c r="D91" s="37"/>
      <c r="E91" s="37"/>
      <c r="F91" s="37"/>
      <c r="G91" s="2"/>
      <c r="H91" s="39"/>
      <c r="I91" s="2"/>
      <c r="J91" s="2"/>
      <c r="K91" s="2"/>
    </row>
    <row r="92" spans="1:11" hidden="1">
      <c r="A92" s="2"/>
      <c r="B92" s="2"/>
      <c r="C92" s="2"/>
      <c r="D92" s="37"/>
      <c r="E92" s="37"/>
      <c r="F92" s="37"/>
      <c r="G92" s="2"/>
      <c r="H92" s="39"/>
      <c r="I92" s="2"/>
      <c r="J92" s="2"/>
      <c r="K92" s="2"/>
    </row>
    <row r="93" spans="1:11" hidden="1">
      <c r="A93" s="2"/>
      <c r="B93" s="2"/>
      <c r="C93" s="2"/>
      <c r="D93" s="37"/>
      <c r="E93" s="37"/>
      <c r="F93" s="37"/>
      <c r="G93" s="2"/>
      <c r="H93" s="39"/>
      <c r="I93" s="2"/>
      <c r="J93" s="2"/>
      <c r="K93" s="2"/>
    </row>
    <row r="94" spans="1:11">
      <c r="A94" s="2"/>
      <c r="B94" s="2"/>
      <c r="C94" s="2"/>
      <c r="D94" s="37"/>
      <c r="E94" s="37"/>
      <c r="F94" s="37"/>
      <c r="G94" s="2"/>
      <c r="H94" s="39"/>
      <c r="I94" s="2"/>
      <c r="J94" s="2"/>
      <c r="K94" s="2"/>
    </row>
    <row r="95" spans="1:11">
      <c r="A95" s="2"/>
      <c r="B95" s="2"/>
      <c r="C95" s="2"/>
      <c r="D95" s="37"/>
      <c r="E95" s="37"/>
      <c r="F95" s="37"/>
      <c r="G95" s="2"/>
      <c r="H95" s="39"/>
      <c r="I95" s="2"/>
      <c r="J95" s="2"/>
      <c r="K95" s="2"/>
    </row>
    <row r="96" spans="1:11">
      <c r="A96" s="2"/>
      <c r="B96" s="2"/>
      <c r="C96" s="2"/>
      <c r="D96" s="37"/>
      <c r="E96" s="37"/>
      <c r="F96" s="37"/>
      <c r="G96" s="2"/>
      <c r="H96" s="39"/>
      <c r="I96" s="2"/>
      <c r="J96" s="2"/>
      <c r="K96" s="2"/>
    </row>
    <row r="97" spans="1:11">
      <c r="A97" s="2"/>
      <c r="B97" s="2"/>
      <c r="C97" s="2"/>
      <c r="D97" s="37"/>
      <c r="E97" s="37"/>
      <c r="F97" s="37"/>
      <c r="G97" s="2"/>
      <c r="H97" s="39"/>
      <c r="I97" s="2"/>
      <c r="J97" s="2"/>
      <c r="K97" s="2"/>
    </row>
    <row r="98" spans="1:11">
      <c r="A98" s="2"/>
      <c r="B98" s="2"/>
      <c r="C98" s="2"/>
      <c r="D98" s="37"/>
      <c r="E98" s="37"/>
      <c r="F98" s="37"/>
      <c r="G98" s="2"/>
      <c r="H98" s="39"/>
      <c r="I98" s="2"/>
      <c r="J98" s="2"/>
      <c r="K98" s="2"/>
    </row>
    <row r="99" spans="1:11">
      <c r="A99" s="2"/>
      <c r="B99" s="2"/>
      <c r="C99" s="2"/>
      <c r="D99" s="37"/>
      <c r="E99" s="37"/>
      <c r="F99" s="37"/>
      <c r="G99" s="2"/>
      <c r="H99" s="39"/>
      <c r="I99" s="2"/>
      <c r="J99" s="2"/>
      <c r="K99" s="2"/>
    </row>
    <row r="100" spans="1:11">
      <c r="A100" s="2"/>
      <c r="B100" s="2"/>
      <c r="C100" s="2"/>
      <c r="D100" s="37"/>
      <c r="E100" s="37"/>
      <c r="F100" s="37"/>
      <c r="G100" s="2"/>
      <c r="H100" s="39"/>
      <c r="I100" s="2"/>
      <c r="J100" s="2"/>
      <c r="K100" s="2"/>
    </row>
    <row r="101" spans="1:11">
      <c r="A101" s="2"/>
      <c r="B101" s="2"/>
      <c r="C101" s="2"/>
      <c r="D101" s="37"/>
      <c r="E101" s="37"/>
      <c r="F101" s="37"/>
      <c r="G101" s="2"/>
      <c r="H101" s="39"/>
      <c r="I101" s="2"/>
      <c r="J101" s="2"/>
      <c r="K101" s="2"/>
    </row>
    <row r="102" spans="1:11">
      <c r="A102" s="2"/>
      <c r="B102" s="2"/>
      <c r="C102" s="2"/>
      <c r="D102" s="37"/>
      <c r="E102" s="37"/>
      <c r="F102" s="37"/>
      <c r="G102" s="2"/>
      <c r="H102" s="39"/>
      <c r="I102" s="2"/>
      <c r="J102" s="2"/>
      <c r="K102" s="2"/>
    </row>
    <row r="103" spans="1:11">
      <c r="A103" s="2"/>
      <c r="B103" s="2"/>
      <c r="C103" s="2"/>
      <c r="D103" s="37"/>
      <c r="E103" s="37"/>
      <c r="F103" s="37"/>
      <c r="G103" s="2"/>
      <c r="H103" s="39"/>
      <c r="I103" s="2"/>
      <c r="J103" s="2"/>
      <c r="K103" s="2"/>
    </row>
    <row r="104" spans="1:11">
      <c r="A104" s="2"/>
      <c r="B104" s="2"/>
      <c r="C104" s="2"/>
      <c r="D104" s="37"/>
      <c r="E104" s="37"/>
      <c r="F104" s="37"/>
      <c r="G104" s="2"/>
      <c r="H104" s="39"/>
      <c r="I104" s="2"/>
      <c r="J104" s="2"/>
      <c r="K104" s="2"/>
    </row>
    <row r="105" spans="1:11">
      <c r="A105" s="2"/>
      <c r="B105" s="2"/>
      <c r="C105" s="2"/>
      <c r="D105" s="37"/>
      <c r="E105" s="37"/>
      <c r="F105" s="37"/>
      <c r="G105" s="2"/>
      <c r="H105" s="39"/>
      <c r="I105" s="2"/>
      <c r="J105" s="2"/>
      <c r="K105" s="2"/>
    </row>
    <row r="106" spans="1:11">
      <c r="A106" s="2"/>
      <c r="B106" s="2"/>
      <c r="C106" s="2"/>
      <c r="D106" s="37"/>
      <c r="E106" s="37"/>
      <c r="F106" s="37"/>
      <c r="G106" s="2"/>
      <c r="H106" s="39"/>
      <c r="I106" s="2"/>
      <c r="J106" s="2"/>
      <c r="K106" s="2"/>
    </row>
    <row r="107" spans="1:11">
      <c r="A107" s="2"/>
      <c r="B107" s="2"/>
      <c r="C107" s="2"/>
      <c r="D107" s="37"/>
      <c r="E107" s="37"/>
      <c r="F107" s="37"/>
      <c r="G107" s="2"/>
      <c r="H107" s="39"/>
      <c r="I107" s="2"/>
      <c r="J107" s="2"/>
      <c r="K107" s="2"/>
    </row>
    <row r="108" spans="1:11">
      <c r="A108" s="2"/>
      <c r="B108" s="2"/>
      <c r="C108" s="2"/>
      <c r="D108" s="37"/>
      <c r="E108" s="37"/>
      <c r="F108" s="37"/>
      <c r="G108" s="2"/>
      <c r="H108" s="39"/>
      <c r="I108" s="2"/>
      <c r="J108" s="2"/>
      <c r="K108" s="2"/>
    </row>
    <row r="109" spans="1:11">
      <c r="A109" s="2"/>
      <c r="B109" s="2"/>
      <c r="C109" s="2"/>
      <c r="D109" s="37"/>
      <c r="E109" s="37"/>
      <c r="F109" s="37"/>
      <c r="G109" s="2"/>
      <c r="H109" s="39"/>
      <c r="I109" s="2"/>
      <c r="J109" s="2"/>
      <c r="K109" s="2"/>
    </row>
    <row r="110" spans="1:11">
      <c r="A110" s="2"/>
      <c r="B110" s="2"/>
      <c r="C110" s="2"/>
      <c r="D110" s="37"/>
      <c r="E110" s="37"/>
      <c r="F110" s="37"/>
      <c r="G110" s="2"/>
      <c r="H110" s="39"/>
      <c r="I110" s="2"/>
      <c r="J110" s="2"/>
      <c r="K110" s="2"/>
    </row>
    <row r="111" spans="1:11">
      <c r="A111" s="2"/>
      <c r="B111" s="2"/>
      <c r="C111" s="2"/>
      <c r="D111" s="37"/>
      <c r="E111" s="37"/>
      <c r="F111" s="37"/>
      <c r="G111" s="2"/>
      <c r="H111" s="39"/>
      <c r="I111" s="2"/>
      <c r="J111" s="2"/>
      <c r="K111" s="2"/>
    </row>
    <row r="112" spans="1:11">
      <c r="A112" s="2"/>
      <c r="B112" s="2"/>
      <c r="C112" s="2"/>
      <c r="D112" s="37"/>
      <c r="E112" s="37"/>
      <c r="F112" s="37"/>
      <c r="G112" s="2"/>
      <c r="H112" s="39"/>
      <c r="I112" s="2"/>
      <c r="J112" s="2"/>
      <c r="K112" s="2"/>
    </row>
    <row r="113" spans="1:11">
      <c r="A113" s="2"/>
      <c r="B113" s="2"/>
      <c r="C113" s="2"/>
      <c r="D113" s="37"/>
      <c r="E113" s="37"/>
      <c r="F113" s="37"/>
      <c r="G113" s="2"/>
      <c r="H113" s="39"/>
      <c r="I113" s="2"/>
      <c r="J113" s="2"/>
      <c r="K113" s="2"/>
    </row>
    <row r="114" spans="1:11">
      <c r="A114" s="2"/>
      <c r="B114" s="2"/>
      <c r="C114" s="2"/>
      <c r="D114" s="37"/>
      <c r="E114" s="37"/>
      <c r="F114" s="37"/>
      <c r="G114" s="2"/>
      <c r="H114" s="39"/>
      <c r="I114" s="2"/>
      <c r="J114" s="2"/>
      <c r="K114" s="2"/>
    </row>
    <row r="115" spans="1:11">
      <c r="A115" s="2"/>
      <c r="B115" s="2"/>
      <c r="C115" s="2"/>
      <c r="D115" s="37"/>
      <c r="E115" s="37"/>
      <c r="F115" s="37"/>
      <c r="G115" s="2"/>
      <c r="H115" s="39"/>
      <c r="I115" s="2"/>
      <c r="J115" s="2"/>
      <c r="K115" s="2"/>
    </row>
    <row r="116" spans="1:11">
      <c r="A116" s="2"/>
      <c r="B116" s="2"/>
      <c r="C116" s="2"/>
      <c r="D116" s="37"/>
      <c r="E116" s="37"/>
      <c r="F116" s="37"/>
      <c r="G116" s="2"/>
      <c r="H116" s="39"/>
      <c r="I116" s="2"/>
      <c r="J116" s="2"/>
      <c r="K116" s="2"/>
    </row>
    <row r="117" spans="1:11">
      <c r="A117" s="2"/>
      <c r="B117" s="2"/>
      <c r="C117" s="2"/>
      <c r="D117" s="37"/>
      <c r="E117" s="37"/>
      <c r="F117" s="37"/>
      <c r="G117" s="2"/>
      <c r="H117" s="39"/>
      <c r="I117" s="2"/>
      <c r="J117" s="2"/>
      <c r="K117" s="2"/>
    </row>
    <row r="118" spans="1:11">
      <c r="A118" s="2"/>
      <c r="B118" s="2"/>
      <c r="C118" s="2"/>
      <c r="D118" s="37"/>
      <c r="E118" s="37"/>
      <c r="F118" s="37"/>
      <c r="G118" s="2"/>
      <c r="H118" s="39"/>
      <c r="I118" s="2"/>
      <c r="J118" s="2"/>
      <c r="K118" s="2"/>
    </row>
    <row r="119" spans="1:11">
      <c r="A119" s="2"/>
      <c r="B119" s="2"/>
      <c r="C119" s="2"/>
      <c r="D119" s="37"/>
      <c r="E119" s="37"/>
      <c r="F119" s="37"/>
      <c r="G119" s="2"/>
      <c r="H119" s="39"/>
      <c r="I119" s="2"/>
      <c r="J119" s="2"/>
      <c r="K119" s="2"/>
    </row>
    <row r="120" spans="1:11">
      <c r="A120" s="2"/>
      <c r="B120" s="2"/>
      <c r="C120" s="2"/>
      <c r="D120" s="37"/>
      <c r="E120" s="37"/>
      <c r="F120" s="37"/>
      <c r="G120" s="2"/>
      <c r="H120" s="39"/>
      <c r="I120" s="2"/>
      <c r="J120" s="2"/>
      <c r="K120" s="2"/>
    </row>
    <row r="121" spans="1:11">
      <c r="A121" s="2"/>
      <c r="B121" s="2"/>
      <c r="C121" s="2"/>
      <c r="D121" s="37"/>
      <c r="E121" s="37"/>
      <c r="F121" s="37"/>
      <c r="G121" s="2"/>
      <c r="H121" s="39"/>
      <c r="I121" s="2"/>
      <c r="J121" s="2"/>
      <c r="K121" s="2"/>
    </row>
    <row r="122" spans="1:11">
      <c r="A122" s="2"/>
      <c r="B122" s="2"/>
      <c r="C122" s="2"/>
      <c r="D122" s="37"/>
      <c r="E122" s="37"/>
      <c r="F122" s="37"/>
      <c r="G122" s="2"/>
      <c r="H122" s="39"/>
      <c r="I122" s="2"/>
      <c r="J122" s="2"/>
      <c r="K122" s="2"/>
    </row>
    <row r="123" spans="1:11">
      <c r="A123" s="2"/>
      <c r="B123" s="2"/>
      <c r="C123" s="2"/>
      <c r="D123" s="37"/>
      <c r="E123" s="37"/>
      <c r="F123" s="37"/>
      <c r="G123" s="2"/>
      <c r="H123" s="39"/>
      <c r="I123" s="2"/>
      <c r="J123" s="2"/>
      <c r="K123" s="2"/>
    </row>
    <row r="124" spans="1:11">
      <c r="A124" s="2"/>
      <c r="B124" s="2"/>
      <c r="C124" s="2"/>
      <c r="D124" s="37"/>
      <c r="E124" s="37"/>
      <c r="F124" s="37"/>
      <c r="G124" s="2"/>
      <c r="H124" s="39"/>
      <c r="I124" s="2"/>
      <c r="J124" s="2"/>
      <c r="K124" s="2"/>
    </row>
    <row r="125" spans="1:11">
      <c r="A125" s="2"/>
      <c r="B125" s="2"/>
      <c r="C125" s="2"/>
      <c r="D125" s="37"/>
      <c r="E125" s="37"/>
      <c r="F125" s="37"/>
      <c r="G125" s="2"/>
      <c r="H125" s="39"/>
      <c r="I125" s="2"/>
      <c r="J125" s="2"/>
      <c r="K125" s="2"/>
    </row>
    <row r="126" spans="1:11">
      <c r="A126" s="2"/>
      <c r="B126" s="2"/>
      <c r="C126" s="2"/>
      <c r="D126" s="37"/>
      <c r="E126" s="37"/>
      <c r="F126" s="37"/>
      <c r="G126" s="2"/>
      <c r="H126" s="39"/>
      <c r="I126" s="2"/>
      <c r="J126" s="2"/>
      <c r="K126" s="2"/>
    </row>
    <row r="127" spans="1:11">
      <c r="A127" s="2"/>
      <c r="B127" s="2"/>
      <c r="C127" s="2"/>
      <c r="D127" s="37"/>
      <c r="E127" s="37"/>
      <c r="F127" s="37"/>
      <c r="G127" s="2"/>
      <c r="H127" s="39"/>
      <c r="I127" s="2"/>
      <c r="J127" s="2"/>
      <c r="K127" s="2"/>
    </row>
    <row r="128" spans="1:11">
      <c r="A128" s="2"/>
      <c r="B128" s="2"/>
      <c r="C128" s="2"/>
      <c r="D128" s="37"/>
      <c r="E128" s="37"/>
      <c r="F128" s="37"/>
      <c r="G128" s="2"/>
      <c r="H128" s="39"/>
      <c r="I128" s="2"/>
      <c r="J128" s="2"/>
      <c r="K128" s="2"/>
    </row>
    <row r="129" spans="1:11">
      <c r="A129" s="2"/>
      <c r="B129" s="2"/>
      <c r="C129" s="2"/>
      <c r="D129" s="37"/>
      <c r="E129" s="37"/>
      <c r="F129" s="37"/>
      <c r="G129" s="2"/>
      <c r="H129" s="39"/>
      <c r="I129" s="2"/>
      <c r="J129" s="2"/>
      <c r="K129" s="2"/>
    </row>
    <row r="130" spans="1:11">
      <c r="A130" s="2"/>
      <c r="B130" s="2"/>
      <c r="C130" s="2"/>
      <c r="D130" s="37"/>
      <c r="E130" s="37"/>
      <c r="F130" s="37"/>
      <c r="G130" s="2"/>
      <c r="H130" s="39"/>
      <c r="I130" s="2"/>
      <c r="J130" s="2"/>
      <c r="K130" s="2"/>
    </row>
    <row r="131" spans="1:11">
      <c r="A131" s="2"/>
      <c r="B131" s="2"/>
      <c r="C131" s="2"/>
      <c r="D131" s="37"/>
      <c r="E131" s="37"/>
      <c r="F131" s="37"/>
      <c r="G131" s="2"/>
      <c r="H131" s="39"/>
      <c r="I131" s="2"/>
      <c r="J131" s="2"/>
      <c r="K131" s="2"/>
    </row>
    <row r="132" spans="1:11">
      <c r="A132" s="2"/>
      <c r="B132" s="2"/>
      <c r="C132" s="2"/>
      <c r="D132" s="37"/>
      <c r="E132" s="37"/>
      <c r="F132" s="37"/>
      <c r="G132" s="2"/>
      <c r="H132" s="39"/>
      <c r="I132" s="2"/>
      <c r="J132" s="2"/>
      <c r="K132" s="2"/>
    </row>
    <row r="133" spans="1:11">
      <c r="A133" s="2"/>
      <c r="B133" s="2"/>
      <c r="C133" s="2"/>
      <c r="D133" s="37"/>
      <c r="E133" s="37"/>
      <c r="F133" s="37"/>
      <c r="G133" s="2"/>
      <c r="H133" s="39"/>
      <c r="I133" s="2"/>
      <c r="J133" s="2"/>
      <c r="K133" s="2"/>
    </row>
    <row r="134" spans="1:11">
      <c r="A134" s="2"/>
      <c r="B134" s="2"/>
      <c r="C134" s="2"/>
      <c r="D134" s="37"/>
      <c r="E134" s="37"/>
      <c r="F134" s="37"/>
      <c r="G134" s="2"/>
      <c r="H134" s="39"/>
      <c r="I134" s="2"/>
      <c r="J134" s="2"/>
      <c r="K134" s="2"/>
    </row>
    <row r="135" spans="1:11">
      <c r="A135" s="2"/>
      <c r="B135" s="2"/>
      <c r="C135" s="2"/>
      <c r="D135" s="37"/>
      <c r="E135" s="37"/>
      <c r="F135" s="37"/>
      <c r="G135" s="2"/>
      <c r="H135" s="39"/>
      <c r="I135" s="2"/>
      <c r="J135" s="2"/>
      <c r="K135" s="2"/>
    </row>
    <row r="136" spans="1:11">
      <c r="A136" s="2"/>
      <c r="B136" s="2"/>
      <c r="C136" s="2"/>
      <c r="D136" s="37"/>
      <c r="E136" s="37"/>
      <c r="F136" s="37"/>
      <c r="G136" s="2"/>
      <c r="H136" s="39"/>
      <c r="I136" s="2"/>
      <c r="J136" s="2"/>
      <c r="K136" s="2"/>
    </row>
    <row r="137" spans="1:11">
      <c r="A137" s="2"/>
      <c r="B137" s="2"/>
      <c r="C137" s="2"/>
      <c r="D137" s="37"/>
      <c r="E137" s="37"/>
      <c r="F137" s="37"/>
      <c r="G137" s="2"/>
      <c r="H137" s="39"/>
      <c r="I137" s="2"/>
      <c r="J137" s="2"/>
      <c r="K137" s="2"/>
    </row>
    <row r="138" spans="1:11">
      <c r="A138" s="2"/>
      <c r="B138" s="2"/>
      <c r="C138" s="2"/>
      <c r="D138" s="37"/>
      <c r="E138" s="37"/>
      <c r="F138" s="37"/>
      <c r="G138" s="2"/>
      <c r="H138" s="39"/>
      <c r="I138" s="2"/>
      <c r="J138" s="2"/>
      <c r="K138" s="2"/>
    </row>
    <row r="139" spans="1:11">
      <c r="A139" s="2"/>
      <c r="B139" s="2"/>
      <c r="C139" s="2"/>
      <c r="D139" s="37"/>
      <c r="E139" s="37"/>
      <c r="F139" s="37"/>
      <c r="G139" s="2"/>
      <c r="H139" s="39"/>
      <c r="I139" s="2"/>
      <c r="J139" s="2"/>
      <c r="K139" s="2"/>
    </row>
    <row r="140" spans="1:11">
      <c r="A140" s="2"/>
      <c r="B140" s="2"/>
      <c r="C140" s="2"/>
      <c r="D140" s="37"/>
      <c r="E140" s="37"/>
      <c r="F140" s="37"/>
      <c r="G140" s="2"/>
      <c r="H140" s="39"/>
      <c r="I140" s="2"/>
      <c r="J140" s="2"/>
      <c r="K140" s="2"/>
    </row>
    <row r="141" spans="1:11">
      <c r="A141" s="2"/>
      <c r="B141" s="2"/>
      <c r="C141" s="2"/>
      <c r="D141" s="37"/>
      <c r="E141" s="37"/>
      <c r="F141" s="37"/>
      <c r="G141" s="2"/>
      <c r="H141" s="39"/>
      <c r="I141" s="2"/>
      <c r="J141" s="2"/>
      <c r="K141" s="2"/>
    </row>
    <row r="142" spans="1:11">
      <c r="A142" s="2"/>
      <c r="B142" s="2"/>
      <c r="C142" s="2"/>
      <c r="D142" s="37"/>
      <c r="E142" s="37"/>
      <c r="F142" s="37"/>
      <c r="G142" s="2"/>
      <c r="H142" s="39"/>
      <c r="I142" s="2"/>
      <c r="J142" s="2"/>
      <c r="K142" s="2"/>
    </row>
    <row r="143" spans="1:11">
      <c r="A143" s="2"/>
      <c r="B143" s="2"/>
      <c r="C143" s="2"/>
      <c r="D143" s="37"/>
      <c r="E143" s="37"/>
      <c r="F143" s="37"/>
      <c r="G143" s="2"/>
      <c r="H143" s="39"/>
      <c r="I143" s="2"/>
      <c r="J143" s="2"/>
      <c r="K143" s="2"/>
    </row>
    <row r="144" spans="1:11">
      <c r="A144" s="2"/>
      <c r="B144" s="2"/>
      <c r="C144" s="2"/>
      <c r="D144" s="37"/>
      <c r="E144" s="37"/>
      <c r="F144" s="37"/>
      <c r="G144" s="2"/>
      <c r="H144" s="39"/>
      <c r="I144" s="2"/>
      <c r="J144" s="2"/>
      <c r="K144" s="2"/>
    </row>
    <row r="145" spans="1:11">
      <c r="A145" s="2"/>
      <c r="B145" s="2"/>
      <c r="C145" s="2"/>
      <c r="D145" s="37"/>
      <c r="E145" s="37"/>
      <c r="F145" s="37"/>
      <c r="G145" s="2"/>
      <c r="H145" s="39"/>
      <c r="I145" s="2"/>
      <c r="J145" s="2"/>
      <c r="K145" s="2"/>
    </row>
    <row r="146" spans="1:11">
      <c r="A146" s="2"/>
      <c r="B146" s="2"/>
      <c r="C146" s="2"/>
      <c r="D146" s="37"/>
      <c r="E146" s="37"/>
      <c r="F146" s="37"/>
      <c r="G146" s="2"/>
      <c r="H146" s="39"/>
      <c r="I146" s="2"/>
      <c r="J146" s="2"/>
      <c r="K146" s="2"/>
    </row>
    <row r="147" spans="1:11">
      <c r="A147" s="2"/>
      <c r="B147" s="2"/>
      <c r="C147" s="2"/>
      <c r="D147" s="37"/>
      <c r="E147" s="37"/>
      <c r="F147" s="37"/>
      <c r="G147" s="2"/>
      <c r="H147" s="39"/>
      <c r="I147" s="2"/>
      <c r="J147" s="2"/>
      <c r="K147" s="2"/>
    </row>
    <row r="148" spans="1:11">
      <c r="A148" s="2"/>
      <c r="B148" s="2"/>
      <c r="C148" s="2"/>
      <c r="D148" s="37"/>
      <c r="E148" s="37"/>
      <c r="F148" s="37"/>
      <c r="G148" s="2"/>
      <c r="H148" s="39"/>
      <c r="I148" s="2"/>
      <c r="J148" s="2"/>
      <c r="K148" s="2"/>
    </row>
    <row r="149" spans="1:11">
      <c r="A149" s="2"/>
      <c r="B149" s="2"/>
      <c r="C149" s="2"/>
      <c r="D149" s="37"/>
      <c r="E149" s="37"/>
      <c r="F149" s="37"/>
      <c r="G149" s="2"/>
      <c r="H149" s="39"/>
      <c r="I149" s="2"/>
      <c r="J149" s="2"/>
      <c r="K149" s="2"/>
    </row>
    <row r="150" spans="1:11">
      <c r="A150" s="2"/>
      <c r="B150" s="2"/>
      <c r="C150" s="2"/>
      <c r="D150" s="37"/>
      <c r="E150" s="37"/>
      <c r="F150" s="37"/>
      <c r="G150" s="2"/>
      <c r="H150" s="39"/>
      <c r="I150" s="2"/>
      <c r="J150" s="2"/>
      <c r="K150" s="2"/>
    </row>
    <row r="151" spans="1:11">
      <c r="A151" s="2"/>
      <c r="B151" s="2"/>
      <c r="C151" s="2"/>
      <c r="D151" s="37"/>
      <c r="E151" s="37"/>
      <c r="F151" s="37"/>
      <c r="G151" s="2"/>
      <c r="H151" s="39"/>
      <c r="I151" s="2"/>
      <c r="J151" s="2"/>
      <c r="K151" s="2"/>
    </row>
    <row r="152" spans="1:11">
      <c r="A152" s="2"/>
      <c r="B152" s="2"/>
      <c r="C152" s="2"/>
      <c r="D152" s="37"/>
      <c r="E152" s="37"/>
      <c r="F152" s="37"/>
      <c r="G152" s="2"/>
      <c r="H152" s="39"/>
      <c r="I152" s="2"/>
      <c r="J152" s="2"/>
      <c r="K152" s="2"/>
    </row>
    <row r="153" spans="1:11">
      <c r="A153" s="2"/>
      <c r="B153" s="2"/>
      <c r="C153" s="2"/>
      <c r="D153" s="37"/>
      <c r="E153" s="37"/>
      <c r="F153" s="37"/>
      <c r="G153" s="2"/>
      <c r="H153" s="39"/>
      <c r="I153" s="2"/>
      <c r="J153" s="2"/>
      <c r="K153" s="2"/>
    </row>
    <row r="154" spans="1:11">
      <c r="A154" s="2"/>
      <c r="B154" s="2"/>
      <c r="C154" s="2"/>
      <c r="D154" s="37"/>
      <c r="E154" s="37"/>
      <c r="F154" s="37"/>
      <c r="G154" s="2"/>
      <c r="H154" s="39"/>
      <c r="I154" s="2"/>
      <c r="J154" s="2"/>
      <c r="K154" s="2"/>
    </row>
    <row r="155" spans="1:11">
      <c r="A155" s="2"/>
      <c r="B155" s="2"/>
      <c r="C155" s="2"/>
      <c r="D155" s="37"/>
      <c r="E155" s="37"/>
      <c r="F155" s="37"/>
      <c r="G155" s="2"/>
      <c r="H155" s="39"/>
      <c r="I155" s="2"/>
      <c r="J155" s="2"/>
      <c r="K155" s="2"/>
    </row>
    <row r="156" spans="1:11">
      <c r="A156" s="2"/>
      <c r="B156" s="2"/>
      <c r="C156" s="2"/>
      <c r="D156" s="37"/>
      <c r="E156" s="37"/>
      <c r="F156" s="37"/>
      <c r="G156" s="2"/>
      <c r="H156" s="39"/>
      <c r="I156" s="2"/>
      <c r="J156" s="2"/>
      <c r="K156" s="2"/>
    </row>
    <row r="157" spans="1:11">
      <c r="A157" s="2"/>
      <c r="B157" s="2"/>
      <c r="C157" s="2"/>
      <c r="D157" s="37"/>
      <c r="E157" s="37"/>
      <c r="F157" s="37"/>
      <c r="G157" s="2"/>
      <c r="H157" s="39"/>
      <c r="I157" s="2"/>
      <c r="J157" s="2"/>
      <c r="K157" s="2"/>
    </row>
    <row r="158" spans="1:11">
      <c r="A158" s="2"/>
      <c r="B158" s="2"/>
      <c r="C158" s="2"/>
      <c r="D158" s="37"/>
      <c r="E158" s="37"/>
      <c r="F158" s="37"/>
      <c r="G158" s="2"/>
      <c r="H158" s="39"/>
      <c r="I158" s="2"/>
      <c r="J158" s="2"/>
      <c r="K158" s="2"/>
    </row>
    <row r="159" spans="1:11">
      <c r="A159" s="2"/>
      <c r="B159" s="2"/>
      <c r="C159" s="2"/>
      <c r="D159" s="37"/>
      <c r="E159" s="37"/>
      <c r="F159" s="37"/>
      <c r="G159" s="2"/>
      <c r="H159" s="39"/>
      <c r="I159" s="2"/>
      <c r="J159" s="2"/>
      <c r="K159" s="2"/>
    </row>
    <row r="160" spans="1:11">
      <c r="A160" s="2"/>
      <c r="B160" s="2"/>
      <c r="C160" s="2"/>
      <c r="D160" s="37"/>
      <c r="E160" s="37"/>
      <c r="F160" s="37"/>
      <c r="G160" s="2"/>
      <c r="H160" s="39"/>
      <c r="I160" s="2"/>
      <c r="J160" s="2"/>
      <c r="K160" s="2"/>
    </row>
    <row r="161" spans="1:11">
      <c r="A161" s="2"/>
      <c r="B161" s="2"/>
      <c r="C161" s="2"/>
      <c r="D161" s="37"/>
      <c r="E161" s="37"/>
      <c r="F161" s="37"/>
      <c r="G161" s="2"/>
      <c r="H161" s="39"/>
      <c r="I161" s="2"/>
      <c r="J161" s="2"/>
      <c r="K161" s="2"/>
    </row>
    <row r="162" spans="1:11">
      <c r="A162" s="2"/>
      <c r="B162" s="2"/>
      <c r="C162" s="2"/>
      <c r="D162" s="37"/>
      <c r="E162" s="37"/>
      <c r="F162" s="37"/>
      <c r="G162" s="2"/>
      <c r="H162" s="39"/>
      <c r="I162" s="2"/>
      <c r="J162" s="2"/>
      <c r="K162" s="2"/>
    </row>
    <row r="163" spans="1:11">
      <c r="A163" s="2"/>
      <c r="B163" s="2"/>
      <c r="C163" s="2"/>
      <c r="D163" s="37"/>
      <c r="E163" s="37"/>
      <c r="F163" s="37"/>
      <c r="G163" s="2"/>
      <c r="H163" s="39"/>
      <c r="I163" s="2"/>
      <c r="J163" s="2"/>
      <c r="K163" s="2"/>
    </row>
    <row r="164" spans="1:11">
      <c r="A164" s="2"/>
      <c r="B164" s="2"/>
      <c r="C164" s="2"/>
      <c r="D164" s="37"/>
      <c r="E164" s="37"/>
      <c r="F164" s="37"/>
      <c r="G164" s="2"/>
      <c r="H164" s="39"/>
      <c r="I164" s="2"/>
      <c r="J164" s="2"/>
      <c r="K164" s="2"/>
    </row>
    <row r="165" spans="1:11">
      <c r="A165" s="2"/>
      <c r="B165" s="2"/>
      <c r="C165" s="2"/>
      <c r="D165" s="37"/>
      <c r="E165" s="37"/>
      <c r="F165" s="37"/>
      <c r="G165" s="2"/>
      <c r="H165" s="39"/>
      <c r="I165" s="2"/>
      <c r="J165" s="2"/>
      <c r="K165" s="2"/>
    </row>
    <row r="166" spans="1:11">
      <c r="A166" s="2"/>
      <c r="B166" s="2"/>
      <c r="C166" s="2"/>
      <c r="D166" s="37"/>
      <c r="E166" s="37"/>
      <c r="F166" s="37"/>
      <c r="G166" s="2"/>
      <c r="H166" s="39"/>
      <c r="I166" s="2"/>
      <c r="J166" s="2"/>
      <c r="K166" s="2"/>
    </row>
    <row r="167" spans="1:11">
      <c r="A167" s="2"/>
      <c r="B167" s="2"/>
      <c r="C167" s="2"/>
      <c r="D167" s="37"/>
      <c r="E167" s="37"/>
      <c r="F167" s="37"/>
      <c r="G167" s="2"/>
      <c r="H167" s="39"/>
      <c r="I167" s="2"/>
      <c r="J167" s="2"/>
      <c r="K167" s="2"/>
    </row>
    <row r="168" spans="1:11">
      <c r="A168" s="2"/>
      <c r="B168" s="2"/>
      <c r="C168" s="2"/>
      <c r="D168" s="37"/>
      <c r="E168" s="37"/>
      <c r="F168" s="37"/>
      <c r="G168" s="2"/>
      <c r="H168" s="39"/>
      <c r="I168" s="2"/>
      <c r="J168" s="2"/>
      <c r="K168" s="2"/>
    </row>
    <row r="169" spans="1:11">
      <c r="A169" s="2"/>
      <c r="B169" s="2"/>
      <c r="C169" s="2"/>
      <c r="D169" s="37"/>
      <c r="E169" s="37"/>
      <c r="F169" s="37"/>
      <c r="G169" s="2"/>
      <c r="H169" s="39"/>
      <c r="I169" s="2"/>
      <c r="J169" s="2"/>
      <c r="K169" s="2"/>
    </row>
    <row r="170" spans="1:11">
      <c r="A170" s="2"/>
      <c r="B170" s="2"/>
      <c r="C170" s="2"/>
      <c r="D170" s="37"/>
      <c r="E170" s="37"/>
      <c r="F170" s="37"/>
      <c r="G170" s="2"/>
      <c r="H170" s="39"/>
      <c r="I170" s="2"/>
      <c r="J170" s="2"/>
      <c r="K170" s="2"/>
    </row>
    <row r="171" spans="1:11">
      <c r="A171" s="2"/>
      <c r="B171" s="2"/>
      <c r="C171" s="2"/>
      <c r="D171" s="37"/>
      <c r="E171" s="37"/>
      <c r="F171" s="37"/>
      <c r="G171" s="2"/>
      <c r="H171" s="39"/>
      <c r="I171" s="2"/>
      <c r="J171" s="2"/>
      <c r="K171" s="2"/>
    </row>
    <row r="172" spans="1:11">
      <c r="A172" s="2"/>
      <c r="B172" s="2"/>
      <c r="C172" s="2"/>
      <c r="D172" s="37"/>
      <c r="E172" s="37"/>
      <c r="F172" s="37"/>
      <c r="G172" s="2"/>
      <c r="H172" s="39"/>
      <c r="I172" s="2"/>
      <c r="J172" s="2"/>
      <c r="K172" s="2"/>
    </row>
    <row r="173" spans="1:11">
      <c r="A173" s="2"/>
      <c r="B173" s="2"/>
      <c r="C173" s="2"/>
      <c r="D173" s="37"/>
      <c r="E173" s="37"/>
      <c r="F173" s="37"/>
      <c r="G173" s="2"/>
      <c r="H173" s="39"/>
      <c r="I173" s="2"/>
      <c r="J173" s="2"/>
      <c r="K173" s="2"/>
    </row>
    <row r="174" spans="1:11">
      <c r="A174" s="2"/>
      <c r="B174" s="2"/>
      <c r="C174" s="2"/>
      <c r="D174" s="37"/>
      <c r="E174" s="37"/>
      <c r="F174" s="37"/>
      <c r="G174" s="2"/>
      <c r="H174" s="39"/>
      <c r="I174" s="2"/>
      <c r="J174" s="2"/>
      <c r="K174" s="2"/>
    </row>
    <row r="175" spans="1:11">
      <c r="A175" s="2"/>
      <c r="B175" s="2"/>
      <c r="C175" s="2"/>
      <c r="D175" s="37"/>
      <c r="E175" s="37"/>
      <c r="F175" s="37"/>
      <c r="G175" s="2"/>
      <c r="H175" s="39"/>
      <c r="I175" s="2"/>
      <c r="J175" s="2"/>
      <c r="K175" s="2"/>
    </row>
    <row r="176" spans="1:11">
      <c r="A176" s="2"/>
      <c r="B176" s="2"/>
      <c r="C176" s="2"/>
      <c r="D176" s="37"/>
      <c r="E176" s="37"/>
      <c r="F176" s="37"/>
      <c r="G176" s="2"/>
      <c r="H176" s="39"/>
      <c r="I176" s="2"/>
      <c r="J176" s="2"/>
      <c r="K176" s="2"/>
    </row>
    <row r="177" spans="1:11">
      <c r="A177" s="2"/>
      <c r="B177" s="2"/>
      <c r="C177" s="2"/>
      <c r="D177" s="37"/>
      <c r="E177" s="37"/>
      <c r="F177" s="37"/>
      <c r="G177" s="2"/>
      <c r="H177" s="39"/>
      <c r="I177" s="2"/>
      <c r="J177" s="2"/>
      <c r="K177" s="2"/>
    </row>
    <row r="178" spans="1:11">
      <c r="A178" s="2"/>
      <c r="B178" s="2"/>
      <c r="C178" s="2"/>
      <c r="D178" s="37"/>
      <c r="E178" s="37"/>
      <c r="F178" s="37"/>
      <c r="G178" s="2"/>
      <c r="H178" s="39"/>
      <c r="I178" s="2"/>
      <c r="J178" s="2"/>
      <c r="K178" s="2"/>
    </row>
    <row r="179" spans="1:11">
      <c r="A179" s="2"/>
      <c r="B179" s="2"/>
      <c r="C179" s="2"/>
      <c r="D179" s="37"/>
      <c r="E179" s="37"/>
      <c r="F179" s="37"/>
      <c r="G179" s="2"/>
      <c r="H179" s="39"/>
      <c r="I179" s="2"/>
      <c r="J179" s="2"/>
      <c r="K179" s="2"/>
    </row>
    <row r="180" spans="1:11">
      <c r="A180" s="2"/>
      <c r="B180" s="2"/>
      <c r="C180" s="2"/>
      <c r="D180" s="37"/>
      <c r="E180" s="37"/>
      <c r="F180" s="37"/>
      <c r="G180" s="2"/>
      <c r="H180" s="39"/>
      <c r="I180" s="2"/>
      <c r="J180" s="2"/>
      <c r="K180" s="2"/>
    </row>
    <row r="181" spans="1:11">
      <c r="A181" s="2"/>
      <c r="B181" s="2"/>
      <c r="C181" s="2"/>
      <c r="D181" s="37"/>
      <c r="E181" s="37"/>
      <c r="F181" s="37"/>
      <c r="G181" s="2"/>
      <c r="H181" s="39"/>
      <c r="I181" s="2"/>
      <c r="J181" s="2"/>
      <c r="K181" s="2"/>
    </row>
    <row r="182" spans="1:11">
      <c r="A182" s="2"/>
      <c r="B182" s="2"/>
      <c r="C182" s="2"/>
      <c r="D182" s="37"/>
      <c r="E182" s="37"/>
      <c r="F182" s="37"/>
      <c r="G182" s="2"/>
      <c r="H182" s="39"/>
      <c r="I182" s="2"/>
      <c r="J182" s="2"/>
      <c r="K182" s="2"/>
    </row>
    <row r="183" spans="1:11">
      <c r="A183" s="2"/>
      <c r="B183" s="2"/>
      <c r="C183" s="2"/>
      <c r="D183" s="37"/>
      <c r="E183" s="37"/>
      <c r="F183" s="37"/>
      <c r="G183" s="2"/>
      <c r="H183" s="39"/>
      <c r="I183" s="2"/>
      <c r="J183" s="2"/>
      <c r="K183" s="2"/>
    </row>
    <row r="184" spans="1:11">
      <c r="A184" s="2"/>
      <c r="B184" s="2"/>
      <c r="C184" s="2"/>
      <c r="D184" s="37"/>
      <c r="E184" s="37"/>
      <c r="F184" s="37"/>
      <c r="G184" s="2"/>
      <c r="H184" s="39"/>
      <c r="I184" s="2"/>
      <c r="J184" s="2"/>
      <c r="K184" s="2"/>
    </row>
    <row r="185" spans="1:11">
      <c r="A185" s="2"/>
      <c r="B185" s="2"/>
      <c r="C185" s="2"/>
      <c r="D185" s="37"/>
      <c r="E185" s="37"/>
      <c r="F185" s="37"/>
      <c r="G185" s="2"/>
      <c r="H185" s="39"/>
      <c r="I185" s="2"/>
      <c r="J185" s="2"/>
      <c r="K185" s="2"/>
    </row>
    <row r="186" spans="1:11">
      <c r="A186" s="2"/>
      <c r="B186" s="2"/>
      <c r="C186" s="2"/>
      <c r="D186" s="37"/>
      <c r="E186" s="37"/>
      <c r="F186" s="37"/>
      <c r="G186" s="2"/>
      <c r="H186" s="39"/>
      <c r="I186" s="2"/>
      <c r="J186" s="2"/>
      <c r="K186" s="2"/>
    </row>
    <row r="187" spans="1:11">
      <c r="A187" s="2"/>
      <c r="B187" s="2"/>
      <c r="C187" s="2"/>
      <c r="D187" s="37"/>
      <c r="E187" s="37"/>
      <c r="F187" s="37"/>
      <c r="G187" s="2"/>
      <c r="H187" s="39"/>
      <c r="I187" s="2"/>
      <c r="J187" s="2"/>
      <c r="K187" s="2"/>
    </row>
    <row r="188" spans="1:11">
      <c r="A188" s="2"/>
      <c r="B188" s="2"/>
      <c r="C188" s="2"/>
      <c r="D188" s="37"/>
      <c r="E188" s="37"/>
      <c r="F188" s="37"/>
      <c r="G188" s="2"/>
      <c r="H188" s="39"/>
      <c r="I188" s="2"/>
      <c r="J188" s="2"/>
      <c r="K188" s="2"/>
    </row>
    <row r="189" spans="1:11">
      <c r="A189" s="2"/>
      <c r="B189" s="2"/>
      <c r="C189" s="2"/>
      <c r="D189" s="37"/>
      <c r="E189" s="37"/>
      <c r="F189" s="37"/>
      <c r="G189" s="2"/>
      <c r="H189" s="39"/>
      <c r="I189" s="2"/>
      <c r="J189" s="2"/>
      <c r="K189" s="2"/>
    </row>
    <row r="190" spans="1:11">
      <c r="A190" s="2"/>
      <c r="B190" s="2"/>
      <c r="C190" s="2"/>
      <c r="D190" s="37"/>
      <c r="E190" s="37"/>
      <c r="F190" s="37"/>
      <c r="G190" s="2"/>
      <c r="H190" s="39"/>
      <c r="I190" s="2"/>
      <c r="J190" s="2"/>
      <c r="K190" s="2"/>
    </row>
    <row r="191" spans="1:11">
      <c r="A191" s="2"/>
      <c r="B191" s="2"/>
      <c r="C191" s="2"/>
      <c r="D191" s="37"/>
      <c r="E191" s="37"/>
      <c r="F191" s="37"/>
      <c r="G191" s="2"/>
      <c r="H191" s="39"/>
      <c r="I191" s="2"/>
      <c r="J191" s="2"/>
      <c r="K191" s="2"/>
    </row>
    <row r="192" spans="1:11">
      <c r="A192" s="2"/>
      <c r="B192" s="2"/>
      <c r="C192" s="2"/>
      <c r="D192" s="37"/>
      <c r="E192" s="37"/>
      <c r="F192" s="37"/>
      <c r="G192" s="2"/>
      <c r="H192" s="39"/>
      <c r="I192" s="2"/>
      <c r="J192" s="2"/>
      <c r="K192" s="2"/>
    </row>
    <row r="193" spans="1:11">
      <c r="A193" s="2"/>
      <c r="B193" s="2"/>
      <c r="C193" s="2"/>
      <c r="D193" s="37"/>
      <c r="E193" s="37"/>
      <c r="F193" s="37"/>
      <c r="G193" s="2"/>
      <c r="H193" s="39"/>
      <c r="I193" s="2"/>
      <c r="J193" s="2"/>
      <c r="K193" s="2"/>
    </row>
    <row r="194" spans="1:11">
      <c r="A194" s="2"/>
      <c r="B194" s="2"/>
      <c r="C194" s="2"/>
      <c r="D194" s="37"/>
      <c r="E194" s="37"/>
      <c r="F194" s="37"/>
      <c r="G194" s="2"/>
      <c r="H194" s="39"/>
      <c r="I194" s="2"/>
      <c r="J194" s="2"/>
      <c r="K194" s="2"/>
    </row>
    <row r="195" spans="1:11">
      <c r="A195" s="2"/>
      <c r="B195" s="2"/>
      <c r="C195" s="2"/>
      <c r="D195" s="37"/>
      <c r="E195" s="37"/>
      <c r="F195" s="37"/>
      <c r="G195" s="2"/>
      <c r="H195" s="39"/>
      <c r="I195" s="2"/>
      <c r="J195" s="2"/>
      <c r="K195" s="2"/>
    </row>
    <row r="196" spans="1:11">
      <c r="A196" s="2"/>
      <c r="B196" s="2"/>
      <c r="C196" s="2"/>
      <c r="D196" s="37"/>
      <c r="E196" s="37"/>
      <c r="F196" s="37"/>
      <c r="G196" s="2"/>
      <c r="H196" s="39"/>
      <c r="I196" s="2"/>
      <c r="J196" s="2"/>
      <c r="K196" s="2"/>
    </row>
    <row r="197" spans="1:11">
      <c r="A197" s="2"/>
      <c r="B197" s="2"/>
      <c r="C197" s="2"/>
      <c r="D197" s="37"/>
      <c r="E197" s="37"/>
      <c r="F197" s="37"/>
      <c r="G197" s="2"/>
      <c r="H197" s="39"/>
      <c r="I197" s="2"/>
      <c r="J197" s="2"/>
      <c r="K197" s="2"/>
    </row>
    <row r="198" spans="1:11">
      <c r="A198" s="2"/>
      <c r="B198" s="2"/>
      <c r="C198" s="2"/>
      <c r="D198" s="37"/>
      <c r="E198" s="37"/>
      <c r="F198" s="37"/>
      <c r="G198" s="2"/>
      <c r="H198" s="39"/>
      <c r="I198" s="2"/>
      <c r="J198" s="2"/>
      <c r="K198" s="2"/>
    </row>
    <row r="199" spans="1:11">
      <c r="A199" s="2"/>
      <c r="B199" s="2"/>
      <c r="C199" s="2"/>
      <c r="D199" s="37"/>
      <c r="E199" s="37"/>
      <c r="F199" s="37"/>
      <c r="G199" s="2"/>
      <c r="H199" s="39"/>
      <c r="I199" s="2"/>
      <c r="J199" s="2"/>
      <c r="K199" s="2"/>
    </row>
    <row r="200" spans="1:11">
      <c r="A200" s="2"/>
      <c r="B200" s="2"/>
      <c r="C200" s="2"/>
      <c r="D200" s="37"/>
      <c r="E200" s="37"/>
      <c r="F200" s="37"/>
      <c r="G200" s="2"/>
      <c r="H200" s="39"/>
      <c r="I200" s="2"/>
      <c r="J200" s="2"/>
      <c r="K200" s="2"/>
    </row>
    <row r="201" spans="1:11">
      <c r="A201" s="2"/>
      <c r="B201" s="2"/>
      <c r="C201" s="2"/>
      <c r="D201" s="37"/>
      <c r="E201" s="37"/>
      <c r="F201" s="37"/>
      <c r="G201" s="2"/>
      <c r="H201" s="39"/>
      <c r="I201" s="2"/>
      <c r="J201" s="2"/>
      <c r="K201" s="2"/>
    </row>
    <row r="202" spans="1:11">
      <c r="A202" s="2"/>
      <c r="B202" s="2"/>
      <c r="C202" s="2"/>
      <c r="D202" s="37"/>
      <c r="E202" s="37"/>
      <c r="F202" s="37"/>
      <c r="G202" s="2"/>
      <c r="H202" s="39"/>
      <c r="I202" s="2"/>
      <c r="J202" s="2"/>
      <c r="K202" s="2"/>
    </row>
    <row r="203" spans="1:11">
      <c r="A203" s="2"/>
      <c r="B203" s="2"/>
      <c r="C203" s="2"/>
      <c r="D203" s="37"/>
      <c r="E203" s="37"/>
      <c r="F203" s="37"/>
      <c r="G203" s="2"/>
      <c r="H203" s="39"/>
      <c r="I203" s="2"/>
      <c r="J203" s="2"/>
      <c r="K203" s="2"/>
    </row>
    <row r="204" spans="1:11">
      <c r="A204" s="2"/>
      <c r="B204" s="2"/>
      <c r="C204" s="2"/>
      <c r="D204" s="37"/>
      <c r="E204" s="37"/>
      <c r="F204" s="37"/>
      <c r="G204" s="2"/>
      <c r="H204" s="39"/>
      <c r="I204" s="2"/>
      <c r="J204" s="2"/>
      <c r="K204" s="2"/>
    </row>
    <row r="205" spans="1:11">
      <c r="A205" s="2"/>
      <c r="B205" s="2"/>
      <c r="C205" s="2"/>
      <c r="D205" s="37"/>
      <c r="E205" s="37"/>
      <c r="F205" s="37"/>
      <c r="G205" s="2"/>
      <c r="H205" s="39"/>
      <c r="I205" s="2"/>
      <c r="J205" s="2"/>
      <c r="K205" s="2"/>
    </row>
    <row r="206" spans="1:11">
      <c r="A206" s="2"/>
      <c r="B206" s="2"/>
      <c r="C206" s="2"/>
      <c r="D206" s="37"/>
      <c r="E206" s="37"/>
      <c r="F206" s="37"/>
      <c r="G206" s="2"/>
      <c r="H206" s="39"/>
      <c r="I206" s="2"/>
      <c r="J206" s="2"/>
      <c r="K206" s="2"/>
    </row>
    <row r="207" spans="1:11">
      <c r="A207" s="2"/>
      <c r="B207" s="2"/>
      <c r="C207" s="2"/>
      <c r="D207" s="37"/>
      <c r="E207" s="37"/>
      <c r="F207" s="37"/>
      <c r="G207" s="2"/>
      <c r="H207" s="39"/>
      <c r="I207" s="2"/>
      <c r="J207" s="2"/>
      <c r="K207" s="2"/>
    </row>
    <row r="208" spans="1:11">
      <c r="A208" s="2"/>
      <c r="B208" s="2"/>
      <c r="C208" s="2"/>
      <c r="D208" s="37"/>
      <c r="E208" s="37"/>
      <c r="F208" s="37"/>
      <c r="G208" s="2"/>
      <c r="H208" s="39"/>
      <c r="I208" s="2"/>
      <c r="J208" s="2"/>
      <c r="K208" s="2"/>
    </row>
    <row r="209" spans="1:11">
      <c r="A209" s="2"/>
      <c r="B209" s="2"/>
      <c r="C209" s="2"/>
      <c r="D209" s="37"/>
      <c r="E209" s="37"/>
      <c r="F209" s="37"/>
      <c r="G209" s="2"/>
      <c r="H209" s="39"/>
      <c r="I209" s="2"/>
      <c r="J209" s="2"/>
      <c r="K209" s="2"/>
    </row>
    <row r="210" spans="1:11">
      <c r="A210" s="2"/>
      <c r="B210" s="2"/>
      <c r="C210" s="2"/>
      <c r="D210" s="37"/>
      <c r="E210" s="37"/>
      <c r="F210" s="37"/>
      <c r="G210" s="2"/>
      <c r="H210" s="39"/>
      <c r="I210" s="2"/>
      <c r="J210" s="2"/>
      <c r="K210" s="2"/>
    </row>
    <row r="211" spans="1:11">
      <c r="A211" s="2"/>
      <c r="B211" s="2"/>
      <c r="C211" s="2"/>
      <c r="D211" s="37"/>
      <c r="E211" s="37"/>
      <c r="F211" s="37"/>
      <c r="G211" s="2"/>
      <c r="H211" s="39"/>
      <c r="I211" s="2"/>
      <c r="J211" s="2"/>
      <c r="K211" s="2"/>
    </row>
    <row r="212" spans="1:11">
      <c r="A212" s="2"/>
      <c r="B212" s="2"/>
      <c r="C212" s="2"/>
      <c r="D212" s="37"/>
      <c r="E212" s="37"/>
      <c r="F212" s="37"/>
      <c r="G212" s="2"/>
      <c r="H212" s="39"/>
      <c r="I212" s="2"/>
      <c r="J212" s="2"/>
      <c r="K212" s="2"/>
    </row>
    <row r="213" spans="1:11">
      <c r="A213" s="2"/>
      <c r="B213" s="2"/>
      <c r="C213" s="2"/>
      <c r="D213" s="37"/>
      <c r="E213" s="37"/>
      <c r="F213" s="37"/>
      <c r="G213" s="2"/>
      <c r="H213" s="39"/>
      <c r="I213" s="2"/>
      <c r="J213" s="2"/>
      <c r="K213" s="2"/>
    </row>
    <row r="214" spans="1:11">
      <c r="A214" s="2"/>
      <c r="B214" s="2"/>
      <c r="C214" s="2"/>
      <c r="D214" s="37"/>
      <c r="E214" s="37"/>
      <c r="F214" s="37"/>
      <c r="G214" s="2"/>
      <c r="H214" s="39"/>
      <c r="I214" s="2"/>
      <c r="J214" s="2"/>
      <c r="K214" s="2"/>
    </row>
    <row r="215" spans="1:11">
      <c r="A215" s="2"/>
      <c r="B215" s="2"/>
      <c r="C215" s="2"/>
      <c r="D215" s="37"/>
      <c r="E215" s="37"/>
      <c r="F215" s="37"/>
      <c r="G215" s="2"/>
      <c r="H215" s="39"/>
      <c r="I215" s="2"/>
      <c r="J215" s="2"/>
      <c r="K215" s="2"/>
    </row>
    <row r="216" spans="1:11">
      <c r="A216" s="2"/>
      <c r="B216" s="2"/>
      <c r="C216" s="2"/>
      <c r="D216" s="37"/>
      <c r="E216" s="37"/>
      <c r="F216" s="37"/>
      <c r="G216" s="2"/>
      <c r="H216" s="39"/>
      <c r="I216" s="2"/>
      <c r="J216" s="2"/>
      <c r="K216" s="2"/>
    </row>
    <row r="217" spans="1:11">
      <c r="A217" s="2"/>
      <c r="B217" s="2"/>
      <c r="C217" s="2"/>
      <c r="D217" s="37"/>
      <c r="E217" s="37"/>
      <c r="F217" s="37"/>
      <c r="G217" s="2"/>
      <c r="H217" s="39"/>
      <c r="I217" s="2"/>
      <c r="J217" s="2"/>
      <c r="K217" s="2"/>
    </row>
    <row r="218" spans="1:11">
      <c r="A218" s="2"/>
      <c r="B218" s="2"/>
      <c r="C218" s="2"/>
      <c r="D218" s="37"/>
      <c r="E218" s="37"/>
      <c r="F218" s="37"/>
      <c r="G218" s="2"/>
      <c r="H218" s="39"/>
      <c r="I218" s="2"/>
      <c r="J218" s="2"/>
      <c r="K218" s="2"/>
    </row>
    <row r="219" spans="1:11">
      <c r="A219" s="2"/>
      <c r="B219" s="2"/>
      <c r="C219" s="2"/>
      <c r="D219" s="37"/>
      <c r="E219" s="37"/>
      <c r="F219" s="37"/>
      <c r="G219" s="2"/>
      <c r="H219" s="39"/>
      <c r="I219" s="2"/>
      <c r="J219" s="2"/>
      <c r="K219" s="2"/>
    </row>
    <row r="220" spans="1:11">
      <c r="A220" s="2"/>
      <c r="B220" s="2"/>
      <c r="C220" s="2"/>
      <c r="D220" s="37"/>
      <c r="E220" s="37"/>
      <c r="F220" s="37"/>
      <c r="G220" s="2"/>
      <c r="H220" s="39"/>
      <c r="I220" s="2"/>
      <c r="J220" s="2"/>
      <c r="K220" s="2"/>
    </row>
    <row r="221" spans="1:11">
      <c r="A221" s="2"/>
      <c r="B221" s="2"/>
      <c r="C221" s="2"/>
      <c r="D221" s="37"/>
      <c r="E221" s="37"/>
      <c r="F221" s="37"/>
      <c r="G221" s="2"/>
      <c r="H221" s="39"/>
      <c r="I221" s="2"/>
      <c r="J221" s="2"/>
      <c r="K221" s="2"/>
    </row>
    <row r="222" spans="1:11">
      <c r="A222" s="2"/>
      <c r="B222" s="2"/>
      <c r="C222" s="2"/>
      <c r="D222" s="37"/>
      <c r="E222" s="37"/>
      <c r="F222" s="37"/>
      <c r="G222" s="2"/>
      <c r="H222" s="39"/>
      <c r="I222" s="2"/>
      <c r="J222" s="2"/>
      <c r="K222" s="2"/>
    </row>
    <row r="223" spans="1:11">
      <c r="A223" s="2"/>
      <c r="B223" s="2"/>
      <c r="C223" s="2"/>
      <c r="D223" s="37"/>
      <c r="E223" s="37"/>
      <c r="F223" s="37"/>
      <c r="G223" s="2"/>
      <c r="H223" s="39"/>
      <c r="I223" s="2"/>
      <c r="J223" s="2"/>
      <c r="K223" s="2"/>
    </row>
    <row r="224" spans="1:11">
      <c r="A224" s="2"/>
      <c r="B224" s="2"/>
      <c r="C224" s="2"/>
      <c r="D224" s="37"/>
      <c r="E224" s="37"/>
      <c r="F224" s="37"/>
      <c r="G224" s="2"/>
      <c r="H224" s="39"/>
      <c r="I224" s="2"/>
      <c r="J224" s="2"/>
      <c r="K224" s="2"/>
    </row>
    <row r="225" spans="1:11">
      <c r="A225" s="2"/>
      <c r="B225" s="2"/>
      <c r="C225" s="2"/>
      <c r="D225" s="37"/>
      <c r="E225" s="37"/>
      <c r="F225" s="37"/>
      <c r="G225" s="2"/>
      <c r="H225" s="39"/>
      <c r="I225" s="2"/>
      <c r="J225" s="2"/>
      <c r="K225" s="2"/>
    </row>
    <row r="226" spans="1:11">
      <c r="A226" s="2"/>
      <c r="B226" s="2"/>
      <c r="C226" s="2"/>
      <c r="D226" s="37"/>
      <c r="E226" s="37"/>
      <c r="F226" s="37"/>
      <c r="G226" s="2"/>
      <c r="H226" s="39"/>
      <c r="I226" s="2"/>
      <c r="J226" s="2"/>
      <c r="K226" s="2"/>
    </row>
    <row r="227" spans="1:11">
      <c r="A227" s="2"/>
      <c r="B227" s="2"/>
      <c r="C227" s="2"/>
      <c r="D227" s="37"/>
      <c r="E227" s="37"/>
      <c r="F227" s="37"/>
      <c r="G227" s="2"/>
      <c r="H227" s="39"/>
      <c r="I227" s="2"/>
      <c r="J227" s="2"/>
      <c r="K227" s="2"/>
    </row>
    <row r="228" spans="1:11">
      <c r="A228" s="2"/>
      <c r="B228" s="2"/>
      <c r="C228" s="2"/>
      <c r="D228" s="37"/>
      <c r="E228" s="37"/>
      <c r="F228" s="37"/>
      <c r="G228" s="2"/>
      <c r="H228" s="39"/>
      <c r="I228" s="2"/>
      <c r="J228" s="2"/>
      <c r="K228" s="2"/>
    </row>
    <row r="229" spans="1:11">
      <c r="A229" s="2"/>
      <c r="B229" s="2"/>
      <c r="C229" s="2"/>
      <c r="D229" s="37"/>
      <c r="E229" s="37"/>
      <c r="F229" s="37"/>
      <c r="G229" s="2"/>
      <c r="H229" s="39"/>
      <c r="I229" s="2"/>
      <c r="J229" s="2"/>
      <c r="K229" s="2"/>
    </row>
    <row r="230" spans="1:11">
      <c r="A230" s="2"/>
      <c r="B230" s="2"/>
      <c r="C230" s="2"/>
      <c r="D230" s="37"/>
      <c r="E230" s="37"/>
      <c r="F230" s="37"/>
      <c r="G230" s="2"/>
      <c r="H230" s="39"/>
      <c r="I230" s="2"/>
      <c r="J230" s="2"/>
      <c r="K230" s="2"/>
    </row>
    <row r="231" spans="1:11">
      <c r="A231" s="2"/>
      <c r="B231" s="2"/>
      <c r="C231" s="2"/>
      <c r="D231" s="37"/>
      <c r="E231" s="37"/>
      <c r="F231" s="37"/>
      <c r="G231" s="2"/>
      <c r="H231" s="39"/>
      <c r="I231" s="2"/>
      <c r="J231" s="2"/>
      <c r="K231" s="2"/>
    </row>
    <row r="232" spans="1:11">
      <c r="A232" s="2"/>
      <c r="B232" s="2"/>
      <c r="C232" s="2"/>
      <c r="D232" s="37"/>
      <c r="E232" s="37"/>
      <c r="F232" s="37"/>
      <c r="G232" s="2"/>
      <c r="H232" s="39"/>
      <c r="I232" s="2"/>
      <c r="J232" s="2"/>
      <c r="K232" s="2"/>
    </row>
    <row r="233" spans="1:11">
      <c r="A233" s="2"/>
      <c r="B233" s="2"/>
      <c r="C233" s="2"/>
      <c r="D233" s="37"/>
      <c r="E233" s="37"/>
      <c r="F233" s="37"/>
      <c r="G233" s="2"/>
      <c r="H233" s="39"/>
      <c r="I233" s="2"/>
      <c r="J233" s="2"/>
      <c r="K233" s="2"/>
    </row>
    <row r="234" spans="1:11">
      <c r="A234" s="2"/>
      <c r="B234" s="2"/>
      <c r="C234" s="2"/>
      <c r="D234" s="37"/>
      <c r="E234" s="37"/>
      <c r="F234" s="37"/>
      <c r="G234" s="2"/>
      <c r="H234" s="39"/>
      <c r="I234" s="2"/>
      <c r="J234" s="2"/>
      <c r="K234" s="2"/>
    </row>
    <row r="235" spans="1:11">
      <c r="A235" s="2"/>
      <c r="B235" s="2"/>
      <c r="C235" s="2"/>
      <c r="D235" s="37"/>
      <c r="E235" s="37"/>
      <c r="F235" s="37"/>
      <c r="G235" s="2"/>
      <c r="H235" s="39"/>
      <c r="I235" s="2"/>
      <c r="J235" s="2"/>
      <c r="K235" s="2"/>
    </row>
    <row r="236" spans="1:11">
      <c r="A236" s="2"/>
      <c r="B236" s="2"/>
      <c r="C236" s="2"/>
      <c r="D236" s="37"/>
      <c r="E236" s="37"/>
      <c r="F236" s="37"/>
      <c r="G236" s="2"/>
      <c r="H236" s="39"/>
      <c r="I236" s="2"/>
      <c r="J236" s="2"/>
      <c r="K236" s="2"/>
    </row>
    <row r="237" spans="1:11">
      <c r="A237" s="2"/>
      <c r="B237" s="2"/>
      <c r="C237" s="2"/>
      <c r="D237" s="37"/>
      <c r="E237" s="37"/>
      <c r="F237" s="37"/>
      <c r="G237" s="2"/>
      <c r="H237" s="39"/>
      <c r="I237" s="2"/>
      <c r="J237" s="2"/>
      <c r="K237" s="2"/>
    </row>
    <row r="238" spans="1:11">
      <c r="A238" s="2"/>
      <c r="B238" s="2"/>
      <c r="C238" s="2"/>
      <c r="D238" s="37"/>
      <c r="E238" s="37"/>
      <c r="F238" s="37"/>
      <c r="G238" s="2"/>
      <c r="H238" s="39"/>
      <c r="I238" s="2"/>
      <c r="J238" s="2"/>
      <c r="K238" s="2"/>
    </row>
    <row r="239" spans="1:11">
      <c r="A239" s="2"/>
      <c r="B239" s="2"/>
      <c r="C239" s="2"/>
      <c r="D239" s="37"/>
      <c r="E239" s="37"/>
      <c r="F239" s="37"/>
      <c r="G239" s="2"/>
      <c r="H239" s="39"/>
      <c r="I239" s="2"/>
      <c r="J239" s="2"/>
      <c r="K239" s="2"/>
    </row>
    <row r="240" spans="1:11">
      <c r="A240" s="2"/>
      <c r="B240" s="2"/>
      <c r="C240" s="2"/>
      <c r="D240" s="37"/>
      <c r="E240" s="37"/>
      <c r="F240" s="37"/>
      <c r="G240" s="2"/>
      <c r="H240" s="39"/>
      <c r="I240" s="2"/>
      <c r="J240" s="2"/>
      <c r="K240" s="2"/>
    </row>
    <row r="241" spans="1:11">
      <c r="A241" s="2"/>
      <c r="B241" s="2"/>
      <c r="C241" s="2"/>
      <c r="D241" s="37"/>
      <c r="E241" s="37"/>
      <c r="F241" s="37"/>
      <c r="G241" s="2"/>
      <c r="H241" s="39"/>
      <c r="I241" s="2"/>
      <c r="J241" s="2"/>
      <c r="K241" s="2"/>
    </row>
    <row r="242" spans="1:11">
      <c r="A242" s="2"/>
      <c r="B242" s="2"/>
      <c r="C242" s="2"/>
      <c r="D242" s="37"/>
      <c r="E242" s="37"/>
      <c r="F242" s="37"/>
      <c r="G242" s="2"/>
      <c r="H242" s="39"/>
      <c r="I242" s="2"/>
      <c r="J242" s="2"/>
      <c r="K242" s="2"/>
    </row>
    <row r="243" spans="1:11">
      <c r="A243" s="2"/>
      <c r="B243" s="2"/>
      <c r="C243" s="2"/>
      <c r="D243" s="37"/>
      <c r="E243" s="37"/>
      <c r="F243" s="37"/>
      <c r="G243" s="2"/>
      <c r="H243" s="39"/>
      <c r="I243" s="2"/>
      <c r="J243" s="2"/>
      <c r="K243" s="2"/>
    </row>
    <row r="244" spans="1:11">
      <c r="A244" s="2"/>
      <c r="B244" s="2"/>
      <c r="C244" s="2"/>
      <c r="D244" s="37"/>
      <c r="E244" s="37"/>
      <c r="F244" s="37"/>
      <c r="G244" s="2"/>
      <c r="H244" s="39"/>
      <c r="I244" s="2"/>
      <c r="J244" s="2"/>
      <c r="K244" s="2"/>
    </row>
    <row r="245" spans="1:11">
      <c r="A245" s="2"/>
      <c r="B245" s="2"/>
      <c r="C245" s="2"/>
      <c r="D245" s="37"/>
      <c r="E245" s="37"/>
      <c r="F245" s="37"/>
      <c r="G245" s="2"/>
      <c r="H245" s="39"/>
      <c r="I245" s="2"/>
      <c r="J245" s="2"/>
      <c r="K245" s="2"/>
    </row>
    <row r="246" spans="1:11">
      <c r="A246" s="2"/>
      <c r="B246" s="2"/>
      <c r="C246" s="2"/>
      <c r="D246" s="37"/>
      <c r="E246" s="37"/>
      <c r="F246" s="37"/>
      <c r="G246" s="2"/>
      <c r="H246" s="39"/>
      <c r="I246" s="2"/>
      <c r="J246" s="2"/>
      <c r="K246" s="2"/>
    </row>
    <row r="247" spans="1:11">
      <c r="A247" s="2"/>
      <c r="B247" s="2"/>
      <c r="C247" s="2"/>
      <c r="D247" s="37"/>
      <c r="E247" s="37"/>
      <c r="F247" s="37"/>
      <c r="G247" s="2"/>
      <c r="H247" s="39"/>
      <c r="I247" s="2"/>
      <c r="J247" s="2"/>
      <c r="K247" s="2"/>
    </row>
    <row r="248" spans="1:11">
      <c r="A248" s="2"/>
      <c r="B248" s="2"/>
      <c r="C248" s="2"/>
      <c r="D248" s="37"/>
      <c r="E248" s="37"/>
      <c r="F248" s="37"/>
      <c r="G248" s="2"/>
      <c r="H248" s="39"/>
      <c r="I248" s="2"/>
      <c r="J248" s="2"/>
      <c r="K248" s="2"/>
    </row>
    <row r="249" spans="1:11">
      <c r="A249" s="2"/>
      <c r="B249" s="2"/>
      <c r="C249" s="2"/>
      <c r="D249" s="37"/>
      <c r="E249" s="37"/>
      <c r="F249" s="37"/>
      <c r="G249" s="2"/>
      <c r="H249" s="39"/>
      <c r="I249" s="2"/>
      <c r="J249" s="2"/>
      <c r="K249" s="2"/>
    </row>
    <row r="250" spans="1:11">
      <c r="A250" s="2"/>
      <c r="B250" s="2"/>
      <c r="C250" s="2"/>
      <c r="D250" s="37"/>
      <c r="E250" s="37"/>
      <c r="F250" s="37"/>
      <c r="G250" s="2"/>
      <c r="H250" s="39"/>
      <c r="I250" s="2"/>
      <c r="J250" s="2"/>
      <c r="K250" s="2"/>
    </row>
    <row r="251" spans="1:11">
      <c r="A251" s="2"/>
      <c r="B251" s="2"/>
      <c r="C251" s="2"/>
      <c r="D251" s="37"/>
      <c r="E251" s="37"/>
      <c r="F251" s="37"/>
      <c r="G251" s="2"/>
      <c r="H251" s="39"/>
      <c r="I251" s="2"/>
      <c r="J251" s="2"/>
      <c r="K251" s="2"/>
    </row>
    <row r="252" spans="1:11">
      <c r="A252" s="2"/>
      <c r="B252" s="2"/>
      <c r="C252" s="2"/>
      <c r="D252" s="37"/>
      <c r="E252" s="37"/>
      <c r="F252" s="37"/>
      <c r="G252" s="2"/>
      <c r="H252" s="39"/>
      <c r="I252" s="2"/>
      <c r="J252" s="2"/>
      <c r="K252" s="2"/>
    </row>
    <row r="253" spans="1:11">
      <c r="A253" s="2"/>
      <c r="B253" s="2"/>
      <c r="C253" s="2"/>
      <c r="D253" s="37"/>
      <c r="E253" s="37"/>
      <c r="F253" s="37"/>
      <c r="G253" s="2"/>
      <c r="H253" s="39"/>
      <c r="I253" s="2"/>
      <c r="J253" s="2"/>
      <c r="K253" s="2"/>
    </row>
    <row r="254" spans="1:11">
      <c r="A254" s="2"/>
      <c r="B254" s="2"/>
      <c r="C254" s="2"/>
      <c r="D254" s="37"/>
      <c r="E254" s="37"/>
      <c r="F254" s="37"/>
      <c r="G254" s="2"/>
      <c r="H254" s="39"/>
      <c r="I254" s="2"/>
      <c r="J254" s="2"/>
      <c r="K254" s="2"/>
    </row>
    <row r="255" spans="1:11">
      <c r="A255" s="2"/>
      <c r="B255" s="2"/>
      <c r="C255" s="2"/>
      <c r="D255" s="37"/>
      <c r="E255" s="37"/>
      <c r="F255" s="37"/>
      <c r="G255" s="2"/>
      <c r="H255" s="39"/>
      <c r="I255" s="2"/>
      <c r="J255" s="2"/>
      <c r="K255" s="2"/>
    </row>
    <row r="256" spans="1:11">
      <c r="A256" s="2"/>
      <c r="B256" s="2"/>
      <c r="C256" s="2"/>
      <c r="D256" s="37"/>
      <c r="E256" s="37"/>
      <c r="F256" s="37"/>
      <c r="G256" s="2"/>
      <c r="H256" s="39"/>
      <c r="I256" s="2"/>
      <c r="J256" s="2"/>
      <c r="K256" s="2"/>
    </row>
    <row r="257" spans="1:11">
      <c r="A257" s="2"/>
      <c r="B257" s="2"/>
      <c r="C257" s="2"/>
      <c r="D257" s="37"/>
      <c r="E257" s="37"/>
      <c r="F257" s="37"/>
      <c r="G257" s="2"/>
      <c r="H257" s="39"/>
      <c r="I257" s="2"/>
      <c r="J257" s="2"/>
      <c r="K257" s="2"/>
    </row>
    <row r="258" spans="1:11">
      <c r="A258" s="2"/>
      <c r="B258" s="2"/>
      <c r="C258" s="2"/>
      <c r="D258" s="37"/>
      <c r="E258" s="37"/>
      <c r="F258" s="37"/>
      <c r="G258" s="2"/>
      <c r="H258" s="39"/>
      <c r="I258" s="2"/>
      <c r="J258" s="2"/>
      <c r="K258" s="2"/>
    </row>
    <row r="259" spans="1:11">
      <c r="A259" s="2"/>
      <c r="B259" s="2"/>
      <c r="C259" s="2"/>
      <c r="D259" s="37"/>
      <c r="E259" s="37"/>
      <c r="F259" s="37"/>
      <c r="G259" s="2"/>
      <c r="H259" s="39"/>
      <c r="I259" s="2"/>
      <c r="J259" s="2"/>
      <c r="K259" s="2"/>
    </row>
    <row r="260" spans="1:11">
      <c r="A260" s="2"/>
      <c r="B260" s="2"/>
      <c r="C260" s="2"/>
      <c r="D260" s="37"/>
      <c r="E260" s="37"/>
      <c r="F260" s="37"/>
      <c r="G260" s="2"/>
      <c r="H260" s="39"/>
      <c r="I260" s="2"/>
      <c r="J260" s="2"/>
      <c r="K260" s="2"/>
    </row>
    <row r="261" spans="1:11">
      <c r="A261" s="2"/>
      <c r="B261" s="2"/>
      <c r="C261" s="2"/>
      <c r="D261" s="37"/>
      <c r="E261" s="37"/>
      <c r="F261" s="37"/>
      <c r="G261" s="2"/>
      <c r="H261" s="39"/>
      <c r="I261" s="2"/>
      <c r="J261" s="2"/>
      <c r="K261" s="2"/>
    </row>
    <row r="262" spans="1:11">
      <c r="A262" s="2"/>
      <c r="B262" s="2"/>
      <c r="C262" s="2"/>
      <c r="D262" s="37"/>
      <c r="E262" s="37"/>
      <c r="F262" s="37"/>
      <c r="G262" s="2"/>
      <c r="H262" s="39"/>
      <c r="I262" s="2"/>
      <c r="J262" s="2"/>
      <c r="K262" s="2"/>
    </row>
    <row r="263" spans="1:11">
      <c r="A263" s="2"/>
      <c r="B263" s="2"/>
      <c r="C263" s="2"/>
      <c r="D263" s="37"/>
      <c r="E263" s="37"/>
      <c r="F263" s="37"/>
      <c r="G263" s="2"/>
      <c r="H263" s="39"/>
      <c r="I263" s="2"/>
      <c r="J263" s="2"/>
      <c r="K263" s="2"/>
    </row>
    <row r="264" spans="1:11">
      <c r="A264" s="2"/>
      <c r="B264" s="2"/>
      <c r="C264" s="2"/>
      <c r="D264" s="37"/>
      <c r="E264" s="37"/>
      <c r="F264" s="37"/>
      <c r="G264" s="2"/>
      <c r="H264" s="39"/>
      <c r="I264" s="2"/>
      <c r="J264" s="2"/>
      <c r="K264" s="2"/>
    </row>
    <row r="265" spans="1:11">
      <c r="A265" s="2"/>
      <c r="B265" s="2"/>
      <c r="C265" s="2"/>
      <c r="D265" s="37"/>
      <c r="E265" s="37"/>
      <c r="F265" s="37"/>
      <c r="G265" s="2"/>
      <c r="H265" s="39"/>
      <c r="I265" s="2"/>
      <c r="J265" s="2"/>
      <c r="K265" s="2"/>
    </row>
    <row r="266" spans="1:11">
      <c r="A266" s="2"/>
      <c r="B266" s="2"/>
      <c r="C266" s="2"/>
      <c r="D266" s="37"/>
      <c r="E266" s="37"/>
      <c r="F266" s="37"/>
      <c r="G266" s="2"/>
      <c r="H266" s="39"/>
      <c r="I266" s="2"/>
      <c r="J266" s="2"/>
      <c r="K266" s="2"/>
    </row>
    <row r="267" spans="1:11">
      <c r="A267" s="2"/>
      <c r="B267" s="2"/>
      <c r="C267" s="2"/>
      <c r="D267" s="37"/>
      <c r="E267" s="37"/>
      <c r="F267" s="37"/>
      <c r="G267" s="2"/>
      <c r="H267" s="39"/>
      <c r="I267" s="2"/>
      <c r="J267" s="2"/>
      <c r="K267" s="2"/>
    </row>
    <row r="268" spans="1:11">
      <c r="A268" s="2"/>
      <c r="B268" s="2"/>
      <c r="C268" s="2"/>
      <c r="D268" s="37"/>
      <c r="E268" s="37"/>
      <c r="F268" s="37"/>
      <c r="G268" s="2"/>
      <c r="H268" s="39"/>
      <c r="I268" s="2"/>
      <c r="J268" s="2"/>
      <c r="K268" s="2"/>
    </row>
    <row r="269" spans="1:11">
      <c r="A269" s="2"/>
      <c r="B269" s="2"/>
      <c r="C269" s="2"/>
      <c r="D269" s="37"/>
      <c r="E269" s="37"/>
      <c r="F269" s="37"/>
      <c r="G269" s="2"/>
      <c r="H269" s="39"/>
      <c r="I269" s="2"/>
      <c r="J269" s="2"/>
      <c r="K269" s="2"/>
    </row>
    <row r="270" spans="1:11">
      <c r="A270" s="2"/>
      <c r="B270" s="2"/>
      <c r="C270" s="2"/>
      <c r="D270" s="37"/>
      <c r="E270" s="37"/>
      <c r="F270" s="37"/>
      <c r="G270" s="2"/>
      <c r="H270" s="39"/>
      <c r="I270" s="2"/>
      <c r="J270" s="2"/>
      <c r="K270" s="2"/>
    </row>
    <row r="271" spans="1:11">
      <c r="A271" s="2"/>
      <c r="B271" s="2"/>
      <c r="C271" s="2"/>
      <c r="D271" s="37"/>
      <c r="E271" s="37"/>
      <c r="F271" s="37"/>
      <c r="G271" s="2"/>
      <c r="H271" s="39"/>
      <c r="I271" s="2"/>
      <c r="J271" s="2"/>
      <c r="K271" s="2"/>
    </row>
    <row r="272" spans="1:11">
      <c r="A272" s="2"/>
      <c r="B272" s="2"/>
      <c r="C272" s="2"/>
      <c r="D272" s="37"/>
      <c r="E272" s="37"/>
      <c r="F272" s="37"/>
      <c r="G272" s="2"/>
      <c r="H272" s="39"/>
      <c r="I272" s="2"/>
      <c r="J272" s="2"/>
      <c r="K272" s="2"/>
    </row>
    <row r="273" spans="1:11">
      <c r="A273" s="2"/>
      <c r="B273" s="2"/>
      <c r="C273" s="2"/>
      <c r="D273" s="37"/>
      <c r="E273" s="37"/>
      <c r="F273" s="37"/>
      <c r="G273" s="2"/>
      <c r="H273" s="39"/>
      <c r="I273" s="2"/>
      <c r="J273" s="2"/>
      <c r="K273" s="2"/>
    </row>
    <row r="274" spans="1:11">
      <c r="A274" s="2"/>
      <c r="B274" s="2"/>
      <c r="C274" s="2"/>
      <c r="D274" s="37"/>
      <c r="E274" s="37"/>
      <c r="F274" s="37"/>
      <c r="G274" s="2"/>
      <c r="H274" s="39"/>
      <c r="I274" s="2"/>
      <c r="J274" s="2"/>
      <c r="K274" s="2"/>
    </row>
    <row r="275" spans="1:11">
      <c r="A275" s="2"/>
      <c r="B275" s="2"/>
      <c r="C275" s="2"/>
      <c r="D275" s="37"/>
      <c r="E275" s="37"/>
      <c r="F275" s="37"/>
      <c r="G275" s="2"/>
      <c r="H275" s="39"/>
      <c r="I275" s="2"/>
      <c r="J275" s="2"/>
      <c r="K275" s="2"/>
    </row>
    <row r="276" spans="1:11">
      <c r="A276" s="2"/>
      <c r="B276" s="2"/>
      <c r="C276" s="2"/>
      <c r="D276" s="37"/>
      <c r="E276" s="37"/>
      <c r="F276" s="37"/>
      <c r="G276" s="2"/>
      <c r="H276" s="39"/>
      <c r="I276" s="2"/>
      <c r="J276" s="2"/>
      <c r="K276" s="2"/>
    </row>
    <row r="277" spans="1:11">
      <c r="A277" s="2"/>
      <c r="B277" s="2"/>
      <c r="C277" s="2"/>
      <c r="D277" s="37"/>
      <c r="E277" s="37"/>
      <c r="F277" s="37"/>
      <c r="G277" s="2"/>
      <c r="H277" s="39"/>
      <c r="I277" s="2"/>
      <c r="J277" s="2"/>
      <c r="K277" s="2"/>
    </row>
    <row r="278" spans="1:11">
      <c r="A278" s="2"/>
      <c r="B278" s="2"/>
      <c r="C278" s="2"/>
      <c r="D278" s="37"/>
      <c r="E278" s="37"/>
      <c r="F278" s="37"/>
      <c r="G278" s="2"/>
      <c r="H278" s="39"/>
      <c r="I278" s="2"/>
      <c r="J278" s="2"/>
      <c r="K278" s="2"/>
    </row>
    <row r="279" spans="1:11">
      <c r="A279" s="2"/>
      <c r="B279" s="2"/>
      <c r="C279" s="2"/>
      <c r="D279" s="37"/>
      <c r="E279" s="37"/>
      <c r="F279" s="37"/>
      <c r="G279" s="2"/>
      <c r="H279" s="39"/>
      <c r="I279" s="2"/>
      <c r="J279" s="2"/>
      <c r="K279" s="2"/>
    </row>
    <row r="280" spans="1:11">
      <c r="A280" s="2"/>
      <c r="B280" s="2"/>
      <c r="C280" s="2"/>
      <c r="D280" s="37"/>
      <c r="E280" s="37"/>
      <c r="F280" s="37"/>
      <c r="G280" s="2"/>
      <c r="H280" s="39"/>
      <c r="I280" s="2"/>
      <c r="J280" s="2"/>
      <c r="K280" s="2"/>
    </row>
    <row r="281" spans="1:11">
      <c r="A281" s="2"/>
      <c r="B281" s="2"/>
      <c r="C281" s="2"/>
      <c r="D281" s="37"/>
      <c r="E281" s="37"/>
      <c r="F281" s="37"/>
      <c r="G281" s="2"/>
      <c r="H281" s="39"/>
      <c r="I281" s="2"/>
      <c r="J281" s="2"/>
      <c r="K281" s="2"/>
    </row>
    <row r="282" spans="1:11">
      <c r="A282" s="2"/>
      <c r="B282" s="2"/>
      <c r="C282" s="2"/>
      <c r="D282" s="37"/>
      <c r="E282" s="37"/>
      <c r="F282" s="37"/>
      <c r="G282" s="2"/>
      <c r="H282" s="39"/>
      <c r="I282" s="2"/>
      <c r="J282" s="2"/>
      <c r="K282" s="2"/>
    </row>
    <row r="283" spans="1:11">
      <c r="A283" s="2"/>
      <c r="B283" s="2"/>
      <c r="C283" s="2"/>
      <c r="D283" s="37"/>
      <c r="E283" s="37"/>
      <c r="F283" s="37"/>
      <c r="G283" s="2"/>
      <c r="H283" s="39"/>
      <c r="I283" s="2"/>
      <c r="J283" s="2"/>
      <c r="K283" s="2"/>
    </row>
    <row r="284" spans="1:11">
      <c r="A284" s="2"/>
      <c r="B284" s="2"/>
      <c r="C284" s="2"/>
      <c r="D284" s="37"/>
      <c r="E284" s="37"/>
      <c r="F284" s="37"/>
      <c r="G284" s="2"/>
      <c r="H284" s="39"/>
      <c r="I284" s="2"/>
      <c r="J284" s="2"/>
      <c r="K284" s="2"/>
    </row>
    <row r="285" spans="1:11">
      <c r="A285" s="2"/>
      <c r="B285" s="2"/>
      <c r="C285" s="2"/>
      <c r="D285" s="37"/>
      <c r="E285" s="37"/>
      <c r="F285" s="37"/>
      <c r="G285" s="2"/>
      <c r="H285" s="39"/>
      <c r="I285" s="2"/>
      <c r="J285" s="2"/>
      <c r="K285" s="2"/>
    </row>
    <row r="286" spans="1:11">
      <c r="A286" s="2"/>
      <c r="B286" s="2"/>
      <c r="C286" s="2"/>
      <c r="D286" s="37"/>
      <c r="E286" s="37"/>
      <c r="F286" s="37"/>
      <c r="G286" s="2"/>
      <c r="H286" s="39"/>
      <c r="I286" s="2"/>
      <c r="J286" s="2"/>
      <c r="K286" s="2"/>
    </row>
  </sheetData>
  <autoFilter ref="A2:K93" xr:uid="{92E4D446-4A3E-4C63-8377-3470B1C44EB1}">
    <filterColumn colId="1">
      <filters>
        <filter val="4500095281"/>
        <filter val="(NonBlanks)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C0EC-40F1-4E84-884D-0E0B54DF917B}">
  <dimension ref="A1:N12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18.109375" bestFit="1" customWidth="1"/>
    <col min="2" max="2" width="11.44140625" style="21" customWidth="1"/>
    <col min="3" max="4" width="11.44140625" customWidth="1"/>
    <col min="5" max="5" width="31.109375" customWidth="1"/>
    <col min="6" max="7" width="14.88671875" customWidth="1"/>
    <col min="8" max="8" width="14.88671875" style="21" customWidth="1"/>
    <col min="9" max="9" width="14.88671875" customWidth="1"/>
    <col min="10" max="10" width="14.88671875" style="21" customWidth="1"/>
    <col min="11" max="11" width="14.88671875" customWidth="1"/>
    <col min="12" max="12" width="14.88671875" style="79" customWidth="1"/>
    <col min="13" max="13" width="36.109375" bestFit="1" customWidth="1"/>
  </cols>
  <sheetData>
    <row r="1" spans="1:14" s="83" customFormat="1" ht="43.2">
      <c r="A1" s="80" t="s">
        <v>648</v>
      </c>
      <c r="B1" s="81" t="s">
        <v>649</v>
      </c>
      <c r="C1" s="81" t="s">
        <v>640</v>
      </c>
      <c r="D1" s="80" t="s">
        <v>650</v>
      </c>
      <c r="E1" s="80" t="s">
        <v>34</v>
      </c>
      <c r="F1" s="80" t="s">
        <v>145</v>
      </c>
      <c r="G1" s="80" t="s">
        <v>651</v>
      </c>
      <c r="H1" s="81" t="s">
        <v>649</v>
      </c>
      <c r="I1" s="80" t="s">
        <v>652</v>
      </c>
      <c r="J1" s="81" t="s">
        <v>653</v>
      </c>
      <c r="K1" s="81" t="s">
        <v>654</v>
      </c>
      <c r="L1" s="82" t="s">
        <v>655</v>
      </c>
      <c r="M1" s="82" t="s">
        <v>7</v>
      </c>
    </row>
    <row r="2" spans="1:14">
      <c r="A2" s="125" t="s">
        <v>171</v>
      </c>
      <c r="B2" s="126">
        <v>45786</v>
      </c>
      <c r="C2" s="127">
        <v>158729</v>
      </c>
      <c r="D2" s="127">
        <v>171427.32</v>
      </c>
      <c r="E2" s="127" t="s">
        <v>474</v>
      </c>
      <c r="F2" s="127">
        <v>4500095649</v>
      </c>
      <c r="G2" s="127" t="s">
        <v>170</v>
      </c>
      <c r="H2" s="126">
        <v>45810</v>
      </c>
      <c r="I2" s="127">
        <v>166666</v>
      </c>
      <c r="J2" s="126">
        <v>45838</v>
      </c>
      <c r="K2" s="127">
        <v>1400004223</v>
      </c>
      <c r="L2" s="171">
        <f>(I2-C2)/C2</f>
        <v>5.0003465025294687E-2</v>
      </c>
      <c r="M2" s="127" t="s">
        <v>656</v>
      </c>
      <c r="N2" t="s">
        <v>657</v>
      </c>
    </row>
    <row r="3" spans="1:14">
      <c r="A3" s="128" t="s">
        <v>595</v>
      </c>
      <c r="B3" s="129">
        <v>45840</v>
      </c>
      <c r="C3" s="130">
        <v>352072</v>
      </c>
      <c r="D3" s="131">
        <v>408404</v>
      </c>
      <c r="E3" s="128" t="s">
        <v>562</v>
      </c>
      <c r="F3" s="128">
        <v>4500099372</v>
      </c>
      <c r="G3" s="132" t="s">
        <v>406</v>
      </c>
      <c r="H3" s="133">
        <v>45842</v>
      </c>
      <c r="I3" s="134">
        <v>199056</v>
      </c>
      <c r="J3" s="133">
        <v>45868</v>
      </c>
      <c r="K3" s="132">
        <v>1400005598</v>
      </c>
      <c r="L3" s="171">
        <f>(I3+I4-C3)/C3</f>
        <v>4.9998295803131178E-2</v>
      </c>
      <c r="M3" s="127" t="s">
        <v>658</v>
      </c>
      <c r="N3" t="s">
        <v>657</v>
      </c>
    </row>
    <row r="4" spans="1:14">
      <c r="A4" s="128" t="s">
        <v>595</v>
      </c>
      <c r="B4" s="132"/>
      <c r="C4" s="132"/>
      <c r="D4" s="132"/>
      <c r="E4" s="128" t="s">
        <v>562</v>
      </c>
      <c r="F4" s="128">
        <v>4500099372</v>
      </c>
      <c r="G4" s="132" t="s">
        <v>407</v>
      </c>
      <c r="H4" s="133">
        <v>45842</v>
      </c>
      <c r="I4" s="134">
        <v>170619</v>
      </c>
      <c r="J4" s="133">
        <v>45868</v>
      </c>
      <c r="K4" s="132">
        <v>1400005598</v>
      </c>
      <c r="L4" s="132" t="s">
        <v>659</v>
      </c>
      <c r="M4" s="127" t="s">
        <v>658</v>
      </c>
      <c r="N4" t="s">
        <v>657</v>
      </c>
    </row>
    <row r="5" spans="1:14">
      <c r="A5" s="128" t="s">
        <v>596</v>
      </c>
      <c r="B5" s="129">
        <v>45840</v>
      </c>
      <c r="C5" s="130">
        <v>87657</v>
      </c>
      <c r="D5" s="131">
        <v>101682</v>
      </c>
      <c r="E5" s="128" t="s">
        <v>478</v>
      </c>
      <c r="F5" s="128">
        <v>4500098672</v>
      </c>
      <c r="G5" s="132" t="s">
        <v>412</v>
      </c>
      <c r="H5" s="133">
        <v>45840</v>
      </c>
      <c r="I5" s="134">
        <v>92040</v>
      </c>
      <c r="J5" s="133">
        <v>45868</v>
      </c>
      <c r="K5" s="132">
        <v>1400005598</v>
      </c>
      <c r="L5" s="171">
        <f t="shared" ref="L5:L12" si="0">(I5-C5)/C5</f>
        <v>5.0001711215305111E-2</v>
      </c>
      <c r="M5" s="127" t="s">
        <v>658</v>
      </c>
      <c r="N5" t="s">
        <v>657</v>
      </c>
    </row>
    <row r="6" spans="1:14">
      <c r="A6" s="135" t="s">
        <v>471</v>
      </c>
      <c r="B6" s="136">
        <v>45821</v>
      </c>
      <c r="C6" s="137">
        <v>65000</v>
      </c>
      <c r="D6" s="138">
        <v>75400</v>
      </c>
      <c r="E6" s="135" t="s">
        <v>43</v>
      </c>
      <c r="F6" s="135">
        <v>4500098831</v>
      </c>
      <c r="G6" s="139" t="s">
        <v>158</v>
      </c>
      <c r="H6" s="140">
        <v>45829</v>
      </c>
      <c r="I6" s="141">
        <v>68250</v>
      </c>
      <c r="J6" s="140">
        <v>45859</v>
      </c>
      <c r="K6" s="132">
        <v>1400005222</v>
      </c>
      <c r="L6" s="171">
        <f t="shared" si="0"/>
        <v>0.05</v>
      </c>
      <c r="M6" s="132" t="s">
        <v>658</v>
      </c>
      <c r="N6" t="s">
        <v>657</v>
      </c>
    </row>
    <row r="7" spans="1:14">
      <c r="A7" s="135" t="s">
        <v>473</v>
      </c>
      <c r="B7" s="136">
        <v>45821</v>
      </c>
      <c r="C7" s="137">
        <v>65000</v>
      </c>
      <c r="D7" s="138">
        <v>75400</v>
      </c>
      <c r="E7" s="135" t="s">
        <v>43</v>
      </c>
      <c r="F7" s="135">
        <v>4500098831</v>
      </c>
      <c r="G7" s="139" t="s">
        <v>159</v>
      </c>
      <c r="H7" s="140">
        <v>45829</v>
      </c>
      <c r="I7" s="141">
        <v>68250</v>
      </c>
      <c r="J7" s="140">
        <v>45859</v>
      </c>
      <c r="K7" s="132">
        <v>1400005222</v>
      </c>
      <c r="L7" s="171">
        <f t="shared" si="0"/>
        <v>0.05</v>
      </c>
      <c r="M7" s="132" t="s">
        <v>658</v>
      </c>
      <c r="N7" t="s">
        <v>657</v>
      </c>
    </row>
    <row r="8" spans="1:14">
      <c r="A8" s="142">
        <v>4325</v>
      </c>
      <c r="B8" s="129">
        <v>45811</v>
      </c>
      <c r="C8" s="130">
        <v>74975</v>
      </c>
      <c r="D8" s="131">
        <v>86971</v>
      </c>
      <c r="E8" s="128" t="s">
        <v>497</v>
      </c>
      <c r="F8" s="128">
        <v>4500095362</v>
      </c>
      <c r="G8" s="132" t="s">
        <v>408</v>
      </c>
      <c r="H8" s="133">
        <v>45833</v>
      </c>
      <c r="I8" s="134">
        <v>78724</v>
      </c>
      <c r="J8" s="133">
        <v>45869</v>
      </c>
      <c r="K8" s="132">
        <v>1400005739</v>
      </c>
      <c r="L8" s="171">
        <f t="shared" si="0"/>
        <v>5.0003334444814938E-2</v>
      </c>
      <c r="M8" s="132" t="s">
        <v>658</v>
      </c>
      <c r="N8" t="s">
        <v>657</v>
      </c>
    </row>
    <row r="9" spans="1:14">
      <c r="A9" s="172" t="s">
        <v>660</v>
      </c>
      <c r="B9" s="173">
        <v>45848</v>
      </c>
      <c r="C9" s="174">
        <v>137565</v>
      </c>
      <c r="D9" s="175">
        <v>148570</v>
      </c>
      <c r="E9" s="176" t="s">
        <v>474</v>
      </c>
      <c r="F9" s="177">
        <v>4500095649</v>
      </c>
      <c r="G9" s="177" t="s">
        <v>411</v>
      </c>
      <c r="H9" s="178">
        <v>45849</v>
      </c>
      <c r="I9" s="179">
        <v>144443</v>
      </c>
      <c r="J9" s="178">
        <v>45876</v>
      </c>
      <c r="K9" s="176">
        <v>1400006058</v>
      </c>
      <c r="L9" s="180">
        <f t="shared" si="0"/>
        <v>4.9998182677279832E-2</v>
      </c>
      <c r="M9" s="176" t="s">
        <v>661</v>
      </c>
      <c r="N9" t="s">
        <v>662</v>
      </c>
    </row>
    <row r="10" spans="1:14">
      <c r="A10" s="186">
        <v>4341</v>
      </c>
      <c r="B10" s="173">
        <v>45848</v>
      </c>
      <c r="C10" s="174">
        <v>74975</v>
      </c>
      <c r="D10" s="175">
        <v>86971</v>
      </c>
      <c r="E10" s="187" t="s">
        <v>497</v>
      </c>
      <c r="F10" s="187">
        <v>4500095362</v>
      </c>
      <c r="G10" s="177" t="s">
        <v>410</v>
      </c>
      <c r="H10" s="178">
        <v>45848</v>
      </c>
      <c r="I10" s="179">
        <v>78967</v>
      </c>
      <c r="J10" s="178">
        <v>45510</v>
      </c>
      <c r="K10" s="176">
        <v>1400005910</v>
      </c>
      <c r="L10" s="180">
        <f t="shared" si="0"/>
        <v>5.3244414804934977E-2</v>
      </c>
      <c r="M10" s="176" t="s">
        <v>663</v>
      </c>
      <c r="N10" t="s">
        <v>657</v>
      </c>
    </row>
    <row r="11" spans="1:14">
      <c r="A11" s="135" t="s">
        <v>604</v>
      </c>
      <c r="B11" s="136">
        <v>45850</v>
      </c>
      <c r="C11" s="137">
        <v>189577</v>
      </c>
      <c r="D11" s="138">
        <v>219909</v>
      </c>
      <c r="E11" s="132" t="s">
        <v>562</v>
      </c>
      <c r="F11" s="135">
        <v>4500099372</v>
      </c>
      <c r="G11" s="139" t="s">
        <v>426</v>
      </c>
      <c r="H11" s="133">
        <v>45853</v>
      </c>
      <c r="I11" s="134">
        <v>199056</v>
      </c>
      <c r="J11" s="140">
        <v>45882</v>
      </c>
      <c r="K11" s="132">
        <v>1400006220</v>
      </c>
      <c r="L11" s="184">
        <f t="shared" si="0"/>
        <v>5.0000791235223684E-2</v>
      </c>
      <c r="M11" s="188" t="s">
        <v>664</v>
      </c>
    </row>
    <row r="12" spans="1:14">
      <c r="A12" s="97" t="s">
        <v>509</v>
      </c>
      <c r="B12" s="94">
        <v>45798</v>
      </c>
      <c r="C12" s="104">
        <v>50000</v>
      </c>
      <c r="D12" s="100">
        <v>58000</v>
      </c>
      <c r="E12" s="97" t="s">
        <v>502</v>
      </c>
      <c r="F12" s="121">
        <v>4500100035</v>
      </c>
      <c r="G12" s="89" t="s">
        <v>409</v>
      </c>
      <c r="H12" s="90">
        <v>45855</v>
      </c>
      <c r="I12" s="185">
        <v>50000</v>
      </c>
      <c r="J12" s="122">
        <v>45882</v>
      </c>
      <c r="K12" s="88">
        <v>1400006220</v>
      </c>
      <c r="L12" s="184">
        <f t="shared" si="0"/>
        <v>0</v>
      </c>
      <c r="M12" s="65" t="s">
        <v>665</v>
      </c>
      <c r="N12" t="s">
        <v>666</v>
      </c>
    </row>
  </sheetData>
  <autoFilter ref="A1:M12" xr:uid="{1877C0EC-40F1-4E84-884D-0E0B54DF917B}"/>
  <conditionalFormatting sqref="A2">
    <cfRule type="duplicateValues" dxfId="0" priority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23CB-8DDD-4061-922F-D68FE8046CEE}">
  <dimension ref="A2:D18"/>
  <sheetViews>
    <sheetView workbookViewId="0">
      <pane ySplit="2" topLeftCell="A3" activePane="bottomLeft" state="frozen"/>
      <selection pane="bottomLeft" activeCell="A3" sqref="A3"/>
    </sheetView>
  </sheetViews>
  <sheetFormatPr defaultRowHeight="14.4"/>
  <cols>
    <col min="2" max="2" width="68.109375" bestFit="1" customWidth="1"/>
    <col min="3" max="3" width="14.88671875" bestFit="1" customWidth="1"/>
  </cols>
  <sheetData>
    <row r="2" spans="1:4" s="54" customFormat="1">
      <c r="A2" s="54" t="s">
        <v>667</v>
      </c>
      <c r="B2" s="54" t="s">
        <v>668</v>
      </c>
      <c r="C2" s="54" t="s">
        <v>669</v>
      </c>
    </row>
    <row r="3" spans="1:4">
      <c r="A3">
        <v>1</v>
      </c>
      <c r="B3" t="s">
        <v>670</v>
      </c>
      <c r="C3" t="s">
        <v>13</v>
      </c>
    </row>
    <row r="4" spans="1:4">
      <c r="A4">
        <f>A3+1</f>
        <v>2</v>
      </c>
      <c r="B4" t="s">
        <v>671</v>
      </c>
      <c r="C4" t="s">
        <v>13</v>
      </c>
    </row>
    <row r="5" spans="1:4">
      <c r="A5">
        <f t="shared" ref="A5:A13" si="0">A4+1</f>
        <v>3</v>
      </c>
      <c r="B5" t="s">
        <v>672</v>
      </c>
      <c r="C5" t="s">
        <v>13</v>
      </c>
    </row>
    <row r="6" spans="1:4">
      <c r="A6">
        <f t="shared" si="0"/>
        <v>4</v>
      </c>
      <c r="B6" t="s">
        <v>673</v>
      </c>
      <c r="C6" t="s">
        <v>11</v>
      </c>
    </row>
    <row r="7" spans="1:4">
      <c r="A7">
        <f t="shared" si="0"/>
        <v>5</v>
      </c>
      <c r="B7" t="s">
        <v>674</v>
      </c>
      <c r="C7" t="s">
        <v>13</v>
      </c>
    </row>
    <row r="8" spans="1:4">
      <c r="A8">
        <f t="shared" si="0"/>
        <v>6</v>
      </c>
      <c r="B8" s="72" t="s">
        <v>675</v>
      </c>
      <c r="C8" t="s">
        <v>13</v>
      </c>
    </row>
    <row r="9" spans="1:4">
      <c r="A9">
        <f t="shared" si="0"/>
        <v>7</v>
      </c>
      <c r="B9" t="s">
        <v>676</v>
      </c>
      <c r="C9" t="s">
        <v>13</v>
      </c>
      <c r="D9" t="s">
        <v>677</v>
      </c>
    </row>
    <row r="10" spans="1:4">
      <c r="A10">
        <f t="shared" si="0"/>
        <v>8</v>
      </c>
      <c r="B10" t="s">
        <v>678</v>
      </c>
      <c r="C10" t="s">
        <v>13</v>
      </c>
    </row>
    <row r="11" spans="1:4">
      <c r="A11">
        <f t="shared" si="0"/>
        <v>9</v>
      </c>
      <c r="B11" t="s">
        <v>679</v>
      </c>
    </row>
    <row r="12" spans="1:4" ht="28.8">
      <c r="A12">
        <f t="shared" si="0"/>
        <v>10</v>
      </c>
      <c r="B12" s="56" t="s">
        <v>680</v>
      </c>
      <c r="C12" t="s">
        <v>681</v>
      </c>
    </row>
    <row r="13" spans="1:4">
      <c r="A13">
        <f t="shared" si="0"/>
        <v>11</v>
      </c>
      <c r="B13" t="s">
        <v>682</v>
      </c>
      <c r="C13" t="s">
        <v>11</v>
      </c>
    </row>
    <row r="15" spans="1:4">
      <c r="A15" s="57" t="s">
        <v>683</v>
      </c>
      <c r="B15" s="74" t="s">
        <v>684</v>
      </c>
      <c r="C15" s="58"/>
      <c r="D15" s="73">
        <v>45863</v>
      </c>
    </row>
    <row r="16" spans="1:4">
      <c r="A16" s="57" t="s">
        <v>683</v>
      </c>
      <c r="B16" s="57" t="s">
        <v>685</v>
      </c>
    </row>
    <row r="17" spans="2:2">
      <c r="B17" s="57" t="s">
        <v>686</v>
      </c>
    </row>
    <row r="18" spans="2:2">
      <c r="B18" s="7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E7A3-D4F9-4AAC-B7B7-930506073469}">
  <dimension ref="A1:R85"/>
  <sheetViews>
    <sheetView workbookViewId="0">
      <pane ySplit="2" topLeftCell="A18" activePane="bottomLeft" state="frozen"/>
      <selection pane="bottomLeft" activeCell="I1" sqref="I1"/>
    </sheetView>
  </sheetViews>
  <sheetFormatPr defaultRowHeight="14.4"/>
  <cols>
    <col min="1" max="1" width="43.33203125" bestFit="1" customWidth="1"/>
    <col min="2" max="2" width="19.33203125" bestFit="1" customWidth="1"/>
  </cols>
  <sheetData>
    <row r="1" spans="1:18">
      <c r="A1" cm="1">
        <f t="array" ref="A1:A16">_xlfn.UNIQUE('Outsourcing Details'!D:D)</f>
        <v>0</v>
      </c>
      <c r="B1">
        <f>SUBTOTAL(9,B3:B63)</f>
        <v>4646132</v>
      </c>
    </row>
    <row r="2" spans="1:18">
      <c r="A2" t="str">
        <v>Vendor Name</v>
      </c>
      <c r="B2" t="s">
        <v>687</v>
      </c>
    </row>
    <row r="3" spans="1:18">
      <c r="A3" t="str">
        <v>VRATA TECH SOLUTIONS PRIVATE LIMITED</v>
      </c>
      <c r="B3" s="3">
        <f>ROUND(SUMIF('Outsourcing Details'!D:D,'Vendor Outstanding'!A3,'Outsourcing Details'!R:R),0)</f>
        <v>104602</v>
      </c>
      <c r="C3" t="s">
        <v>688</v>
      </c>
      <c r="I3" s="220" t="s">
        <v>689</v>
      </c>
      <c r="J3" s="218" t="s">
        <v>690</v>
      </c>
      <c r="K3" s="219" t="s">
        <v>691</v>
      </c>
      <c r="L3" s="219" t="s">
        <v>692</v>
      </c>
      <c r="M3" s="219" t="s">
        <v>693</v>
      </c>
      <c r="N3" s="219" t="s">
        <v>694</v>
      </c>
      <c r="O3" s="219" t="s">
        <v>695</v>
      </c>
      <c r="P3" s="219" t="s">
        <v>696</v>
      </c>
      <c r="Q3" s="220" t="s">
        <v>697</v>
      </c>
      <c r="R3" s="220" t="s">
        <v>689</v>
      </c>
    </row>
    <row r="4" spans="1:18">
      <c r="A4" t="str">
        <v>BCT Consulting Private Limited</v>
      </c>
      <c r="B4" s="3">
        <f>ROUND(SUMIF('Outsourcing Details'!D:D,'Vendor Outstanding'!A4,'Outsourcing Details'!R:R),0)</f>
        <v>396382</v>
      </c>
      <c r="C4" t="s">
        <v>688</v>
      </c>
      <c r="I4" s="222" t="s">
        <v>285</v>
      </c>
      <c r="J4" s="221" t="s">
        <v>286</v>
      </c>
      <c r="K4" s="223">
        <v>592741.93999999994</v>
      </c>
      <c r="L4" s="222" t="s">
        <v>659</v>
      </c>
      <c r="M4" s="223">
        <v>640161</v>
      </c>
      <c r="N4" s="222" t="s">
        <v>698</v>
      </c>
      <c r="O4" s="222" t="s">
        <v>659</v>
      </c>
      <c r="P4" s="222" t="s">
        <v>659</v>
      </c>
      <c r="Q4" s="224">
        <v>45443</v>
      </c>
      <c r="R4" s="222" t="s">
        <v>285</v>
      </c>
    </row>
    <row r="5" spans="1:18">
      <c r="A5" t="str">
        <v>CANTICLE TECHNOLOGIES PRIVATE LIMITED</v>
      </c>
      <c r="B5" s="3">
        <f>ROUND(SUMIF('Outsourcing Details'!D:D,'Vendor Outstanding'!A5,'Outsourcing Details'!R:R),0)</f>
        <v>101930</v>
      </c>
      <c r="C5" t="s">
        <v>688</v>
      </c>
      <c r="I5" s="222" t="s">
        <v>287</v>
      </c>
      <c r="J5" s="225" t="s">
        <v>288</v>
      </c>
      <c r="K5" s="223">
        <v>675000</v>
      </c>
      <c r="L5" s="222" t="s">
        <v>659</v>
      </c>
      <c r="M5" s="223">
        <v>729000</v>
      </c>
      <c r="N5" s="222" t="s">
        <v>698</v>
      </c>
      <c r="O5" s="222" t="s">
        <v>659</v>
      </c>
      <c r="P5" s="222" t="s">
        <v>699</v>
      </c>
      <c r="Q5" s="224">
        <v>45443</v>
      </c>
      <c r="R5" s="222" t="s">
        <v>287</v>
      </c>
    </row>
    <row r="6" spans="1:18">
      <c r="A6" t="str">
        <v>Cinesonic Audio Visual Pvt Ltd</v>
      </c>
      <c r="B6" s="3">
        <f>ROUND(SUMIF('Outsourcing Details'!D:D,'Vendor Outstanding'!A6,'Outsourcing Details'!R:R),0)</f>
        <v>0</v>
      </c>
      <c r="C6" t="s">
        <v>700</v>
      </c>
      <c r="I6" s="222" t="s">
        <v>289</v>
      </c>
      <c r="J6" s="225" t="s">
        <v>288</v>
      </c>
      <c r="K6" s="223">
        <v>87000</v>
      </c>
      <c r="L6" s="222" t="s">
        <v>659</v>
      </c>
      <c r="M6" s="223">
        <v>93960</v>
      </c>
      <c r="N6" s="222" t="s">
        <v>698</v>
      </c>
      <c r="O6" s="226" t="s">
        <v>659</v>
      </c>
      <c r="P6" s="226" t="s">
        <v>659</v>
      </c>
      <c r="Q6" s="224">
        <v>45443</v>
      </c>
      <c r="R6" s="222" t="s">
        <v>289</v>
      </c>
    </row>
    <row r="7" spans="1:18">
      <c r="A7" t="str">
        <v>TRIBAL SOLUTIONS CONSULTING SERVICES PVT</v>
      </c>
      <c r="B7" s="3">
        <f>ROUND(SUMIF('Outsourcing Details'!D:D,'Vendor Outstanding'!A7,'Outsourcing Details'!R:R),0)</f>
        <v>0</v>
      </c>
      <c r="C7" t="s">
        <v>688</v>
      </c>
      <c r="I7" s="222" t="s">
        <v>290</v>
      </c>
      <c r="J7" s="225" t="s">
        <v>291</v>
      </c>
      <c r="K7" s="223">
        <v>290000</v>
      </c>
      <c r="L7" s="222" t="s">
        <v>659</v>
      </c>
      <c r="M7" s="223">
        <v>313200</v>
      </c>
      <c r="N7" s="222" t="s">
        <v>698</v>
      </c>
      <c r="O7" s="222" t="s">
        <v>659</v>
      </c>
      <c r="P7" s="222" t="s">
        <v>701</v>
      </c>
      <c r="Q7" s="224">
        <v>45450</v>
      </c>
      <c r="R7" s="222" t="s">
        <v>290</v>
      </c>
    </row>
    <row r="8" spans="1:18">
      <c r="A8" t="str">
        <v>CARMATEC IT SOLUTIONS PRIVATE LIMITED</v>
      </c>
      <c r="B8" s="3">
        <f>ROUND(SUMIF('Outsourcing Details'!D:D,'Vendor Outstanding'!A8,'Outsourcing Details'!R:R),0)</f>
        <v>86971</v>
      </c>
      <c r="C8" t="s">
        <v>688</v>
      </c>
      <c r="I8" s="222" t="s">
        <v>292</v>
      </c>
      <c r="J8" s="225" t="s">
        <v>291</v>
      </c>
      <c r="K8" s="223">
        <v>675000</v>
      </c>
      <c r="L8" s="222" t="s">
        <v>659</v>
      </c>
      <c r="M8" s="223">
        <v>729000</v>
      </c>
      <c r="N8" s="222" t="s">
        <v>698</v>
      </c>
      <c r="O8" s="226" t="s">
        <v>659</v>
      </c>
      <c r="P8" s="226" t="s">
        <v>659</v>
      </c>
      <c r="Q8" s="224">
        <v>45450</v>
      </c>
      <c r="R8" s="222" t="s">
        <v>292</v>
      </c>
    </row>
    <row r="9" spans="1:18">
      <c r="A9" t="str">
        <v>Winnovation Education Services Pvt</v>
      </c>
      <c r="B9" s="3">
        <f>ROUND(SUMIF('Outsourcing Details'!D:D,'Vendor Outstanding'!A9,'Outsourcing Details'!R:R),0)</f>
        <v>108001</v>
      </c>
      <c r="C9" t="s">
        <v>688</v>
      </c>
      <c r="D9" t="s">
        <v>702</v>
      </c>
      <c r="I9" s="222" t="s">
        <v>293</v>
      </c>
      <c r="J9" s="221" t="s">
        <v>294</v>
      </c>
      <c r="K9" s="223">
        <v>209843</v>
      </c>
      <c r="L9" s="222" t="s">
        <v>659</v>
      </c>
      <c r="M9" s="223">
        <v>226630</v>
      </c>
      <c r="N9" s="222" t="s">
        <v>698</v>
      </c>
      <c r="O9" s="222" t="s">
        <v>659</v>
      </c>
      <c r="P9" s="222" t="s">
        <v>659</v>
      </c>
      <c r="Q9" s="224">
        <v>45462</v>
      </c>
      <c r="R9" s="222" t="s">
        <v>293</v>
      </c>
    </row>
    <row r="10" spans="1:18">
      <c r="A10" t="str">
        <v>SeaInfonet Pvt Ltd</v>
      </c>
      <c r="B10" s="3">
        <f>ROUND(SUMIF('Outsourcing Details'!D:D,'Vendor Outstanding'!A10,'Outsourcing Details'!R:R),0)</f>
        <v>0</v>
      </c>
      <c r="C10" t="s">
        <v>688</v>
      </c>
      <c r="I10" s="222" t="s">
        <v>299</v>
      </c>
      <c r="J10" s="221" t="s">
        <v>300</v>
      </c>
      <c r="K10" s="223">
        <v>647789</v>
      </c>
      <c r="L10" s="222" t="s">
        <v>659</v>
      </c>
      <c r="M10" s="223">
        <v>699612</v>
      </c>
      <c r="N10" s="222" t="s">
        <v>698</v>
      </c>
      <c r="O10" s="222" t="s">
        <v>659</v>
      </c>
      <c r="P10" s="222" t="s">
        <v>659</v>
      </c>
      <c r="Q10" s="224">
        <v>45484</v>
      </c>
      <c r="R10" s="222" t="s">
        <v>299</v>
      </c>
    </row>
    <row r="11" spans="1:18">
      <c r="A11" t="str">
        <v>AUROPRO SOFT SYSTEMS PVT LTD</v>
      </c>
      <c r="B11" s="3">
        <f>ROUND(SUMIF('Outsourcing Details'!D:D,'Vendor Outstanding'!A11,'Outsourcing Details'!R:R),0)</f>
        <v>87428</v>
      </c>
      <c r="C11" t="s">
        <v>688</v>
      </c>
      <c r="I11" s="222" t="s">
        <v>295</v>
      </c>
      <c r="J11" s="221" t="s">
        <v>296</v>
      </c>
      <c r="K11" s="223">
        <v>290000</v>
      </c>
      <c r="L11" s="222" t="s">
        <v>659</v>
      </c>
      <c r="M11" s="223">
        <v>313200</v>
      </c>
      <c r="N11" s="222" t="s">
        <v>698</v>
      </c>
      <c r="O11" s="222" t="s">
        <v>659</v>
      </c>
      <c r="P11" s="222" t="s">
        <v>659</v>
      </c>
      <c r="Q11" s="224">
        <v>45477</v>
      </c>
      <c r="R11" s="222" t="s">
        <v>295</v>
      </c>
    </row>
    <row r="12" spans="1:18">
      <c r="A12" t="str">
        <v>BUSYBOTS PRIVATE LIMITED</v>
      </c>
      <c r="B12" s="3">
        <f>ROUND(SUMIF('Outsourcing Details'!D:D,'Vendor Outstanding'!A12,'Outsourcing Details'!R:R),0)</f>
        <v>0</v>
      </c>
      <c r="C12" t="s">
        <v>688</v>
      </c>
      <c r="I12" s="222" t="s">
        <v>297</v>
      </c>
      <c r="J12" s="221" t="s">
        <v>298</v>
      </c>
      <c r="K12" s="223">
        <v>245000</v>
      </c>
      <c r="L12" s="222" t="s">
        <v>659</v>
      </c>
      <c r="M12" s="223">
        <v>264600</v>
      </c>
      <c r="N12" s="222" t="s">
        <v>698</v>
      </c>
      <c r="O12" s="222" t="s">
        <v>659</v>
      </c>
      <c r="P12" s="222" t="s">
        <v>659</v>
      </c>
      <c r="Q12" s="224">
        <v>45477</v>
      </c>
      <c r="R12" s="222" t="s">
        <v>297</v>
      </c>
    </row>
    <row r="13" spans="1:18">
      <c r="A13" t="str">
        <v>Highsky IT Solutions Private Limited</v>
      </c>
      <c r="B13" s="3">
        <f>ROUND(SUMIF('Outsourcing Details'!D:D,'Vendor Outstanding'!A13,'Outsourcing Details'!R:R),0)</f>
        <v>219909</v>
      </c>
      <c r="C13" t="s">
        <v>688</v>
      </c>
      <c r="I13" s="222" t="s">
        <v>301</v>
      </c>
      <c r="J13" s="221" t="s">
        <v>302</v>
      </c>
      <c r="K13" s="223">
        <v>56387</v>
      </c>
      <c r="L13" s="222" t="s">
        <v>659</v>
      </c>
      <c r="M13" s="223">
        <v>60898</v>
      </c>
      <c r="N13" s="222" t="s">
        <v>698</v>
      </c>
      <c r="O13" s="222" t="s">
        <v>659</v>
      </c>
      <c r="P13" s="222" t="s">
        <v>659</v>
      </c>
      <c r="Q13" s="224">
        <v>45489</v>
      </c>
      <c r="R13" s="222" t="s">
        <v>301</v>
      </c>
    </row>
    <row r="14" spans="1:18">
      <c r="A14" t="str">
        <v>KAPARTHI CONSULTANCY SERVICES</v>
      </c>
      <c r="B14" s="3">
        <f>ROUND(SUMIF('Outsourcing Details'!D:D,'Vendor Outstanding'!A14,'Outsourcing Details'!R:R),0)</f>
        <v>2138277</v>
      </c>
      <c r="C14" t="s">
        <v>703</v>
      </c>
      <c r="I14" s="222" t="s">
        <v>303</v>
      </c>
      <c r="J14" s="221" t="s">
        <v>304</v>
      </c>
      <c r="K14" s="223">
        <v>42272</v>
      </c>
      <c r="L14" s="222" t="s">
        <v>659</v>
      </c>
      <c r="M14" s="223">
        <v>45654</v>
      </c>
      <c r="N14" s="222" t="s">
        <v>698</v>
      </c>
      <c r="O14" s="222" t="s">
        <v>659</v>
      </c>
      <c r="P14" s="222" t="s">
        <v>659</v>
      </c>
      <c r="Q14" s="224">
        <v>45504</v>
      </c>
      <c r="R14" s="222" t="s">
        <v>303</v>
      </c>
    </row>
    <row r="15" spans="1:18">
      <c r="A15" t="str">
        <v>Abhiyanta India Solution Private Limited</v>
      </c>
      <c r="B15" s="3">
        <f>ROUND(SUMIF('Outsourcing Details'!D:D,'Vendor Outstanding'!A15,'Outsourcing Details'!R:R),0)</f>
        <v>686334</v>
      </c>
      <c r="C15" t="s">
        <v>688</v>
      </c>
      <c r="I15" s="222" t="s">
        <v>305</v>
      </c>
      <c r="J15" s="221" t="s">
        <v>306</v>
      </c>
      <c r="K15" s="223">
        <v>675000</v>
      </c>
      <c r="L15" s="222" t="s">
        <v>659</v>
      </c>
      <c r="M15" s="223">
        <v>729000</v>
      </c>
      <c r="N15" s="222" t="s">
        <v>698</v>
      </c>
      <c r="O15" s="222" t="s">
        <v>659</v>
      </c>
      <c r="P15" s="222" t="s">
        <v>659</v>
      </c>
      <c r="Q15" s="224">
        <v>45505</v>
      </c>
      <c r="R15" s="222" t="s">
        <v>305</v>
      </c>
    </row>
    <row r="16" spans="1:18">
      <c r="A16" t="str">
        <v>ITSHRI SOLUTION LLP</v>
      </c>
      <c r="B16" s="3">
        <f>ROUND(SUMIF('Outsourcing Details'!D:D,'Vendor Outstanding'!A16,'Outsourcing Details'!R:R),0)</f>
        <v>716298</v>
      </c>
      <c r="C16" t="s">
        <v>688</v>
      </c>
      <c r="I16" s="222" t="s">
        <v>307</v>
      </c>
      <c r="J16" s="221" t="s">
        <v>308</v>
      </c>
      <c r="K16" s="223">
        <v>188387</v>
      </c>
      <c r="L16" s="222" t="s">
        <v>659</v>
      </c>
      <c r="M16" s="223">
        <v>203458</v>
      </c>
      <c r="N16" s="222" t="s">
        <v>698</v>
      </c>
      <c r="O16" s="222" t="s">
        <v>659</v>
      </c>
      <c r="P16" s="222" t="s">
        <v>659</v>
      </c>
      <c r="Q16" s="224">
        <v>45505</v>
      </c>
      <c r="R16" s="222" t="s">
        <v>307</v>
      </c>
    </row>
    <row r="17" spans="9:18">
      <c r="I17" s="222" t="s">
        <v>309</v>
      </c>
      <c r="J17" s="225" t="s">
        <v>310</v>
      </c>
      <c r="K17" s="223">
        <v>300000</v>
      </c>
      <c r="L17" s="222" t="s">
        <v>659</v>
      </c>
      <c r="M17" s="223">
        <v>324000</v>
      </c>
      <c r="N17" s="222" t="s">
        <v>698</v>
      </c>
      <c r="O17" s="222" t="s">
        <v>659</v>
      </c>
      <c r="P17" s="222" t="s">
        <v>659</v>
      </c>
      <c r="Q17" s="224">
        <v>45506</v>
      </c>
      <c r="R17" s="222" t="s">
        <v>309</v>
      </c>
    </row>
    <row r="18" spans="9:18">
      <c r="I18" s="222" t="s">
        <v>313</v>
      </c>
      <c r="J18" s="225" t="s">
        <v>310</v>
      </c>
      <c r="K18" s="222" t="s">
        <v>698</v>
      </c>
      <c r="L18" s="222" t="s">
        <v>659</v>
      </c>
      <c r="M18" s="222" t="s">
        <v>698</v>
      </c>
      <c r="N18" s="222" t="s">
        <v>698</v>
      </c>
      <c r="O18" s="222" t="s">
        <v>659</v>
      </c>
      <c r="P18" s="222" t="s">
        <v>659</v>
      </c>
      <c r="Q18" s="224">
        <v>45518</v>
      </c>
      <c r="R18" s="222" t="s">
        <v>313</v>
      </c>
    </row>
    <row r="19" spans="9:18">
      <c r="I19" s="222" t="s">
        <v>315</v>
      </c>
      <c r="J19" s="221" t="s">
        <v>316</v>
      </c>
      <c r="K19" s="223">
        <v>116129</v>
      </c>
      <c r="L19" s="222" t="s">
        <v>659</v>
      </c>
      <c r="M19" s="223">
        <v>125419</v>
      </c>
      <c r="N19" s="222" t="s">
        <v>698</v>
      </c>
      <c r="O19" s="222" t="s">
        <v>659</v>
      </c>
      <c r="P19" s="222" t="s">
        <v>659</v>
      </c>
      <c r="Q19" s="224">
        <v>45520</v>
      </c>
      <c r="R19" s="222" t="s">
        <v>315</v>
      </c>
    </row>
    <row r="20" spans="9:18">
      <c r="I20" s="222" t="s">
        <v>311</v>
      </c>
      <c r="J20" s="221" t="s">
        <v>312</v>
      </c>
      <c r="K20" s="223">
        <v>35723</v>
      </c>
      <c r="L20" s="222" t="s">
        <v>659</v>
      </c>
      <c r="M20" s="223">
        <v>38581</v>
      </c>
      <c r="N20" s="222" t="s">
        <v>698</v>
      </c>
      <c r="O20" s="222" t="s">
        <v>659</v>
      </c>
      <c r="P20" s="222" t="s">
        <v>659</v>
      </c>
      <c r="Q20" s="224">
        <v>45513</v>
      </c>
      <c r="R20" s="222" t="s">
        <v>311</v>
      </c>
    </row>
    <row r="21" spans="9:18">
      <c r="I21" s="222" t="s">
        <v>325</v>
      </c>
      <c r="J21" s="221" t="s">
        <v>326</v>
      </c>
      <c r="K21" s="223">
        <v>72192</v>
      </c>
      <c r="L21" s="222" t="s">
        <v>659</v>
      </c>
      <c r="M21" s="223">
        <v>77967</v>
      </c>
      <c r="N21" s="222" t="s">
        <v>698</v>
      </c>
      <c r="O21" s="222" t="s">
        <v>659</v>
      </c>
      <c r="P21" s="222" t="s">
        <v>659</v>
      </c>
      <c r="Q21" s="224">
        <v>45544</v>
      </c>
      <c r="R21" s="222" t="s">
        <v>325</v>
      </c>
    </row>
    <row r="22" spans="9:18">
      <c r="I22" s="222" t="s">
        <v>317</v>
      </c>
      <c r="J22" s="221" t="s">
        <v>318</v>
      </c>
      <c r="K22" s="223">
        <v>675000</v>
      </c>
      <c r="L22" s="222" t="s">
        <v>659</v>
      </c>
      <c r="M22" s="223">
        <v>729000</v>
      </c>
      <c r="N22" s="222" t="s">
        <v>698</v>
      </c>
      <c r="O22" s="222" t="s">
        <v>659</v>
      </c>
      <c r="P22" s="222" t="s">
        <v>659</v>
      </c>
      <c r="Q22" s="224">
        <v>45544</v>
      </c>
      <c r="R22" s="222" t="s">
        <v>317</v>
      </c>
    </row>
    <row r="23" spans="9:18">
      <c r="I23" s="222" t="s">
        <v>319</v>
      </c>
      <c r="J23" s="221" t="s">
        <v>320</v>
      </c>
      <c r="K23" s="223">
        <v>140000</v>
      </c>
      <c r="L23" s="222" t="s">
        <v>659</v>
      </c>
      <c r="M23" s="223">
        <v>151200</v>
      </c>
      <c r="N23" s="222" t="s">
        <v>698</v>
      </c>
      <c r="O23" s="222" t="s">
        <v>659</v>
      </c>
      <c r="P23" s="222" t="s">
        <v>659</v>
      </c>
      <c r="Q23" s="224">
        <v>45544</v>
      </c>
      <c r="R23" s="222" t="s">
        <v>319</v>
      </c>
    </row>
    <row r="24" spans="9:18">
      <c r="I24" s="227" t="s">
        <v>330</v>
      </c>
      <c r="J24" s="225" t="s">
        <v>328</v>
      </c>
      <c r="K24" s="228">
        <v>300000</v>
      </c>
      <c r="L24" s="227" t="s">
        <v>659</v>
      </c>
      <c r="M24" s="228">
        <v>324000</v>
      </c>
      <c r="N24" s="227" t="s">
        <v>698</v>
      </c>
      <c r="O24" s="227" t="s">
        <v>659</v>
      </c>
      <c r="P24" s="227" t="s">
        <v>659</v>
      </c>
      <c r="Q24" s="229">
        <v>45545</v>
      </c>
      <c r="R24" s="227" t="s">
        <v>330</v>
      </c>
    </row>
    <row r="25" spans="9:18">
      <c r="I25" s="227" t="s">
        <v>327</v>
      </c>
      <c r="J25" s="225" t="s">
        <v>328</v>
      </c>
      <c r="K25" s="227" t="s">
        <v>698</v>
      </c>
      <c r="L25" s="227" t="s">
        <v>659</v>
      </c>
      <c r="M25" s="227" t="s">
        <v>698</v>
      </c>
      <c r="N25" s="227" t="s">
        <v>698</v>
      </c>
      <c r="O25" s="227" t="s">
        <v>659</v>
      </c>
      <c r="P25" s="227" t="s">
        <v>659</v>
      </c>
      <c r="Q25" s="229">
        <v>45544</v>
      </c>
      <c r="R25" s="227" t="s">
        <v>327</v>
      </c>
    </row>
    <row r="26" spans="9:18">
      <c r="I26" s="227" t="s">
        <v>331</v>
      </c>
      <c r="J26" s="225" t="s">
        <v>328</v>
      </c>
      <c r="K26" s="227" t="s">
        <v>698</v>
      </c>
      <c r="L26" s="227" t="s">
        <v>659</v>
      </c>
      <c r="M26" s="227" t="s">
        <v>698</v>
      </c>
      <c r="N26" s="227" t="s">
        <v>698</v>
      </c>
      <c r="O26" s="227" t="s">
        <v>659</v>
      </c>
      <c r="P26" s="227" t="s">
        <v>659</v>
      </c>
      <c r="Q26" s="229">
        <v>45545</v>
      </c>
      <c r="R26" s="227" t="s">
        <v>331</v>
      </c>
    </row>
    <row r="27" spans="9:18">
      <c r="I27" s="222" t="s">
        <v>323</v>
      </c>
      <c r="J27" s="221" t="s">
        <v>324</v>
      </c>
      <c r="K27" s="223">
        <v>150000</v>
      </c>
      <c r="L27" s="222" t="s">
        <v>659</v>
      </c>
      <c r="M27" s="223">
        <v>162000</v>
      </c>
      <c r="N27" s="222" t="s">
        <v>698</v>
      </c>
      <c r="O27" s="222" t="s">
        <v>659</v>
      </c>
      <c r="P27" s="222" t="s">
        <v>659</v>
      </c>
      <c r="Q27" s="224">
        <v>45544</v>
      </c>
      <c r="R27" s="222" t="s">
        <v>323</v>
      </c>
    </row>
    <row r="28" spans="9:18">
      <c r="I28" s="222" t="s">
        <v>332</v>
      </c>
      <c r="J28" s="221" t="s">
        <v>333</v>
      </c>
      <c r="K28" s="223">
        <v>37988.9</v>
      </c>
      <c r="L28" s="222" t="s">
        <v>659</v>
      </c>
      <c r="M28" s="223">
        <v>41028</v>
      </c>
      <c r="N28" s="222" t="s">
        <v>698</v>
      </c>
      <c r="O28" s="222" t="s">
        <v>659</v>
      </c>
      <c r="P28" s="222" t="s">
        <v>659</v>
      </c>
      <c r="Q28" s="224">
        <v>45556</v>
      </c>
      <c r="R28" s="222" t="s">
        <v>332</v>
      </c>
    </row>
    <row r="29" spans="9:18">
      <c r="I29" s="222" t="s">
        <v>356</v>
      </c>
      <c r="J29" s="221" t="s">
        <v>357</v>
      </c>
      <c r="K29" s="223">
        <v>35369</v>
      </c>
      <c r="L29" s="222" t="s">
        <v>659</v>
      </c>
      <c r="M29" s="223">
        <v>38199</v>
      </c>
      <c r="N29" s="222" t="s">
        <v>698</v>
      </c>
      <c r="O29" s="222" t="s">
        <v>659</v>
      </c>
      <c r="P29" s="222" t="s">
        <v>659</v>
      </c>
      <c r="Q29" s="224">
        <v>45684</v>
      </c>
      <c r="R29" s="222" t="s">
        <v>356</v>
      </c>
    </row>
    <row r="30" spans="9:18">
      <c r="I30" s="222" t="s">
        <v>334</v>
      </c>
      <c r="J30" s="221" t="s">
        <v>335</v>
      </c>
      <c r="K30" s="223">
        <v>675000</v>
      </c>
      <c r="L30" s="222" t="s">
        <v>659</v>
      </c>
      <c r="M30" s="223">
        <v>729000</v>
      </c>
      <c r="N30" s="222" t="s">
        <v>698</v>
      </c>
      <c r="O30" s="222" t="s">
        <v>659</v>
      </c>
      <c r="P30" s="222" t="s">
        <v>659</v>
      </c>
      <c r="Q30" s="224">
        <v>45568</v>
      </c>
      <c r="R30" s="222" t="s">
        <v>334</v>
      </c>
    </row>
    <row r="31" spans="9:18">
      <c r="I31" s="222" t="s">
        <v>336</v>
      </c>
      <c r="J31" s="221" t="s">
        <v>337</v>
      </c>
      <c r="K31" s="223">
        <v>140000</v>
      </c>
      <c r="L31" s="222" t="s">
        <v>659</v>
      </c>
      <c r="M31" s="223">
        <v>151200</v>
      </c>
      <c r="N31" s="222" t="s">
        <v>698</v>
      </c>
      <c r="O31" s="222" t="s">
        <v>659</v>
      </c>
      <c r="P31" s="222" t="s">
        <v>659</v>
      </c>
      <c r="Q31" s="224">
        <v>45568</v>
      </c>
      <c r="R31" s="222" t="s">
        <v>336</v>
      </c>
    </row>
    <row r="32" spans="9:18">
      <c r="I32" s="222" t="s">
        <v>338</v>
      </c>
      <c r="J32" s="225" t="s">
        <v>339</v>
      </c>
      <c r="K32" s="223">
        <v>300000</v>
      </c>
      <c r="L32" s="222" t="s">
        <v>659</v>
      </c>
      <c r="M32" s="223">
        <v>324000</v>
      </c>
      <c r="N32" s="222" t="s">
        <v>698</v>
      </c>
      <c r="O32" s="222" t="s">
        <v>659</v>
      </c>
      <c r="P32" s="222" t="s">
        <v>659</v>
      </c>
      <c r="Q32" s="224">
        <v>45568</v>
      </c>
      <c r="R32" s="222" t="s">
        <v>338</v>
      </c>
    </row>
    <row r="33" spans="9:18">
      <c r="I33" s="222" t="s">
        <v>342</v>
      </c>
      <c r="J33" s="225" t="s">
        <v>339</v>
      </c>
      <c r="K33" s="222" t="s">
        <v>698</v>
      </c>
      <c r="L33" s="222" t="s">
        <v>659</v>
      </c>
      <c r="M33" s="222" t="s">
        <v>698</v>
      </c>
      <c r="N33" s="222" t="s">
        <v>698</v>
      </c>
      <c r="O33" s="222" t="s">
        <v>659</v>
      </c>
      <c r="P33" s="222" t="s">
        <v>659</v>
      </c>
      <c r="Q33" s="224">
        <v>45568</v>
      </c>
      <c r="R33" s="222" t="s">
        <v>342</v>
      </c>
    </row>
    <row r="34" spans="9:18">
      <c r="I34" s="222" t="s">
        <v>340</v>
      </c>
      <c r="J34" s="221" t="s">
        <v>341</v>
      </c>
      <c r="K34" s="223">
        <v>75000</v>
      </c>
      <c r="L34" s="222" t="s">
        <v>659</v>
      </c>
      <c r="M34" s="223">
        <v>81000</v>
      </c>
      <c r="N34" s="222" t="s">
        <v>698</v>
      </c>
      <c r="O34" s="222" t="s">
        <v>659</v>
      </c>
      <c r="P34" s="222" t="s">
        <v>659</v>
      </c>
      <c r="Q34" s="224">
        <v>45568</v>
      </c>
      <c r="R34" s="222" t="s">
        <v>340</v>
      </c>
    </row>
    <row r="35" spans="9:18">
      <c r="I35" s="222" t="s">
        <v>343</v>
      </c>
      <c r="J35" s="221" t="s">
        <v>344</v>
      </c>
      <c r="K35" s="223">
        <v>49417</v>
      </c>
      <c r="L35" s="222" t="s">
        <v>659</v>
      </c>
      <c r="M35" s="223">
        <v>53370</v>
      </c>
      <c r="N35" s="222" t="s">
        <v>698</v>
      </c>
      <c r="O35" s="222" t="s">
        <v>659</v>
      </c>
      <c r="P35" s="222" t="s">
        <v>659</v>
      </c>
      <c r="Q35" s="224">
        <v>45580</v>
      </c>
      <c r="R35" s="222" t="s">
        <v>343</v>
      </c>
    </row>
    <row r="36" spans="9:18">
      <c r="I36" s="222" t="s">
        <v>358</v>
      </c>
      <c r="J36" s="221" t="s">
        <v>359</v>
      </c>
      <c r="K36" s="223">
        <v>42534</v>
      </c>
      <c r="L36" s="222" t="s">
        <v>659</v>
      </c>
      <c r="M36" s="223">
        <v>45937</v>
      </c>
      <c r="N36" s="222" t="s">
        <v>698</v>
      </c>
      <c r="O36" s="222" t="s">
        <v>659</v>
      </c>
      <c r="P36" s="222" t="s">
        <v>659</v>
      </c>
      <c r="Q36" s="224">
        <v>45684</v>
      </c>
      <c r="R36" s="222" t="s">
        <v>358</v>
      </c>
    </row>
    <row r="37" spans="9:18">
      <c r="I37" s="227" t="s">
        <v>371</v>
      </c>
      <c r="J37" s="225" t="s">
        <v>369</v>
      </c>
      <c r="K37" s="228">
        <v>150000</v>
      </c>
      <c r="L37" s="227" t="s">
        <v>659</v>
      </c>
      <c r="M37" s="228">
        <v>162000</v>
      </c>
      <c r="N37" s="227" t="s">
        <v>698</v>
      </c>
      <c r="O37" s="227" t="s">
        <v>659</v>
      </c>
      <c r="P37" s="227" t="s">
        <v>659</v>
      </c>
      <c r="Q37" s="229">
        <v>45685</v>
      </c>
      <c r="R37" s="227" t="s">
        <v>371</v>
      </c>
    </row>
    <row r="38" spans="9:18">
      <c r="I38" s="222" t="s">
        <v>376</v>
      </c>
      <c r="J38" s="221" t="s">
        <v>377</v>
      </c>
      <c r="K38" s="223">
        <v>625000</v>
      </c>
      <c r="L38" s="222" t="s">
        <v>659</v>
      </c>
      <c r="M38" s="223">
        <v>675000</v>
      </c>
      <c r="N38" s="222" t="s">
        <v>698</v>
      </c>
      <c r="O38" s="222" t="s">
        <v>659</v>
      </c>
      <c r="P38" s="222" t="s">
        <v>659</v>
      </c>
      <c r="Q38" s="224">
        <v>45688</v>
      </c>
      <c r="R38" s="222" t="s">
        <v>376</v>
      </c>
    </row>
    <row r="39" spans="9:18">
      <c r="I39" s="225" t="s">
        <v>374</v>
      </c>
      <c r="J39" s="221" t="s">
        <v>375</v>
      </c>
      <c r="K39" s="223">
        <v>150000</v>
      </c>
      <c r="L39" s="222" t="s">
        <v>659</v>
      </c>
      <c r="M39" s="223">
        <v>162000</v>
      </c>
      <c r="N39" s="222" t="s">
        <v>698</v>
      </c>
      <c r="O39" s="222" t="s">
        <v>659</v>
      </c>
      <c r="P39" s="222" t="s">
        <v>659</v>
      </c>
      <c r="Q39" s="224">
        <v>45688</v>
      </c>
      <c r="R39" s="225" t="s">
        <v>374</v>
      </c>
    </row>
    <row r="40" spans="9:18">
      <c r="I40" s="222" t="s">
        <v>345</v>
      </c>
      <c r="J40" s="221" t="s">
        <v>346</v>
      </c>
      <c r="K40" s="223">
        <v>140000</v>
      </c>
      <c r="L40" s="222" t="s">
        <v>659</v>
      </c>
      <c r="M40" s="223">
        <v>151200</v>
      </c>
      <c r="N40" s="222" t="s">
        <v>698</v>
      </c>
      <c r="O40" s="222" t="s">
        <v>659</v>
      </c>
      <c r="P40" s="222" t="s">
        <v>659</v>
      </c>
      <c r="Q40" s="224">
        <v>45603</v>
      </c>
      <c r="R40" s="222" t="s">
        <v>345</v>
      </c>
    </row>
    <row r="41" spans="9:18">
      <c r="I41" s="225" t="s">
        <v>374</v>
      </c>
      <c r="J41" s="221" t="s">
        <v>580</v>
      </c>
      <c r="K41" s="223">
        <v>140000</v>
      </c>
      <c r="L41" s="222" t="s">
        <v>659</v>
      </c>
      <c r="M41" s="223">
        <v>151200</v>
      </c>
      <c r="N41" s="222" t="s">
        <v>698</v>
      </c>
      <c r="O41" s="222" t="s">
        <v>659</v>
      </c>
      <c r="P41" s="222" t="s">
        <v>659</v>
      </c>
      <c r="Q41" s="224">
        <v>45688</v>
      </c>
      <c r="R41" s="225" t="s">
        <v>374</v>
      </c>
    </row>
    <row r="42" spans="9:18">
      <c r="I42" s="227" t="s">
        <v>353</v>
      </c>
      <c r="J42" s="225" t="s">
        <v>354</v>
      </c>
      <c r="K42" s="228">
        <v>150000</v>
      </c>
      <c r="L42" s="227" t="s">
        <v>659</v>
      </c>
      <c r="M42" s="228">
        <v>162000</v>
      </c>
      <c r="N42" s="227" t="s">
        <v>698</v>
      </c>
      <c r="O42" s="227" t="s">
        <v>659</v>
      </c>
      <c r="P42" s="227" t="s">
        <v>659</v>
      </c>
      <c r="Q42" s="229">
        <v>45684</v>
      </c>
      <c r="R42" s="227" t="s">
        <v>353</v>
      </c>
    </row>
    <row r="43" spans="9:18">
      <c r="I43" s="227" t="s">
        <v>355</v>
      </c>
      <c r="J43" s="225" t="s">
        <v>352</v>
      </c>
      <c r="K43" s="228">
        <v>150000</v>
      </c>
      <c r="L43" s="227" t="s">
        <v>659</v>
      </c>
      <c r="M43" s="228">
        <v>162000</v>
      </c>
      <c r="N43" s="227" t="s">
        <v>698</v>
      </c>
      <c r="O43" s="227" t="s">
        <v>659</v>
      </c>
      <c r="P43" s="227" t="s">
        <v>659</v>
      </c>
      <c r="Q43" s="229">
        <v>45684</v>
      </c>
      <c r="R43" s="227" t="s">
        <v>355</v>
      </c>
    </row>
    <row r="44" spans="9:18">
      <c r="I44" s="225" t="s">
        <v>351</v>
      </c>
      <c r="J44" s="225" t="s">
        <v>352</v>
      </c>
      <c r="K44" s="228">
        <v>150000</v>
      </c>
      <c r="L44" s="227" t="s">
        <v>659</v>
      </c>
      <c r="M44" s="228">
        <v>162000</v>
      </c>
      <c r="N44" s="227" t="s">
        <v>698</v>
      </c>
      <c r="O44" s="227" t="s">
        <v>659</v>
      </c>
      <c r="P44" s="227" t="s">
        <v>659</v>
      </c>
      <c r="Q44" s="229">
        <v>45684</v>
      </c>
      <c r="R44" s="225" t="s">
        <v>351</v>
      </c>
    </row>
    <row r="45" spans="9:18">
      <c r="I45" s="222" t="s">
        <v>362</v>
      </c>
      <c r="J45" s="221" t="s">
        <v>363</v>
      </c>
      <c r="K45" s="223">
        <v>54258</v>
      </c>
      <c r="L45" s="222" t="s">
        <v>659</v>
      </c>
      <c r="M45" s="223">
        <v>58599</v>
      </c>
      <c r="N45" s="222" t="s">
        <v>698</v>
      </c>
      <c r="O45" s="222" t="s">
        <v>659</v>
      </c>
      <c r="P45" s="222" t="s">
        <v>659</v>
      </c>
      <c r="Q45" s="224">
        <v>45684</v>
      </c>
      <c r="R45" s="222" t="s">
        <v>362</v>
      </c>
    </row>
    <row r="46" spans="9:18">
      <c r="I46" s="222" t="s">
        <v>283</v>
      </c>
      <c r="J46" s="221" t="s">
        <v>284</v>
      </c>
      <c r="K46" s="223">
        <v>253448.28</v>
      </c>
      <c r="L46" s="222" t="s">
        <v>659</v>
      </c>
      <c r="M46" s="223">
        <v>273724</v>
      </c>
      <c r="N46" s="222" t="s">
        <v>698</v>
      </c>
      <c r="O46" s="222" t="s">
        <v>659</v>
      </c>
      <c r="P46" s="222" t="s">
        <v>659</v>
      </c>
      <c r="Q46" s="224">
        <v>45443</v>
      </c>
      <c r="R46" s="222" t="s">
        <v>283</v>
      </c>
    </row>
    <row r="47" spans="9:18">
      <c r="I47" s="222" t="s">
        <v>360</v>
      </c>
      <c r="J47" s="221" t="s">
        <v>361</v>
      </c>
      <c r="K47" s="223">
        <v>66213</v>
      </c>
      <c r="L47" s="222" t="s">
        <v>659</v>
      </c>
      <c r="M47" s="223">
        <v>71510</v>
      </c>
      <c r="N47" s="222" t="s">
        <v>698</v>
      </c>
      <c r="O47" s="222" t="s">
        <v>659</v>
      </c>
      <c r="P47" s="222" t="s">
        <v>659</v>
      </c>
      <c r="Q47" s="224">
        <v>45684</v>
      </c>
      <c r="R47" s="222" t="s">
        <v>360</v>
      </c>
    </row>
    <row r="48" spans="9:18">
      <c r="I48" s="227" t="s">
        <v>348</v>
      </c>
      <c r="J48" s="225" t="s">
        <v>349</v>
      </c>
      <c r="K48" s="228">
        <v>525000</v>
      </c>
      <c r="L48" s="227" t="s">
        <v>659</v>
      </c>
      <c r="M48" s="228">
        <v>567000</v>
      </c>
      <c r="N48" s="227" t="s">
        <v>698</v>
      </c>
      <c r="O48" s="227" t="s">
        <v>659</v>
      </c>
      <c r="P48" s="227" t="s">
        <v>659</v>
      </c>
      <c r="Q48" s="229">
        <v>45684</v>
      </c>
      <c r="R48" s="227" t="s">
        <v>348</v>
      </c>
    </row>
    <row r="49" spans="9:18">
      <c r="I49" s="225" t="s">
        <v>351</v>
      </c>
      <c r="J49" s="225" t="s">
        <v>349</v>
      </c>
      <c r="K49" s="228">
        <v>75000</v>
      </c>
      <c r="L49" s="227" t="s">
        <v>659</v>
      </c>
      <c r="M49" s="228">
        <v>81000</v>
      </c>
      <c r="N49" s="227" t="s">
        <v>698</v>
      </c>
      <c r="O49" s="227" t="s">
        <v>659</v>
      </c>
      <c r="P49" s="227" t="s">
        <v>659</v>
      </c>
      <c r="Q49" s="229">
        <v>45684</v>
      </c>
      <c r="R49" s="225" t="s">
        <v>351</v>
      </c>
    </row>
    <row r="50" spans="9:18">
      <c r="I50" s="222" t="s">
        <v>364</v>
      </c>
      <c r="J50" s="221" t="s">
        <v>365</v>
      </c>
      <c r="K50" s="223">
        <v>66200</v>
      </c>
      <c r="L50" s="222" t="s">
        <v>659</v>
      </c>
      <c r="M50" s="223">
        <v>71496</v>
      </c>
      <c r="N50" s="222" t="s">
        <v>698</v>
      </c>
      <c r="O50" s="222" t="s">
        <v>659</v>
      </c>
      <c r="P50" s="222" t="s">
        <v>659</v>
      </c>
      <c r="Q50" s="224">
        <v>45684</v>
      </c>
      <c r="R50" s="222" t="s">
        <v>364</v>
      </c>
    </row>
    <row r="51" spans="9:18">
      <c r="I51" s="225" t="s">
        <v>370</v>
      </c>
      <c r="J51" s="225" t="s">
        <v>369</v>
      </c>
      <c r="K51" s="227" t="s">
        <v>698</v>
      </c>
      <c r="L51" s="227" t="s">
        <v>659</v>
      </c>
      <c r="M51" s="227" t="s">
        <v>698</v>
      </c>
      <c r="N51" s="227" t="s">
        <v>698</v>
      </c>
      <c r="O51" s="227" t="s">
        <v>659</v>
      </c>
      <c r="P51" s="227" t="s">
        <v>659</v>
      </c>
      <c r="Q51" s="229">
        <v>45685</v>
      </c>
      <c r="R51" s="225" t="s">
        <v>370</v>
      </c>
    </row>
    <row r="52" spans="9:18">
      <c r="I52" s="222" t="s">
        <v>387</v>
      </c>
      <c r="J52" s="221" t="s">
        <v>388</v>
      </c>
      <c r="K52" s="223">
        <v>68254</v>
      </c>
      <c r="L52" s="222" t="s">
        <v>659</v>
      </c>
      <c r="M52" s="223">
        <v>73714</v>
      </c>
      <c r="N52" s="222" t="s">
        <v>698</v>
      </c>
      <c r="O52" s="222" t="s">
        <v>704</v>
      </c>
      <c r="P52" s="222" t="s">
        <v>659</v>
      </c>
      <c r="Q52" s="224">
        <v>45790</v>
      </c>
      <c r="R52" s="222" t="s">
        <v>387</v>
      </c>
    </row>
    <row r="53" spans="9:18">
      <c r="I53" s="227" t="s">
        <v>368</v>
      </c>
      <c r="J53" s="225" t="s">
        <v>369</v>
      </c>
      <c r="K53" s="228">
        <v>525000</v>
      </c>
      <c r="L53" s="227" t="s">
        <v>659</v>
      </c>
      <c r="M53" s="228">
        <v>567000</v>
      </c>
      <c r="N53" s="227" t="s">
        <v>698</v>
      </c>
      <c r="O53" s="227" t="s">
        <v>659</v>
      </c>
      <c r="P53" s="227" t="s">
        <v>659</v>
      </c>
      <c r="Q53" s="229">
        <v>45685</v>
      </c>
      <c r="R53" s="227" t="s">
        <v>368</v>
      </c>
    </row>
    <row r="54" spans="9:18">
      <c r="I54" s="222" t="s">
        <v>389</v>
      </c>
      <c r="J54" s="221" t="s">
        <v>390</v>
      </c>
      <c r="K54" s="223">
        <v>113175</v>
      </c>
      <c r="L54" s="222" t="s">
        <v>659</v>
      </c>
      <c r="M54" s="223">
        <v>122229</v>
      </c>
      <c r="N54" s="222" t="s">
        <v>698</v>
      </c>
      <c r="O54" s="222" t="s">
        <v>704</v>
      </c>
      <c r="P54" s="222" t="s">
        <v>659</v>
      </c>
      <c r="Q54" s="224">
        <v>45790</v>
      </c>
      <c r="R54" s="222" t="s">
        <v>389</v>
      </c>
    </row>
    <row r="55" spans="9:18">
      <c r="I55" s="225" t="s">
        <v>380</v>
      </c>
      <c r="J55" s="225" t="s">
        <v>381</v>
      </c>
      <c r="K55" s="228">
        <v>625000</v>
      </c>
      <c r="L55" s="227" t="s">
        <v>659</v>
      </c>
      <c r="M55" s="228">
        <v>675000</v>
      </c>
      <c r="N55" s="227" t="s">
        <v>698</v>
      </c>
      <c r="O55" s="227" t="s">
        <v>704</v>
      </c>
      <c r="P55" s="227" t="s">
        <v>659</v>
      </c>
      <c r="Q55" s="229">
        <v>45736</v>
      </c>
      <c r="R55" s="225" t="s">
        <v>380</v>
      </c>
    </row>
    <row r="56" spans="9:18">
      <c r="I56" s="225" t="s">
        <v>380</v>
      </c>
      <c r="J56" s="225" t="s">
        <v>381</v>
      </c>
      <c r="K56" s="227" t="s">
        <v>698</v>
      </c>
      <c r="L56" s="227" t="s">
        <v>659</v>
      </c>
      <c r="M56" s="227" t="s">
        <v>698</v>
      </c>
      <c r="N56" s="227" t="s">
        <v>698</v>
      </c>
      <c r="O56" s="227" t="s">
        <v>704</v>
      </c>
      <c r="P56" s="227" t="s">
        <v>659</v>
      </c>
      <c r="Q56" s="229">
        <v>45736</v>
      </c>
      <c r="R56" s="225" t="s">
        <v>380</v>
      </c>
    </row>
    <row r="57" spans="9:18">
      <c r="I57" s="225" t="s">
        <v>281</v>
      </c>
      <c r="J57" s="230" t="s">
        <v>378</v>
      </c>
      <c r="K57" s="228">
        <v>150000</v>
      </c>
      <c r="L57" s="227" t="s">
        <v>659</v>
      </c>
      <c r="M57" s="228">
        <v>154286</v>
      </c>
      <c r="N57" s="228">
        <v>7714</v>
      </c>
      <c r="O57" s="227" t="s">
        <v>704</v>
      </c>
      <c r="P57" s="227" t="s">
        <v>659</v>
      </c>
      <c r="Q57" s="229">
        <v>45735</v>
      </c>
      <c r="R57" s="225" t="s">
        <v>281</v>
      </c>
    </row>
    <row r="58" spans="9:18">
      <c r="I58" s="225" t="s">
        <v>281</v>
      </c>
      <c r="J58" s="230" t="s">
        <v>581</v>
      </c>
      <c r="K58" s="228">
        <v>140000</v>
      </c>
      <c r="L58" s="227" t="s">
        <v>659</v>
      </c>
      <c r="M58" s="228">
        <v>144000</v>
      </c>
      <c r="N58" s="228">
        <v>7200</v>
      </c>
      <c r="O58" s="227" t="s">
        <v>704</v>
      </c>
      <c r="P58" s="227" t="s">
        <v>659</v>
      </c>
      <c r="Q58" s="229">
        <v>45735</v>
      </c>
      <c r="R58" s="225" t="s">
        <v>281</v>
      </c>
    </row>
    <row r="59" spans="9:18">
      <c r="I59" s="222" t="s">
        <v>391</v>
      </c>
      <c r="J59" s="221" t="s">
        <v>392</v>
      </c>
      <c r="K59" s="223">
        <v>127102</v>
      </c>
      <c r="L59" s="222" t="s">
        <v>659</v>
      </c>
      <c r="M59" s="223">
        <v>137270</v>
      </c>
      <c r="N59" s="222" t="s">
        <v>698</v>
      </c>
      <c r="O59" s="222" t="s">
        <v>659</v>
      </c>
      <c r="P59" s="222" t="s">
        <v>659</v>
      </c>
      <c r="Q59" s="224">
        <v>45790</v>
      </c>
      <c r="R59" s="222" t="s">
        <v>391</v>
      </c>
    </row>
    <row r="60" spans="9:18">
      <c r="I60" s="225" t="s">
        <v>382</v>
      </c>
      <c r="J60" s="225" t="s">
        <v>383</v>
      </c>
      <c r="K60" s="228">
        <v>625000</v>
      </c>
      <c r="L60" s="227" t="s">
        <v>659</v>
      </c>
      <c r="M60" s="228">
        <v>675000</v>
      </c>
      <c r="N60" s="227" t="s">
        <v>698</v>
      </c>
      <c r="O60" s="227" t="s">
        <v>659</v>
      </c>
      <c r="P60" s="227" t="s">
        <v>659</v>
      </c>
      <c r="Q60" s="229">
        <v>45736</v>
      </c>
      <c r="R60" s="225" t="s">
        <v>382</v>
      </c>
    </row>
    <row r="61" spans="9:18">
      <c r="I61" s="225" t="s">
        <v>382</v>
      </c>
      <c r="J61" s="225" t="s">
        <v>383</v>
      </c>
      <c r="K61" s="227" t="s">
        <v>698</v>
      </c>
      <c r="L61" s="227" t="s">
        <v>659</v>
      </c>
      <c r="M61" s="227" t="s">
        <v>698</v>
      </c>
      <c r="N61" s="227" t="s">
        <v>698</v>
      </c>
      <c r="O61" s="227" t="s">
        <v>659</v>
      </c>
      <c r="P61" s="227" t="s">
        <v>659</v>
      </c>
      <c r="Q61" s="229">
        <v>45736</v>
      </c>
      <c r="R61" s="225" t="s">
        <v>382</v>
      </c>
    </row>
    <row r="62" spans="9:18">
      <c r="I62" s="225" t="s">
        <v>282</v>
      </c>
      <c r="J62" s="230" t="s">
        <v>379</v>
      </c>
      <c r="K62" s="228">
        <v>150000</v>
      </c>
      <c r="L62" s="227" t="s">
        <v>659</v>
      </c>
      <c r="M62" s="228">
        <v>154286</v>
      </c>
      <c r="N62" s="228">
        <v>7714</v>
      </c>
      <c r="O62" s="227" t="s">
        <v>659</v>
      </c>
      <c r="P62" s="227" t="s">
        <v>659</v>
      </c>
      <c r="Q62" s="229">
        <v>45735</v>
      </c>
      <c r="R62" s="225" t="s">
        <v>282</v>
      </c>
    </row>
    <row r="63" spans="9:18">
      <c r="I63" s="225" t="s">
        <v>282</v>
      </c>
      <c r="J63" s="230" t="s">
        <v>582</v>
      </c>
      <c r="K63" s="228">
        <v>140000</v>
      </c>
      <c r="L63" s="227" t="s">
        <v>659</v>
      </c>
      <c r="M63" s="228">
        <v>144000</v>
      </c>
      <c r="N63" s="228">
        <v>7200</v>
      </c>
      <c r="O63" s="227" t="s">
        <v>659</v>
      </c>
      <c r="P63" s="227" t="s">
        <v>659</v>
      </c>
      <c r="Q63" s="229">
        <v>45735</v>
      </c>
      <c r="R63" s="225" t="s">
        <v>282</v>
      </c>
    </row>
    <row r="64" spans="9:18">
      <c r="I64" s="231" t="s">
        <v>393</v>
      </c>
      <c r="J64" s="225" t="s">
        <v>394</v>
      </c>
      <c r="K64" s="232">
        <v>79301</v>
      </c>
      <c r="L64" s="231" t="s">
        <v>659</v>
      </c>
      <c r="M64" s="231" t="s">
        <v>698</v>
      </c>
      <c r="N64" s="232">
        <v>85645</v>
      </c>
      <c r="O64" s="231" t="s">
        <v>705</v>
      </c>
      <c r="P64" s="231" t="s">
        <v>659</v>
      </c>
      <c r="Q64" s="233">
        <v>45790</v>
      </c>
      <c r="R64" s="231" t="s">
        <v>393</v>
      </c>
    </row>
    <row r="65" spans="9:18">
      <c r="I65" s="234" t="s">
        <v>395</v>
      </c>
      <c r="J65" s="225" t="s">
        <v>396</v>
      </c>
      <c r="K65" s="235">
        <v>118462</v>
      </c>
      <c r="L65" s="234" t="s">
        <v>659</v>
      </c>
      <c r="M65" s="234" t="s">
        <v>698</v>
      </c>
      <c r="N65" s="223">
        <v>127939</v>
      </c>
      <c r="O65" s="234" t="s">
        <v>659</v>
      </c>
      <c r="P65" s="234" t="s">
        <v>659</v>
      </c>
      <c r="Q65" s="236">
        <v>45790</v>
      </c>
      <c r="R65" s="234" t="s">
        <v>395</v>
      </c>
    </row>
    <row r="66" spans="9:18">
      <c r="I66" s="222" t="s">
        <v>397</v>
      </c>
      <c r="J66" s="221" t="s">
        <v>398</v>
      </c>
      <c r="K66" s="223">
        <v>51549</v>
      </c>
      <c r="L66" s="222" t="s">
        <v>659</v>
      </c>
      <c r="M66" s="223">
        <v>55673</v>
      </c>
      <c r="N66" s="222" t="s">
        <v>698</v>
      </c>
      <c r="O66" s="222" t="s">
        <v>659</v>
      </c>
      <c r="P66" s="222" t="s">
        <v>659</v>
      </c>
      <c r="Q66" s="224">
        <v>45790</v>
      </c>
      <c r="R66" s="222" t="s">
        <v>397</v>
      </c>
    </row>
    <row r="67" spans="9:18">
      <c r="I67" s="225" t="s">
        <v>370</v>
      </c>
      <c r="J67" s="225" t="s">
        <v>354</v>
      </c>
      <c r="K67" s="228">
        <v>150000</v>
      </c>
      <c r="L67" s="227" t="s">
        <v>659</v>
      </c>
      <c r="M67" s="228">
        <v>162000</v>
      </c>
      <c r="N67" s="227" t="s">
        <v>698</v>
      </c>
      <c r="O67" s="227" t="s">
        <v>659</v>
      </c>
      <c r="P67" s="227" t="s">
        <v>659</v>
      </c>
      <c r="Q67" s="229">
        <v>45685</v>
      </c>
      <c r="R67" s="225" t="s">
        <v>370</v>
      </c>
    </row>
    <row r="68" spans="9:18">
      <c r="I68" s="227" t="s">
        <v>372</v>
      </c>
      <c r="J68" s="230" t="s">
        <v>373</v>
      </c>
      <c r="K68" s="228">
        <v>140000</v>
      </c>
      <c r="L68" s="227" t="s">
        <v>659</v>
      </c>
      <c r="M68" s="228">
        <v>144000</v>
      </c>
      <c r="N68" s="228">
        <v>7200</v>
      </c>
      <c r="O68" s="227" t="s">
        <v>659</v>
      </c>
      <c r="P68" s="227" t="s">
        <v>659</v>
      </c>
      <c r="Q68" s="229">
        <v>45687</v>
      </c>
      <c r="R68" s="227" t="s">
        <v>372</v>
      </c>
    </row>
    <row r="69" spans="9:18">
      <c r="I69" s="222" t="s">
        <v>399</v>
      </c>
      <c r="J69" s="221" t="s">
        <v>400</v>
      </c>
      <c r="K69" s="223">
        <v>55507</v>
      </c>
      <c r="L69" s="222" t="s">
        <v>659</v>
      </c>
      <c r="M69" s="223">
        <v>59948</v>
      </c>
      <c r="N69" s="222" t="s">
        <v>698</v>
      </c>
      <c r="O69" s="222" t="s">
        <v>659</v>
      </c>
      <c r="P69" s="222" t="s">
        <v>659</v>
      </c>
      <c r="Q69" s="224">
        <v>45790</v>
      </c>
      <c r="R69" s="222" t="s">
        <v>399</v>
      </c>
    </row>
    <row r="70" spans="9:18">
      <c r="I70" s="237" t="s">
        <v>659</v>
      </c>
      <c r="J70" s="115" t="s">
        <v>706</v>
      </c>
      <c r="K70" s="238">
        <v>-1096429</v>
      </c>
      <c r="L70" s="237" t="s">
        <v>659</v>
      </c>
      <c r="M70" s="237" t="s">
        <v>698</v>
      </c>
      <c r="N70" s="238">
        <v>-1184143</v>
      </c>
      <c r="O70" s="237" t="s">
        <v>707</v>
      </c>
      <c r="P70" s="237" t="s">
        <v>659</v>
      </c>
      <c r="Q70" s="237" t="s">
        <v>659</v>
      </c>
      <c r="R70" s="237" t="s">
        <v>659</v>
      </c>
    </row>
    <row r="71" spans="9:18">
      <c r="I71" s="237" t="s">
        <v>659</v>
      </c>
      <c r="J71" s="115" t="s">
        <v>587</v>
      </c>
      <c r="K71" s="238">
        <v>1096429</v>
      </c>
      <c r="L71" s="237" t="s">
        <v>659</v>
      </c>
      <c r="M71" s="237" t="s">
        <v>698</v>
      </c>
      <c r="N71" s="238">
        <v>1184143</v>
      </c>
      <c r="O71" s="237" t="s">
        <v>708</v>
      </c>
      <c r="P71" s="237" t="s">
        <v>659</v>
      </c>
      <c r="Q71" s="237" t="s">
        <v>659</v>
      </c>
      <c r="R71" s="237" t="s">
        <v>659</v>
      </c>
    </row>
    <row r="72" spans="9:18">
      <c r="I72" s="222" t="s">
        <v>402</v>
      </c>
      <c r="J72" s="221" t="s">
        <v>403</v>
      </c>
      <c r="K72" s="223">
        <v>50318</v>
      </c>
      <c r="L72" s="222" t="s">
        <v>659</v>
      </c>
      <c r="M72" s="222" t="s">
        <v>698</v>
      </c>
      <c r="N72" s="223">
        <v>54343</v>
      </c>
      <c r="O72" s="222" t="s">
        <v>659</v>
      </c>
      <c r="P72" s="222" t="s">
        <v>659</v>
      </c>
      <c r="Q72" s="224">
        <v>45829</v>
      </c>
      <c r="R72" s="222" t="s">
        <v>402</v>
      </c>
    </row>
    <row r="73" spans="9:18">
      <c r="I73" s="239" t="s">
        <v>256</v>
      </c>
      <c r="J73" s="230" t="s">
        <v>384</v>
      </c>
      <c r="K73" s="228">
        <v>150000</v>
      </c>
      <c r="L73" s="227" t="s">
        <v>659</v>
      </c>
      <c r="M73" s="228">
        <v>154286</v>
      </c>
      <c r="N73" s="228">
        <v>7714</v>
      </c>
      <c r="O73" s="227" t="s">
        <v>709</v>
      </c>
      <c r="P73" s="227" t="s">
        <v>710</v>
      </c>
      <c r="Q73" s="229">
        <v>45763</v>
      </c>
      <c r="R73" s="239" t="s">
        <v>256</v>
      </c>
    </row>
    <row r="74" spans="9:18">
      <c r="I74" s="225" t="s">
        <v>256</v>
      </c>
      <c r="J74" s="230" t="s">
        <v>586</v>
      </c>
      <c r="K74" s="228">
        <v>140000</v>
      </c>
      <c r="L74" s="227" t="s">
        <v>659</v>
      </c>
      <c r="M74" s="228">
        <v>144000</v>
      </c>
      <c r="N74" s="228">
        <v>7200</v>
      </c>
      <c r="O74" s="227" t="s">
        <v>709</v>
      </c>
      <c r="P74" s="227" t="s">
        <v>710</v>
      </c>
      <c r="Q74" s="229">
        <v>45763</v>
      </c>
      <c r="R74" s="225" t="s">
        <v>256</v>
      </c>
    </row>
    <row r="75" spans="9:18">
      <c r="I75" s="227" t="s">
        <v>385</v>
      </c>
      <c r="J75" s="230" t="s">
        <v>386</v>
      </c>
      <c r="K75" s="228">
        <v>625000</v>
      </c>
      <c r="L75" s="227" t="s">
        <v>659</v>
      </c>
      <c r="M75" s="228">
        <v>244497</v>
      </c>
      <c r="N75" s="228">
        <v>430503</v>
      </c>
      <c r="O75" s="227" t="s">
        <v>711</v>
      </c>
      <c r="P75" s="227" t="s">
        <v>659</v>
      </c>
      <c r="Q75" s="229">
        <v>45763</v>
      </c>
      <c r="R75" s="227" t="s">
        <v>385</v>
      </c>
    </row>
    <row r="76" spans="9:18">
      <c r="I76" s="222" t="s">
        <v>404</v>
      </c>
      <c r="J76" s="221" t="s">
        <v>405</v>
      </c>
      <c r="K76" s="223">
        <v>40837</v>
      </c>
      <c r="L76" s="222" t="s">
        <v>659</v>
      </c>
      <c r="M76" s="223">
        <v>44104</v>
      </c>
      <c r="N76" s="222" t="s">
        <v>698</v>
      </c>
      <c r="O76" s="222" t="s">
        <v>712</v>
      </c>
      <c r="P76" s="222" t="s">
        <v>659</v>
      </c>
      <c r="Q76" s="224">
        <v>45829</v>
      </c>
      <c r="R76" s="222" t="s">
        <v>404</v>
      </c>
    </row>
    <row r="77" spans="9:18">
      <c r="I77" s="222" t="s">
        <v>713</v>
      </c>
      <c r="J77" s="221" t="s">
        <v>588</v>
      </c>
      <c r="K77" s="223">
        <v>40769</v>
      </c>
      <c r="L77" s="222" t="s">
        <v>659</v>
      </c>
      <c r="M77" s="222" t="s">
        <v>698</v>
      </c>
      <c r="N77" s="223">
        <v>44031</v>
      </c>
      <c r="O77" s="222" t="s">
        <v>659</v>
      </c>
      <c r="P77" s="222" t="s">
        <v>659</v>
      </c>
      <c r="Q77" s="224">
        <v>45882</v>
      </c>
      <c r="R77" s="222" t="s">
        <v>713</v>
      </c>
    </row>
    <row r="78" spans="9:18">
      <c r="I78" s="234" t="s">
        <v>714</v>
      </c>
      <c r="J78" s="225" t="s">
        <v>396</v>
      </c>
      <c r="K78" s="235">
        <v>-118462</v>
      </c>
      <c r="L78" s="234" t="s">
        <v>659</v>
      </c>
      <c r="M78" s="234" t="s">
        <v>698</v>
      </c>
      <c r="N78" s="223">
        <v>-127939</v>
      </c>
      <c r="O78" s="234" t="s">
        <v>715</v>
      </c>
      <c r="P78" s="234" t="s">
        <v>659</v>
      </c>
      <c r="Q78" s="234" t="s">
        <v>659</v>
      </c>
      <c r="R78" s="234" t="s">
        <v>714</v>
      </c>
    </row>
    <row r="79" spans="9:18">
      <c r="I79" s="227" t="s">
        <v>716</v>
      </c>
      <c r="J79" s="225" t="s">
        <v>590</v>
      </c>
      <c r="K79" s="228">
        <v>625000</v>
      </c>
      <c r="L79" s="227" t="s">
        <v>717</v>
      </c>
      <c r="M79" s="227" t="s">
        <v>698</v>
      </c>
      <c r="N79" s="228">
        <v>675000</v>
      </c>
      <c r="O79" s="227" t="s">
        <v>659</v>
      </c>
      <c r="P79" s="227" t="s">
        <v>659</v>
      </c>
      <c r="Q79" s="229">
        <v>45882</v>
      </c>
      <c r="R79" s="227" t="s">
        <v>716</v>
      </c>
    </row>
    <row r="80" spans="9:18">
      <c r="I80" s="227" t="s">
        <v>718</v>
      </c>
      <c r="J80" s="225" t="s">
        <v>590</v>
      </c>
      <c r="K80" s="227" t="s">
        <v>698</v>
      </c>
      <c r="L80" s="227" t="s">
        <v>659</v>
      </c>
      <c r="M80" s="227" t="s">
        <v>698</v>
      </c>
      <c r="N80" s="227" t="s">
        <v>698</v>
      </c>
      <c r="O80" s="227" t="s">
        <v>659</v>
      </c>
      <c r="P80" s="227" t="s">
        <v>659</v>
      </c>
      <c r="Q80" s="229">
        <v>45883</v>
      </c>
      <c r="R80" s="227" t="s">
        <v>718</v>
      </c>
    </row>
    <row r="81" spans="9:18">
      <c r="I81" s="240" t="s">
        <v>719</v>
      </c>
      <c r="J81" s="225" t="s">
        <v>631</v>
      </c>
      <c r="K81" s="241">
        <v>300000</v>
      </c>
      <c r="L81" s="240" t="s">
        <v>720</v>
      </c>
      <c r="M81" s="240" t="s">
        <v>698</v>
      </c>
      <c r="N81" s="241">
        <v>324000</v>
      </c>
      <c r="O81" s="240" t="s">
        <v>659</v>
      </c>
      <c r="P81" s="240" t="s">
        <v>659</v>
      </c>
      <c r="Q81" s="242">
        <v>45882</v>
      </c>
      <c r="R81" s="240" t="s">
        <v>719</v>
      </c>
    </row>
    <row r="82" spans="9:18">
      <c r="I82" s="240" t="s">
        <v>659</v>
      </c>
      <c r="J82" s="225" t="s">
        <v>631</v>
      </c>
      <c r="K82" s="241">
        <v>325000</v>
      </c>
      <c r="L82" s="240" t="s">
        <v>659</v>
      </c>
      <c r="M82" s="240" t="s">
        <v>659</v>
      </c>
      <c r="N82" s="241">
        <v>351000</v>
      </c>
      <c r="O82" s="240" t="s">
        <v>659</v>
      </c>
      <c r="P82" s="240" t="s">
        <v>659</v>
      </c>
      <c r="Q82" s="240" t="s">
        <v>659</v>
      </c>
      <c r="R82" s="240" t="s">
        <v>659</v>
      </c>
    </row>
    <row r="83" spans="9:18">
      <c r="I83" s="243" t="s">
        <v>721</v>
      </c>
      <c r="J83" s="225" t="s">
        <v>394</v>
      </c>
      <c r="K83" s="244">
        <v>-79301</v>
      </c>
      <c r="L83" s="243" t="s">
        <v>659</v>
      </c>
      <c r="M83" s="243" t="s">
        <v>698</v>
      </c>
      <c r="N83" s="244">
        <v>-85645</v>
      </c>
      <c r="O83" s="243" t="s">
        <v>636</v>
      </c>
      <c r="P83" s="243" t="s">
        <v>659</v>
      </c>
      <c r="Q83" s="243" t="s">
        <v>659</v>
      </c>
      <c r="R83" s="243" t="s">
        <v>721</v>
      </c>
    </row>
    <row r="84" spans="9:18">
      <c r="I84" s="222" t="s">
        <v>722</v>
      </c>
      <c r="J84" s="221" t="s">
        <v>637</v>
      </c>
      <c r="K84" s="223">
        <v>72092</v>
      </c>
      <c r="L84" s="222" t="s">
        <v>659</v>
      </c>
      <c r="M84" s="222" t="s">
        <v>698</v>
      </c>
      <c r="N84" s="223">
        <v>77859</v>
      </c>
      <c r="O84" s="222" t="s">
        <v>659</v>
      </c>
      <c r="P84" s="222" t="s">
        <v>659</v>
      </c>
      <c r="Q84" s="224">
        <v>45882</v>
      </c>
      <c r="R84" s="222" t="s">
        <v>722</v>
      </c>
    </row>
    <row r="85" spans="9:18">
      <c r="I85" s="240" t="s">
        <v>659</v>
      </c>
      <c r="J85" s="245" t="s">
        <v>593</v>
      </c>
      <c r="K85" s="241">
        <v>120000</v>
      </c>
      <c r="L85" s="240" t="s">
        <v>659</v>
      </c>
      <c r="M85" s="240" t="s">
        <v>698</v>
      </c>
      <c r="N85" s="241">
        <v>129600</v>
      </c>
      <c r="O85" s="240" t="s">
        <v>659</v>
      </c>
      <c r="P85" s="240" t="s">
        <v>659</v>
      </c>
      <c r="Q85" s="240" t="s">
        <v>659</v>
      </c>
      <c r="R85" s="240" t="s">
        <v>659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63B058EDD76E48B607691D37AC8497" ma:contentTypeVersion="3" ma:contentTypeDescription="Create a new document." ma:contentTypeScope="" ma:versionID="61d40ef7909dee5fad18dd73fcedc1cc">
  <xsd:schema xmlns:xsd="http://www.w3.org/2001/XMLSchema" xmlns:xs="http://www.w3.org/2001/XMLSchema" xmlns:p="http://schemas.microsoft.com/office/2006/metadata/properties" xmlns:ns2="251f237a-9322-4f80-991a-0286b9a96938" targetNamespace="http://schemas.microsoft.com/office/2006/metadata/properties" ma:root="true" ma:fieldsID="fc473bdaa30bd3b96b900ea75e12c080" ns2:_="">
    <xsd:import namespace="251f237a-9322-4f80-991a-0286b9a969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f237a-9322-4f80-991a-0286b9a96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1000F8-CAE0-40B1-8AA0-FC8E2527B6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7BCD85-DEC7-4080-A477-0C2765ACAC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5BA414-51C3-41E6-9EA2-0A58ECA89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1f237a-9322-4f80-991a-0286b9a96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Tracker Updates</vt:lpstr>
      <vt:lpstr>SO Form</vt:lpstr>
      <vt:lpstr>PO Details</vt:lpstr>
      <vt:lpstr>Billing and Payment Details</vt:lpstr>
      <vt:lpstr>Outsourcing Details</vt:lpstr>
      <vt:lpstr>PO Utilization</vt:lpstr>
      <vt:lpstr>Vendor Payment Processed</vt:lpstr>
      <vt:lpstr>Tracker Flow Chart</vt:lpstr>
      <vt:lpstr>Vendor Outstanding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Pardeep Kumar</cp:lastModifiedBy>
  <cp:revision/>
  <dcterms:created xsi:type="dcterms:W3CDTF">2015-06-05T18:17:20Z</dcterms:created>
  <dcterms:modified xsi:type="dcterms:W3CDTF">2025-09-17T03:54:54Z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0x0101008963B058EDD76E48B607691D37AC8497</vt:lpwstr>
  </property>
</Properties>
</file>