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eddy\Downloads\"/>
    </mc:Choice>
  </mc:AlternateContent>
  <xr:revisionPtr revIDLastSave="0" documentId="13_ncr:1_{0E7F71EB-5494-49C1-810E-8F8C9DF930AE}" xr6:coauthVersionLast="47" xr6:coauthVersionMax="47" xr10:uidLastSave="{00000000-0000-0000-0000-000000000000}"/>
  <bookViews>
    <workbookView xWindow="-108" yWindow="-108" windowWidth="23256" windowHeight="12456" firstSheet="7" activeTab="7" xr2:uid="{00000000-000D-0000-FFFF-FFFF00000000}"/>
  </bookViews>
  <sheets>
    <sheet name="PL 900" sheetId="1" r:id="rId1"/>
    <sheet name="Sheet1" sheetId="3" r:id="rId2"/>
    <sheet name="PL 1100" sheetId="2" r:id="rId3"/>
    <sheet name="Sheet2" sheetId="4" r:id="rId4"/>
    <sheet name="Assumptions" sheetId="11" r:id="rId5"/>
    <sheet name="Cost Schedule" sheetId="5" r:id="rId6"/>
    <sheet name="Fixed&amp;Variable costs&amp;BEQ" sheetId="6" r:id="rId7"/>
    <sheet name="Depriciation" sheetId="12" r:id="rId8"/>
    <sheet name="Capital Structure &amp; Interest " sheetId="8" r:id="rId9"/>
    <sheet name="Profit and Loss" sheetId="7" r:id="rId10"/>
    <sheet name="Balance Sheet" sheetId="9" r:id="rId11"/>
    <sheet name="Cash Flow" sheetId="10" r:id="rId12"/>
    <sheet name="Ratio Analysis" sheetId="14" r:id="rId13"/>
  </sheets>
  <definedNames>
    <definedName name="solver_adj" localSheetId="6" hidden="1">'Fixed&amp;Variable costs&amp;BEQ'!$M$15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'Fixed&amp;Variable costs&amp;BEQ'!$J$14</definedName>
    <definedName name="solver_lhs2" localSheetId="6" hidden="1">'Fixed&amp;Variable costs&amp;BEQ'!$M$19</definedName>
    <definedName name="solver_lhs3" localSheetId="6" hidden="1">'Fixed&amp;Variable costs&amp;BEQ'!$J$16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'Fixed&amp;Variable costs&amp;BEQ'!$M$19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el3" localSheetId="6" hidden="1">3</definedName>
    <definedName name="solver_rhs1" localSheetId="6" hidden="1">1000</definedName>
    <definedName name="solver_rhs2" localSheetId="6" hidden="1">0</definedName>
    <definedName name="solver_rhs3" localSheetId="6" hidden="1">65.6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4" l="1"/>
  <c r="H23" i="14"/>
  <c r="I23" i="14"/>
  <c r="J23" i="14"/>
  <c r="F23" i="14"/>
  <c r="E23" i="14" l="1"/>
  <c r="O17" i="6"/>
  <c r="N17" i="6"/>
  <c r="M17" i="6"/>
  <c r="L17" i="6"/>
  <c r="K17" i="6"/>
  <c r="B23" i="14" l="1"/>
  <c r="B24" i="14"/>
  <c r="D5" i="8"/>
  <c r="D12" i="6" l="1"/>
  <c r="E5" i="5"/>
  <c r="F5" i="5" s="1"/>
  <c r="I47" i="5"/>
  <c r="H47" i="5"/>
  <c r="G47" i="5"/>
  <c r="F47" i="5"/>
  <c r="E18" i="5"/>
  <c r="F18" i="5" s="1"/>
  <c r="F19" i="5" s="1"/>
  <c r="F17" i="5"/>
  <c r="H17" i="5" s="1"/>
  <c r="I17" i="5" s="1"/>
  <c r="E17" i="5"/>
  <c r="C4" i="6"/>
  <c r="J13" i="10"/>
  <c r="J17" i="10" s="1"/>
  <c r="G13" i="10"/>
  <c r="G17" i="10" s="1"/>
  <c r="H13" i="10"/>
  <c r="H17" i="10" s="1"/>
  <c r="I13" i="10"/>
  <c r="I17" i="10" s="1"/>
  <c r="E6" i="5" l="1"/>
  <c r="K12" i="6"/>
  <c r="L12" i="6"/>
  <c r="G5" i="5"/>
  <c r="F6" i="5"/>
  <c r="L15" i="6" s="1"/>
  <c r="L18" i="6"/>
  <c r="E19" i="5"/>
  <c r="K18" i="6" s="1"/>
  <c r="G18" i="5"/>
  <c r="G17" i="5"/>
  <c r="F14" i="7"/>
  <c r="F34" i="11"/>
  <c r="E60" i="5" s="1"/>
  <c r="D14" i="6" s="1"/>
  <c r="F55" i="5"/>
  <c r="G55" i="5"/>
  <c r="H55" i="5"/>
  <c r="I55" i="5"/>
  <c r="E55" i="5"/>
  <c r="E11" i="5"/>
  <c r="N19" i="5"/>
  <c r="N24" i="5"/>
  <c r="N25" i="5"/>
  <c r="N35" i="5"/>
  <c r="N21" i="5" s="1"/>
  <c r="E46" i="5"/>
  <c r="F52" i="5"/>
  <c r="E47" i="5"/>
  <c r="K15" i="6" s="1"/>
  <c r="E22" i="5"/>
  <c r="E20" i="5"/>
  <c r="K11" i="6" s="1"/>
  <c r="K13" i="6" s="1"/>
  <c r="K14" i="6" s="1"/>
  <c r="F8" i="11"/>
  <c r="E42" i="5"/>
  <c r="D13" i="6" s="1"/>
  <c r="E29" i="5"/>
  <c r="E30" i="5"/>
  <c r="E31" i="5"/>
  <c r="E32" i="5"/>
  <c r="E34" i="5"/>
  <c r="E28" i="5"/>
  <c r="F30" i="11"/>
  <c r="E33" i="5" s="1"/>
  <c r="F46" i="5" l="1"/>
  <c r="F49" i="5" s="1"/>
  <c r="G13" i="7" s="1"/>
  <c r="K16" i="6"/>
  <c r="K19" i="6" s="1"/>
  <c r="E26" i="6" s="1"/>
  <c r="M12" i="6"/>
  <c r="H5" i="5"/>
  <c r="G6" i="5"/>
  <c r="M15" i="6" s="1"/>
  <c r="G52" i="5"/>
  <c r="E12" i="6"/>
  <c r="F22" i="5"/>
  <c r="E15" i="6" s="1"/>
  <c r="D15" i="6"/>
  <c r="F11" i="5"/>
  <c r="E27" i="6"/>
  <c r="F20" i="5"/>
  <c r="E21" i="5"/>
  <c r="E24" i="5" s="1"/>
  <c r="F10" i="7" s="1"/>
  <c r="F42" i="5"/>
  <c r="C5" i="6"/>
  <c r="H18" i="5"/>
  <c r="G19" i="5"/>
  <c r="C6" i="6"/>
  <c r="F12" i="7"/>
  <c r="F11" i="7"/>
  <c r="F60" i="5"/>
  <c r="E14" i="6" s="1"/>
  <c r="E12" i="5"/>
  <c r="G14" i="7"/>
  <c r="G22" i="5"/>
  <c r="F15" i="6" s="1"/>
  <c r="H8" i="2"/>
  <c r="M4" i="6"/>
  <c r="E28" i="6" l="1"/>
  <c r="G20" i="5"/>
  <c r="M11" i="6" s="1"/>
  <c r="M13" i="6" s="1"/>
  <c r="M14" i="6" s="1"/>
  <c r="L11" i="6"/>
  <c r="L13" i="6" s="1"/>
  <c r="L14" i="6" s="1"/>
  <c r="I5" i="5"/>
  <c r="H6" i="5"/>
  <c r="N15" i="6" s="1"/>
  <c r="N12" i="6"/>
  <c r="M18" i="6"/>
  <c r="G42" i="5"/>
  <c r="E13" i="6"/>
  <c r="H52" i="5"/>
  <c r="F12" i="6"/>
  <c r="H14" i="7"/>
  <c r="G11" i="5"/>
  <c r="F27" i="6"/>
  <c r="G46" i="5"/>
  <c r="G49" i="5" s="1"/>
  <c r="H13" i="7" s="1"/>
  <c r="L16" i="6"/>
  <c r="G11" i="7"/>
  <c r="I18" i="5"/>
  <c r="I19" i="5" s="1"/>
  <c r="H19" i="5"/>
  <c r="N18" i="6" s="1"/>
  <c r="G60" i="5"/>
  <c r="F14" i="6" s="1"/>
  <c r="G12" i="7"/>
  <c r="F12" i="5"/>
  <c r="G6" i="7" s="1"/>
  <c r="F56" i="5"/>
  <c r="G15" i="7" s="1"/>
  <c r="E56" i="5"/>
  <c r="F6" i="7"/>
  <c r="G12" i="5"/>
  <c r="H22" i="5"/>
  <c r="G15" i="6" s="1"/>
  <c r="F21" i="5"/>
  <c r="L19" i="6" l="1"/>
  <c r="F26" i="6" s="1"/>
  <c r="F28" i="6" s="1"/>
  <c r="H11" i="5"/>
  <c r="G27" i="6"/>
  <c r="O12" i="6"/>
  <c r="I6" i="5"/>
  <c r="O15" i="6" s="1"/>
  <c r="H46" i="5"/>
  <c r="H49" i="5" s="1"/>
  <c r="I13" i="7" s="1"/>
  <c r="M16" i="6"/>
  <c r="M19" i="6" s="1"/>
  <c r="G26" i="6" s="1"/>
  <c r="I52" i="5"/>
  <c r="G12" i="6"/>
  <c r="I14" i="7"/>
  <c r="G21" i="5"/>
  <c r="G24" i="5" s="1"/>
  <c r="H10" i="7" s="1"/>
  <c r="H20" i="5"/>
  <c r="N11" i="6" s="1"/>
  <c r="N13" i="6" s="1"/>
  <c r="N14" i="6" s="1"/>
  <c r="H42" i="5"/>
  <c r="F13" i="6"/>
  <c r="H11" i="7"/>
  <c r="F24" i="5"/>
  <c r="G10" i="7" s="1"/>
  <c r="C9" i="14" s="1"/>
  <c r="H60" i="5"/>
  <c r="G14" i="6" s="1"/>
  <c r="H12" i="7"/>
  <c r="G56" i="5"/>
  <c r="H15" i="7" s="1"/>
  <c r="H6" i="7"/>
  <c r="I22" i="5"/>
  <c r="H15" i="6" s="1"/>
  <c r="F15" i="7"/>
  <c r="K18" i="4"/>
  <c r="K15" i="4"/>
  <c r="L7" i="4"/>
  <c r="E36" i="5"/>
  <c r="D4" i="8" s="1"/>
  <c r="D3" i="8" s="1"/>
  <c r="C7" i="6"/>
  <c r="G28" i="6" l="1"/>
  <c r="J14" i="7"/>
  <c r="H12" i="6"/>
  <c r="I11" i="5"/>
  <c r="H27" i="6"/>
  <c r="H12" i="5"/>
  <c r="D9" i="14"/>
  <c r="D6" i="14"/>
  <c r="C6" i="14"/>
  <c r="I42" i="5"/>
  <c r="G13" i="6"/>
  <c r="I11" i="7"/>
  <c r="I46" i="5"/>
  <c r="N16" i="6"/>
  <c r="N19" i="6" s="1"/>
  <c r="H26" i="6" s="1"/>
  <c r="H21" i="5"/>
  <c r="H24" i="5" s="1"/>
  <c r="I10" i="7" s="1"/>
  <c r="I20" i="5"/>
  <c r="O11" i="6" s="1"/>
  <c r="O13" i="6" s="1"/>
  <c r="O14" i="6" s="1"/>
  <c r="O18" i="6"/>
  <c r="I60" i="5"/>
  <c r="I12" i="7"/>
  <c r="L14" i="9"/>
  <c r="H14" i="9"/>
  <c r="F13" i="10"/>
  <c r="F17" i="10" s="1"/>
  <c r="I14" i="9"/>
  <c r="J14" i="9"/>
  <c r="K14" i="9"/>
  <c r="F10" i="12"/>
  <c r="C3" i="6"/>
  <c r="C8" i="6" s="1"/>
  <c r="E49" i="5"/>
  <c r="F13" i="7" s="1"/>
  <c r="B9" i="1"/>
  <c r="I21" i="5" l="1"/>
  <c r="I24" i="5" s="1"/>
  <c r="J10" i="7" s="1"/>
  <c r="F11" i="12"/>
  <c r="F19" i="7" s="1"/>
  <c r="F7" i="10" s="1"/>
  <c r="D11" i="6"/>
  <c r="D16" i="6" s="1"/>
  <c r="E25" i="6" s="1"/>
  <c r="E29" i="6" s="1"/>
  <c r="J12" i="7"/>
  <c r="H14" i="6"/>
  <c r="H28" i="6"/>
  <c r="J11" i="7"/>
  <c r="H13" i="6"/>
  <c r="I27" i="6"/>
  <c r="I12" i="5"/>
  <c r="F17" i="7"/>
  <c r="B6" i="14"/>
  <c r="O16" i="6"/>
  <c r="O19" i="6" s="1"/>
  <c r="I26" i="6" s="1"/>
  <c r="I49" i="5"/>
  <c r="J13" i="7" s="1"/>
  <c r="H56" i="5"/>
  <c r="I15" i="7" s="1"/>
  <c r="I6" i="7"/>
  <c r="D11" i="8"/>
  <c r="B25" i="1"/>
  <c r="D31" i="1"/>
  <c r="L25" i="2"/>
  <c r="L24" i="2"/>
  <c r="B24" i="2"/>
  <c r="D23" i="2"/>
  <c r="L22" i="2"/>
  <c r="L21" i="2"/>
  <c r="H20" i="2"/>
  <c r="D16" i="2"/>
  <c r="C16" i="2"/>
  <c r="C24" i="2" s="1"/>
  <c r="L15" i="2"/>
  <c r="L14" i="2"/>
  <c r="L13" i="2"/>
  <c r="P12" i="2"/>
  <c r="B9" i="2"/>
  <c r="P8" i="2"/>
  <c r="D4" i="2"/>
  <c r="D7" i="2" s="1"/>
  <c r="D10" i="2" s="1"/>
  <c r="C4" i="2"/>
  <c r="C7" i="2" s="1"/>
  <c r="C10" i="2" s="1"/>
  <c r="C25" i="2" s="1"/>
  <c r="C28" i="2" s="1"/>
  <c r="B4" i="2"/>
  <c r="B7" i="2" s="1"/>
  <c r="D24" i="1"/>
  <c r="I20" i="1"/>
  <c r="I14" i="1" s="1"/>
  <c r="C20" i="1"/>
  <c r="D20" i="1" s="1"/>
  <c r="D19" i="1"/>
  <c r="Q18" i="1"/>
  <c r="M18" i="1"/>
  <c r="D18" i="1"/>
  <c r="C18" i="1"/>
  <c r="M16" i="1"/>
  <c r="D16" i="1"/>
  <c r="C16" i="1"/>
  <c r="C25" i="1" s="1"/>
  <c r="C15" i="1"/>
  <c r="D15" i="1" s="1"/>
  <c r="Q14" i="1"/>
  <c r="M14" i="1"/>
  <c r="Q12" i="1"/>
  <c r="Q9" i="1" s="1"/>
  <c r="M12" i="1"/>
  <c r="I12" i="1"/>
  <c r="I9" i="1" s="1"/>
  <c r="Q11" i="1"/>
  <c r="M11" i="1"/>
  <c r="I11" i="1"/>
  <c r="M10" i="1"/>
  <c r="M9" i="1" s="1"/>
  <c r="I10" i="1"/>
  <c r="C7" i="1"/>
  <c r="B7" i="1"/>
  <c r="D4" i="1"/>
  <c r="D7" i="1" s="1"/>
  <c r="C4" i="1"/>
  <c r="B4" i="1"/>
  <c r="I28" i="6" l="1"/>
  <c r="E9" i="14"/>
  <c r="E6" i="14"/>
  <c r="I56" i="5"/>
  <c r="J15" i="7" s="1"/>
  <c r="J6" i="7"/>
  <c r="H15" i="9"/>
  <c r="H16" i="9" s="1"/>
  <c r="G10" i="12"/>
  <c r="E11" i="6" s="1"/>
  <c r="E16" i="6" s="1"/>
  <c r="F25" i="6" s="1"/>
  <c r="F29" i="6" s="1"/>
  <c r="B9" i="14"/>
  <c r="F18" i="7"/>
  <c r="F20" i="7" s="1"/>
  <c r="D12" i="8"/>
  <c r="B18" i="14" s="1"/>
  <c r="D16" i="8"/>
  <c r="D19" i="8" s="1"/>
  <c r="D24" i="2"/>
  <c r="D25" i="2" s="1"/>
  <c r="D28" i="2" s="1"/>
  <c r="D30" i="2" s="1"/>
  <c r="D31" i="2" s="1"/>
  <c r="L20" i="2"/>
  <c r="B10" i="2"/>
  <c r="B25" i="2" s="1"/>
  <c r="B28" i="2" s="1"/>
  <c r="B30" i="2" s="1"/>
  <c r="B31" i="2" s="1"/>
  <c r="P21" i="2"/>
  <c r="P20" i="2" s="1"/>
  <c r="L12" i="2"/>
  <c r="L8" i="2" s="1"/>
  <c r="Q6" i="1"/>
  <c r="D9" i="1"/>
  <c r="C30" i="2"/>
  <c r="C31" i="2" s="1"/>
  <c r="D10" i="1"/>
  <c r="C9" i="1"/>
  <c r="C10" i="1" s="1"/>
  <c r="C26" i="1" s="1"/>
  <c r="C29" i="1" s="1"/>
  <c r="C32" i="1" s="1"/>
  <c r="M6" i="1"/>
  <c r="I6" i="1"/>
  <c r="B10" i="1"/>
  <c r="B26" i="1" s="1"/>
  <c r="B29" i="1" s="1"/>
  <c r="B32" i="1" s="1"/>
  <c r="D25" i="1"/>
  <c r="F6" i="14" l="1"/>
  <c r="F9" i="14"/>
  <c r="B5" i="14"/>
  <c r="G11" i="12"/>
  <c r="G19" i="7" s="1"/>
  <c r="I5" i="9"/>
  <c r="J5" i="9"/>
  <c r="L5" i="9"/>
  <c r="K5" i="9"/>
  <c r="H5" i="9"/>
  <c r="F21" i="10" s="1"/>
  <c r="K19" i="8"/>
  <c r="L19" i="8" s="1"/>
  <c r="M26" i="8"/>
  <c r="M34" i="8"/>
  <c r="M42" i="8"/>
  <c r="M50" i="8"/>
  <c r="M58" i="8"/>
  <c r="M66" i="8"/>
  <c r="M74" i="8"/>
  <c r="M19" i="8"/>
  <c r="M21" i="8"/>
  <c r="M29" i="8"/>
  <c r="M37" i="8"/>
  <c r="M45" i="8"/>
  <c r="M53" i="8"/>
  <c r="M61" i="8"/>
  <c r="M69" i="8"/>
  <c r="M77" i="8"/>
  <c r="M49" i="8"/>
  <c r="M51" i="8"/>
  <c r="M75" i="8"/>
  <c r="M60" i="8"/>
  <c r="M22" i="8"/>
  <c r="M30" i="8"/>
  <c r="M38" i="8"/>
  <c r="M46" i="8"/>
  <c r="M54" i="8"/>
  <c r="M62" i="8"/>
  <c r="M70" i="8"/>
  <c r="M78" i="8"/>
  <c r="M25" i="8"/>
  <c r="M41" i="8"/>
  <c r="M65" i="8"/>
  <c r="M27" i="8"/>
  <c r="M43" i="8"/>
  <c r="M67" i="8"/>
  <c r="M28" i="8"/>
  <c r="M44" i="8"/>
  <c r="M76" i="8"/>
  <c r="M23" i="8"/>
  <c r="M31" i="8"/>
  <c r="M39" i="8"/>
  <c r="M47" i="8"/>
  <c r="M55" i="8"/>
  <c r="M63" i="8"/>
  <c r="M71" i="8"/>
  <c r="M33" i="8"/>
  <c r="M57" i="8"/>
  <c r="M73" i="8"/>
  <c r="M35" i="8"/>
  <c r="M59" i="8"/>
  <c r="M20" i="8"/>
  <c r="M36" i="8"/>
  <c r="M52" i="8"/>
  <c r="M68" i="8"/>
  <c r="M24" i="8"/>
  <c r="M32" i="8"/>
  <c r="M40" i="8"/>
  <c r="M48" i="8"/>
  <c r="M56" i="8"/>
  <c r="M64" i="8"/>
  <c r="M72" i="8"/>
  <c r="D26" i="1"/>
  <c r="D29" i="1" s="1"/>
  <c r="G7" i="10" l="1"/>
  <c r="I15" i="9"/>
  <c r="I16" i="9" s="1"/>
  <c r="H10" i="12"/>
  <c r="H21" i="10"/>
  <c r="G21" i="10"/>
  <c r="J21" i="10"/>
  <c r="G17" i="7"/>
  <c r="G18" i="7" s="1"/>
  <c r="G20" i="7" s="1"/>
  <c r="I21" i="10"/>
  <c r="N19" i="8"/>
  <c r="O19" i="8" s="1"/>
  <c r="K20" i="8" s="1"/>
  <c r="L20" i="8" s="1"/>
  <c r="N20" i="8" s="1"/>
  <c r="O20" i="8" s="1"/>
  <c r="K21" i="8" s="1"/>
  <c r="L21" i="8" s="1"/>
  <c r="N21" i="8" s="1"/>
  <c r="O21" i="8" s="1"/>
  <c r="K22" i="8" s="1"/>
  <c r="D32" i="1"/>
  <c r="C5" i="14" l="1"/>
  <c r="H11" i="12"/>
  <c r="F11" i="6"/>
  <c r="F16" i="6" s="1"/>
  <c r="G25" i="6" s="1"/>
  <c r="G29" i="6" s="1"/>
  <c r="H17" i="7"/>
  <c r="H18" i="7" s="1"/>
  <c r="I17" i="7"/>
  <c r="I18" i="7" s="1"/>
  <c r="L22" i="8"/>
  <c r="N22" i="8" s="1"/>
  <c r="O22" i="8" s="1"/>
  <c r="K23" i="8" s="1"/>
  <c r="L23" i="8" s="1"/>
  <c r="N23" i="8" s="1"/>
  <c r="O23" i="8" s="1"/>
  <c r="K24" i="8" s="1"/>
  <c r="L24" i="8" s="1"/>
  <c r="N24" i="8" s="1"/>
  <c r="O24" i="8" s="1"/>
  <c r="K25" i="8" s="1"/>
  <c r="L25" i="8" s="1"/>
  <c r="N25" i="8" s="1"/>
  <c r="O25" i="8" s="1"/>
  <c r="K26" i="8" s="1"/>
  <c r="L26" i="8" s="1"/>
  <c r="N26" i="8" s="1"/>
  <c r="O26" i="8" s="1"/>
  <c r="K27" i="8" s="1"/>
  <c r="L27" i="8" s="1"/>
  <c r="N27" i="8" s="1"/>
  <c r="O27" i="8" s="1"/>
  <c r="K28" i="8" s="1"/>
  <c r="L28" i="8" s="1"/>
  <c r="N28" i="8" s="1"/>
  <c r="O28" i="8" s="1"/>
  <c r="K29" i="8" s="1"/>
  <c r="L29" i="8" s="1"/>
  <c r="N29" i="8" s="1"/>
  <c r="O29" i="8" s="1"/>
  <c r="H19" i="7" l="1"/>
  <c r="H7" i="10" s="1"/>
  <c r="J15" i="9"/>
  <c r="J16" i="9" s="1"/>
  <c r="I10" i="12"/>
  <c r="J17" i="7"/>
  <c r="J18" i="7" s="1"/>
  <c r="K30" i="8"/>
  <c r="L30" i="8" s="1"/>
  <c r="N30" i="8" s="1"/>
  <c r="O30" i="8" s="1"/>
  <c r="H20" i="7" l="1"/>
  <c r="D13" i="8"/>
  <c r="I11" i="12"/>
  <c r="G11" i="6"/>
  <c r="G16" i="6" s="1"/>
  <c r="H25" i="6" s="1"/>
  <c r="H29" i="6" s="1"/>
  <c r="J10" i="12"/>
  <c r="D5" i="14"/>
  <c r="K31" i="8"/>
  <c r="L31" i="8" s="1"/>
  <c r="N31" i="8" s="1"/>
  <c r="O31" i="8" s="1"/>
  <c r="K32" i="8" s="1"/>
  <c r="L32" i="8" s="1"/>
  <c r="N32" i="8" s="1"/>
  <c r="O32" i="8" s="1"/>
  <c r="K33" i="8" s="1"/>
  <c r="L33" i="8" s="1"/>
  <c r="N33" i="8" s="1"/>
  <c r="O33" i="8" s="1"/>
  <c r="K34" i="8" s="1"/>
  <c r="L34" i="8" s="1"/>
  <c r="N34" i="8" s="1"/>
  <c r="O34" i="8" s="1"/>
  <c r="K35" i="8" s="1"/>
  <c r="L35" i="8" s="1"/>
  <c r="N35" i="8" s="1"/>
  <c r="O35" i="8" s="1"/>
  <c r="K36" i="8" s="1"/>
  <c r="L36" i="8" s="1"/>
  <c r="N36" i="8" s="1"/>
  <c r="O36" i="8" s="1"/>
  <c r="K37" i="8" s="1"/>
  <c r="L37" i="8" s="1"/>
  <c r="N37" i="8" s="1"/>
  <c r="O37" i="8" s="1"/>
  <c r="K38" i="8" s="1"/>
  <c r="L38" i="8" s="1"/>
  <c r="N38" i="8" s="1"/>
  <c r="O38" i="8" s="1"/>
  <c r="K39" i="8" s="1"/>
  <c r="L39" i="8" s="1"/>
  <c r="N39" i="8" s="1"/>
  <c r="O39" i="8" s="1"/>
  <c r="K40" i="8" s="1"/>
  <c r="L40" i="8" s="1"/>
  <c r="N40" i="8" s="1"/>
  <c r="O40" i="8" s="1"/>
  <c r="K41" i="8" s="1"/>
  <c r="L41" i="8" s="1"/>
  <c r="N41" i="8" s="1"/>
  <c r="O41" i="8" s="1"/>
  <c r="K42" i="8" s="1"/>
  <c r="L42" i="8" s="1"/>
  <c r="N42" i="8" s="1"/>
  <c r="O42" i="8" s="1"/>
  <c r="I7" i="9" s="1"/>
  <c r="H7" i="9"/>
  <c r="J11" i="12" l="1"/>
  <c r="H11" i="6"/>
  <c r="H16" i="6" s="1"/>
  <c r="I25" i="6" s="1"/>
  <c r="I29" i="6" s="1"/>
  <c r="I19" i="7"/>
  <c r="K15" i="9"/>
  <c r="K16" i="9" s="1"/>
  <c r="F21" i="7"/>
  <c r="E13" i="8"/>
  <c r="G21" i="7" s="1"/>
  <c r="K43" i="8"/>
  <c r="L43" i="8" s="1"/>
  <c r="N43" i="8" s="1"/>
  <c r="O43" i="8" s="1"/>
  <c r="K44" i="8" s="1"/>
  <c r="L44" i="8" s="1"/>
  <c r="N44" i="8" s="1"/>
  <c r="O44" i="8" s="1"/>
  <c r="K45" i="8" s="1"/>
  <c r="L45" i="8" s="1"/>
  <c r="N45" i="8" s="1"/>
  <c r="O45" i="8" s="1"/>
  <c r="K46" i="8" s="1"/>
  <c r="L46" i="8" s="1"/>
  <c r="N46" i="8" s="1"/>
  <c r="O46" i="8" s="1"/>
  <c r="K47" i="8" s="1"/>
  <c r="L47" i="8" s="1"/>
  <c r="N47" i="8" s="1"/>
  <c r="O47" i="8" s="1"/>
  <c r="K48" i="8" s="1"/>
  <c r="L48" i="8" s="1"/>
  <c r="N48" i="8" s="1"/>
  <c r="O48" i="8" s="1"/>
  <c r="K49" i="8" s="1"/>
  <c r="L49" i="8" s="1"/>
  <c r="N49" i="8" s="1"/>
  <c r="O49" i="8" s="1"/>
  <c r="K50" i="8" s="1"/>
  <c r="L50" i="8" s="1"/>
  <c r="N50" i="8" s="1"/>
  <c r="O50" i="8" s="1"/>
  <c r="K51" i="8" s="1"/>
  <c r="L51" i="8" s="1"/>
  <c r="N51" i="8" s="1"/>
  <c r="O51" i="8" s="1"/>
  <c r="K52" i="8" s="1"/>
  <c r="L52" i="8" s="1"/>
  <c r="N52" i="8" s="1"/>
  <c r="O52" i="8" s="1"/>
  <c r="K53" i="8" s="1"/>
  <c r="L53" i="8" s="1"/>
  <c r="N53" i="8" s="1"/>
  <c r="O53" i="8" s="1"/>
  <c r="K54" i="8" s="1"/>
  <c r="L54" i="8" s="1"/>
  <c r="N54" i="8" s="1"/>
  <c r="O54" i="8" s="1"/>
  <c r="K55" i="8" s="1"/>
  <c r="L55" i="8" s="1"/>
  <c r="N55" i="8" s="1"/>
  <c r="O55" i="8" s="1"/>
  <c r="K56" i="8" s="1"/>
  <c r="L56" i="8" s="1"/>
  <c r="N56" i="8" s="1"/>
  <c r="O56" i="8" s="1"/>
  <c r="K57" i="8" s="1"/>
  <c r="L57" i="8" s="1"/>
  <c r="N57" i="8" s="1"/>
  <c r="O57" i="8" s="1"/>
  <c r="K58" i="8" s="1"/>
  <c r="L58" i="8" s="1"/>
  <c r="N58" i="8" s="1"/>
  <c r="O58" i="8" s="1"/>
  <c r="K59" i="8" s="1"/>
  <c r="L59" i="8" s="1"/>
  <c r="N59" i="8" s="1"/>
  <c r="O59" i="8" s="1"/>
  <c r="K60" i="8" s="1"/>
  <c r="L60" i="8" s="1"/>
  <c r="N60" i="8" s="1"/>
  <c r="O60" i="8" s="1"/>
  <c r="K61" i="8" s="1"/>
  <c r="L61" i="8" s="1"/>
  <c r="N61" i="8" s="1"/>
  <c r="O61" i="8" s="1"/>
  <c r="K62" i="8" s="1"/>
  <c r="L62" i="8" s="1"/>
  <c r="N62" i="8" s="1"/>
  <c r="O62" i="8" s="1"/>
  <c r="K63" i="8" s="1"/>
  <c r="L63" i="8" s="1"/>
  <c r="N63" i="8" s="1"/>
  <c r="O63" i="8" s="1"/>
  <c r="K64" i="8" s="1"/>
  <c r="L64" i="8" s="1"/>
  <c r="N64" i="8" s="1"/>
  <c r="O64" i="8" s="1"/>
  <c r="K65" i="8" s="1"/>
  <c r="L65" i="8" s="1"/>
  <c r="N65" i="8" s="1"/>
  <c r="O65" i="8" s="1"/>
  <c r="K66" i="8" s="1"/>
  <c r="L66" i="8" s="1"/>
  <c r="N66" i="8" s="1"/>
  <c r="O66" i="8" s="1"/>
  <c r="F19" i="10"/>
  <c r="G19" i="10"/>
  <c r="J19" i="7" l="1"/>
  <c r="L15" i="9"/>
  <c r="L16" i="9" s="1"/>
  <c r="C10" i="14"/>
  <c r="C3" i="14"/>
  <c r="G22" i="7"/>
  <c r="B10" i="14"/>
  <c r="B3" i="14"/>
  <c r="F22" i="7"/>
  <c r="I7" i="10"/>
  <c r="I20" i="7"/>
  <c r="G20" i="10"/>
  <c r="G22" i="10" s="1"/>
  <c r="F20" i="10"/>
  <c r="F22" i="10" s="1"/>
  <c r="F10" i="10"/>
  <c r="G10" i="10"/>
  <c r="F13" i="8"/>
  <c r="H21" i="7" s="1"/>
  <c r="J7" i="9"/>
  <c r="K67" i="8"/>
  <c r="L67" i="8" s="1"/>
  <c r="N67" i="8" s="1"/>
  <c r="O67" i="8" s="1"/>
  <c r="K68" i="8" s="1"/>
  <c r="L68" i="8" s="1"/>
  <c r="N68" i="8" s="1"/>
  <c r="O68" i="8" s="1"/>
  <c r="K69" i="8" s="1"/>
  <c r="L69" i="8" s="1"/>
  <c r="N69" i="8" s="1"/>
  <c r="O69" i="8" s="1"/>
  <c r="K70" i="8" s="1"/>
  <c r="L70" i="8" s="1"/>
  <c r="N70" i="8" s="1"/>
  <c r="O70" i="8" s="1"/>
  <c r="K71" i="8" s="1"/>
  <c r="L71" i="8" s="1"/>
  <c r="N71" i="8" s="1"/>
  <c r="O71" i="8" s="1"/>
  <c r="K72" i="8" s="1"/>
  <c r="L72" i="8" s="1"/>
  <c r="N72" i="8" s="1"/>
  <c r="O72" i="8" s="1"/>
  <c r="K73" i="8" s="1"/>
  <c r="L73" i="8" s="1"/>
  <c r="N73" i="8" s="1"/>
  <c r="O73" i="8" s="1"/>
  <c r="K74" i="8" s="1"/>
  <c r="L74" i="8" s="1"/>
  <c r="N74" i="8" s="1"/>
  <c r="O74" i="8" s="1"/>
  <c r="K75" i="8" s="1"/>
  <c r="L75" i="8" s="1"/>
  <c r="N75" i="8" s="1"/>
  <c r="O75" i="8" s="1"/>
  <c r="K76" i="8" s="1"/>
  <c r="L76" i="8" s="1"/>
  <c r="N76" i="8" s="1"/>
  <c r="O76" i="8" s="1"/>
  <c r="K77" i="8" s="1"/>
  <c r="L77" i="8" s="1"/>
  <c r="N77" i="8" s="1"/>
  <c r="O77" i="8" s="1"/>
  <c r="K78" i="8" s="1"/>
  <c r="L78" i="8" s="1"/>
  <c r="N78" i="8" s="1"/>
  <c r="O78" i="8" s="1"/>
  <c r="L7" i="9" s="1"/>
  <c r="K7" i="9"/>
  <c r="G13" i="8"/>
  <c r="I21" i="7" s="1"/>
  <c r="E10" i="14" s="1"/>
  <c r="D10" i="14" l="1"/>
  <c r="D3" i="14"/>
  <c r="H22" i="7"/>
  <c r="I22" i="7"/>
  <c r="E3" i="14"/>
  <c r="E5" i="14"/>
  <c r="J7" i="10"/>
  <c r="J20" i="7"/>
  <c r="J22" i="7" s="1"/>
  <c r="G23" i="7"/>
  <c r="G24" i="7" s="1"/>
  <c r="C7" i="14"/>
  <c r="F24" i="7"/>
  <c r="B7" i="14"/>
  <c r="F23" i="7"/>
  <c r="I20" i="10"/>
  <c r="H20" i="10"/>
  <c r="H10" i="10"/>
  <c r="H19" i="10"/>
  <c r="I19" i="10"/>
  <c r="J19" i="10"/>
  <c r="I10" i="10"/>
  <c r="H13" i="8"/>
  <c r="J21" i="7" s="1"/>
  <c r="F10" i="14" s="1"/>
  <c r="F3" i="14" l="1"/>
  <c r="F5" i="14"/>
  <c r="F6" i="10"/>
  <c r="F11" i="10" s="1"/>
  <c r="F24" i="10" s="1"/>
  <c r="G23" i="10" s="1"/>
  <c r="C8" i="14"/>
  <c r="G6" i="10"/>
  <c r="G11" i="10" s="1"/>
  <c r="I23" i="7"/>
  <c r="I24" i="7" s="1"/>
  <c r="E7" i="14"/>
  <c r="H23" i="7"/>
  <c r="H24" i="7" s="1"/>
  <c r="D7" i="14"/>
  <c r="H6" i="9"/>
  <c r="B8" i="14"/>
  <c r="H22" i="10"/>
  <c r="J20" i="10"/>
  <c r="J22" i="10" s="1"/>
  <c r="I22" i="10"/>
  <c r="J10" i="10"/>
  <c r="G24" i="10" l="1"/>
  <c r="I18" i="9" s="1"/>
  <c r="I20" i="9" s="1"/>
  <c r="C12" i="14" s="1"/>
  <c r="D8" i="14"/>
  <c r="H18" i="9"/>
  <c r="H20" i="9" s="1"/>
  <c r="E8" i="14"/>
  <c r="H6" i="10"/>
  <c r="H11" i="10" s="1"/>
  <c r="J23" i="7"/>
  <c r="J24" i="7" s="1"/>
  <c r="J6" i="10" s="1"/>
  <c r="J11" i="10" s="1"/>
  <c r="F7" i="14"/>
  <c r="I6" i="10"/>
  <c r="I11" i="10" s="1"/>
  <c r="H11" i="9"/>
  <c r="I6" i="9"/>
  <c r="H23" i="10" l="1"/>
  <c r="C11" i="14"/>
  <c r="H24" i="10"/>
  <c r="I23" i="10" s="1"/>
  <c r="I24" i="10" s="1"/>
  <c r="J23" i="10" s="1"/>
  <c r="J24" i="10" s="1"/>
  <c r="L18" i="9" s="1"/>
  <c r="L20" i="9" s="1"/>
  <c r="B12" i="14"/>
  <c r="B11" i="14"/>
  <c r="F8" i="14"/>
  <c r="I11" i="9"/>
  <c r="I24" i="9" s="1"/>
  <c r="J6" i="9"/>
  <c r="F12" i="14" l="1"/>
  <c r="F11" i="14"/>
  <c r="K18" i="9"/>
  <c r="K20" i="9" s="1"/>
  <c r="J18" i="9"/>
  <c r="J20" i="9" s="1"/>
  <c r="J11" i="9"/>
  <c r="K6" i="9"/>
  <c r="D12" i="14" l="1"/>
  <c r="D11" i="14"/>
  <c r="E12" i="14"/>
  <c r="E11" i="14"/>
  <c r="K11" i="9"/>
  <c r="L6" i="9"/>
  <c r="L11" i="9" s="1"/>
</calcChain>
</file>

<file path=xl/sharedStrings.xml><?xml version="1.0" encoding="utf-8"?>
<sst xmlns="http://schemas.openxmlformats.org/spreadsheetml/2006/main" count="532" uniqueCount="280">
  <si>
    <t>P/L Statement</t>
  </si>
  <si>
    <t>2021-22</t>
  </si>
  <si>
    <t>2022-23</t>
  </si>
  <si>
    <t>2023-24</t>
  </si>
  <si>
    <t>[In rupees]</t>
  </si>
  <si>
    <t>(1800 * 900)</t>
  </si>
  <si>
    <t>2160* 900</t>
  </si>
  <si>
    <t>(2640*940)</t>
  </si>
  <si>
    <t>Revenue Model</t>
  </si>
  <si>
    <t>150 students</t>
  </si>
  <si>
    <t>180 students</t>
  </si>
  <si>
    <t>240 students</t>
  </si>
  <si>
    <t xml:space="preserve">Revenue stream </t>
  </si>
  <si>
    <t>Revenue stream 2</t>
  </si>
  <si>
    <t>Contribution</t>
  </si>
  <si>
    <t>Total Net Revenue</t>
  </si>
  <si>
    <t>BEQ</t>
  </si>
  <si>
    <t xml:space="preserve">Cost of service provided </t>
  </si>
  <si>
    <t>Variable cost</t>
  </si>
  <si>
    <t>Gross Profit</t>
  </si>
  <si>
    <t>Wages</t>
  </si>
  <si>
    <t>Adver</t>
  </si>
  <si>
    <t>Sales &amp; Marketing</t>
  </si>
  <si>
    <t>Maint</t>
  </si>
  <si>
    <t>Advertising &amp; Promotions</t>
  </si>
  <si>
    <t>Financials</t>
  </si>
  <si>
    <t>Fixed Cost</t>
  </si>
  <si>
    <t>Insurance</t>
  </si>
  <si>
    <t xml:space="preserve">Depreciation </t>
  </si>
  <si>
    <t>Rent</t>
  </si>
  <si>
    <t>Administration Cost</t>
  </si>
  <si>
    <t>Legal</t>
  </si>
  <si>
    <t>Maintainance</t>
  </si>
  <si>
    <t>Equipment</t>
  </si>
  <si>
    <t>Room Rent</t>
  </si>
  <si>
    <t>software</t>
  </si>
  <si>
    <t>Depreciation</t>
  </si>
  <si>
    <t>Rent (60K *12 months)</t>
  </si>
  <si>
    <t>Test Equipments</t>
  </si>
  <si>
    <t>Software Technology</t>
  </si>
  <si>
    <t>1,11,730</t>
  </si>
  <si>
    <t>OfficeSpace rent</t>
  </si>
  <si>
    <t>Salaries &amp; Wages</t>
  </si>
  <si>
    <t>Total Expenses</t>
  </si>
  <si>
    <t xml:space="preserve">Earnings before and after tax </t>
  </si>
  <si>
    <t xml:space="preserve">Earnings before tax </t>
  </si>
  <si>
    <t>Income Tax(25%)</t>
  </si>
  <si>
    <t>Net Earnings</t>
  </si>
  <si>
    <t>(1800 * 1100)</t>
  </si>
  <si>
    <t>2160* 1100</t>
  </si>
  <si>
    <t>(2640*1150)</t>
  </si>
  <si>
    <t>Rent (60K *12 yrs)</t>
  </si>
  <si>
    <t>Depriciation</t>
  </si>
  <si>
    <t>1581.37 Units</t>
  </si>
  <si>
    <t>1767.33 Units</t>
  </si>
  <si>
    <t>1508.57 Units</t>
  </si>
  <si>
    <t>1341.116 Units</t>
  </si>
  <si>
    <t>1216.43 Units</t>
  </si>
  <si>
    <t>1162.01 Units</t>
  </si>
  <si>
    <t>Add Salaries</t>
  </si>
  <si>
    <t>Remove ground rent</t>
  </si>
  <si>
    <t>Data Analyst per hour bases hiring</t>
  </si>
  <si>
    <t>Coaches</t>
  </si>
  <si>
    <t>Particulars</t>
  </si>
  <si>
    <t>Amount</t>
  </si>
  <si>
    <t>Sales</t>
  </si>
  <si>
    <t>COGS</t>
  </si>
  <si>
    <t>Analyst</t>
  </si>
  <si>
    <t>Broucher</t>
  </si>
  <si>
    <t>per student</t>
  </si>
  <si>
    <t>per school</t>
  </si>
  <si>
    <t>per day</t>
  </si>
  <si>
    <t>Pamplets</t>
  </si>
  <si>
    <t>EXP</t>
  </si>
  <si>
    <t>Website</t>
  </si>
  <si>
    <t>Software</t>
  </si>
  <si>
    <t>Normal Equipments</t>
  </si>
  <si>
    <t>Salaries</t>
  </si>
  <si>
    <t>(SPSS)</t>
  </si>
  <si>
    <t>(Wix)</t>
  </si>
  <si>
    <t>Fat- Callipers Scale</t>
  </si>
  <si>
    <t>Weight - weight scale</t>
  </si>
  <si>
    <t>Height - Tape</t>
  </si>
  <si>
    <t>Balancing Roding - 2</t>
  </si>
  <si>
    <t>Normal Equip</t>
  </si>
  <si>
    <t>per hour</t>
  </si>
  <si>
    <t>Cost of service provided</t>
  </si>
  <si>
    <t>Man Power</t>
  </si>
  <si>
    <t>Y-1</t>
  </si>
  <si>
    <t>Y-2</t>
  </si>
  <si>
    <t>Y-3</t>
  </si>
  <si>
    <t>Y-4</t>
  </si>
  <si>
    <t>Y-5</t>
  </si>
  <si>
    <t>Strength and Conditioning coach</t>
  </si>
  <si>
    <t>Managers (6)</t>
  </si>
  <si>
    <t>No.of Hours</t>
  </si>
  <si>
    <t>No.of Students</t>
  </si>
  <si>
    <t>Normal Equipment cost</t>
  </si>
  <si>
    <t>Body Fat Caliper</t>
  </si>
  <si>
    <t>Weighing scale</t>
  </si>
  <si>
    <t>Measuring Tape</t>
  </si>
  <si>
    <t>Height Measuring scale</t>
  </si>
  <si>
    <t>Basketball - 4</t>
  </si>
  <si>
    <t>Shuttle Cone 20</t>
  </si>
  <si>
    <t>Balancing Rod (2)</t>
  </si>
  <si>
    <t>Shuttle Cones (20)</t>
  </si>
  <si>
    <t>BasketBalls (4)</t>
  </si>
  <si>
    <t>Total man power cost</t>
  </si>
  <si>
    <t>Total equipment cost</t>
  </si>
  <si>
    <t xml:space="preserve">Depriciation </t>
  </si>
  <si>
    <t>Website Cost</t>
  </si>
  <si>
    <t>Brochure</t>
  </si>
  <si>
    <t>Brochure and Pamplets cost</t>
  </si>
  <si>
    <t>Total</t>
  </si>
  <si>
    <t>Legal cost</t>
  </si>
  <si>
    <t>Commision on sales</t>
  </si>
  <si>
    <t xml:space="preserve">Commision on sales </t>
  </si>
  <si>
    <t>VC</t>
  </si>
  <si>
    <t>FC/Con</t>
  </si>
  <si>
    <t>Con</t>
  </si>
  <si>
    <t>Sp-VC</t>
  </si>
  <si>
    <t>1 student =</t>
  </si>
  <si>
    <t>150 students =</t>
  </si>
  <si>
    <t>No of Students</t>
  </si>
  <si>
    <t>Mins</t>
  </si>
  <si>
    <t>No.of days for S &amp; C</t>
  </si>
  <si>
    <t>No.of Students Per school</t>
  </si>
  <si>
    <t>Working Note</t>
  </si>
  <si>
    <t>No.of Min to analyse (Min)</t>
  </si>
  <si>
    <t>Cost per Hour analyst</t>
  </si>
  <si>
    <t xml:space="preserve">No.of S &amp; C </t>
  </si>
  <si>
    <t>Profit and Loss statement  (In Lakhs)</t>
  </si>
  <si>
    <t>Amount - Year1</t>
  </si>
  <si>
    <t>Amount - Year2</t>
  </si>
  <si>
    <t>Amount - Year3</t>
  </si>
  <si>
    <t>Amount - Year4</t>
  </si>
  <si>
    <t>Amount - Year5</t>
  </si>
  <si>
    <t>Net sales</t>
  </si>
  <si>
    <t>Less:</t>
  </si>
  <si>
    <t>EBIT</t>
  </si>
  <si>
    <t>Less: Interest</t>
  </si>
  <si>
    <t>EBT</t>
  </si>
  <si>
    <t>Less: Tax</t>
  </si>
  <si>
    <t>EAT</t>
  </si>
  <si>
    <t>Website Cost (Wix Domain)</t>
  </si>
  <si>
    <t>Commisions</t>
  </si>
  <si>
    <t>Total Working hr for analyst (Hr Month)</t>
  </si>
  <si>
    <t>Cost of Funds</t>
  </si>
  <si>
    <t>Sources of Funds</t>
  </si>
  <si>
    <t>Debt</t>
  </si>
  <si>
    <t>Equity</t>
  </si>
  <si>
    <t>Loan</t>
  </si>
  <si>
    <t>Interest</t>
  </si>
  <si>
    <t>Period</t>
  </si>
  <si>
    <t>EMI</t>
  </si>
  <si>
    <t>Principle Paid</t>
  </si>
  <si>
    <t>Ourstanding Principle</t>
  </si>
  <si>
    <t>No.of Inst</t>
  </si>
  <si>
    <t>Selling Price</t>
  </si>
  <si>
    <t>Commision on sales %</t>
  </si>
  <si>
    <t>Balance Sheet (All amt in Rs. Lacs)</t>
  </si>
  <si>
    <t>Share Capital</t>
  </si>
  <si>
    <t>Reserves &amp; Surplus</t>
  </si>
  <si>
    <t>Long Term Loan</t>
  </si>
  <si>
    <t>Current Liabilities</t>
  </si>
  <si>
    <t>Total Liabilities</t>
  </si>
  <si>
    <t>Gross Fixed Assest</t>
  </si>
  <si>
    <t>Less: Accumulated Depriciation</t>
  </si>
  <si>
    <t>Net Fixed assets</t>
  </si>
  <si>
    <t>Other current assets</t>
  </si>
  <si>
    <t>Cash</t>
  </si>
  <si>
    <t>Total Assest</t>
  </si>
  <si>
    <t>Software cost</t>
  </si>
  <si>
    <t>Xlstat</t>
  </si>
  <si>
    <t>No.of Schools per year</t>
  </si>
  <si>
    <t>No.of students from onr school</t>
  </si>
  <si>
    <t>Increment by</t>
  </si>
  <si>
    <t>No.of managers</t>
  </si>
  <si>
    <t xml:space="preserve">Increment in salaries </t>
  </si>
  <si>
    <t>No.of min per child</t>
  </si>
  <si>
    <t>Sporst Analyst per hour</t>
  </si>
  <si>
    <t xml:space="preserve">S &amp; C </t>
  </si>
  <si>
    <t xml:space="preserve">Increment </t>
  </si>
  <si>
    <t>Salary</t>
  </si>
  <si>
    <t>Equipments</t>
  </si>
  <si>
    <t>Wix Domain price</t>
  </si>
  <si>
    <t xml:space="preserve">Website (Wix domian price per month) </t>
  </si>
  <si>
    <t>Broucher per school</t>
  </si>
  <si>
    <t>Price of Broucher</t>
  </si>
  <si>
    <t>Pamplets (Bundle of 2000)</t>
  </si>
  <si>
    <t>No.of students in a school</t>
  </si>
  <si>
    <t>No.of students enroll</t>
  </si>
  <si>
    <t>Legal Cost</t>
  </si>
  <si>
    <t>Commission on sales</t>
  </si>
  <si>
    <t>Students</t>
  </si>
  <si>
    <t>No.of students</t>
  </si>
  <si>
    <t>Analyst salary per hour</t>
  </si>
  <si>
    <t>Cost increases by</t>
  </si>
  <si>
    <t>Revenue schedule</t>
  </si>
  <si>
    <t>Cost inceases by</t>
  </si>
  <si>
    <t xml:space="preserve">Revenue </t>
  </si>
  <si>
    <t>$295</t>
  </si>
  <si>
    <t xml:space="preserve">tax </t>
  </si>
  <si>
    <t>Equipment Depriciation schedule</t>
  </si>
  <si>
    <t>Equipment cost</t>
  </si>
  <si>
    <t>Cash Flow</t>
  </si>
  <si>
    <t>Particular</t>
  </si>
  <si>
    <t>A</t>
  </si>
  <si>
    <t>Cash Flow from OA</t>
  </si>
  <si>
    <t>Net cash flow</t>
  </si>
  <si>
    <t>B</t>
  </si>
  <si>
    <t>Cash Flow from IA</t>
  </si>
  <si>
    <t>C</t>
  </si>
  <si>
    <t>Cash Flow from FA</t>
  </si>
  <si>
    <t>Interest Paid</t>
  </si>
  <si>
    <t>Add Opening</t>
  </si>
  <si>
    <t>Cash flow</t>
  </si>
  <si>
    <t>No.of days</t>
  </si>
  <si>
    <t>Pamplets/Broucher</t>
  </si>
  <si>
    <t>Increase in coach</t>
  </si>
  <si>
    <t>for every 2 years</t>
  </si>
  <si>
    <t>S &amp; C salary</t>
  </si>
  <si>
    <t>Total S&amp;C salary</t>
  </si>
  <si>
    <t>Sources</t>
  </si>
  <si>
    <t>https://printingpune.com/pamphlet-printing</t>
  </si>
  <si>
    <t>No.of students per school</t>
  </si>
  <si>
    <t>Total Cost</t>
  </si>
  <si>
    <t>Variable Cost</t>
  </si>
  <si>
    <t>Analyst/Hour</t>
  </si>
  <si>
    <t>Analyst time taken Student</t>
  </si>
  <si>
    <t>Analyst cost</t>
  </si>
  <si>
    <t>Analyst/student</t>
  </si>
  <si>
    <t>Pamplets/student</t>
  </si>
  <si>
    <t>Total Variable Cost</t>
  </si>
  <si>
    <t>S&amp;C/Student</t>
  </si>
  <si>
    <t>Brochuer/Student</t>
  </si>
  <si>
    <t>Ratio</t>
  </si>
  <si>
    <t>Current Ratio</t>
  </si>
  <si>
    <t>Interest Coverage Ratio</t>
  </si>
  <si>
    <t>Fixed Charges Coverage Ratio</t>
  </si>
  <si>
    <t>Debt Service Coverage Ratio</t>
  </si>
  <si>
    <t>Operating Profit ratio</t>
  </si>
  <si>
    <t>Pre Tax Profit ratio</t>
  </si>
  <si>
    <t>Net Profit Ratio</t>
  </si>
  <si>
    <t>Operating Expense Ratio</t>
  </si>
  <si>
    <t>Finance Expense Ratio</t>
  </si>
  <si>
    <t>Return on Assets</t>
  </si>
  <si>
    <t>Return on Capital Employed</t>
  </si>
  <si>
    <t>Fixed Asset Turnover Ratio</t>
  </si>
  <si>
    <t>Cash Contingency</t>
  </si>
  <si>
    <t>CR</t>
  </si>
  <si>
    <t>CA/CL</t>
  </si>
  <si>
    <t>ICR</t>
  </si>
  <si>
    <t>EBITDA/Interest Exp</t>
  </si>
  <si>
    <t>FCCR</t>
  </si>
  <si>
    <t>DSCR</t>
  </si>
  <si>
    <t>OPR</t>
  </si>
  <si>
    <t>PTPR</t>
  </si>
  <si>
    <t>NPR</t>
  </si>
  <si>
    <t>OER</t>
  </si>
  <si>
    <t>ROA</t>
  </si>
  <si>
    <t>FER</t>
  </si>
  <si>
    <t>RCE</t>
  </si>
  <si>
    <t>FATR</t>
  </si>
  <si>
    <t>NP/Rev</t>
  </si>
  <si>
    <t>EBT/Rev</t>
  </si>
  <si>
    <t>EBITDA/(Interest+Principle)</t>
  </si>
  <si>
    <t>Capital Structure Ratios</t>
  </si>
  <si>
    <t>Debt/Equity Ratio</t>
  </si>
  <si>
    <t>Debt/Asset Ratio</t>
  </si>
  <si>
    <t>EBITA</t>
  </si>
  <si>
    <t>Total Expense</t>
  </si>
  <si>
    <t>Less:Dep</t>
  </si>
  <si>
    <t>(Rev-OE)/Rev</t>
  </si>
  <si>
    <t>(OE+SE)/Rev</t>
  </si>
  <si>
    <t>Net Income/Total Assest</t>
  </si>
  <si>
    <t>Commision</t>
  </si>
  <si>
    <t>IRR</t>
  </si>
  <si>
    <t>NPV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</si>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</sst>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₹&quot;\ #,##0.00;[Red]&quot;₹&quot;\ \-#,##0.00"/>
    <numFmt numFmtId="43" formatCode="_ * #,##0.00_ ;_ * \-#,##0.00_ ;_ * &quot;-&quot;??_ ;_ @_ "/>
    <numFmt numFmtId="164" formatCode="[$₹]#,##0.00"/>
    <numFmt numFmtId="165" formatCode="&quot;$&quot;#,##0.00"/>
    <numFmt numFmtId="166" formatCode="_ * #,##0_ ;_ * \-#,##0_ ;_ * &quot;-&quot;??_ ;_ @_ "/>
    <numFmt numFmtId="167" formatCode="0.0"/>
    <numFmt numFmtId="168" formatCode="_ * #,##0.0_ ;_ * \-#,##0.0_ ;_ * &quot;-&quot;??_ ;_ @_ "/>
  </numFmts>
  <fonts count="2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sz val="11"/>
      <color theme="1"/>
      <name val="Inconsolata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269">
    <xf numFmtId="0" fontId="0" fillId="0" borderId="0" xfId="0" applyFont="1" applyAlignment="1"/>
    <xf numFmtId="0" fontId="2" fillId="2" borderId="0" xfId="0" applyFont="1" applyFill="1" applyAlignment="1"/>
    <xf numFmtId="164" fontId="2" fillId="2" borderId="1" xfId="0" applyNumberFormat="1" applyFont="1" applyFill="1" applyBorder="1" applyAlignment="1"/>
    <xf numFmtId="165" fontId="3" fillId="0" borderId="1" xfId="0" applyNumberFormat="1" applyFont="1" applyBorder="1" applyAlignment="1"/>
    <xf numFmtId="164" fontId="4" fillId="0" borderId="1" xfId="0" applyNumberFormat="1" applyFont="1" applyBorder="1" applyAlignment="1"/>
    <xf numFmtId="0" fontId="4" fillId="0" borderId="1" xfId="0" applyFont="1" applyBorder="1" applyAlignment="1"/>
    <xf numFmtId="164" fontId="7" fillId="3" borderId="0" xfId="0" applyNumberFormat="1" applyFont="1" applyFill="1" applyAlignment="1">
      <alignment horizontal="left"/>
    </xf>
    <xf numFmtId="0" fontId="4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/>
    <xf numFmtId="0" fontId="6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/>
    <xf numFmtId="0" fontId="2" fillId="2" borderId="1" xfId="0" applyFont="1" applyFill="1" applyBorder="1" applyAlignment="1"/>
    <xf numFmtId="164" fontId="3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0" borderId="1" xfId="0" applyFont="1" applyBorder="1" applyAlignment="1"/>
    <xf numFmtId="164" fontId="4" fillId="0" borderId="1" xfId="0" applyNumberFormat="1" applyFont="1" applyBorder="1"/>
    <xf numFmtId="0" fontId="6" fillId="0" borderId="1" xfId="0" applyFont="1" applyBorder="1"/>
    <xf numFmtId="0" fontId="8" fillId="2" borderId="1" xfId="0" applyFont="1" applyFill="1" applyBorder="1" applyAlignment="1"/>
    <xf numFmtId="0" fontId="3" fillId="2" borderId="1" xfId="0" applyFont="1" applyFill="1" applyBorder="1"/>
    <xf numFmtId="0" fontId="8" fillId="0" borderId="1" xfId="0" applyFont="1" applyBorder="1" applyAlignment="1"/>
    <xf numFmtId="0" fontId="3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/>
    <xf numFmtId="0" fontId="8" fillId="0" borderId="0" xfId="0" applyFont="1" applyAlignment="1"/>
    <xf numFmtId="0" fontId="3" fillId="0" borderId="1" xfId="0" applyFont="1" applyBorder="1" applyAlignment="1"/>
    <xf numFmtId="164" fontId="9" fillId="0" borderId="5" xfId="0" applyNumberFormat="1" applyFont="1" applyBorder="1" applyAlignment="1">
      <alignment horizontal="right"/>
    </xf>
    <xf numFmtId="0" fontId="10" fillId="3" borderId="0" xfId="0" applyFont="1" applyFill="1"/>
    <xf numFmtId="164" fontId="9" fillId="0" borderId="1" xfId="0" applyNumberFormat="1" applyFont="1" applyBorder="1" applyAlignment="1">
      <alignment horizontal="right"/>
    </xf>
    <xf numFmtId="164" fontId="9" fillId="0" borderId="0" xfId="0" applyNumberFormat="1" applyFont="1" applyAlignment="1">
      <alignment horizontal="right"/>
    </xf>
    <xf numFmtId="0" fontId="8" fillId="2" borderId="1" xfId="0" applyFont="1" applyFill="1" applyBorder="1" applyAlignment="1"/>
    <xf numFmtId="164" fontId="11" fillId="2" borderId="1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0" fontId="12" fillId="0" borderId="1" xfId="0" applyFont="1" applyBorder="1" applyAlignment="1"/>
    <xf numFmtId="0" fontId="6" fillId="0" borderId="0" xfId="0" applyFont="1" applyAlignment="1"/>
    <xf numFmtId="164" fontId="9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/>
    <xf numFmtId="0" fontId="6" fillId="0" borderId="1" xfId="0" applyFont="1" applyBorder="1"/>
    <xf numFmtId="0" fontId="2" fillId="0" borderId="1" xfId="0" applyFont="1" applyBorder="1" applyAlignment="1"/>
    <xf numFmtId="164" fontId="12" fillId="0" borderId="1" xfId="0" applyNumberFormat="1" applyFont="1" applyBorder="1" applyAlignment="1"/>
    <xf numFmtId="16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/>
    <xf numFmtId="164" fontId="12" fillId="0" borderId="1" xfId="0" applyNumberFormat="1" applyFont="1" applyBorder="1" applyAlignment="1">
      <alignment horizontal="right"/>
    </xf>
    <xf numFmtId="164" fontId="6" fillId="0" borderId="0" xfId="0" applyNumberFormat="1" applyFont="1"/>
    <xf numFmtId="16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/>
    <xf numFmtId="0" fontId="8" fillId="2" borderId="1" xfId="0" applyFont="1" applyFill="1" applyBorder="1"/>
    <xf numFmtId="0" fontId="3" fillId="2" borderId="1" xfId="0" applyFont="1" applyFill="1" applyBorder="1" applyAlignment="1"/>
    <xf numFmtId="164" fontId="3" fillId="2" borderId="1" xfId="0" applyNumberFormat="1" applyFont="1" applyFill="1" applyBorder="1" applyAlignment="1"/>
    <xf numFmtId="0" fontId="7" fillId="0" borderId="0" xfId="0" applyFont="1" applyAlignment="1"/>
    <xf numFmtId="0" fontId="11" fillId="0" borderId="0" xfId="0" applyFont="1" applyAlignment="1"/>
    <xf numFmtId="0" fontId="0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1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7" fillId="0" borderId="10" xfId="0" applyFont="1" applyBorder="1" applyAlignment="1"/>
    <xf numFmtId="0" fontId="11" fillId="0" borderId="15" xfId="0" applyFont="1" applyBorder="1" applyAlignment="1"/>
    <xf numFmtId="0" fontId="0" fillId="0" borderId="0" xfId="0" applyFont="1" applyBorder="1" applyAlignment="1"/>
    <xf numFmtId="0" fontId="0" fillId="0" borderId="19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166" fontId="0" fillId="0" borderId="21" xfId="1" applyNumberFormat="1" applyFont="1" applyBorder="1" applyAlignment="1"/>
    <xf numFmtId="0" fontId="11" fillId="0" borderId="23" xfId="0" applyFont="1" applyBorder="1" applyAlignment="1"/>
    <xf numFmtId="0" fontId="11" fillId="0" borderId="0" xfId="0" applyFont="1" applyFill="1" applyBorder="1" applyAlignment="1"/>
    <xf numFmtId="0" fontId="0" fillId="0" borderId="20" xfId="0" applyFont="1" applyBorder="1" applyAlignment="1"/>
    <xf numFmtId="0" fontId="0" fillId="0" borderId="18" xfId="0" applyFont="1" applyBorder="1" applyAlignment="1"/>
    <xf numFmtId="0" fontId="11" fillId="0" borderId="18" xfId="0" applyFont="1" applyBorder="1" applyAlignment="1"/>
    <xf numFmtId="0" fontId="11" fillId="0" borderId="20" xfId="0" applyFont="1" applyBorder="1" applyAlignment="1"/>
    <xf numFmtId="166" fontId="0" fillId="0" borderId="0" xfId="1" applyNumberFormat="1" applyFont="1" applyBorder="1" applyAlignment="1"/>
    <xf numFmtId="0" fontId="7" fillId="4" borderId="0" xfId="0" applyFont="1" applyFill="1" applyAlignment="1"/>
    <xf numFmtId="3" fontId="0" fillId="4" borderId="0" xfId="0" applyNumberFormat="1" applyFont="1" applyFill="1" applyAlignment="1"/>
    <xf numFmtId="0" fontId="0" fillId="4" borderId="0" xfId="0" applyFont="1" applyFill="1" applyAlignment="1"/>
    <xf numFmtId="9" fontId="0" fillId="0" borderId="0" xfId="0" applyNumberFormat="1" applyFont="1" applyAlignment="1"/>
    <xf numFmtId="0" fontId="11" fillId="0" borderId="23" xfId="0" applyFont="1" applyFill="1" applyBorder="1" applyAlignment="1"/>
    <xf numFmtId="0" fontId="11" fillId="0" borderId="20" xfId="0" applyFont="1" applyFill="1" applyBorder="1" applyAlignment="1"/>
    <xf numFmtId="166" fontId="0" fillId="0" borderId="24" xfId="1" applyNumberFormat="1" applyFont="1" applyBorder="1" applyAlignment="1"/>
    <xf numFmtId="0" fontId="11" fillId="0" borderId="18" xfId="0" applyFont="1" applyFill="1" applyBorder="1" applyAlignment="1"/>
    <xf numFmtId="0" fontId="11" fillId="5" borderId="23" xfId="0" applyFont="1" applyFill="1" applyBorder="1" applyAlignment="1"/>
    <xf numFmtId="0" fontId="11" fillId="5" borderId="24" xfId="0" applyFont="1" applyFill="1" applyBorder="1" applyAlignment="1"/>
    <xf numFmtId="0" fontId="11" fillId="5" borderId="25" xfId="0" applyFont="1" applyFill="1" applyBorder="1" applyAlignment="1"/>
    <xf numFmtId="1" fontId="0" fillId="0" borderId="0" xfId="0" applyNumberFormat="1" applyFont="1" applyAlignment="1"/>
    <xf numFmtId="166" fontId="0" fillId="0" borderId="19" xfId="1" applyNumberFormat="1" applyFont="1" applyBorder="1" applyAlignment="1"/>
    <xf numFmtId="166" fontId="0" fillId="0" borderId="0" xfId="0" applyNumberFormat="1" applyFont="1" applyAlignment="1"/>
    <xf numFmtId="43" fontId="0" fillId="0" borderId="0" xfId="0" applyNumberFormat="1" applyFont="1" applyAlignment="1"/>
    <xf numFmtId="0" fontId="11" fillId="7" borderId="23" xfId="0" applyFont="1" applyFill="1" applyBorder="1" applyAlignment="1"/>
    <xf numFmtId="0" fontId="11" fillId="7" borderId="24" xfId="0" applyFont="1" applyFill="1" applyBorder="1" applyAlignment="1"/>
    <xf numFmtId="0" fontId="11" fillId="7" borderId="25" xfId="0" applyFont="1" applyFill="1" applyBorder="1" applyAlignment="1"/>
    <xf numFmtId="0" fontId="11" fillId="7" borderId="15" xfId="0" applyFont="1" applyFill="1" applyBorder="1" applyAlignment="1"/>
    <xf numFmtId="0" fontId="11" fillId="7" borderId="16" xfId="0" applyFont="1" applyFill="1" applyBorder="1" applyAlignment="1"/>
    <xf numFmtId="0" fontId="11" fillId="7" borderId="17" xfId="0" applyFont="1" applyFill="1" applyBorder="1" applyAlignment="1"/>
    <xf numFmtId="0" fontId="7" fillId="0" borderId="18" xfId="0" applyFont="1" applyBorder="1" applyAlignment="1"/>
    <xf numFmtId="0" fontId="7" fillId="0" borderId="20" xfId="0" applyFont="1" applyBorder="1" applyAlignment="1"/>
    <xf numFmtId="0" fontId="11" fillId="0" borderId="0" xfId="0" applyFont="1" applyBorder="1" applyAlignment="1"/>
    <xf numFmtId="0" fontId="11" fillId="7" borderId="26" xfId="0" applyFont="1" applyFill="1" applyBorder="1" applyAlignment="1"/>
    <xf numFmtId="0" fontId="16" fillId="0" borderId="18" xfId="0" applyFont="1" applyBorder="1"/>
    <xf numFmtId="43" fontId="0" fillId="0" borderId="19" xfId="0" applyNumberFormat="1" applyBorder="1"/>
    <xf numFmtId="0" fontId="0" fillId="0" borderId="18" xfId="0" applyBorder="1"/>
    <xf numFmtId="0" fontId="0" fillId="0" borderId="19" xfId="0" applyBorder="1"/>
    <xf numFmtId="0" fontId="16" fillId="9" borderId="23" xfId="0" applyFont="1" applyFill="1" applyBorder="1"/>
    <xf numFmtId="43" fontId="0" fillId="0" borderId="0" xfId="0" applyNumberFormat="1" applyFont="1" applyBorder="1" applyAlignment="1"/>
    <xf numFmtId="8" fontId="0" fillId="0" borderId="0" xfId="0" applyNumberFormat="1" applyFont="1" applyBorder="1" applyAlignment="1"/>
    <xf numFmtId="43" fontId="0" fillId="0" borderId="19" xfId="0" applyNumberFormat="1" applyFont="1" applyBorder="1" applyAlignment="1"/>
    <xf numFmtId="43" fontId="0" fillId="0" borderId="21" xfId="0" applyNumberFormat="1" applyFont="1" applyBorder="1" applyAlignment="1"/>
    <xf numFmtId="8" fontId="0" fillId="0" borderId="21" xfId="0" applyNumberFormat="1" applyFont="1" applyBorder="1" applyAlignment="1"/>
    <xf numFmtId="43" fontId="11" fillId="0" borderId="22" xfId="0" applyNumberFormat="1" applyFont="1" applyBorder="1" applyAlignment="1"/>
    <xf numFmtId="43" fontId="0" fillId="0" borderId="17" xfId="0" applyNumberFormat="1" applyFont="1" applyBorder="1" applyAlignment="1"/>
    <xf numFmtId="9" fontId="0" fillId="0" borderId="19" xfId="0" applyNumberFormat="1" applyFont="1" applyBorder="1" applyAlignment="1"/>
    <xf numFmtId="8" fontId="0" fillId="0" borderId="22" xfId="0" applyNumberFormat="1" applyFont="1" applyBorder="1" applyAlignment="1"/>
    <xf numFmtId="3" fontId="0" fillId="0" borderId="19" xfId="0" applyNumberFormat="1" applyBorder="1"/>
    <xf numFmtId="0" fontId="16" fillId="10" borderId="24" xfId="0" applyFont="1" applyFill="1" applyBorder="1"/>
    <xf numFmtId="0" fontId="16" fillId="10" borderId="25" xfId="0" applyFont="1" applyFill="1" applyBorder="1"/>
    <xf numFmtId="0" fontId="11" fillId="10" borderId="15" xfId="0" applyFont="1" applyFill="1" applyBorder="1" applyAlignment="1"/>
    <xf numFmtId="0" fontId="11" fillId="10" borderId="16" xfId="0" applyFont="1" applyFill="1" applyBorder="1" applyAlignment="1"/>
    <xf numFmtId="0" fontId="11" fillId="10" borderId="17" xfId="0" applyFont="1" applyFill="1" applyBorder="1" applyAlignment="1"/>
    <xf numFmtId="0" fontId="11" fillId="10" borderId="23" xfId="0" applyFont="1" applyFill="1" applyBorder="1" applyAlignment="1"/>
    <xf numFmtId="0" fontId="11" fillId="10" borderId="24" xfId="0" applyFont="1" applyFill="1" applyBorder="1" applyAlignment="1"/>
    <xf numFmtId="0" fontId="11" fillId="10" borderId="25" xfId="0" applyFont="1" applyFill="1" applyBorder="1" applyAlignment="1"/>
    <xf numFmtId="3" fontId="0" fillId="0" borderId="0" xfId="0" applyNumberFormat="1" applyFont="1" applyAlignment="1"/>
    <xf numFmtId="0" fontId="7" fillId="0" borderId="0" xfId="0" applyFont="1" applyBorder="1" applyAlignment="1"/>
    <xf numFmtId="166" fontId="0" fillId="0" borderId="0" xfId="0" applyNumberFormat="1" applyFont="1" applyBorder="1" applyAlignment="1"/>
    <xf numFmtId="166" fontId="0" fillId="0" borderId="19" xfId="0" applyNumberFormat="1" applyFont="1" applyBorder="1" applyAlignment="1"/>
    <xf numFmtId="166" fontId="0" fillId="0" borderId="24" xfId="0" applyNumberFormat="1" applyFont="1" applyBorder="1" applyAlignment="1"/>
    <xf numFmtId="166" fontId="0" fillId="0" borderId="21" xfId="0" applyNumberFormat="1" applyFont="1" applyBorder="1" applyAlignment="1"/>
    <xf numFmtId="166" fontId="0" fillId="0" borderId="25" xfId="0" applyNumberFormat="1" applyFont="1" applyBorder="1" applyAlignment="1"/>
    <xf numFmtId="166" fontId="0" fillId="0" borderId="22" xfId="0" applyNumberFormat="1" applyFont="1" applyBorder="1" applyAlignment="1"/>
    <xf numFmtId="9" fontId="0" fillId="0" borderId="0" xfId="0" applyNumberFormat="1" applyFont="1" applyBorder="1" applyAlignment="1"/>
    <xf numFmtId="1" fontId="0" fillId="0" borderId="21" xfId="0" applyNumberFormat="1" applyFont="1" applyBorder="1" applyAlignment="1"/>
    <xf numFmtId="1" fontId="0" fillId="0" borderId="22" xfId="0" applyNumberFormat="1" applyFont="1" applyBorder="1" applyAlignment="1"/>
    <xf numFmtId="0" fontId="0" fillId="0" borderId="0" xfId="0" applyNumberFormat="1" applyFont="1" applyAlignment="1"/>
    <xf numFmtId="9" fontId="0" fillId="0" borderId="0" xfId="2" applyFont="1" applyAlignment="1"/>
    <xf numFmtId="1" fontId="0" fillId="0" borderId="0" xfId="0" applyNumberFormat="1" applyFont="1" applyBorder="1" applyAlignment="1"/>
    <xf numFmtId="1" fontId="0" fillId="0" borderId="19" xfId="0" applyNumberFormat="1" applyFont="1" applyBorder="1" applyAlignment="1"/>
    <xf numFmtId="0" fontId="11" fillId="0" borderId="15" xfId="0" applyFont="1" applyFill="1" applyBorder="1" applyAlignment="1"/>
    <xf numFmtId="9" fontId="0" fillId="0" borderId="16" xfId="0" applyNumberFormat="1" applyFont="1" applyBorder="1" applyAlignment="1"/>
    <xf numFmtId="9" fontId="0" fillId="0" borderId="17" xfId="0" applyNumberFormat="1" applyFont="1" applyBorder="1" applyAlignment="1"/>
    <xf numFmtId="0" fontId="11" fillId="11" borderId="23" xfId="0" applyFont="1" applyFill="1" applyBorder="1" applyAlignment="1"/>
    <xf numFmtId="1" fontId="0" fillId="11" borderId="24" xfId="0" applyNumberFormat="1" applyFont="1" applyFill="1" applyBorder="1" applyAlignment="1"/>
    <xf numFmtId="1" fontId="0" fillId="11" borderId="25" xfId="0" applyNumberFormat="1" applyFont="1" applyFill="1" applyBorder="1" applyAlignment="1"/>
    <xf numFmtId="166" fontId="0" fillId="11" borderId="24" xfId="1" applyNumberFormat="1" applyFont="1" applyFill="1" applyBorder="1" applyAlignment="1"/>
    <xf numFmtId="166" fontId="0" fillId="11" borderId="25" xfId="1" applyNumberFormat="1" applyFont="1" applyFill="1" applyBorder="1" applyAlignment="1"/>
    <xf numFmtId="0" fontId="11" fillId="0" borderId="0" xfId="0" applyFont="1" applyAlignment="1">
      <alignment horizontal="right"/>
    </xf>
    <xf numFmtId="166" fontId="0" fillId="11" borderId="24" xfId="0" applyNumberFormat="1" applyFont="1" applyFill="1" applyBorder="1" applyAlignment="1"/>
    <xf numFmtId="0" fontId="16" fillId="0" borderId="0" xfId="0" applyFont="1" applyBorder="1"/>
    <xf numFmtId="43" fontId="0" fillId="0" borderId="0" xfId="0" applyNumberFormat="1" applyBorder="1"/>
    <xf numFmtId="0" fontId="0" fillId="0" borderId="0" xfId="0" applyBorder="1"/>
    <xf numFmtId="43" fontId="0" fillId="0" borderId="0" xfId="1" applyFont="1" applyBorder="1" applyAlignment="1"/>
    <xf numFmtId="43" fontId="0" fillId="0" borderId="22" xfId="0" applyNumberFormat="1" applyFont="1" applyBorder="1" applyAlignment="1"/>
    <xf numFmtId="3" fontId="0" fillId="0" borderId="0" xfId="0" applyNumberFormat="1" applyBorder="1" applyAlignment="1">
      <alignment horizontal="left"/>
    </xf>
    <xf numFmtId="3" fontId="0" fillId="0" borderId="19" xfId="0" applyNumberFormat="1" applyBorder="1" applyAlignment="1">
      <alignment horizontal="left"/>
    </xf>
    <xf numFmtId="43" fontId="0" fillId="0" borderId="0" xfId="0" applyNumberFormat="1" applyBorder="1" applyAlignment="1">
      <alignment horizontal="left"/>
    </xf>
    <xf numFmtId="43" fontId="0" fillId="0" borderId="19" xfId="0" applyNumberFormat="1" applyBorder="1" applyAlignment="1">
      <alignment horizontal="left"/>
    </xf>
    <xf numFmtId="3" fontId="11" fillId="0" borderId="0" xfId="0" applyNumberFormat="1" applyFont="1" applyBorder="1"/>
    <xf numFmtId="3" fontId="0" fillId="0" borderId="0" xfId="0" applyNumberFormat="1" applyBorder="1"/>
    <xf numFmtId="43" fontId="7" fillId="0" borderId="0" xfId="0" applyNumberFormat="1" applyFont="1" applyBorder="1"/>
    <xf numFmtId="43" fontId="7" fillId="0" borderId="19" xfId="0" applyNumberFormat="1" applyFont="1" applyBorder="1"/>
    <xf numFmtId="0" fontId="7" fillId="0" borderId="0" xfId="0" applyFont="1" applyBorder="1"/>
    <xf numFmtId="0" fontId="7" fillId="0" borderId="19" xfId="0" applyFont="1" applyBorder="1"/>
    <xf numFmtId="43" fontId="7" fillId="0" borderId="0" xfId="1" applyFont="1" applyBorder="1"/>
    <xf numFmtId="43" fontId="7" fillId="0" borderId="19" xfId="1" applyFont="1" applyBorder="1"/>
    <xf numFmtId="167" fontId="7" fillId="0" borderId="0" xfId="0" applyNumberFormat="1" applyFont="1" applyBorder="1"/>
    <xf numFmtId="167" fontId="7" fillId="0" borderId="19" xfId="0" applyNumberFormat="1" applyFont="1" applyBorder="1"/>
    <xf numFmtId="43" fontId="1" fillId="9" borderId="24" xfId="0" applyNumberFormat="1" applyFont="1" applyFill="1" applyBorder="1"/>
    <xf numFmtId="0" fontId="11" fillId="0" borderId="18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43" fontId="1" fillId="9" borderId="25" xfId="0" applyNumberFormat="1" applyFont="1" applyFill="1" applyBorder="1"/>
    <xf numFmtId="3" fontId="11" fillId="0" borderId="19" xfId="0" applyNumberFormat="1" applyFont="1" applyBorder="1"/>
    <xf numFmtId="168" fontId="0" fillId="0" borderId="19" xfId="0" applyNumberFormat="1" applyBorder="1"/>
    <xf numFmtId="0" fontId="0" fillId="5" borderId="23" xfId="0" applyFill="1" applyBorder="1"/>
    <xf numFmtId="0" fontId="16" fillId="5" borderId="24" xfId="0" applyFont="1" applyFill="1" applyBorder="1"/>
    <xf numFmtId="0" fontId="16" fillId="5" borderId="25" xfId="0" applyFont="1" applyFill="1" applyBorder="1"/>
    <xf numFmtId="0" fontId="16" fillId="5" borderId="23" xfId="0" applyFont="1" applyFill="1" applyBorder="1"/>
    <xf numFmtId="0" fontId="0" fillId="5" borderId="24" xfId="0" applyFill="1" applyBorder="1"/>
    <xf numFmtId="168" fontId="0" fillId="5" borderId="24" xfId="0" applyNumberFormat="1" applyFill="1" applyBorder="1"/>
    <xf numFmtId="168" fontId="16" fillId="5" borderId="24" xfId="0" applyNumberFormat="1" applyFont="1" applyFill="1" applyBorder="1"/>
    <xf numFmtId="168" fontId="0" fillId="5" borderId="25" xfId="0" applyNumberFormat="1" applyFill="1" applyBorder="1"/>
    <xf numFmtId="0" fontId="0" fillId="5" borderId="25" xfId="0" applyFill="1" applyBorder="1"/>
    <xf numFmtId="168" fontId="0" fillId="0" borderId="0" xfId="0" applyNumberFormat="1" applyBorder="1"/>
    <xf numFmtId="166" fontId="0" fillId="0" borderId="0" xfId="0" applyNumberFormat="1" applyBorder="1"/>
    <xf numFmtId="166" fontId="0" fillId="0" borderId="19" xfId="0" applyNumberFormat="1" applyBorder="1"/>
    <xf numFmtId="0" fontId="0" fillId="0" borderId="0" xfId="0" applyFont="1" applyFill="1" applyBorder="1"/>
    <xf numFmtId="166" fontId="16" fillId="9" borderId="24" xfId="0" applyNumberFormat="1" applyFont="1" applyFill="1" applyBorder="1"/>
    <xf numFmtId="166" fontId="16" fillId="9" borderId="25" xfId="0" applyNumberFormat="1" applyFont="1" applyFill="1" applyBorder="1"/>
    <xf numFmtId="0" fontId="16" fillId="0" borderId="26" xfId="0" applyFont="1" applyBorder="1"/>
    <xf numFmtId="0" fontId="11" fillId="6" borderId="23" xfId="0" applyFont="1" applyFill="1" applyBorder="1"/>
    <xf numFmtId="166" fontId="11" fillId="6" borderId="24" xfId="0" applyNumberFormat="1" applyFont="1" applyFill="1" applyBorder="1"/>
    <xf numFmtId="166" fontId="11" fillId="6" borderId="25" xfId="0" applyNumberFormat="1" applyFont="1" applyFill="1" applyBorder="1"/>
    <xf numFmtId="168" fontId="11" fillId="6" borderId="24" xfId="0" applyNumberFormat="1" applyFont="1" applyFill="1" applyBorder="1"/>
    <xf numFmtId="168" fontId="11" fillId="6" borderId="25" xfId="0" applyNumberFormat="1" applyFont="1" applyFill="1" applyBorder="1"/>
    <xf numFmtId="0" fontId="11" fillId="6" borderId="20" xfId="0" applyFont="1" applyFill="1" applyBorder="1"/>
    <xf numFmtId="168" fontId="11" fillId="6" borderId="21" xfId="0" applyNumberFormat="1" applyFont="1" applyFill="1" applyBorder="1"/>
    <xf numFmtId="168" fontId="11" fillId="6" borderId="22" xfId="0" applyNumberFormat="1" applyFont="1" applyFill="1" applyBorder="1"/>
    <xf numFmtId="0" fontId="16" fillId="6" borderId="23" xfId="0" applyFont="1" applyFill="1" applyBorder="1"/>
    <xf numFmtId="168" fontId="11" fillId="5" borderId="24" xfId="0" applyNumberFormat="1" applyFont="1" applyFill="1" applyBorder="1"/>
    <xf numFmtId="168" fontId="11" fillId="5" borderId="25" xfId="0" applyNumberFormat="1" applyFont="1" applyFill="1" applyBorder="1"/>
    <xf numFmtId="1" fontId="11" fillId="11" borderId="24" xfId="0" applyNumberFormat="1" applyFont="1" applyFill="1" applyBorder="1" applyAlignment="1"/>
    <xf numFmtId="1" fontId="11" fillId="11" borderId="25" xfId="0" applyNumberFormat="1" applyFont="1" applyFill="1" applyBorder="1" applyAlignment="1"/>
    <xf numFmtId="0" fontId="18" fillId="0" borderId="0" xfId="3" applyAlignment="1"/>
    <xf numFmtId="167" fontId="0" fillId="0" borderId="22" xfId="0" applyNumberFormat="1" applyFont="1" applyBorder="1" applyAlignment="1"/>
    <xf numFmtId="43" fontId="0" fillId="0" borderId="19" xfId="1" applyFont="1" applyBorder="1" applyAlignment="1"/>
    <xf numFmtId="0" fontId="11" fillId="0" borderId="18" xfId="0" applyFont="1" applyBorder="1" applyAlignment="1">
      <alignment wrapText="1"/>
    </xf>
    <xf numFmtId="167" fontId="0" fillId="0" borderId="0" xfId="0" applyNumberFormat="1" applyFont="1" applyBorder="1" applyAlignment="1"/>
    <xf numFmtId="167" fontId="0" fillId="0" borderId="19" xfId="0" applyNumberFormat="1" applyFont="1" applyBorder="1" applyAlignment="1"/>
    <xf numFmtId="0" fontId="21" fillId="0" borderId="0" xfId="4" applyFont="1" applyBorder="1"/>
    <xf numFmtId="0" fontId="20" fillId="0" borderId="0" xfId="4" applyFont="1"/>
    <xf numFmtId="0" fontId="22" fillId="0" borderId="0" xfId="4" applyFont="1"/>
    <xf numFmtId="3" fontId="0" fillId="0" borderId="0" xfId="0" applyNumberFormat="1" applyFont="1" applyBorder="1" applyAlignment="1"/>
    <xf numFmtId="2" fontId="0" fillId="0" borderId="0" xfId="0" applyNumberFormat="1" applyFont="1" applyAlignment="1">
      <alignment horizontal="center"/>
    </xf>
    <xf numFmtId="43" fontId="0" fillId="0" borderId="0" xfId="0" applyNumberFormat="1" applyFont="1" applyAlignment="1">
      <alignment horizontal="left"/>
    </xf>
    <xf numFmtId="0" fontId="21" fillId="0" borderId="0" xfId="4" applyFont="1" applyFill="1" applyBorder="1"/>
    <xf numFmtId="166" fontId="7" fillId="0" borderId="0" xfId="1" applyNumberFormat="1" applyFont="1" applyBorder="1"/>
    <xf numFmtId="166" fontId="7" fillId="0" borderId="19" xfId="1" applyNumberFormat="1" applyFont="1" applyBorder="1"/>
    <xf numFmtId="168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2" fontId="0" fillId="0" borderId="0" xfId="2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43" fontId="0" fillId="0" borderId="0" xfId="0" applyNumberFormat="1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11" fillId="0" borderId="25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6" fillId="8" borderId="15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8" borderId="17" xfId="0" applyFont="1" applyFill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10" borderId="23" xfId="0" applyFont="1" applyFill="1" applyBorder="1" applyAlignment="1">
      <alignment horizontal="center"/>
    </xf>
    <xf numFmtId="0" fontId="11" fillId="10" borderId="24" xfId="0" applyFont="1" applyFill="1" applyBorder="1" applyAlignment="1">
      <alignment horizontal="center"/>
    </xf>
    <xf numFmtId="0" fontId="11" fillId="10" borderId="25" xfId="0" applyFont="1" applyFill="1" applyBorder="1" applyAlignment="1">
      <alignment horizontal="center"/>
    </xf>
    <xf numFmtId="0" fontId="16" fillId="10" borderId="23" xfId="0" applyFont="1" applyFill="1" applyBorder="1" applyAlignment="1">
      <alignment horizontal="left"/>
    </xf>
    <xf numFmtId="0" fontId="16" fillId="10" borderId="24" xfId="0" applyFont="1" applyFill="1" applyBorder="1" applyAlignment="1">
      <alignment horizontal="left"/>
    </xf>
    <xf numFmtId="0" fontId="16" fillId="9" borderId="23" xfId="0" applyFont="1" applyFill="1" applyBorder="1" applyAlignment="1">
      <alignment horizontal="left"/>
    </xf>
    <xf numFmtId="0" fontId="16" fillId="9" borderId="24" xfId="0" applyFont="1" applyFill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5" borderId="23" xfId="0" applyFont="1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/>
    </xf>
    <xf numFmtId="0" fontId="20" fillId="0" borderId="0" xfId="4" applyFont="1" applyAlignment="1">
      <alignment horizontal="left"/>
    </xf>
    <xf numFmtId="0" fontId="23" fillId="0" borderId="0" xfId="4" applyFont="1" applyAlignment="1">
      <alignment horizontal="left"/>
    </xf>
    <xf numFmtId="166" fontId="0" fillId="11" borderId="25" xfId="0" applyNumberFormat="1" applyFont="1" applyFill="1" applyBorder="1" applyAlignment="1"/>
    <xf numFmtId="0" fontId="11" fillId="7" borderId="25" xfId="0" applyFont="1" applyFill="1" applyBorder="1" applyAlignment="1">
      <alignment horizontal="center"/>
    </xf>
    <xf numFmtId="166" fontId="11" fillId="11" borderId="25" xfId="1" applyNumberFormat="1" applyFont="1" applyFill="1" applyBorder="1" applyAlignment="1"/>
    <xf numFmtId="166" fontId="11" fillId="11" borderId="24" xfId="1" applyNumberFormat="1" applyFont="1" applyFill="1" applyBorder="1" applyAlignment="1"/>
    <xf numFmtId="166" fontId="11" fillId="11" borderId="24" xfId="0" applyNumberFormat="1" applyFont="1" applyFill="1" applyBorder="1" applyAlignment="1"/>
    <xf numFmtId="166" fontId="11" fillId="11" borderId="25" xfId="0" applyNumberFormat="1" applyFont="1" applyFill="1" applyBorder="1" applyAlignment="1"/>
    <xf numFmtId="0" fontId="11" fillId="11" borderId="24" xfId="0" applyFont="1" applyFill="1" applyBorder="1" applyAlignment="1"/>
    <xf numFmtId="0" fontId="11" fillId="11" borderId="25" xfId="0" applyFont="1" applyFill="1" applyBorder="1" applyAlignment="1"/>
  </cellXfs>
  <cellStyles count="5">
    <cellStyle name="Comma" xfId="1" builtinId="3"/>
    <cellStyle name="Hyperlink" xfId="3" builtinId="8"/>
    <cellStyle name="Normal" xfId="0" builtinId="0"/>
    <cellStyle name="Normal 2" xfId="4" xr:uid="{8AEA9042-2D74-454A-9F82-CED112736AC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2"/>
  <sheetViews>
    <sheetView zoomScale="115" zoomScaleNormal="115" workbookViewId="0">
      <selection activeCell="C2" sqref="C2"/>
    </sheetView>
  </sheetViews>
  <sheetFormatPr defaultColWidth="14.44140625" defaultRowHeight="15.75" customHeight="1" x14ac:dyDescent="0.25"/>
  <cols>
    <col min="1" max="1" width="25.88671875" customWidth="1"/>
    <col min="2" max="2" width="13.33203125" customWidth="1"/>
    <col min="6" max="6" width="24.44140625" customWidth="1"/>
    <col min="21" max="21" width="27" customWidth="1"/>
    <col min="23" max="23" width="21" customWidth="1"/>
    <col min="25" max="25" width="20.109375" customWidth="1"/>
  </cols>
  <sheetData>
    <row r="1" spans="1:25" ht="30" x14ac:dyDescent="0.5">
      <c r="A1" s="1" t="s">
        <v>0</v>
      </c>
      <c r="B1" s="2" t="s">
        <v>1</v>
      </c>
      <c r="C1" s="2" t="s">
        <v>2</v>
      </c>
      <c r="D1" s="2" t="s">
        <v>3</v>
      </c>
      <c r="L1" s="231" t="s">
        <v>8</v>
      </c>
      <c r="M1" s="232"/>
      <c r="N1" s="233"/>
    </row>
    <row r="2" spans="1:25" ht="15.75" customHeight="1" x14ac:dyDescent="0.25">
      <c r="A2" s="3" t="s">
        <v>4</v>
      </c>
      <c r="B2" s="4" t="s">
        <v>5</v>
      </c>
      <c r="C2" s="4" t="s">
        <v>6</v>
      </c>
      <c r="D2" s="4" t="s">
        <v>7</v>
      </c>
    </row>
    <row r="3" spans="1:25" ht="13.2" x14ac:dyDescent="0.25">
      <c r="A3" s="5"/>
      <c r="B3" s="6" t="s">
        <v>9</v>
      </c>
      <c r="C3" s="4" t="s">
        <v>10</v>
      </c>
      <c r="D3" s="4" t="s">
        <v>11</v>
      </c>
    </row>
    <row r="4" spans="1:25" ht="13.2" x14ac:dyDescent="0.25">
      <c r="A4" s="7" t="s">
        <v>12</v>
      </c>
      <c r="B4" s="8">
        <f>1800*900</f>
        <v>1620000</v>
      </c>
      <c r="C4" s="9">
        <f>2160*900</f>
        <v>1944000</v>
      </c>
      <c r="D4" s="8">
        <f>(940*2640)</f>
        <v>2481600</v>
      </c>
    </row>
    <row r="5" spans="1:25" ht="13.2" x14ac:dyDescent="0.25">
      <c r="A5" s="5"/>
      <c r="B5" s="8"/>
      <c r="C5" s="10"/>
      <c r="D5" s="4"/>
      <c r="H5" s="11"/>
      <c r="I5" s="12" t="s">
        <v>1</v>
      </c>
      <c r="J5" s="11"/>
      <c r="L5" s="11"/>
      <c r="M5" s="12" t="s">
        <v>2</v>
      </c>
      <c r="N5" s="11"/>
      <c r="P5" s="11"/>
      <c r="Q5" s="12" t="s">
        <v>3</v>
      </c>
      <c r="R5" s="11"/>
    </row>
    <row r="6" spans="1:25" ht="13.2" x14ac:dyDescent="0.25">
      <c r="A6" s="7"/>
      <c r="B6" s="8"/>
      <c r="C6" s="8"/>
      <c r="D6" s="10"/>
      <c r="H6" s="13" t="s">
        <v>14</v>
      </c>
      <c r="I6" s="14">
        <f>900-I9</f>
        <v>643.72222222222217</v>
      </c>
      <c r="J6" s="14"/>
      <c r="L6" s="13" t="s">
        <v>14</v>
      </c>
      <c r="M6" s="15">
        <f>900-M9</f>
        <v>666.64233796296298</v>
      </c>
      <c r="N6" s="14"/>
      <c r="P6" s="13" t="s">
        <v>14</v>
      </c>
      <c r="Q6" s="15">
        <f>940-Q9</f>
        <v>732.87285530303029</v>
      </c>
      <c r="R6" s="14"/>
    </row>
    <row r="7" spans="1:25" ht="13.2" x14ac:dyDescent="0.25">
      <c r="A7" s="16" t="s">
        <v>15</v>
      </c>
      <c r="B7" s="17">
        <f t="shared" ref="B7:C7" si="0">B4</f>
        <v>1620000</v>
      </c>
      <c r="C7" s="18">
        <f t="shared" si="0"/>
        <v>1944000</v>
      </c>
      <c r="D7" s="17">
        <f>SUM(D4:D5)</f>
        <v>2481600</v>
      </c>
      <c r="H7" s="14"/>
      <c r="I7" s="14"/>
      <c r="J7" s="14"/>
      <c r="L7" s="14"/>
      <c r="M7" s="14"/>
      <c r="N7" s="14"/>
      <c r="P7" s="14"/>
      <c r="Q7" s="14"/>
      <c r="R7" s="14"/>
    </row>
    <row r="8" spans="1:25" ht="13.2" x14ac:dyDescent="0.25">
      <c r="A8" s="5"/>
      <c r="B8" s="10"/>
      <c r="C8" s="10"/>
      <c r="D8" s="10"/>
      <c r="H8" s="19" t="s">
        <v>16</v>
      </c>
      <c r="I8" s="56" t="s">
        <v>54</v>
      </c>
      <c r="J8" s="21"/>
      <c r="L8" s="19" t="s">
        <v>16</v>
      </c>
      <c r="M8" s="20" t="s">
        <v>53</v>
      </c>
      <c r="N8" s="21"/>
      <c r="P8" s="19" t="s">
        <v>16</v>
      </c>
      <c r="Q8" s="20" t="s">
        <v>55</v>
      </c>
      <c r="R8" s="21"/>
    </row>
    <row r="9" spans="1:25" ht="13.2" x14ac:dyDescent="0.25">
      <c r="A9" s="5" t="s">
        <v>17</v>
      </c>
      <c r="B9" s="9">
        <f>I9*1800</f>
        <v>461300</v>
      </c>
      <c r="C9" s="8">
        <f>M9*2160</f>
        <v>504052.55</v>
      </c>
      <c r="D9" s="9">
        <f>Q9*2640</f>
        <v>546815.66200000001</v>
      </c>
      <c r="H9" s="22" t="s">
        <v>18</v>
      </c>
      <c r="I9" s="23">
        <f>I10+I11+I12+I13</f>
        <v>256.27777777777777</v>
      </c>
      <c r="J9" s="11"/>
      <c r="L9" s="24" t="s">
        <v>18</v>
      </c>
      <c r="M9" s="14">
        <f>M10+M11+M12+M13</f>
        <v>233.35766203703704</v>
      </c>
      <c r="N9" s="21"/>
      <c r="P9" s="24" t="s">
        <v>18</v>
      </c>
      <c r="Q9" s="14">
        <f>Q10+Q11+Q12</f>
        <v>207.12714469696971</v>
      </c>
      <c r="R9" s="21"/>
    </row>
    <row r="10" spans="1:25" ht="13.2" x14ac:dyDescent="0.25">
      <c r="A10" s="16" t="s">
        <v>19</v>
      </c>
      <c r="B10" s="17">
        <f t="shared" ref="B10:D10" si="1">B7-B9</f>
        <v>1158700</v>
      </c>
      <c r="C10" s="17">
        <f t="shared" si="1"/>
        <v>1439947.45</v>
      </c>
      <c r="D10" s="17">
        <f t="shared" si="1"/>
        <v>1934784.338</v>
      </c>
      <c r="E10" s="25"/>
      <c r="H10" s="26" t="s">
        <v>20</v>
      </c>
      <c r="I10" s="14">
        <f>324000/1800</f>
        <v>180</v>
      </c>
      <c r="J10" s="21"/>
      <c r="L10" s="26" t="s">
        <v>20</v>
      </c>
      <c r="M10" s="14">
        <f>336000/2160</f>
        <v>155.55555555555554</v>
      </c>
      <c r="N10" s="21"/>
      <c r="P10" s="26" t="s">
        <v>20</v>
      </c>
      <c r="Q10" s="27">
        <v>131.81</v>
      </c>
      <c r="R10" s="21"/>
    </row>
    <row r="11" spans="1:25" ht="13.2" x14ac:dyDescent="0.25">
      <c r="A11" s="5"/>
      <c r="B11" s="10"/>
      <c r="C11" s="10"/>
      <c r="D11" s="10"/>
      <c r="E11" s="25"/>
      <c r="H11" s="26" t="s">
        <v>21</v>
      </c>
      <c r="I11" s="14">
        <f>120000/1800</f>
        <v>66.666666666666671</v>
      </c>
      <c r="J11" s="21"/>
      <c r="L11" s="26" t="s">
        <v>21</v>
      </c>
      <c r="M11" s="14">
        <f>150000/2160</f>
        <v>69.444444444444443</v>
      </c>
      <c r="N11" s="21"/>
      <c r="P11" s="26" t="s">
        <v>21</v>
      </c>
      <c r="Q11" s="15">
        <f>180000/2640</f>
        <v>68.181818181818187</v>
      </c>
      <c r="R11" s="21"/>
      <c r="T11" s="28"/>
      <c r="U11" s="28"/>
      <c r="W11" s="28"/>
      <c r="Y11" s="28"/>
    </row>
    <row r="12" spans="1:25" ht="16.2" x14ac:dyDescent="0.45">
      <c r="A12" s="29" t="s">
        <v>22</v>
      </c>
      <c r="B12" s="10"/>
      <c r="C12" s="10"/>
      <c r="D12" s="10"/>
      <c r="G12" s="30"/>
      <c r="H12" s="26" t="s">
        <v>23</v>
      </c>
      <c r="I12" s="14">
        <f>17300/1800</f>
        <v>9.6111111111111107</v>
      </c>
      <c r="J12" s="21"/>
      <c r="L12" s="26" t="s">
        <v>23</v>
      </c>
      <c r="M12" s="14">
        <f>(17300+17300*0.0435)/2160</f>
        <v>8.357662037037036</v>
      </c>
      <c r="N12" s="21"/>
      <c r="P12" s="26" t="s">
        <v>23</v>
      </c>
      <c r="Q12" s="31">
        <f>(18052+18052*0.0435)/2640</f>
        <v>7.1353265151515144</v>
      </c>
      <c r="R12" s="21"/>
    </row>
    <row r="13" spans="1:25" ht="13.2" x14ac:dyDescent="0.25">
      <c r="A13" s="5" t="s">
        <v>24</v>
      </c>
      <c r="B13" s="32">
        <v>120000</v>
      </c>
      <c r="C13" s="32">
        <v>150000</v>
      </c>
      <c r="D13" s="9">
        <v>100000</v>
      </c>
      <c r="H13" s="27"/>
      <c r="I13" s="21"/>
      <c r="J13" s="21"/>
      <c r="L13" s="27"/>
      <c r="M13" s="21"/>
      <c r="N13" s="21"/>
      <c r="P13" s="27"/>
      <c r="Q13" s="27"/>
      <c r="R13" s="21"/>
    </row>
    <row r="14" spans="1:25" ht="13.2" x14ac:dyDescent="0.25">
      <c r="A14" s="29" t="s">
        <v>25</v>
      </c>
      <c r="B14" s="4"/>
      <c r="C14" s="33"/>
      <c r="D14" s="10"/>
      <c r="H14" s="34" t="s">
        <v>26</v>
      </c>
      <c r="I14" s="35">
        <f>I15+I16+I17+I18+I19+I20+I21</f>
        <v>1137671.5</v>
      </c>
      <c r="J14" s="11"/>
      <c r="L14" s="34" t="s">
        <v>26</v>
      </c>
      <c r="M14" s="36">
        <f>M15+M16+M17+M18+M19</f>
        <v>1054209</v>
      </c>
      <c r="N14" s="11"/>
      <c r="P14" s="34" t="s">
        <v>26</v>
      </c>
      <c r="Q14" s="35">
        <f>Q15+Q16+Q17+Q18+Q19</f>
        <v>1105589.655</v>
      </c>
      <c r="R14" s="11"/>
    </row>
    <row r="15" spans="1:25" ht="13.2" x14ac:dyDescent="0.25">
      <c r="A15" s="37" t="s">
        <v>27</v>
      </c>
      <c r="B15" s="32">
        <v>185000</v>
      </c>
      <c r="C15" s="8">
        <f>B15*4.35/100+B15</f>
        <v>193047.5</v>
      </c>
      <c r="D15" s="8">
        <f>(C15*4.35/100+C15)</f>
        <v>201445.06625</v>
      </c>
      <c r="H15" s="27" t="s">
        <v>27</v>
      </c>
      <c r="I15" s="32">
        <v>185000</v>
      </c>
      <c r="J15" s="21"/>
      <c r="L15" s="27" t="s">
        <v>27</v>
      </c>
      <c r="M15" s="38">
        <v>193047.5</v>
      </c>
      <c r="N15" s="21"/>
      <c r="P15" s="27" t="s">
        <v>27</v>
      </c>
      <c r="Q15" s="39">
        <v>211410.785</v>
      </c>
      <c r="R15" s="21"/>
    </row>
    <row r="16" spans="1:25" ht="13.2" x14ac:dyDescent="0.25">
      <c r="A16" s="37" t="s">
        <v>28</v>
      </c>
      <c r="B16" s="40"/>
      <c r="C16" s="8">
        <f t="shared" ref="C16:D16" si="2">(111730+11100)*0.05</f>
        <v>6141.5</v>
      </c>
      <c r="D16" s="8">
        <f t="shared" si="2"/>
        <v>6141.5</v>
      </c>
      <c r="H16" s="27" t="s">
        <v>29</v>
      </c>
      <c r="I16" s="27">
        <v>720000</v>
      </c>
      <c r="J16" s="21"/>
      <c r="L16" s="27" t="s">
        <v>29</v>
      </c>
      <c r="M16" s="8">
        <f>720000+720000*0.0435</f>
        <v>751320</v>
      </c>
      <c r="N16" s="21"/>
      <c r="P16" s="27" t="s">
        <v>29</v>
      </c>
      <c r="Q16" s="41">
        <v>784002.42</v>
      </c>
      <c r="R16" s="21"/>
    </row>
    <row r="17" spans="1:20" ht="13.2" x14ac:dyDescent="0.25">
      <c r="A17" s="42" t="s">
        <v>30</v>
      </c>
      <c r="B17" s="40"/>
      <c r="C17" s="43"/>
      <c r="D17" s="43"/>
      <c r="H17" s="27" t="s">
        <v>31</v>
      </c>
      <c r="I17" s="27">
        <v>7700</v>
      </c>
      <c r="J17" s="21"/>
      <c r="L17" s="27" t="s">
        <v>31</v>
      </c>
      <c r="M17" s="27">
        <v>7700</v>
      </c>
      <c r="N17" s="21"/>
      <c r="P17" s="27" t="s">
        <v>31</v>
      </c>
      <c r="Q17" s="27">
        <v>8034.95</v>
      </c>
      <c r="R17" s="21"/>
    </row>
    <row r="18" spans="1:20" ht="13.2" x14ac:dyDescent="0.25">
      <c r="A18" s="5" t="s">
        <v>32</v>
      </c>
      <c r="B18" s="32">
        <v>17300</v>
      </c>
      <c r="C18" s="8">
        <f t="shared" ref="C18:D18" si="3">B18*4.35%+B18</f>
        <v>18052.55</v>
      </c>
      <c r="D18" s="8">
        <f t="shared" si="3"/>
        <v>18837.835924999999</v>
      </c>
      <c r="H18" s="27" t="s">
        <v>33</v>
      </c>
      <c r="I18" s="27">
        <v>11100</v>
      </c>
      <c r="J18" s="21"/>
      <c r="L18" s="27" t="s">
        <v>34</v>
      </c>
      <c r="M18" s="15">
        <f>96000</f>
        <v>96000</v>
      </c>
      <c r="N18" s="21"/>
      <c r="P18" s="27" t="s">
        <v>34</v>
      </c>
      <c r="Q18" s="14">
        <f>96000</f>
        <v>96000</v>
      </c>
      <c r="R18" s="21"/>
    </row>
    <row r="19" spans="1:20" ht="13.2" x14ac:dyDescent="0.25">
      <c r="A19" s="37" t="s">
        <v>31</v>
      </c>
      <c r="B19" s="32">
        <v>7700</v>
      </c>
      <c r="C19" s="44">
        <v>7700</v>
      </c>
      <c r="D19" s="8">
        <f>C19*4.35%+C19</f>
        <v>8034.95</v>
      </c>
      <c r="H19" s="27" t="s">
        <v>35</v>
      </c>
      <c r="I19" s="27">
        <v>111730</v>
      </c>
      <c r="J19" s="21"/>
      <c r="L19" s="27" t="s">
        <v>36</v>
      </c>
      <c r="M19" s="44">
        <v>6141.5</v>
      </c>
      <c r="N19" s="21"/>
      <c r="P19" s="27" t="s">
        <v>36</v>
      </c>
      <c r="Q19" s="44">
        <v>6141.5</v>
      </c>
      <c r="R19" s="21"/>
    </row>
    <row r="20" spans="1:20" ht="13.2" x14ac:dyDescent="0.25">
      <c r="A20" s="45" t="s">
        <v>37</v>
      </c>
      <c r="B20" s="32">
        <v>720000</v>
      </c>
      <c r="C20" s="8">
        <f>720000+720000*0.0435</f>
        <v>751320</v>
      </c>
      <c r="D20" s="8">
        <f>C20+C20*0.0435</f>
        <v>784002.42</v>
      </c>
      <c r="H20" s="27" t="s">
        <v>34</v>
      </c>
      <c r="I20" s="14">
        <f>96000</f>
        <v>96000</v>
      </c>
      <c r="J20" s="21"/>
      <c r="M20" s="38"/>
    </row>
    <row r="21" spans="1:20" ht="13.2" x14ac:dyDescent="0.25">
      <c r="A21" s="45" t="s">
        <v>38</v>
      </c>
      <c r="B21" s="32">
        <v>11100</v>
      </c>
      <c r="C21" s="46"/>
      <c r="D21" s="46"/>
      <c r="H21" s="37" t="s">
        <v>28</v>
      </c>
      <c r="I21" s="44">
        <v>6141.5</v>
      </c>
      <c r="J21" s="44"/>
      <c r="T21" s="28"/>
    </row>
    <row r="22" spans="1:20" ht="13.2" x14ac:dyDescent="0.25">
      <c r="A22" s="45" t="s">
        <v>39</v>
      </c>
      <c r="B22" s="32" t="s">
        <v>40</v>
      </c>
      <c r="C22" s="47"/>
      <c r="D22" s="46"/>
      <c r="T22" s="28"/>
    </row>
    <row r="23" spans="1:20" ht="13.2" x14ac:dyDescent="0.25">
      <c r="A23" s="45" t="s">
        <v>41</v>
      </c>
      <c r="B23" s="32">
        <v>96000</v>
      </c>
      <c r="C23" s="46">
        <v>96000</v>
      </c>
      <c r="D23" s="46">
        <v>96000</v>
      </c>
    </row>
    <row r="24" spans="1:20" ht="13.2" x14ac:dyDescent="0.25">
      <c r="A24" s="37" t="s">
        <v>42</v>
      </c>
      <c r="B24" s="32">
        <v>324000</v>
      </c>
      <c r="C24" s="46">
        <v>336000</v>
      </c>
      <c r="D24" s="9">
        <f>348000+144000</f>
        <v>492000</v>
      </c>
    </row>
    <row r="25" spans="1:20" ht="13.2" x14ac:dyDescent="0.25">
      <c r="A25" s="16" t="s">
        <v>43</v>
      </c>
      <c r="B25" s="17">
        <f>SUM(B13:B24)</f>
        <v>1481100</v>
      </c>
      <c r="C25" s="17">
        <f t="shared" ref="C25:D25" si="4">SUM(C13:C24)</f>
        <v>1558261.55</v>
      </c>
      <c r="D25" s="17">
        <f t="shared" si="4"/>
        <v>1706461.772175</v>
      </c>
    </row>
    <row r="26" spans="1:20" ht="13.2" x14ac:dyDescent="0.25">
      <c r="A26" s="42" t="s">
        <v>44</v>
      </c>
      <c r="B26" s="48">
        <f t="shared" ref="B26:D26" si="5">B10-B25</f>
        <v>-322400</v>
      </c>
      <c r="C26" s="48">
        <f t="shared" si="5"/>
        <v>-118314.10000000009</v>
      </c>
      <c r="D26" s="49">
        <f t="shared" si="5"/>
        <v>228322.56582499994</v>
      </c>
    </row>
    <row r="27" spans="1:20" ht="13.2" x14ac:dyDescent="0.25">
      <c r="A27" s="37"/>
      <c r="B27" s="43"/>
      <c r="C27" s="43"/>
      <c r="D27" s="43"/>
    </row>
    <row r="28" spans="1:20" ht="13.2" x14ac:dyDescent="0.25">
      <c r="A28" s="45"/>
      <c r="B28" s="46"/>
      <c r="C28" s="46"/>
      <c r="D28" s="46"/>
    </row>
    <row r="29" spans="1:20" ht="13.2" x14ac:dyDescent="0.25">
      <c r="A29" s="42" t="s">
        <v>45</v>
      </c>
      <c r="B29" s="49">
        <f t="shared" ref="B29:D29" si="6">B26-B28</f>
        <v>-322400</v>
      </c>
      <c r="C29" s="49">
        <f t="shared" si="6"/>
        <v>-118314.10000000009</v>
      </c>
      <c r="D29" s="49">
        <f t="shared" si="6"/>
        <v>228322.56582499994</v>
      </c>
    </row>
    <row r="30" spans="1:20" ht="13.2" x14ac:dyDescent="0.25">
      <c r="A30" s="37"/>
      <c r="B30" s="43"/>
      <c r="C30" s="43"/>
      <c r="D30" s="43"/>
    </row>
    <row r="31" spans="1:20" ht="13.2" x14ac:dyDescent="0.25">
      <c r="A31" s="37" t="s">
        <v>46</v>
      </c>
      <c r="B31" s="44"/>
      <c r="C31" s="44"/>
      <c r="D31" s="8">
        <f>D29*26/100</f>
        <v>59363.867114499983</v>
      </c>
    </row>
    <row r="32" spans="1:20" ht="13.2" x14ac:dyDescent="0.25">
      <c r="A32" s="16" t="s">
        <v>47</v>
      </c>
      <c r="B32" s="17">
        <f t="shared" ref="B32:D32" si="7">B29-B31</f>
        <v>-322400</v>
      </c>
      <c r="C32" s="17">
        <f t="shared" si="7"/>
        <v>-118314.10000000009</v>
      </c>
      <c r="D32" s="17">
        <f t="shared" si="7"/>
        <v>168958.69871049997</v>
      </c>
    </row>
  </sheetData>
  <mergeCells count="1">
    <mergeCell ref="L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A9CB-991D-4481-980A-920BFE9A5011}">
  <dimension ref="E3:L37"/>
  <sheetViews>
    <sheetView topLeftCell="A7" workbookViewId="0">
      <selection activeCell="F30" sqref="F30"/>
    </sheetView>
  </sheetViews>
  <sheetFormatPr defaultRowHeight="13.2" x14ac:dyDescent="0.25"/>
  <cols>
    <col min="5" max="5" width="27.88671875" bestFit="1" customWidth="1"/>
    <col min="6" max="10" width="16.21875" bestFit="1" customWidth="1"/>
    <col min="11" max="11" width="12.77734375" bestFit="1" customWidth="1"/>
    <col min="12" max="12" width="12.44140625" bestFit="1" customWidth="1"/>
  </cols>
  <sheetData>
    <row r="3" spans="5:12" ht="13.8" thickBot="1" x14ac:dyDescent="0.3"/>
    <row r="4" spans="5:12" ht="14.4" thickBot="1" x14ac:dyDescent="0.3">
      <c r="E4" s="240" t="s">
        <v>131</v>
      </c>
      <c r="F4" s="241"/>
      <c r="G4" s="241"/>
      <c r="H4" s="241"/>
      <c r="I4" s="241"/>
      <c r="J4" s="242"/>
    </row>
    <row r="5" spans="5:12" ht="14.4" thickBot="1" x14ac:dyDescent="0.3">
      <c r="E5" s="196" t="s">
        <v>63</v>
      </c>
      <c r="F5" s="175" t="s">
        <v>132</v>
      </c>
      <c r="G5" s="176" t="s">
        <v>133</v>
      </c>
      <c r="H5" s="176" t="s">
        <v>134</v>
      </c>
      <c r="I5" s="176" t="s">
        <v>135</v>
      </c>
      <c r="J5" s="177" t="s">
        <v>136</v>
      </c>
    </row>
    <row r="6" spans="5:12" ht="13.8" x14ac:dyDescent="0.25">
      <c r="E6" s="106" t="s">
        <v>137</v>
      </c>
      <c r="F6" s="165">
        <f>'Cost Schedule'!E12</f>
        <v>2160000</v>
      </c>
      <c r="G6" s="165">
        <f>'Cost Schedule'!F12</f>
        <v>2773440</v>
      </c>
      <c r="H6" s="165">
        <f>'Cost Schedule'!G12</f>
        <v>3561096.9600000004</v>
      </c>
      <c r="I6" s="165">
        <f>'Cost Schedule'!H12</f>
        <v>4572448.4966400005</v>
      </c>
      <c r="J6" s="166">
        <f>'Cost Schedule'!I12</f>
        <v>5871023.8696857607</v>
      </c>
    </row>
    <row r="7" spans="5:12" x14ac:dyDescent="0.25">
      <c r="E7" s="174"/>
      <c r="F7" s="167"/>
      <c r="G7" s="167"/>
      <c r="H7" s="167"/>
      <c r="I7" s="167"/>
      <c r="J7" s="168"/>
    </row>
    <row r="8" spans="5:12" ht="13.8" x14ac:dyDescent="0.25">
      <c r="E8" s="106"/>
      <c r="F8" s="167"/>
      <c r="G8" s="167"/>
      <c r="H8" s="167"/>
      <c r="I8" s="167"/>
      <c r="J8" s="168"/>
    </row>
    <row r="9" spans="5:12" ht="13.8" x14ac:dyDescent="0.25">
      <c r="E9" s="106" t="s">
        <v>138</v>
      </c>
      <c r="F9" s="167"/>
      <c r="G9" s="167"/>
      <c r="H9" s="167"/>
      <c r="I9" s="167"/>
      <c r="J9" s="168"/>
    </row>
    <row r="10" spans="5:12" ht="13.8" x14ac:dyDescent="0.25">
      <c r="E10" s="106" t="s">
        <v>87</v>
      </c>
      <c r="F10" s="169">
        <f>'Cost Schedule'!E24</f>
        <v>2622000</v>
      </c>
      <c r="G10" s="169">
        <f>'Cost Schedule'!F24</f>
        <v>2837640</v>
      </c>
      <c r="H10" s="169">
        <f>'Cost Schedule'!G24</f>
        <v>3118707.6</v>
      </c>
      <c r="I10" s="169">
        <f>'Cost Schedule'!H24</f>
        <v>3389938.9896</v>
      </c>
      <c r="J10" s="170">
        <f>'Cost Schedule'!I24</f>
        <v>3742375.0403904002</v>
      </c>
    </row>
    <row r="11" spans="5:12" ht="13.8" x14ac:dyDescent="0.25">
      <c r="E11" s="106" t="s">
        <v>144</v>
      </c>
      <c r="F11" s="169">
        <f>'Cost Schedule'!E42</f>
        <v>2700</v>
      </c>
      <c r="G11" s="169">
        <f>'Cost Schedule'!F42</f>
        <v>2835</v>
      </c>
      <c r="H11" s="169">
        <f>'Cost Schedule'!G42</f>
        <v>2976.75</v>
      </c>
      <c r="I11" s="169">
        <f>'Cost Schedule'!H42</f>
        <v>3125.5875000000001</v>
      </c>
      <c r="J11" s="170">
        <f>'Cost Schedule'!I42</f>
        <v>3281.8668750000002</v>
      </c>
    </row>
    <row r="12" spans="5:12" ht="13.8" x14ac:dyDescent="0.25">
      <c r="E12" s="106" t="s">
        <v>172</v>
      </c>
      <c r="F12" s="169">
        <f>'Cost Schedule'!E60</f>
        <v>22125</v>
      </c>
      <c r="G12" s="169">
        <f>'Cost Schedule'!F60</f>
        <v>23231.25</v>
      </c>
      <c r="H12" s="169">
        <f>'Cost Schedule'!G60</f>
        <v>24392.8125</v>
      </c>
      <c r="I12" s="169">
        <f>'Cost Schedule'!H60</f>
        <v>25612.453125</v>
      </c>
      <c r="J12" s="170">
        <f>'Cost Schedule'!I60</f>
        <v>26893.075781250001</v>
      </c>
    </row>
    <row r="13" spans="5:12" ht="13.8" x14ac:dyDescent="0.25">
      <c r="E13" s="106" t="s">
        <v>218</v>
      </c>
      <c r="F13" s="169">
        <f>'Cost Schedule'!E49</f>
        <v>23460</v>
      </c>
      <c r="G13" s="169">
        <f>'Cost Schedule'!F49</f>
        <v>20148.2</v>
      </c>
      <c r="H13" s="169">
        <f>'Cost Schedule'!G49</f>
        <v>20242.574000000001</v>
      </c>
      <c r="I13" s="169">
        <f>'Cost Schedule'!H49</f>
        <v>23443.554179999999</v>
      </c>
      <c r="J13" s="170">
        <f>'Cost Schedule'!I49</f>
        <v>23551.602972600002</v>
      </c>
      <c r="L13" s="95"/>
    </row>
    <row r="14" spans="5:12" ht="13.8" x14ac:dyDescent="0.25">
      <c r="E14" s="106" t="s">
        <v>114</v>
      </c>
      <c r="F14" s="169">
        <f>'Cost Schedule'!E52</f>
        <v>7700</v>
      </c>
      <c r="G14" s="169">
        <f>'Cost Schedule'!F52</f>
        <v>8085</v>
      </c>
      <c r="H14" s="169">
        <f>'Cost Schedule'!G52</f>
        <v>8489.25</v>
      </c>
      <c r="I14" s="169">
        <f>'Cost Schedule'!H52</f>
        <v>8913.7124999999996</v>
      </c>
      <c r="J14" s="170">
        <f>'Cost Schedule'!I52</f>
        <v>9359.3981249999997</v>
      </c>
    </row>
    <row r="15" spans="5:12" ht="13.8" x14ac:dyDescent="0.25">
      <c r="E15" s="106" t="s">
        <v>145</v>
      </c>
      <c r="F15" s="171">
        <f>'Cost Schedule'!E56</f>
        <v>259200</v>
      </c>
      <c r="G15" s="171">
        <f>'Cost Schedule'!F56</f>
        <v>332812.79999999999</v>
      </c>
      <c r="H15" s="171">
        <f>'Cost Schedule'!G56</f>
        <v>427331.63520000002</v>
      </c>
      <c r="I15" s="171">
        <f>'Cost Schedule'!H56</f>
        <v>548693.81959680002</v>
      </c>
      <c r="J15" s="172">
        <f>'Cost Schedule'!I56</f>
        <v>704522.86436229129</v>
      </c>
    </row>
    <row r="16" spans="5:12" ht="13.8" x14ac:dyDescent="0.25">
      <c r="E16" s="106"/>
      <c r="F16" s="171"/>
      <c r="G16" s="171"/>
      <c r="H16" s="171"/>
      <c r="I16" s="171"/>
      <c r="J16" s="172"/>
    </row>
    <row r="17" spans="5:10" ht="13.8" x14ac:dyDescent="0.25">
      <c r="E17" s="106" t="s">
        <v>271</v>
      </c>
      <c r="F17" s="169">
        <f>SUM(F10:F15)</f>
        <v>2937185</v>
      </c>
      <c r="G17" s="169">
        <f>SUM(G10:G15)</f>
        <v>3224752.25</v>
      </c>
      <c r="H17" s="169">
        <f>SUM(H10:H15)</f>
        <v>3602140.6217</v>
      </c>
      <c r="I17" s="169">
        <f>SUM(I10:I15)</f>
        <v>3999728.1165017998</v>
      </c>
      <c r="J17" s="170">
        <f>SUM(J10:J15)</f>
        <v>4509983.848506541</v>
      </c>
    </row>
    <row r="18" spans="5:10" ht="13.8" x14ac:dyDescent="0.25">
      <c r="E18" s="106" t="s">
        <v>270</v>
      </c>
      <c r="F18" s="223">
        <f>F6-F17</f>
        <v>-777185</v>
      </c>
      <c r="G18" s="223">
        <f t="shared" ref="G18:J18" si="0">G6-G17</f>
        <v>-451312.25</v>
      </c>
      <c r="H18" s="223">
        <f t="shared" si="0"/>
        <v>-41043.661699999589</v>
      </c>
      <c r="I18" s="223">
        <f t="shared" si="0"/>
        <v>572720.38013820071</v>
      </c>
      <c r="J18" s="224">
        <f t="shared" si="0"/>
        <v>1361040.0211792197</v>
      </c>
    </row>
    <row r="19" spans="5:10" ht="13.8" x14ac:dyDescent="0.25">
      <c r="E19" s="106" t="s">
        <v>272</v>
      </c>
      <c r="F19" s="165">
        <f>Depriciation!F11</f>
        <v>2185.7999999999997</v>
      </c>
      <c r="G19" s="165">
        <f>Depriciation!G11</f>
        <v>1857.93</v>
      </c>
      <c r="H19" s="165">
        <f>Depriciation!H11</f>
        <v>1579.2405000000001</v>
      </c>
      <c r="I19" s="165">
        <f>Depriciation!I11</f>
        <v>1342.354425</v>
      </c>
      <c r="J19" s="166">
        <f>Depriciation!J11</f>
        <v>1141.0012612500002</v>
      </c>
    </row>
    <row r="20" spans="5:10" ht="13.8" x14ac:dyDescent="0.25">
      <c r="E20" s="106" t="s">
        <v>139</v>
      </c>
      <c r="F20" s="165">
        <f>F18-F19</f>
        <v>-779370.8</v>
      </c>
      <c r="G20" s="165">
        <f t="shared" ref="G20:J20" si="1">G18-G19</f>
        <v>-453170.18</v>
      </c>
      <c r="H20" s="165">
        <f t="shared" si="1"/>
        <v>-42622.902199999589</v>
      </c>
      <c r="I20" s="165">
        <f t="shared" si="1"/>
        <v>571378.02571320068</v>
      </c>
      <c r="J20" s="166">
        <f t="shared" si="1"/>
        <v>1359899.0199179696</v>
      </c>
    </row>
    <row r="21" spans="5:10" ht="13.8" x14ac:dyDescent="0.25">
      <c r="E21" s="106" t="s">
        <v>140</v>
      </c>
      <c r="F21" s="171">
        <f>'Capital Structure &amp; Interest '!D13</f>
        <v>158016.57235573433</v>
      </c>
      <c r="G21" s="171">
        <f>'Capital Structure &amp; Interest '!E13</f>
        <v>131204.63838804138</v>
      </c>
      <c r="H21" s="171">
        <f>'Capital Structure &amp; Interest '!F13</f>
        <v>100388.55579464488</v>
      </c>
      <c r="I21" s="171">
        <f>'Capital Structure &amp; Interest '!G13</f>
        <v>64970.336894535169</v>
      </c>
      <c r="J21" s="172">
        <f>'Capital Structure &amp; Interest '!H13</f>
        <v>24262.689312979783</v>
      </c>
    </row>
    <row r="22" spans="5:10" ht="13.8" x14ac:dyDescent="0.25">
      <c r="E22" s="106" t="s">
        <v>141</v>
      </c>
      <c r="F22" s="165">
        <f>F20-F21</f>
        <v>-937387.37235573435</v>
      </c>
      <c r="G22" s="165">
        <f t="shared" ref="G22:J22" si="2">G20-G21</f>
        <v>-584374.81838804134</v>
      </c>
      <c r="H22" s="165">
        <f t="shared" si="2"/>
        <v>-143011.45799464447</v>
      </c>
      <c r="I22" s="165">
        <f t="shared" si="2"/>
        <v>506407.68881866551</v>
      </c>
      <c r="J22" s="166">
        <f t="shared" si="2"/>
        <v>1335636.3306049898</v>
      </c>
    </row>
    <row r="23" spans="5:10" ht="14.4" thickBot="1" x14ac:dyDescent="0.3">
      <c r="E23" s="106" t="s">
        <v>142</v>
      </c>
      <c r="F23" s="165">
        <f>IF(F22&lt;0,0,F22*Assumptions!$F$49)</f>
        <v>0</v>
      </c>
      <c r="G23" s="165">
        <f>IF(G22&lt;0,0,G22*Assumptions!$F$49)</f>
        <v>0</v>
      </c>
      <c r="H23" s="165">
        <f>IF(H22&lt;0,0,H22*Assumptions!$F$49)</f>
        <v>0</v>
      </c>
      <c r="I23" s="165">
        <f>IF(I22&lt;0,0,I22*Assumptions!$F$49)</f>
        <v>126601.92220466638</v>
      </c>
      <c r="J23" s="166">
        <f>IF(J22&lt;0,0,J22*Assumptions!$F$49)</f>
        <v>333909.08265124745</v>
      </c>
    </row>
    <row r="24" spans="5:10" ht="14.4" thickBot="1" x14ac:dyDescent="0.3">
      <c r="E24" s="110" t="s">
        <v>143</v>
      </c>
      <c r="F24" s="173">
        <f>F22</f>
        <v>-937387.37235573435</v>
      </c>
      <c r="G24" s="173">
        <f>G22-G23</f>
        <v>-584374.81838804134</v>
      </c>
      <c r="H24" s="173">
        <f t="shared" ref="H24:J24" si="3">H22-H23</f>
        <v>-143011.45799464447</v>
      </c>
      <c r="I24" s="173">
        <f t="shared" si="3"/>
        <v>379805.76661399915</v>
      </c>
      <c r="J24" s="178">
        <f t="shared" si="3"/>
        <v>1001727.2479537423</v>
      </c>
    </row>
    <row r="33" spans="6:11" x14ac:dyDescent="0.25">
      <c r="F33" s="95"/>
      <c r="G33" s="95"/>
      <c r="H33" s="95"/>
      <c r="I33" s="95"/>
      <c r="J33" s="95"/>
      <c r="K33" s="95"/>
    </row>
    <row r="37" spans="6:11" x14ac:dyDescent="0.25">
      <c r="H37" s="84"/>
    </row>
  </sheetData>
  <mergeCells count="1">
    <mergeCell ref="E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D37B-6926-4788-862B-A5BD6D34C3EA}">
  <dimension ref="D2:L29"/>
  <sheetViews>
    <sheetView workbookViewId="0">
      <selection activeCell="J4" sqref="J4"/>
    </sheetView>
  </sheetViews>
  <sheetFormatPr defaultRowHeight="13.2" x14ac:dyDescent="0.25"/>
  <cols>
    <col min="8" max="8" width="13.88671875" bestFit="1" customWidth="1"/>
    <col min="9" max="11" width="13.5546875" bestFit="1" customWidth="1"/>
    <col min="12" max="12" width="12.77734375" bestFit="1" customWidth="1"/>
  </cols>
  <sheetData>
    <row r="2" spans="4:12" ht="13.8" thickBot="1" x14ac:dyDescent="0.3"/>
    <row r="3" spans="4:12" ht="13.8" thickBot="1" x14ac:dyDescent="0.3">
      <c r="D3" s="245" t="s">
        <v>160</v>
      </c>
      <c r="E3" s="246"/>
      <c r="F3" s="246"/>
      <c r="G3" s="246"/>
      <c r="H3" s="246"/>
      <c r="I3" s="246"/>
      <c r="J3" s="246"/>
      <c r="K3" s="246"/>
      <c r="L3" s="247"/>
    </row>
    <row r="4" spans="4:12" ht="14.4" thickBot="1" x14ac:dyDescent="0.3">
      <c r="D4" s="248" t="s">
        <v>63</v>
      </c>
      <c r="E4" s="249"/>
      <c r="F4" s="249"/>
      <c r="G4" s="249"/>
      <c r="H4" s="121" t="s">
        <v>88</v>
      </c>
      <c r="I4" s="121" t="s">
        <v>89</v>
      </c>
      <c r="J4" s="121" t="s">
        <v>90</v>
      </c>
      <c r="K4" s="121" t="s">
        <v>91</v>
      </c>
      <c r="L4" s="122" t="s">
        <v>92</v>
      </c>
    </row>
    <row r="5" spans="4:12" x14ac:dyDescent="0.25">
      <c r="D5" s="243" t="s">
        <v>161</v>
      </c>
      <c r="E5" s="244"/>
      <c r="F5" s="244"/>
      <c r="G5" s="244"/>
      <c r="H5" s="159">
        <f>'Capital Structure &amp; Interest '!$D$12</f>
        <v>1813363.2</v>
      </c>
      <c r="I5" s="159">
        <f>'Capital Structure &amp; Interest '!$D$12</f>
        <v>1813363.2</v>
      </c>
      <c r="J5" s="159">
        <f>'Capital Structure &amp; Interest '!$D$12</f>
        <v>1813363.2</v>
      </c>
      <c r="K5" s="159">
        <f>'Capital Structure &amp; Interest '!$D$12</f>
        <v>1813363.2</v>
      </c>
      <c r="L5" s="160">
        <f>'Capital Structure &amp; Interest '!$D$12</f>
        <v>1813363.2</v>
      </c>
    </row>
    <row r="6" spans="4:12" x14ac:dyDescent="0.25">
      <c r="D6" s="243" t="s">
        <v>162</v>
      </c>
      <c r="E6" s="244"/>
      <c r="F6" s="244"/>
      <c r="G6" s="244"/>
      <c r="H6" s="161">
        <f>'Profit and Loss'!F24</f>
        <v>-937387.37235573435</v>
      </c>
      <c r="I6" s="161">
        <f>'Profit and Loss'!G24+H6</f>
        <v>-1521762.1907437756</v>
      </c>
      <c r="J6" s="161">
        <f>'Profit and Loss'!H24+I6</f>
        <v>-1664773.6487384201</v>
      </c>
      <c r="K6" s="161">
        <f>'Profit and Loss'!I24+J6</f>
        <v>-1284967.882124421</v>
      </c>
      <c r="L6" s="162">
        <f>'Profit and Loss'!J24+K6</f>
        <v>-283240.63417067868</v>
      </c>
    </row>
    <row r="7" spans="4:12" x14ac:dyDescent="0.25">
      <c r="D7" s="243" t="s">
        <v>163</v>
      </c>
      <c r="E7" s="244"/>
      <c r="F7" s="244"/>
      <c r="G7" s="244"/>
      <c r="H7" s="155">
        <f>'Capital Structure &amp; Interest '!O30</f>
        <v>1029375.0538065472</v>
      </c>
      <c r="I7" s="155">
        <f>'Capital Structure &amp; Interest '!O42</f>
        <v>823029.37364540133</v>
      </c>
      <c r="J7" s="155">
        <f>'Capital Structure &amp; Interest '!O54</f>
        <v>585867.61089085916</v>
      </c>
      <c r="K7" s="155">
        <f>'Capital Structure &amp; Interest '!O66</f>
        <v>313287.62923620723</v>
      </c>
      <c r="L7" s="107">
        <f>'Capital Structure &amp; Interest '!O78</f>
        <v>-1.7826096154749393E-10</v>
      </c>
    </row>
    <row r="8" spans="4:12" x14ac:dyDescent="0.25">
      <c r="D8" s="243" t="s">
        <v>164</v>
      </c>
      <c r="E8" s="244"/>
      <c r="F8" s="244"/>
      <c r="G8" s="244"/>
      <c r="H8" s="161"/>
      <c r="I8" s="156"/>
      <c r="J8" s="156"/>
      <c r="K8" s="156"/>
      <c r="L8" s="109"/>
    </row>
    <row r="9" spans="4:12" x14ac:dyDescent="0.25">
      <c r="D9" s="243"/>
      <c r="E9" s="244"/>
      <c r="F9" s="244"/>
      <c r="G9" s="244"/>
      <c r="H9" s="156"/>
      <c r="I9" s="156"/>
      <c r="J9" s="156"/>
      <c r="K9" s="156"/>
      <c r="L9" s="109"/>
    </row>
    <row r="10" spans="4:12" x14ac:dyDescent="0.25">
      <c r="D10" s="243"/>
      <c r="E10" s="244"/>
      <c r="F10" s="244"/>
      <c r="G10" s="244"/>
      <c r="H10" s="156"/>
      <c r="I10" s="156"/>
      <c r="J10" s="156"/>
      <c r="K10" s="156"/>
      <c r="L10" s="109"/>
    </row>
    <row r="11" spans="4:12" x14ac:dyDescent="0.25">
      <c r="D11" s="252" t="s">
        <v>165</v>
      </c>
      <c r="E11" s="253"/>
      <c r="F11" s="253"/>
      <c r="G11" s="253"/>
      <c r="H11" s="163">
        <f>SUM(H5:H8)</f>
        <v>1905350.8814508128</v>
      </c>
      <c r="I11" s="163">
        <f>SUM(I5:I8)</f>
        <v>1114630.3829016257</v>
      </c>
      <c r="J11" s="163">
        <f t="shared" ref="J11:L11" si="0">SUM(J5:J8)</f>
        <v>734457.16215243901</v>
      </c>
      <c r="K11" s="163">
        <f t="shared" si="0"/>
        <v>841682.94711178623</v>
      </c>
      <c r="L11" s="179">
        <f t="shared" si="0"/>
        <v>1530122.565829321</v>
      </c>
    </row>
    <row r="12" spans="4:12" x14ac:dyDescent="0.25">
      <c r="D12" s="254"/>
      <c r="E12" s="255"/>
      <c r="F12" s="255"/>
      <c r="G12" s="255"/>
      <c r="H12" s="156"/>
      <c r="I12" s="156"/>
      <c r="J12" s="156"/>
      <c r="K12" s="156"/>
      <c r="L12" s="109"/>
    </row>
    <row r="13" spans="4:12" x14ac:dyDescent="0.25">
      <c r="D13" s="254"/>
      <c r="E13" s="255"/>
      <c r="F13" s="255"/>
      <c r="G13" s="255"/>
      <c r="H13" s="156"/>
      <c r="I13" s="156"/>
      <c r="J13" s="156"/>
      <c r="K13" s="156"/>
      <c r="L13" s="109"/>
    </row>
    <row r="14" spans="4:12" x14ac:dyDescent="0.25">
      <c r="D14" s="243" t="s">
        <v>166</v>
      </c>
      <c r="E14" s="244"/>
      <c r="F14" s="244"/>
      <c r="G14" s="244"/>
      <c r="H14" s="164">
        <f>'Cost Schedule'!$E$36</f>
        <v>14572</v>
      </c>
      <c r="I14" s="164">
        <f>'Cost Schedule'!$E$36</f>
        <v>14572</v>
      </c>
      <c r="J14" s="164">
        <f>'Cost Schedule'!$E$36</f>
        <v>14572</v>
      </c>
      <c r="K14" s="164">
        <f>'Cost Schedule'!$E$36</f>
        <v>14572</v>
      </c>
      <c r="L14" s="120">
        <f>'Cost Schedule'!$E$36</f>
        <v>14572</v>
      </c>
    </row>
    <row r="15" spans="4:12" x14ac:dyDescent="0.25">
      <c r="D15" s="243" t="s">
        <v>167</v>
      </c>
      <c r="E15" s="244"/>
      <c r="F15" s="244"/>
      <c r="G15" s="244"/>
      <c r="H15" s="155">
        <f>Depriciation!F11</f>
        <v>2185.7999999999997</v>
      </c>
      <c r="I15" s="155">
        <f>Depriciation!G11+H15</f>
        <v>4043.7299999999996</v>
      </c>
      <c r="J15" s="155">
        <f>Depriciation!H11+I15</f>
        <v>5622.9704999999994</v>
      </c>
      <c r="K15" s="155">
        <f>Depriciation!I11+J15</f>
        <v>6965.324924999999</v>
      </c>
      <c r="L15" s="107">
        <f>Depriciation!J11+K15</f>
        <v>8106.3261862499994</v>
      </c>
    </row>
    <row r="16" spans="4:12" x14ac:dyDescent="0.25">
      <c r="D16" s="243" t="s">
        <v>168</v>
      </c>
      <c r="E16" s="244"/>
      <c r="F16" s="244"/>
      <c r="G16" s="244"/>
      <c r="H16" s="155">
        <f>H14-H15</f>
        <v>12386.2</v>
      </c>
      <c r="I16" s="155">
        <f>I14-I15</f>
        <v>10528.27</v>
      </c>
      <c r="J16" s="155">
        <f>J14-J15</f>
        <v>8949.0295000000006</v>
      </c>
      <c r="K16" s="155">
        <f>K14-K15</f>
        <v>7606.675075000001</v>
      </c>
      <c r="L16" s="107">
        <f>L14-L15</f>
        <v>6465.6738137500006</v>
      </c>
    </row>
    <row r="17" spans="4:12" x14ac:dyDescent="0.25">
      <c r="D17" s="243" t="s">
        <v>169</v>
      </c>
      <c r="E17" s="244"/>
      <c r="F17" s="244"/>
      <c r="G17" s="244"/>
      <c r="H17" s="156"/>
      <c r="I17" s="156"/>
      <c r="J17" s="156"/>
      <c r="K17" s="156"/>
      <c r="L17" s="109"/>
    </row>
    <row r="18" spans="4:12" x14ac:dyDescent="0.25">
      <c r="D18" s="243" t="s">
        <v>170</v>
      </c>
      <c r="E18" s="244"/>
      <c r="F18" s="244"/>
      <c r="G18" s="244"/>
      <c r="H18" s="155">
        <f>'Cash Flow'!F24</f>
        <v>1892964.6814508131</v>
      </c>
      <c r="I18" s="155">
        <f>'Cash Flow'!G24</f>
        <v>1104102.1129016257</v>
      </c>
      <c r="J18" s="155">
        <f>'Cash Flow'!H24</f>
        <v>725508.13265243906</v>
      </c>
      <c r="K18" s="155">
        <f>'Cash Flow'!I24</f>
        <v>834076.27203678631</v>
      </c>
      <c r="L18" s="107">
        <f>'Cash Flow'!J24</f>
        <v>1523656.8920155712</v>
      </c>
    </row>
    <row r="19" spans="4:12" ht="13.8" thickBot="1" x14ac:dyDescent="0.3">
      <c r="D19" s="243"/>
      <c r="E19" s="244"/>
      <c r="F19" s="244"/>
      <c r="G19" s="244"/>
      <c r="H19" s="156"/>
      <c r="I19" s="156"/>
      <c r="J19" s="156"/>
      <c r="K19" s="156"/>
      <c r="L19" s="109"/>
    </row>
    <row r="20" spans="4:12" ht="14.4" thickBot="1" x14ac:dyDescent="0.3">
      <c r="D20" s="250" t="s">
        <v>171</v>
      </c>
      <c r="E20" s="251"/>
      <c r="F20" s="251"/>
      <c r="G20" s="251"/>
      <c r="H20" s="194">
        <f>SUM(H16:H18)</f>
        <v>1905350.881450813</v>
      </c>
      <c r="I20" s="194">
        <f>SUM(I16:I18)</f>
        <v>1114630.3829016257</v>
      </c>
      <c r="J20" s="194">
        <f t="shared" ref="J20:L20" si="1">SUM(J16:J18)</f>
        <v>734457.16215243901</v>
      </c>
      <c r="K20" s="194">
        <f t="shared" si="1"/>
        <v>841682.94711178634</v>
      </c>
      <c r="L20" s="195">
        <f t="shared" si="1"/>
        <v>1530122.5658293213</v>
      </c>
    </row>
    <row r="22" spans="4:12" x14ac:dyDescent="0.25">
      <c r="H22" s="95"/>
    </row>
    <row r="24" spans="4:12" x14ac:dyDescent="0.25">
      <c r="I24" s="95">
        <f>I11-I20</f>
        <v>0</v>
      </c>
    </row>
    <row r="27" spans="4:12" x14ac:dyDescent="0.25">
      <c r="H27" s="94"/>
      <c r="I27" s="94"/>
      <c r="J27" s="94"/>
      <c r="K27" s="94"/>
      <c r="L27" s="94"/>
    </row>
    <row r="29" spans="4:12" x14ac:dyDescent="0.25">
      <c r="H29" s="95"/>
      <c r="I29" s="95"/>
      <c r="J29" s="95"/>
      <c r="K29" s="95"/>
      <c r="L29" s="95"/>
    </row>
  </sheetData>
  <mergeCells count="18">
    <mergeCell ref="D20:G20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8:G8"/>
    <mergeCell ref="D3:L3"/>
    <mergeCell ref="D4:G4"/>
    <mergeCell ref="D5:G5"/>
    <mergeCell ref="D6:G6"/>
    <mergeCell ref="D7:G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A239-390E-4653-B522-96AB2ADF2390}">
  <dimension ref="D1:J27"/>
  <sheetViews>
    <sheetView topLeftCell="B1" workbookViewId="0">
      <selection activeCell="P22" sqref="P22"/>
    </sheetView>
  </sheetViews>
  <sheetFormatPr defaultRowHeight="13.2" x14ac:dyDescent="0.25"/>
  <cols>
    <col min="4" max="4" width="27.21875" bestFit="1" customWidth="1"/>
    <col min="5" max="5" width="25.109375" bestFit="1" customWidth="1"/>
    <col min="6" max="6" width="12.44140625" bestFit="1" customWidth="1"/>
    <col min="7" max="7" width="12.77734375" bestFit="1" customWidth="1"/>
    <col min="8" max="10" width="12.44140625" bestFit="1" customWidth="1"/>
  </cols>
  <sheetData>
    <row r="1" spans="4:10" ht="13.8" thickBot="1" x14ac:dyDescent="0.3"/>
    <row r="2" spans="4:10" ht="14.4" thickBot="1" x14ac:dyDescent="0.3">
      <c r="D2" s="256" t="s">
        <v>205</v>
      </c>
      <c r="E2" s="257"/>
      <c r="F2" s="257"/>
      <c r="G2" s="257"/>
      <c r="H2" s="257"/>
      <c r="I2" s="257"/>
      <c r="J2" s="258"/>
    </row>
    <row r="3" spans="4:10" ht="14.4" thickBot="1" x14ac:dyDescent="0.3">
      <c r="D3" s="181"/>
      <c r="E3" s="182" t="s">
        <v>206</v>
      </c>
      <c r="F3" s="182" t="s">
        <v>88</v>
      </c>
      <c r="G3" s="182" t="s">
        <v>89</v>
      </c>
      <c r="H3" s="182" t="s">
        <v>90</v>
      </c>
      <c r="I3" s="182" t="s">
        <v>91</v>
      </c>
      <c r="J3" s="183" t="s">
        <v>92</v>
      </c>
    </row>
    <row r="4" spans="4:10" ht="14.4" thickBot="1" x14ac:dyDescent="0.3">
      <c r="D4" s="108"/>
      <c r="E4" s="154"/>
      <c r="F4" s="154"/>
      <c r="G4" s="154"/>
      <c r="H4" s="156"/>
      <c r="I4" s="156"/>
      <c r="J4" s="109"/>
    </row>
    <row r="5" spans="4:10" ht="14.4" thickBot="1" x14ac:dyDescent="0.3">
      <c r="D5" s="184" t="s">
        <v>207</v>
      </c>
      <c r="E5" s="182" t="s">
        <v>208</v>
      </c>
      <c r="F5" s="185"/>
      <c r="G5" s="185"/>
      <c r="H5" s="182"/>
      <c r="I5" s="185"/>
      <c r="J5" s="189"/>
    </row>
    <row r="6" spans="4:10" x14ac:dyDescent="0.25">
      <c r="D6" s="108"/>
      <c r="E6" s="156" t="s">
        <v>47</v>
      </c>
      <c r="F6" s="191">
        <f>'Profit and Loss'!F24</f>
        <v>-937387.37235573435</v>
      </c>
      <c r="G6" s="191">
        <f>'Profit and Loss'!G24</f>
        <v>-584374.81838804134</v>
      </c>
      <c r="H6" s="191">
        <f>'Profit and Loss'!H24</f>
        <v>-143011.45799464447</v>
      </c>
      <c r="I6" s="191">
        <f>'Profit and Loss'!I24</f>
        <v>379805.76661399915</v>
      </c>
      <c r="J6" s="192">
        <f>'Profit and Loss'!J24</f>
        <v>1001727.2479537423</v>
      </c>
    </row>
    <row r="7" spans="4:10" x14ac:dyDescent="0.25">
      <c r="D7" s="108"/>
      <c r="E7" s="156" t="s">
        <v>52</v>
      </c>
      <c r="F7" s="191">
        <f>'Profit and Loss'!F19</f>
        <v>2185.7999999999997</v>
      </c>
      <c r="G7" s="191">
        <f>'Profit and Loss'!G19</f>
        <v>1857.93</v>
      </c>
      <c r="H7" s="191">
        <f>'Profit and Loss'!H19</f>
        <v>1579.2405000000001</v>
      </c>
      <c r="I7" s="191">
        <f>'Profit and Loss'!I19</f>
        <v>1342.354425</v>
      </c>
      <c r="J7" s="192">
        <f>'Profit and Loss'!J19</f>
        <v>1141.0012612500002</v>
      </c>
    </row>
    <row r="8" spans="4:10" x14ac:dyDescent="0.25">
      <c r="D8" s="108"/>
      <c r="E8" s="156"/>
      <c r="F8" s="191"/>
      <c r="G8" s="191"/>
      <c r="H8" s="191"/>
      <c r="I8" s="191"/>
      <c r="J8" s="192"/>
    </row>
    <row r="9" spans="4:10" x14ac:dyDescent="0.25">
      <c r="D9" s="108"/>
      <c r="E9" s="156"/>
      <c r="F9" s="191"/>
      <c r="G9" s="191"/>
      <c r="H9" s="191"/>
      <c r="I9" s="191"/>
      <c r="J9" s="192"/>
    </row>
    <row r="10" spans="4:10" ht="13.8" thickBot="1" x14ac:dyDescent="0.3">
      <c r="D10" s="108"/>
      <c r="E10" s="156" t="s">
        <v>152</v>
      </c>
      <c r="F10" s="191">
        <f>'Profit and Loss'!F21</f>
        <v>158016.57235573433</v>
      </c>
      <c r="G10" s="191">
        <f>'Profit and Loss'!G21</f>
        <v>131204.63838804138</v>
      </c>
      <c r="H10" s="191">
        <f>'Profit and Loss'!H21</f>
        <v>100388.55579464488</v>
      </c>
      <c r="I10" s="191">
        <f>'Profit and Loss'!I21</f>
        <v>64970.336894535169</v>
      </c>
      <c r="J10" s="192">
        <f>'Profit and Loss'!J21</f>
        <v>24262.689312979783</v>
      </c>
    </row>
    <row r="11" spans="4:10" ht="13.8" thickBot="1" x14ac:dyDescent="0.3">
      <c r="D11" s="108"/>
      <c r="E11" s="197" t="s">
        <v>209</v>
      </c>
      <c r="F11" s="198">
        <f>SUM(F6:F10)</f>
        <v>-777185</v>
      </c>
      <c r="G11" s="198">
        <f>SUM(G6:G10)</f>
        <v>-451312.24999999988</v>
      </c>
      <c r="H11" s="198">
        <f>SUM(H6:H10)</f>
        <v>-41043.661699999575</v>
      </c>
      <c r="I11" s="198">
        <f>SUM(I6:I10)</f>
        <v>446118.45793353434</v>
      </c>
      <c r="J11" s="199">
        <f>SUM(J6:J10)</f>
        <v>1027130.9385279721</v>
      </c>
    </row>
    <row r="12" spans="4:10" ht="14.4" thickBot="1" x14ac:dyDescent="0.3">
      <c r="D12" s="184" t="s">
        <v>210</v>
      </c>
      <c r="E12" s="182" t="s">
        <v>211</v>
      </c>
      <c r="F12" s="186"/>
      <c r="G12" s="186"/>
      <c r="H12" s="187"/>
      <c r="I12" s="186"/>
      <c r="J12" s="188"/>
    </row>
    <row r="13" spans="4:10" x14ac:dyDescent="0.25">
      <c r="D13" s="108"/>
      <c r="E13" s="193" t="s">
        <v>33</v>
      </c>
      <c r="F13" s="191">
        <f>-'Cost Schedule'!E36</f>
        <v>-14572</v>
      </c>
      <c r="G13" s="191">
        <f>-'Cost Schedule'!F36</f>
        <v>0</v>
      </c>
      <c r="H13" s="191">
        <f>-'Cost Schedule'!G36</f>
        <v>0</v>
      </c>
      <c r="I13" s="191">
        <f>-'Cost Schedule'!H36</f>
        <v>0</v>
      </c>
      <c r="J13" s="192">
        <f>-'Cost Schedule'!I36</f>
        <v>0</v>
      </c>
    </row>
    <row r="14" spans="4:10" x14ac:dyDescent="0.25">
      <c r="D14" s="108"/>
      <c r="E14" s="193"/>
      <c r="F14" s="191"/>
      <c r="G14" s="191"/>
      <c r="H14" s="191"/>
      <c r="I14" s="191"/>
      <c r="J14" s="192"/>
    </row>
    <row r="15" spans="4:10" x14ac:dyDescent="0.25">
      <c r="D15" s="108"/>
      <c r="E15" s="193"/>
      <c r="F15" s="190"/>
      <c r="G15" s="190"/>
      <c r="H15" s="190"/>
      <c r="I15" s="190"/>
      <c r="J15" s="180"/>
    </row>
    <row r="16" spans="4:10" ht="13.8" thickBot="1" x14ac:dyDescent="0.3">
      <c r="D16" s="108"/>
      <c r="E16" s="193"/>
      <c r="F16" s="190"/>
      <c r="G16" s="190"/>
      <c r="H16" s="190"/>
      <c r="I16" s="190"/>
      <c r="J16" s="180"/>
    </row>
    <row r="17" spans="4:10" ht="13.8" thickBot="1" x14ac:dyDescent="0.3">
      <c r="D17" s="108"/>
      <c r="E17" s="197" t="s">
        <v>209</v>
      </c>
      <c r="F17" s="200">
        <f>SUM(F13:F16)</f>
        <v>-14572</v>
      </c>
      <c r="G17" s="200">
        <f>SUM(G13:G16)</f>
        <v>0</v>
      </c>
      <c r="H17" s="200">
        <f t="shared" ref="H17:J17" si="0">SUM(H13:H16)</f>
        <v>0</v>
      </c>
      <c r="I17" s="200">
        <f t="shared" si="0"/>
        <v>0</v>
      </c>
      <c r="J17" s="201">
        <f t="shared" si="0"/>
        <v>0</v>
      </c>
    </row>
    <row r="18" spans="4:10" ht="14.4" thickBot="1" x14ac:dyDescent="0.3">
      <c r="D18" s="184" t="s">
        <v>212</v>
      </c>
      <c r="E18" s="182" t="s">
        <v>213</v>
      </c>
      <c r="F18" s="186"/>
      <c r="G18" s="186"/>
      <c r="H18" s="186"/>
      <c r="I18" s="186"/>
      <c r="J18" s="188"/>
    </row>
    <row r="19" spans="4:10" x14ac:dyDescent="0.25">
      <c r="D19" s="108"/>
      <c r="E19" s="156" t="s">
        <v>151</v>
      </c>
      <c r="F19" s="191">
        <f>'Balance Sheet'!H7</f>
        <v>1029375.0538065472</v>
      </c>
      <c r="G19" s="191">
        <f>'Balance Sheet'!I7-'Balance Sheet'!H7</f>
        <v>-206345.68016114586</v>
      </c>
      <c r="H19" s="191">
        <f>'Balance Sheet'!J7-'Balance Sheet'!I7</f>
        <v>-237161.76275454217</v>
      </c>
      <c r="I19" s="191">
        <f>'Balance Sheet'!K7-'Balance Sheet'!J7</f>
        <v>-272579.98165465193</v>
      </c>
      <c r="J19" s="192">
        <f>'Balance Sheet'!L7-'Balance Sheet'!K7</f>
        <v>-313287.6292362074</v>
      </c>
    </row>
    <row r="20" spans="4:10" x14ac:dyDescent="0.25">
      <c r="D20" s="108"/>
      <c r="E20" s="156" t="s">
        <v>214</v>
      </c>
      <c r="F20" s="191">
        <f>-'Profit and Loss'!F21</f>
        <v>-158016.57235573433</v>
      </c>
      <c r="G20" s="191">
        <f>-'Profit and Loss'!G21</f>
        <v>-131204.63838804138</v>
      </c>
      <c r="H20" s="191">
        <f>-'Profit and Loss'!H21</f>
        <v>-100388.55579464488</v>
      </c>
      <c r="I20" s="191">
        <f>-'Profit and Loss'!I21</f>
        <v>-64970.336894535169</v>
      </c>
      <c r="J20" s="192">
        <f>-'Profit and Loss'!J21</f>
        <v>-24262.689312979783</v>
      </c>
    </row>
    <row r="21" spans="4:10" ht="13.8" thickBot="1" x14ac:dyDescent="0.3">
      <c r="D21" s="108"/>
      <c r="E21" s="156" t="s">
        <v>150</v>
      </c>
      <c r="F21" s="190">
        <f>'Balance Sheet'!$H$5</f>
        <v>1813363.2</v>
      </c>
      <c r="G21" s="190">
        <f>'Balance Sheet'!I5-'Balance Sheet'!H5</f>
        <v>0</v>
      </c>
      <c r="H21" s="190">
        <f>'Balance Sheet'!J5-'Balance Sheet'!I5</f>
        <v>0</v>
      </c>
      <c r="I21" s="190">
        <f>'Balance Sheet'!K5-'Balance Sheet'!J5</f>
        <v>0</v>
      </c>
      <c r="J21" s="180">
        <f>'Balance Sheet'!L5-'Balance Sheet'!K5</f>
        <v>0</v>
      </c>
    </row>
    <row r="22" spans="4:10" ht="14.4" thickBot="1" x14ac:dyDescent="0.3">
      <c r="D22" s="108"/>
      <c r="E22" s="205" t="s">
        <v>209</v>
      </c>
      <c r="F22" s="200">
        <f>SUM(F19:F21)</f>
        <v>2684721.6814508131</v>
      </c>
      <c r="G22" s="200">
        <f t="shared" ref="G22:J22" si="1">SUM(G19:G21)</f>
        <v>-337550.31854918727</v>
      </c>
      <c r="H22" s="200">
        <f t="shared" si="1"/>
        <v>-337550.31854918704</v>
      </c>
      <c r="I22" s="200">
        <f t="shared" si="1"/>
        <v>-337550.3185491871</v>
      </c>
      <c r="J22" s="201">
        <f t="shared" si="1"/>
        <v>-337550.31854918716</v>
      </c>
    </row>
    <row r="23" spans="4:10" ht="13.8" thickBot="1" x14ac:dyDescent="0.3">
      <c r="D23" s="108"/>
      <c r="E23" s="202" t="s">
        <v>215</v>
      </c>
      <c r="F23" s="203"/>
      <c r="G23" s="203">
        <f>F24</f>
        <v>1892964.6814508131</v>
      </c>
      <c r="H23" s="203">
        <f t="shared" ref="H23:J23" si="2">G24</f>
        <v>1104102.1129016257</v>
      </c>
      <c r="I23" s="203">
        <f t="shared" si="2"/>
        <v>725508.13265243906</v>
      </c>
      <c r="J23" s="204">
        <f t="shared" si="2"/>
        <v>834076.27203678631</v>
      </c>
    </row>
    <row r="24" spans="4:10" ht="14.4" thickBot="1" x14ac:dyDescent="0.3">
      <c r="D24" s="181"/>
      <c r="E24" s="182" t="s">
        <v>216</v>
      </c>
      <c r="F24" s="206">
        <f>F22+F17+F11</f>
        <v>1892964.6814508131</v>
      </c>
      <c r="G24" s="206">
        <f>SUM(G23,G22,G17,G11)</f>
        <v>1104102.1129016257</v>
      </c>
      <c r="H24" s="206">
        <f t="shared" ref="H24:J24" si="3">SUM(H23,H22,H17,H11)</f>
        <v>725508.13265243906</v>
      </c>
      <c r="I24" s="206">
        <f t="shared" si="3"/>
        <v>834076.27203678631</v>
      </c>
      <c r="J24" s="207">
        <f t="shared" si="3"/>
        <v>1523656.8920155712</v>
      </c>
    </row>
    <row r="27" spans="4:10" x14ac:dyDescent="0.25">
      <c r="G27" s="95"/>
    </row>
  </sheetData>
  <mergeCells count="1">
    <mergeCell ref="D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020A-AE4F-4770-AD26-75435C9AFE84}">
  <dimension ref="A1:K24"/>
  <sheetViews>
    <sheetView workbookViewId="0">
      <selection activeCell="E27" sqref="E27"/>
    </sheetView>
  </sheetViews>
  <sheetFormatPr defaultRowHeight="13.2" x14ac:dyDescent="0.25"/>
  <cols>
    <col min="1" max="1" width="25.44140625" bestFit="1" customWidth="1"/>
    <col min="2" max="2" width="13.5546875" bestFit="1" customWidth="1"/>
    <col min="3" max="3" width="11.21875" bestFit="1" customWidth="1"/>
    <col min="4" max="5" width="13.5546875" bestFit="1" customWidth="1"/>
    <col min="6" max="6" width="12.77734375" bestFit="1" customWidth="1"/>
    <col min="7" max="8" width="12.44140625" bestFit="1" customWidth="1"/>
    <col min="9" max="10" width="12.77734375" bestFit="1" customWidth="1"/>
  </cols>
  <sheetData>
    <row r="1" spans="1:11" ht="14.4" x14ac:dyDescent="0.3">
      <c r="A1" s="216" t="s">
        <v>236</v>
      </c>
      <c r="B1" s="104" t="s">
        <v>88</v>
      </c>
      <c r="C1" s="104" t="s">
        <v>89</v>
      </c>
      <c r="D1" s="104" t="s">
        <v>90</v>
      </c>
      <c r="E1" s="104" t="s">
        <v>91</v>
      </c>
      <c r="F1" s="104" t="s">
        <v>92</v>
      </c>
    </row>
    <row r="2" spans="1:11" ht="14.4" x14ac:dyDescent="0.3">
      <c r="A2" s="216" t="s">
        <v>237</v>
      </c>
      <c r="B2" s="69"/>
      <c r="C2" s="69"/>
      <c r="D2" s="69"/>
      <c r="E2" s="69"/>
      <c r="F2" s="69"/>
      <c r="H2" s="57" t="s">
        <v>250</v>
      </c>
      <c r="I2" s="217" t="s">
        <v>251</v>
      </c>
    </row>
    <row r="3" spans="1:11" ht="14.4" x14ac:dyDescent="0.3">
      <c r="A3" s="216" t="s">
        <v>238</v>
      </c>
      <c r="B3" s="225">
        <f>'Profit and Loss'!F20/'Profit and Loss'!F21</f>
        <v>-4.9322092510995867</v>
      </c>
      <c r="C3" s="225">
        <f>'Profit and Loss'!G20/'Profit and Loss'!G21</f>
        <v>-3.4539188977430548</v>
      </c>
      <c r="D3" s="225">
        <f>'Profit and Loss'!H20/'Profit and Loss'!H21</f>
        <v>-0.42457929454816662</v>
      </c>
      <c r="E3" s="225">
        <f>'Profit and Loss'!I20/'Profit and Loss'!I21</f>
        <v>8.7944445576864609</v>
      </c>
      <c r="F3" s="225">
        <f>'Profit and Loss'!J20/'Profit and Loss'!J21</f>
        <v>56.048981313479786</v>
      </c>
      <c r="H3" s="57" t="s">
        <v>252</v>
      </c>
      <c r="I3" s="259" t="s">
        <v>253</v>
      </c>
      <c r="J3" s="259"/>
    </row>
    <row r="4" spans="1:11" ht="14.4" x14ac:dyDescent="0.3">
      <c r="A4" s="216" t="s">
        <v>239</v>
      </c>
      <c r="B4" s="226"/>
      <c r="C4" s="226"/>
      <c r="D4" s="226"/>
      <c r="E4" s="226"/>
      <c r="F4" s="226"/>
      <c r="H4" s="57" t="s">
        <v>254</v>
      </c>
      <c r="I4" s="218"/>
    </row>
    <row r="5" spans="1:11" ht="14.4" x14ac:dyDescent="0.3">
      <c r="A5" s="216" t="s">
        <v>240</v>
      </c>
      <c r="B5" s="227">
        <f>'Profit and Loss'!F20/('Capital Structure &amp; Interest '!$D$19*12)</f>
        <v>-2.3089025759175272</v>
      </c>
      <c r="C5" s="227">
        <f>'Profit and Loss'!G20/('Capital Structure &amp; Interest '!$D$19*12)</f>
        <v>-1.3425262993314726</v>
      </c>
      <c r="D5" s="227">
        <f>'Profit and Loss'!H20/('Capital Structure &amp; Interest '!$D$19*12)</f>
        <v>-0.12627125455901078</v>
      </c>
      <c r="E5" s="227">
        <f>'Profit and Loss'!I20/('Capital Structure &amp; Interest '!$D$19*12)</f>
        <v>1.692719557098983</v>
      </c>
      <c r="F5" s="227">
        <f>'Profit and Loss'!J20/('Capital Structure &amp; Interest '!$D$19*12)</f>
        <v>4.0287297780162152</v>
      </c>
      <c r="H5" s="57" t="s">
        <v>255</v>
      </c>
      <c r="I5" s="260" t="s">
        <v>266</v>
      </c>
      <c r="J5" s="260"/>
      <c r="K5" s="260"/>
    </row>
    <row r="6" spans="1:11" ht="14.4" x14ac:dyDescent="0.3">
      <c r="A6" s="216" t="s">
        <v>241</v>
      </c>
      <c r="B6" s="228">
        <f>('Profit and Loss'!F6-SUM('Profit and Loss'!F10:F14))/'Profit and Loss'!F6</f>
        <v>-0.23980787037037038</v>
      </c>
      <c r="C6" s="228">
        <f>('Profit and Loss'!G6-SUM('Profit and Loss'!G10:G14))/'Profit and Loss'!G6</f>
        <v>-4.2726523739471625E-2</v>
      </c>
      <c r="D6" s="228">
        <f>('Profit and Loss'!H6-SUM('Profit and Loss'!H10:H14))/'Profit and Loss'!H6</f>
        <v>0.10847443297359706</v>
      </c>
      <c r="E6" s="228">
        <f>('Profit and Loss'!I6-SUM('Profit and Loss'!I10:I14))/'Profit and Loss'!I6</f>
        <v>0.2452546377633463</v>
      </c>
      <c r="F6" s="228">
        <f>('Profit and Loss'!J6-SUM('Profit and Loss'!J10:J14))/'Profit and Loss'!J6</f>
        <v>0.35182328183109013</v>
      </c>
      <c r="H6" s="57" t="s">
        <v>256</v>
      </c>
      <c r="I6" s="217" t="s">
        <v>273</v>
      </c>
    </row>
    <row r="7" spans="1:11" ht="14.4" x14ac:dyDescent="0.3">
      <c r="A7" s="216" t="s">
        <v>242</v>
      </c>
      <c r="B7" s="228">
        <f>'Profit and Loss'!F22/'Profit and Loss'!F6</f>
        <v>-0.43397563534987699</v>
      </c>
      <c r="C7" s="228">
        <f>'Profit and Loss'!G22/'Profit and Loss'!G6</f>
        <v>-0.21070396993915186</v>
      </c>
      <c r="D7" s="228">
        <f>'Profit and Loss'!H22/'Profit and Loss'!H6</f>
        <v>-4.0159383358841332E-2</v>
      </c>
      <c r="E7" s="228">
        <f>'Profit and Loss'!I22/'Profit and Loss'!I6</f>
        <v>0.11075197220718661</v>
      </c>
      <c r="F7" s="228">
        <f>'Profit and Loss'!J22/'Profit and Loss'!J6</f>
        <v>0.22749632095712771</v>
      </c>
      <c r="H7" s="57" t="s">
        <v>257</v>
      </c>
      <c r="I7" s="217" t="s">
        <v>265</v>
      </c>
    </row>
    <row r="8" spans="1:11" ht="14.4" x14ac:dyDescent="0.3">
      <c r="A8" s="216" t="s">
        <v>243</v>
      </c>
      <c r="B8" s="228">
        <f>'Profit and Loss'!F24/'Profit and Loss'!F6</f>
        <v>-0.43397563534987699</v>
      </c>
      <c r="C8" s="228">
        <f>'Profit and Loss'!G24/'Profit and Loss'!G6</f>
        <v>-0.21070396993915186</v>
      </c>
      <c r="D8" s="228">
        <f>'Profit and Loss'!H24/'Profit and Loss'!H6</f>
        <v>-4.0159383358841332E-2</v>
      </c>
      <c r="E8" s="228">
        <f>'Profit and Loss'!I24/'Profit and Loss'!I6</f>
        <v>8.3063979155389961E-2</v>
      </c>
      <c r="F8" s="228">
        <f>'Profit and Loss'!J24/'Profit and Loss'!J6</f>
        <v>0.17062224071784576</v>
      </c>
      <c r="H8" s="57" t="s">
        <v>258</v>
      </c>
      <c r="I8" s="217" t="s">
        <v>264</v>
      </c>
    </row>
    <row r="9" spans="1:11" ht="14.4" x14ac:dyDescent="0.3">
      <c r="A9" s="216" t="s">
        <v>244</v>
      </c>
      <c r="B9" s="229">
        <f>'Profit and Loss'!F17/'Profit and Loss'!F6</f>
        <v>1.3598078703703704</v>
      </c>
      <c r="C9" s="229">
        <f>SUM('Profit and Loss'!G10:G14)/'Profit and Loss'!G6</f>
        <v>1.0427265237394716</v>
      </c>
      <c r="D9" s="229">
        <f>SUM('Profit and Loss'!H10:H14)/'Profit and Loss'!H6</f>
        <v>0.89152556702640295</v>
      </c>
      <c r="E9" s="229">
        <f>SUM('Profit and Loss'!I10:I14)/'Profit and Loss'!I6</f>
        <v>0.75474536223665367</v>
      </c>
      <c r="F9" s="229">
        <f>SUM('Profit and Loss'!J10:J14)/'Profit and Loss'!J6</f>
        <v>0.64817671816890987</v>
      </c>
      <c r="H9" s="57" t="s">
        <v>259</v>
      </c>
      <c r="I9" s="217" t="s">
        <v>274</v>
      </c>
    </row>
    <row r="10" spans="1:11" ht="14.4" x14ac:dyDescent="0.3">
      <c r="A10" s="216" t="s">
        <v>245</v>
      </c>
      <c r="B10" s="230">
        <f>'Profit and Loss'!F21/'Profit and Loss'!F6</f>
        <v>7.3155820535062185E-2</v>
      </c>
      <c r="C10" s="230">
        <f>'Profit and Loss'!G21/'Profit and Loss'!G6</f>
        <v>4.7307545282407902E-2</v>
      </c>
      <c r="D10" s="230">
        <f>'Profit and Loss'!H21/'Profit and Loss'!H6</f>
        <v>2.8190346099041592E-2</v>
      </c>
      <c r="E10" s="230">
        <f>'Profit and Loss'!I21/'Profit and Loss'!I6</f>
        <v>1.4209091024705408E-2</v>
      </c>
      <c r="F10" s="230">
        <f>'Profit and Loss'!J21/'Profit and Loss'!J6</f>
        <v>4.1326163632644901E-3</v>
      </c>
      <c r="H10" s="57" t="s">
        <v>261</v>
      </c>
      <c r="I10" s="259" t="s">
        <v>275</v>
      </c>
      <c r="J10" s="259"/>
      <c r="K10" s="259"/>
    </row>
    <row r="11" spans="1:11" ht="14.4" x14ac:dyDescent="0.3">
      <c r="A11" s="216" t="s">
        <v>246</v>
      </c>
      <c r="B11" s="230">
        <f>'Profit and Loss'!F24/'Balance Sheet'!H20</f>
        <v>-0.49197624515331728</v>
      </c>
      <c r="C11" s="230">
        <f>'Profit and Loss'!G24/'Balance Sheet'!I20</f>
        <v>-0.52427677134260986</v>
      </c>
      <c r="D11" s="230">
        <f>'Profit and Loss'!H24/'Balance Sheet'!J20</f>
        <v>-0.19471722159469115</v>
      </c>
      <c r="E11" s="230">
        <f>'Profit and Loss'!I24/'Balance Sheet'!K20</f>
        <v>0.45124564768395631</v>
      </c>
      <c r="F11" s="230">
        <f>'Profit and Loss'!J24/'Balance Sheet'!L20</f>
        <v>0.65467124681662969</v>
      </c>
      <c r="G11" s="56"/>
      <c r="H11" s="57" t="s">
        <v>260</v>
      </c>
      <c r="I11" s="217"/>
    </row>
    <row r="12" spans="1:11" ht="14.4" x14ac:dyDescent="0.3">
      <c r="A12" s="216" t="s">
        <v>247</v>
      </c>
      <c r="B12" s="111">
        <f>'Profit and Loss'!F20/'Balance Sheet'!H20</f>
        <v>-0.40904318862599987</v>
      </c>
      <c r="C12" s="111">
        <f>'Profit and Loss'!G20/'Balance Sheet'!I20</f>
        <v>-0.40656542917868371</v>
      </c>
      <c r="D12" s="111">
        <f>'Profit and Loss'!H20/'Balance Sheet'!J20</f>
        <v>-5.8033203835995903E-2</v>
      </c>
      <c r="E12" s="111">
        <f>'Profit and Loss'!I20/'Balance Sheet'!K20</f>
        <v>0.67885184994405534</v>
      </c>
      <c r="F12" s="111">
        <f>'Profit and Loss'!J20/'Balance Sheet'!L20</f>
        <v>0.88875169237237472</v>
      </c>
      <c r="H12" s="57" t="s">
        <v>262</v>
      </c>
      <c r="I12" s="218"/>
    </row>
    <row r="13" spans="1:11" ht="14.4" x14ac:dyDescent="0.3">
      <c r="A13" s="216" t="s">
        <v>248</v>
      </c>
      <c r="B13" s="111"/>
      <c r="C13" s="111"/>
      <c r="D13" s="111"/>
      <c r="E13" s="111"/>
      <c r="F13" s="111"/>
      <c r="H13" s="57" t="s">
        <v>263</v>
      </c>
      <c r="I13" s="217"/>
    </row>
    <row r="14" spans="1:11" ht="14.4" x14ac:dyDescent="0.3">
      <c r="A14" s="222"/>
      <c r="B14" s="141"/>
      <c r="C14" s="141"/>
      <c r="D14" s="141"/>
      <c r="E14" s="141"/>
      <c r="F14" s="141"/>
    </row>
    <row r="17" spans="1:10" x14ac:dyDescent="0.25">
      <c r="A17" s="57" t="s">
        <v>267</v>
      </c>
      <c r="F17" s="56"/>
    </row>
    <row r="18" spans="1:10" x14ac:dyDescent="0.25">
      <c r="A18" s="56" t="s">
        <v>268</v>
      </c>
      <c r="B18" s="220">
        <f>'Capital Structure &amp; Interest '!D11/'Capital Structure &amp; Interest '!D12</f>
        <v>0.66666666666666674</v>
      </c>
    </row>
    <row r="19" spans="1:10" x14ac:dyDescent="0.25">
      <c r="A19" s="56" t="s">
        <v>269</v>
      </c>
      <c r="B19" s="221"/>
      <c r="C19" s="221"/>
      <c r="D19" s="221"/>
      <c r="E19" s="221"/>
      <c r="F19" s="221"/>
    </row>
    <row r="21" spans="1:10" ht="13.8" thickBot="1" x14ac:dyDescent="0.3"/>
    <row r="22" spans="1:10" ht="13.8" thickBot="1" x14ac:dyDescent="0.3">
      <c r="D22" s="147" t="s">
        <v>279</v>
      </c>
      <c r="E22" s="267">
        <v>0</v>
      </c>
      <c r="F22" s="267">
        <v>1</v>
      </c>
      <c r="G22" s="267">
        <v>2</v>
      </c>
      <c r="H22" s="267">
        <v>3</v>
      </c>
      <c r="I22" s="267">
        <v>4</v>
      </c>
      <c r="J22" s="268">
        <v>5</v>
      </c>
    </row>
    <row r="23" spans="1:10" ht="13.8" thickBot="1" x14ac:dyDescent="0.3">
      <c r="A23" s="68" t="s">
        <v>277</v>
      </c>
      <c r="B23" s="146">
        <f>IRR(E23:J23)</f>
        <v>-0.20979353543383072</v>
      </c>
      <c r="D23" s="79" t="s">
        <v>64</v>
      </c>
      <c r="E23" s="114">
        <f>-'Capital Structure &amp; Interest '!D12</f>
        <v>-1813363.2</v>
      </c>
      <c r="F23" s="114">
        <f>'Profit and Loss'!F24</f>
        <v>-937387.37235573435</v>
      </c>
      <c r="G23" s="114">
        <f>'Profit and Loss'!G24</f>
        <v>-584374.81838804134</v>
      </c>
      <c r="H23" s="114">
        <f>'Profit and Loss'!H24</f>
        <v>-143011.45799464447</v>
      </c>
      <c r="I23" s="114">
        <f>'Profit and Loss'!I24</f>
        <v>379805.76661399915</v>
      </c>
      <c r="J23" s="158">
        <f>'Profit and Loss'!J24</f>
        <v>1001727.2479537423</v>
      </c>
    </row>
    <row r="24" spans="1:10" ht="13.8" thickBot="1" x14ac:dyDescent="0.3">
      <c r="A24" s="79" t="s">
        <v>278</v>
      </c>
      <c r="B24" s="158">
        <f>NPV(7.5%,F23:J23)+E23</f>
        <v>-2323988.1050657118</v>
      </c>
    </row>
  </sheetData>
  <mergeCells count="3">
    <mergeCell ref="I3:J3"/>
    <mergeCell ref="I5:K5"/>
    <mergeCell ref="I10:K10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C346-E01C-4D80-B085-39AA00AD2E41}">
  <dimension ref="A2:B5"/>
  <sheetViews>
    <sheetView workbookViewId="0">
      <selection activeCell="B32" sqref="B32"/>
    </sheetView>
  </sheetViews>
  <sheetFormatPr defaultRowHeight="13.2" x14ac:dyDescent="0.25"/>
  <cols>
    <col min="2" max="2" width="29.6640625" bestFit="1" customWidth="1"/>
  </cols>
  <sheetData>
    <row r="2" spans="1:2" x14ac:dyDescent="0.25">
      <c r="A2">
        <v>1</v>
      </c>
      <c r="B2" s="56" t="s">
        <v>59</v>
      </c>
    </row>
    <row r="3" spans="1:2" x14ac:dyDescent="0.25">
      <c r="A3">
        <v>2</v>
      </c>
      <c r="B3" s="56" t="s">
        <v>60</v>
      </c>
    </row>
    <row r="4" spans="1:2" x14ac:dyDescent="0.25">
      <c r="A4">
        <v>3</v>
      </c>
      <c r="B4" s="56" t="s">
        <v>61</v>
      </c>
    </row>
    <row r="5" spans="1:2" x14ac:dyDescent="0.25">
      <c r="A5">
        <v>4</v>
      </c>
      <c r="B5" s="5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1"/>
  <sheetViews>
    <sheetView topLeftCell="A4" workbookViewId="0">
      <selection activeCell="H9" sqref="H9"/>
    </sheetView>
  </sheetViews>
  <sheetFormatPr defaultColWidth="14.44140625" defaultRowHeight="15.75" customHeight="1" x14ac:dyDescent="0.25"/>
  <cols>
    <col min="1" max="1" width="26" customWidth="1"/>
  </cols>
  <sheetData>
    <row r="1" spans="1:17" ht="13.2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17" ht="13.2" x14ac:dyDescent="0.25">
      <c r="A2" s="3" t="s">
        <v>4</v>
      </c>
      <c r="B2" s="4" t="s">
        <v>48</v>
      </c>
      <c r="C2" s="4" t="s">
        <v>49</v>
      </c>
      <c r="D2" s="4" t="s">
        <v>50</v>
      </c>
    </row>
    <row r="3" spans="1:17" ht="30" x14ac:dyDescent="0.5">
      <c r="A3" s="5"/>
      <c r="B3" s="6" t="s">
        <v>9</v>
      </c>
      <c r="C3" s="4" t="s">
        <v>10</v>
      </c>
      <c r="D3" s="4" t="s">
        <v>11</v>
      </c>
      <c r="L3" s="231" t="s">
        <v>8</v>
      </c>
      <c r="M3" s="232"/>
      <c r="N3" s="233"/>
    </row>
    <row r="4" spans="1:17" ht="15.75" customHeight="1" x14ac:dyDescent="0.25">
      <c r="A4" s="7" t="s">
        <v>12</v>
      </c>
      <c r="B4" s="8">
        <f>1800*1100</f>
        <v>1980000</v>
      </c>
      <c r="C4" s="9">
        <f>2160*1100</f>
        <v>2376000</v>
      </c>
      <c r="D4" s="8">
        <f>(1150*2640)</f>
        <v>3036000</v>
      </c>
    </row>
    <row r="5" spans="1:17" ht="13.2" x14ac:dyDescent="0.25">
      <c r="A5" s="5" t="s">
        <v>13</v>
      </c>
      <c r="B5" s="8"/>
      <c r="C5" s="10"/>
      <c r="D5" s="4"/>
    </row>
    <row r="6" spans="1:17" ht="13.2" x14ac:dyDescent="0.25">
      <c r="A6" s="7"/>
      <c r="B6" s="8"/>
      <c r="C6" s="8"/>
      <c r="D6" s="10"/>
    </row>
    <row r="7" spans="1:17" ht="13.2" x14ac:dyDescent="0.25">
      <c r="A7" s="16" t="s">
        <v>15</v>
      </c>
      <c r="B7" s="17">
        <f t="shared" ref="B7:C7" si="0">B4</f>
        <v>1980000</v>
      </c>
      <c r="C7" s="18">
        <f t="shared" si="0"/>
        <v>2376000</v>
      </c>
      <c r="D7" s="17">
        <f>SUM(D4:D5)</f>
        <v>3036000</v>
      </c>
      <c r="G7" s="11"/>
      <c r="H7" s="50" t="s">
        <v>1</v>
      </c>
      <c r="I7" s="11"/>
      <c r="K7" s="11"/>
      <c r="L7" s="12" t="s">
        <v>2</v>
      </c>
      <c r="M7" s="11"/>
      <c r="O7" s="11"/>
      <c r="P7" s="50" t="s">
        <v>3</v>
      </c>
      <c r="Q7" s="11"/>
    </row>
    <row r="8" spans="1:17" ht="13.2" x14ac:dyDescent="0.25">
      <c r="A8" s="5"/>
      <c r="B8" s="10"/>
      <c r="C8" s="10"/>
      <c r="D8" s="10"/>
      <c r="G8" s="51" t="s">
        <v>14</v>
      </c>
      <c r="H8" s="14">
        <f>1100-H12</f>
        <v>843.72222222222217</v>
      </c>
      <c r="I8" s="14"/>
      <c r="K8" s="13" t="s">
        <v>14</v>
      </c>
      <c r="L8" s="15">
        <f>1100-L12</f>
        <v>866.64233796296298</v>
      </c>
      <c r="M8" s="14"/>
      <c r="O8" s="51" t="s">
        <v>14</v>
      </c>
      <c r="P8" s="52">
        <f>1150-P12</f>
        <v>942.87285530303029</v>
      </c>
      <c r="Q8" s="14"/>
    </row>
    <row r="9" spans="1:17" ht="13.2" x14ac:dyDescent="0.25">
      <c r="A9" s="5" t="s">
        <v>17</v>
      </c>
      <c r="B9" s="9">
        <f>H12*1800</f>
        <v>461300</v>
      </c>
      <c r="C9" s="8">
        <v>504493</v>
      </c>
      <c r="D9" s="9">
        <v>547725.6</v>
      </c>
      <c r="G9" s="14"/>
      <c r="H9" s="14"/>
      <c r="I9" s="14"/>
      <c r="K9" s="14"/>
      <c r="L9" s="14"/>
      <c r="M9" s="14"/>
      <c r="O9" s="14"/>
      <c r="P9" s="14"/>
      <c r="Q9" s="14"/>
    </row>
    <row r="10" spans="1:17" ht="13.2" x14ac:dyDescent="0.25">
      <c r="A10" s="16" t="s">
        <v>19</v>
      </c>
      <c r="B10" s="17">
        <f t="shared" ref="B10:D10" si="1">B7-B9</f>
        <v>1518700</v>
      </c>
      <c r="C10" s="17">
        <f t="shared" si="1"/>
        <v>1871507</v>
      </c>
      <c r="D10" s="17">
        <f t="shared" si="1"/>
        <v>2488274.4</v>
      </c>
      <c r="G10" s="14"/>
      <c r="H10" s="14"/>
      <c r="I10" s="14"/>
      <c r="K10" s="14"/>
      <c r="L10" s="14"/>
      <c r="M10" s="14"/>
      <c r="O10" s="14"/>
      <c r="P10" s="14"/>
      <c r="Q10" s="14"/>
    </row>
    <row r="11" spans="1:17" ht="13.2" x14ac:dyDescent="0.25">
      <c r="A11" s="5"/>
      <c r="B11" s="10"/>
      <c r="C11" s="10"/>
      <c r="D11" s="10"/>
      <c r="G11" s="51" t="s">
        <v>16</v>
      </c>
      <c r="H11" s="14" t="s">
        <v>56</v>
      </c>
      <c r="I11" s="14"/>
      <c r="K11" s="13" t="s">
        <v>16</v>
      </c>
      <c r="L11" s="20" t="s">
        <v>57</v>
      </c>
      <c r="M11" s="14"/>
      <c r="O11" s="51" t="s">
        <v>16</v>
      </c>
      <c r="P11" s="20" t="s">
        <v>58</v>
      </c>
      <c r="Q11" s="14"/>
    </row>
    <row r="12" spans="1:17" ht="13.2" x14ac:dyDescent="0.25">
      <c r="A12" s="29" t="s">
        <v>22</v>
      </c>
      <c r="B12" s="10"/>
      <c r="C12" s="10"/>
      <c r="D12" s="10"/>
      <c r="G12" s="22" t="s">
        <v>18</v>
      </c>
      <c r="H12" s="53">
        <v>256.27777777777777</v>
      </c>
      <c r="I12" s="53"/>
      <c r="K12" s="22" t="s">
        <v>18</v>
      </c>
      <c r="L12" s="23">
        <f>L13+L14+L15+L16</f>
        <v>233.35766203703704</v>
      </c>
      <c r="M12" s="53"/>
      <c r="O12" s="22" t="s">
        <v>18</v>
      </c>
      <c r="P12" s="23">
        <f>SUM(P13:P15)</f>
        <v>207.12714469696971</v>
      </c>
      <c r="Q12" s="53"/>
    </row>
    <row r="13" spans="1:17" ht="13.2" x14ac:dyDescent="0.25">
      <c r="A13" s="5" t="s">
        <v>24</v>
      </c>
      <c r="B13" s="32">
        <v>120000</v>
      </c>
      <c r="C13" s="32">
        <v>150000</v>
      </c>
      <c r="D13" s="9">
        <v>100000</v>
      </c>
      <c r="G13" s="52" t="s">
        <v>20</v>
      </c>
      <c r="H13" s="14">
        <v>180</v>
      </c>
      <c r="I13" s="14"/>
      <c r="K13" s="52" t="s">
        <v>20</v>
      </c>
      <c r="L13" s="14">
        <f>336000/2160</f>
        <v>155.55555555555554</v>
      </c>
      <c r="M13" s="14"/>
      <c r="O13" s="52" t="s">
        <v>20</v>
      </c>
      <c r="P13" s="52">
        <v>131.81</v>
      </c>
      <c r="Q13" s="14"/>
    </row>
    <row r="14" spans="1:17" ht="13.2" x14ac:dyDescent="0.25">
      <c r="A14" s="29" t="s">
        <v>25</v>
      </c>
      <c r="B14" s="4"/>
      <c r="C14" s="39"/>
      <c r="D14" s="10"/>
      <c r="G14" s="52" t="s">
        <v>21</v>
      </c>
      <c r="H14" s="14">
        <v>66.666666666666671</v>
      </c>
      <c r="I14" s="14"/>
      <c r="K14" s="52" t="s">
        <v>21</v>
      </c>
      <c r="L14" s="14">
        <f>150000/2160</f>
        <v>69.444444444444443</v>
      </c>
      <c r="M14" s="14"/>
      <c r="O14" s="52" t="s">
        <v>21</v>
      </c>
      <c r="P14" s="52">
        <v>68.181818181818187</v>
      </c>
      <c r="Q14" s="14"/>
    </row>
    <row r="15" spans="1:17" ht="13.2" x14ac:dyDescent="0.25">
      <c r="A15" s="37" t="s">
        <v>27</v>
      </c>
      <c r="B15" s="32">
        <v>185000</v>
      </c>
      <c r="C15" s="44">
        <v>193047.5</v>
      </c>
      <c r="D15" s="44">
        <v>201445.06625</v>
      </c>
      <c r="G15" s="52" t="s">
        <v>23</v>
      </c>
      <c r="H15" s="14">
        <v>9.6111111111111107</v>
      </c>
      <c r="I15" s="14"/>
      <c r="K15" s="52" t="s">
        <v>23</v>
      </c>
      <c r="L15" s="14">
        <f>(17300+17300*0.0435)/2160</f>
        <v>8.357662037037036</v>
      </c>
      <c r="M15" s="14"/>
      <c r="O15" s="52" t="s">
        <v>23</v>
      </c>
      <c r="P15" s="14">
        <v>7.1353265151515144</v>
      </c>
      <c r="Q15" s="14"/>
    </row>
    <row r="16" spans="1:17" ht="13.2" x14ac:dyDescent="0.25">
      <c r="A16" s="37" t="s">
        <v>28</v>
      </c>
      <c r="B16" s="40"/>
      <c r="C16" s="8">
        <f t="shared" ref="C16:D16" si="2">(111730+11100)*0.05</f>
        <v>6141.5</v>
      </c>
      <c r="D16" s="8">
        <f t="shared" si="2"/>
        <v>6141.5</v>
      </c>
      <c r="G16" s="52"/>
      <c r="H16" s="14"/>
      <c r="I16" s="14"/>
      <c r="K16" s="15"/>
      <c r="L16" s="14"/>
      <c r="M16" s="14"/>
      <c r="O16" s="52"/>
      <c r="P16" s="52"/>
      <c r="Q16" s="14"/>
    </row>
    <row r="17" spans="1:17" ht="13.2" x14ac:dyDescent="0.25">
      <c r="A17" s="42" t="s">
        <v>30</v>
      </c>
      <c r="B17" s="40"/>
      <c r="C17" s="43"/>
      <c r="D17" s="43"/>
      <c r="G17" s="14"/>
      <c r="H17" s="14"/>
      <c r="I17" s="14"/>
      <c r="K17" s="14"/>
      <c r="L17" s="14"/>
      <c r="M17" s="14"/>
      <c r="O17" s="14"/>
      <c r="P17" s="14"/>
      <c r="Q17" s="14"/>
    </row>
    <row r="18" spans="1:17" ht="13.2" x14ac:dyDescent="0.25">
      <c r="A18" s="37" t="s">
        <v>32</v>
      </c>
      <c r="B18" s="32">
        <v>17300</v>
      </c>
      <c r="C18" s="44">
        <v>18052.55</v>
      </c>
      <c r="D18" s="44">
        <v>18837.835924999999</v>
      </c>
      <c r="G18" s="14"/>
      <c r="H18" s="14"/>
      <c r="I18" s="14"/>
      <c r="K18" s="14"/>
      <c r="L18" s="14"/>
      <c r="M18" s="14"/>
      <c r="O18" s="14"/>
      <c r="P18" s="14"/>
      <c r="Q18" s="14"/>
    </row>
    <row r="19" spans="1:17" ht="13.2" x14ac:dyDescent="0.25">
      <c r="A19" s="37" t="s">
        <v>31</v>
      </c>
      <c r="B19" s="32">
        <v>7700</v>
      </c>
      <c r="C19" s="44">
        <v>7700</v>
      </c>
      <c r="D19" s="44">
        <v>8034.95</v>
      </c>
      <c r="G19" s="52"/>
      <c r="H19" s="14"/>
      <c r="I19" s="14"/>
      <c r="K19" s="15"/>
      <c r="L19" s="14"/>
      <c r="M19" s="14"/>
      <c r="O19" s="52"/>
      <c r="P19" s="14"/>
      <c r="Q19" s="14"/>
    </row>
    <row r="20" spans="1:17" ht="13.2" x14ac:dyDescent="0.25">
      <c r="A20" s="45" t="s">
        <v>51</v>
      </c>
      <c r="B20" s="32">
        <v>720000</v>
      </c>
      <c r="C20" s="44">
        <v>751320</v>
      </c>
      <c r="D20" s="44">
        <v>784002.42</v>
      </c>
      <c r="G20" s="22" t="s">
        <v>26</v>
      </c>
      <c r="H20" s="54">
        <f>H21+H22+H23+H24+H25+H26</f>
        <v>1131530</v>
      </c>
      <c r="I20" s="11"/>
      <c r="K20" s="34" t="s">
        <v>26</v>
      </c>
      <c r="L20" s="35">
        <f>L21+L22+L23+L24+L25</f>
        <v>1054209</v>
      </c>
      <c r="M20" s="11"/>
      <c r="O20" s="22" t="s">
        <v>26</v>
      </c>
      <c r="P20" s="55">
        <f>P21+P22+P23+P24+P25</f>
        <v>1095623.93625</v>
      </c>
      <c r="Q20" s="11"/>
    </row>
    <row r="21" spans="1:17" ht="13.2" x14ac:dyDescent="0.25">
      <c r="A21" s="45" t="s">
        <v>38</v>
      </c>
      <c r="B21" s="32">
        <v>11100</v>
      </c>
      <c r="C21" s="46"/>
      <c r="D21" s="46"/>
      <c r="G21" s="52" t="s">
        <v>27</v>
      </c>
      <c r="H21" s="52">
        <v>185000</v>
      </c>
      <c r="I21" s="14"/>
      <c r="K21" s="15" t="s">
        <v>27</v>
      </c>
      <c r="L21" s="39">
        <f>H21+H21*0.0435</f>
        <v>193047.5</v>
      </c>
      <c r="M21" s="14"/>
      <c r="O21" s="52" t="s">
        <v>27</v>
      </c>
      <c r="P21" s="20">
        <f>L21+L21*0.0435</f>
        <v>201445.06625</v>
      </c>
      <c r="Q21" s="14"/>
    </row>
    <row r="22" spans="1:17" ht="13.2" x14ac:dyDescent="0.25">
      <c r="A22" s="45" t="s">
        <v>39</v>
      </c>
      <c r="B22" s="32" t="s">
        <v>40</v>
      </c>
      <c r="C22" s="47"/>
      <c r="D22" s="46"/>
      <c r="G22" s="52" t="s">
        <v>29</v>
      </c>
      <c r="H22" s="52">
        <v>720000</v>
      </c>
      <c r="I22" s="14"/>
      <c r="K22" s="15" t="s">
        <v>29</v>
      </c>
      <c r="L22" s="8">
        <f>720000+720000*0.0435</f>
        <v>751320</v>
      </c>
      <c r="M22" s="14"/>
      <c r="O22" s="52" t="s">
        <v>29</v>
      </c>
      <c r="P22" s="14">
        <v>784002.42</v>
      </c>
      <c r="Q22" s="14"/>
    </row>
    <row r="23" spans="1:17" ht="13.2" x14ac:dyDescent="0.25">
      <c r="A23" s="37" t="s">
        <v>42</v>
      </c>
      <c r="B23" s="32">
        <v>324000</v>
      </c>
      <c r="C23" s="46">
        <v>336000</v>
      </c>
      <c r="D23" s="9">
        <f>348000+144000</f>
        <v>492000</v>
      </c>
      <c r="G23" s="52" t="s">
        <v>31</v>
      </c>
      <c r="H23" s="52">
        <v>7700</v>
      </c>
      <c r="I23" s="14"/>
      <c r="K23" s="15" t="s">
        <v>31</v>
      </c>
      <c r="L23" s="15">
        <v>7700</v>
      </c>
      <c r="M23" s="14"/>
      <c r="O23" s="52" t="s">
        <v>31</v>
      </c>
      <c r="P23" s="15">
        <v>8034.95</v>
      </c>
      <c r="Q23" s="14"/>
    </row>
    <row r="24" spans="1:17" ht="13.2" x14ac:dyDescent="0.25">
      <c r="A24" s="16" t="s">
        <v>43</v>
      </c>
      <c r="B24" s="17">
        <f t="shared" ref="B24:D24" si="3">SUM(B13:B23)</f>
        <v>1385100</v>
      </c>
      <c r="C24" s="17">
        <f t="shared" si="3"/>
        <v>1462261.55</v>
      </c>
      <c r="D24" s="17">
        <f t="shared" si="3"/>
        <v>1610461.772175</v>
      </c>
      <c r="G24" s="52" t="s">
        <v>33</v>
      </c>
      <c r="H24" s="52">
        <v>11100</v>
      </c>
      <c r="I24" s="14"/>
      <c r="K24" s="15" t="s">
        <v>34</v>
      </c>
      <c r="L24" s="15">
        <f>96000</f>
        <v>96000</v>
      </c>
      <c r="M24" s="14"/>
      <c r="O24" s="52" t="s">
        <v>34</v>
      </c>
      <c r="P24" s="14">
        <v>96000</v>
      </c>
      <c r="Q24" s="14"/>
    </row>
    <row r="25" spans="1:17" ht="13.2" x14ac:dyDescent="0.25">
      <c r="A25" s="42" t="s">
        <v>44</v>
      </c>
      <c r="B25" s="48">
        <f t="shared" ref="B25:D25" si="4">B10-B24</f>
        <v>133600</v>
      </c>
      <c r="C25" s="48">
        <f t="shared" si="4"/>
        <v>409245.44999999995</v>
      </c>
      <c r="D25" s="49">
        <f t="shared" si="4"/>
        <v>877812.62782499986</v>
      </c>
      <c r="G25" s="52" t="s">
        <v>35</v>
      </c>
      <c r="H25" s="52">
        <v>111730</v>
      </c>
      <c r="I25" s="14"/>
      <c r="K25" s="15" t="s">
        <v>52</v>
      </c>
      <c r="L25" s="8">
        <f>(111730+11100)*0.05</f>
        <v>6141.5</v>
      </c>
      <c r="M25" s="14"/>
      <c r="O25" s="15" t="s">
        <v>52</v>
      </c>
      <c r="P25" s="14">
        <v>6141.5</v>
      </c>
      <c r="Q25" s="14"/>
    </row>
    <row r="26" spans="1:17" ht="13.2" x14ac:dyDescent="0.25">
      <c r="A26" s="37"/>
      <c r="B26" s="43"/>
      <c r="C26" s="43"/>
      <c r="D26" s="43"/>
      <c r="G26" s="15" t="s">
        <v>34</v>
      </c>
      <c r="H26" s="15">
        <v>96000</v>
      </c>
      <c r="I26" s="14"/>
    </row>
    <row r="27" spans="1:17" ht="13.2" x14ac:dyDescent="0.25">
      <c r="A27" s="45"/>
      <c r="B27" s="46"/>
      <c r="C27" s="46"/>
      <c r="D27" s="46"/>
    </row>
    <row r="28" spans="1:17" ht="13.2" x14ac:dyDescent="0.25">
      <c r="A28" s="42" t="s">
        <v>45</v>
      </c>
      <c r="B28" s="49">
        <f t="shared" ref="B28:D28" si="5">B25-B27</f>
        <v>133600</v>
      </c>
      <c r="C28" s="49">
        <f t="shared" si="5"/>
        <v>409245.44999999995</v>
      </c>
      <c r="D28" s="49">
        <f t="shared" si="5"/>
        <v>877812.62782499986</v>
      </c>
    </row>
    <row r="29" spans="1:17" ht="13.2" x14ac:dyDescent="0.25">
      <c r="A29" s="37"/>
      <c r="B29" s="43"/>
      <c r="C29" s="43"/>
      <c r="D29" s="43"/>
    </row>
    <row r="30" spans="1:17" ht="13.2" x14ac:dyDescent="0.25">
      <c r="A30" s="37" t="s">
        <v>46</v>
      </c>
      <c r="B30" s="8">
        <f t="shared" ref="B30:C30" si="6">B28*0.025</f>
        <v>3340</v>
      </c>
      <c r="C30" s="8">
        <f t="shared" si="6"/>
        <v>10231.13625</v>
      </c>
      <c r="D30" s="8">
        <f>D28*0.25</f>
        <v>219453.15695624996</v>
      </c>
    </row>
    <row r="31" spans="1:17" ht="13.2" x14ac:dyDescent="0.25">
      <c r="A31" s="16" t="s">
        <v>47</v>
      </c>
      <c r="B31" s="17">
        <f t="shared" ref="B31:D31" si="7">B28-B30</f>
        <v>130260</v>
      </c>
      <c r="C31" s="17">
        <f t="shared" si="7"/>
        <v>399014.31374999997</v>
      </c>
      <c r="D31" s="17">
        <f t="shared" si="7"/>
        <v>658359.47086874989</v>
      </c>
    </row>
  </sheetData>
  <mergeCells count="1"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3DEA-AC5B-47FD-92D3-E2F8FA05C6AA}">
  <dimension ref="E3:Q36"/>
  <sheetViews>
    <sheetView workbookViewId="0">
      <selection activeCell="C32" sqref="C32"/>
    </sheetView>
  </sheetViews>
  <sheetFormatPr defaultRowHeight="13.2" x14ac:dyDescent="0.25"/>
  <cols>
    <col min="5" max="5" width="20.77734375" bestFit="1" customWidth="1"/>
    <col min="6" max="6" width="17.44140625" customWidth="1"/>
    <col min="7" max="7" width="17.5546875" customWidth="1"/>
    <col min="13" max="13" width="10.77734375" customWidth="1"/>
    <col min="15" max="15" width="16.77734375" bestFit="1" customWidth="1"/>
    <col min="16" max="16" width="9.109375" bestFit="1" customWidth="1"/>
    <col min="17" max="17" width="18.6640625" bestFit="1" customWidth="1"/>
  </cols>
  <sheetData>
    <row r="3" spans="5:17" ht="13.8" thickBot="1" x14ac:dyDescent="0.3"/>
    <row r="4" spans="5:17" x14ac:dyDescent="0.25">
      <c r="E4" s="59" t="s">
        <v>63</v>
      </c>
      <c r="F4" s="60" t="s">
        <v>64</v>
      </c>
      <c r="G4" s="61" t="s">
        <v>64</v>
      </c>
    </row>
    <row r="5" spans="5:17" x14ac:dyDescent="0.25">
      <c r="E5" s="67" t="s">
        <v>65</v>
      </c>
      <c r="F5" s="58"/>
      <c r="G5" s="63"/>
    </row>
    <row r="6" spans="5:17" x14ac:dyDescent="0.25">
      <c r="E6" s="62"/>
      <c r="F6" s="58"/>
      <c r="G6" s="63"/>
    </row>
    <row r="7" spans="5:17" x14ac:dyDescent="0.25">
      <c r="E7" s="62"/>
      <c r="F7" s="58"/>
      <c r="G7" s="63"/>
      <c r="L7">
        <f>3700/1800</f>
        <v>2.0555555555555554</v>
      </c>
    </row>
    <row r="8" spans="5:17" x14ac:dyDescent="0.25">
      <c r="E8" s="67" t="s">
        <v>86</v>
      </c>
      <c r="F8" s="58"/>
      <c r="G8" s="63"/>
    </row>
    <row r="9" spans="5:17" x14ac:dyDescent="0.25">
      <c r="E9" s="62"/>
      <c r="F9" s="58"/>
      <c r="G9" s="63"/>
    </row>
    <row r="10" spans="5:17" x14ac:dyDescent="0.25">
      <c r="E10" s="62"/>
      <c r="F10" s="58"/>
      <c r="G10" s="63"/>
    </row>
    <row r="11" spans="5:17" x14ac:dyDescent="0.25">
      <c r="E11" s="62"/>
      <c r="F11" s="58"/>
      <c r="G11" s="63"/>
      <c r="L11" s="57" t="s">
        <v>66</v>
      </c>
      <c r="O11" s="57" t="s">
        <v>73</v>
      </c>
    </row>
    <row r="12" spans="5:17" x14ac:dyDescent="0.25">
      <c r="E12" s="62"/>
      <c r="F12" s="58"/>
      <c r="G12" s="63"/>
      <c r="K12">
        <v>500</v>
      </c>
      <c r="L12" s="81" t="s">
        <v>67</v>
      </c>
      <c r="M12" s="81" t="s">
        <v>85</v>
      </c>
      <c r="O12" s="81" t="s">
        <v>74</v>
      </c>
      <c r="P12" s="81" t="s">
        <v>79</v>
      </c>
    </row>
    <row r="13" spans="5:17" x14ac:dyDescent="0.25">
      <c r="E13" s="62"/>
      <c r="F13" s="58"/>
      <c r="G13" s="63"/>
      <c r="K13">
        <v>35</v>
      </c>
      <c r="L13" s="81" t="s">
        <v>68</v>
      </c>
      <c r="M13" s="81" t="s">
        <v>70</v>
      </c>
      <c r="O13" s="81" t="s">
        <v>75</v>
      </c>
      <c r="P13" s="81" t="s">
        <v>78</v>
      </c>
    </row>
    <row r="14" spans="5:17" x14ac:dyDescent="0.25">
      <c r="E14" s="62"/>
      <c r="F14" s="58"/>
      <c r="G14" s="63"/>
      <c r="K14">
        <v>1500</v>
      </c>
      <c r="L14" s="81" t="s">
        <v>62</v>
      </c>
      <c r="M14" s="81" t="s">
        <v>71</v>
      </c>
      <c r="O14" s="56"/>
      <c r="P14" s="56"/>
      <c r="Q14" s="81" t="s">
        <v>84</v>
      </c>
    </row>
    <row r="15" spans="5:17" x14ac:dyDescent="0.25">
      <c r="E15" s="62"/>
      <c r="F15" s="58"/>
      <c r="G15" s="63"/>
      <c r="K15" s="92">
        <f>L7</f>
        <v>2.0555555555555554</v>
      </c>
      <c r="L15" s="81" t="s">
        <v>72</v>
      </c>
      <c r="M15" s="81" t="s">
        <v>69</v>
      </c>
      <c r="O15" s="81" t="s">
        <v>76</v>
      </c>
      <c r="Q15" s="83" t="s">
        <v>80</v>
      </c>
    </row>
    <row r="16" spans="5:17" x14ac:dyDescent="0.25">
      <c r="E16" s="62"/>
      <c r="F16" s="58"/>
      <c r="G16" s="63"/>
      <c r="O16" s="56"/>
      <c r="Q16" s="83" t="s">
        <v>81</v>
      </c>
    </row>
    <row r="17" spans="5:17" x14ac:dyDescent="0.25">
      <c r="E17" s="62"/>
      <c r="F17" s="58"/>
      <c r="G17" s="63"/>
      <c r="K17" s="56" t="s">
        <v>117</v>
      </c>
      <c r="O17" s="81" t="s">
        <v>31</v>
      </c>
      <c r="Q17" s="83" t="s">
        <v>82</v>
      </c>
    </row>
    <row r="18" spans="5:17" x14ac:dyDescent="0.25">
      <c r="E18" s="62"/>
      <c r="F18" s="58"/>
      <c r="G18" s="63"/>
      <c r="K18" s="92">
        <f>SUM(K12:K15)</f>
        <v>2037.0555555555557</v>
      </c>
      <c r="O18" s="81" t="s">
        <v>77</v>
      </c>
      <c r="P18" s="82">
        <v>2400000</v>
      </c>
      <c r="Q18" s="83"/>
    </row>
    <row r="19" spans="5:17" x14ac:dyDescent="0.25">
      <c r="E19" s="62"/>
      <c r="F19" s="58"/>
      <c r="G19" s="63"/>
      <c r="O19" s="81" t="s">
        <v>52</v>
      </c>
      <c r="Q19" s="81" t="s">
        <v>103</v>
      </c>
    </row>
    <row r="20" spans="5:17" x14ac:dyDescent="0.25">
      <c r="E20" s="62"/>
      <c r="F20" s="58"/>
      <c r="G20" s="63"/>
      <c r="Q20" s="83"/>
    </row>
    <row r="21" spans="5:17" x14ac:dyDescent="0.25">
      <c r="E21" s="62"/>
      <c r="F21" s="58"/>
      <c r="G21" s="63"/>
      <c r="Q21" s="81" t="s">
        <v>83</v>
      </c>
    </row>
    <row r="22" spans="5:17" x14ac:dyDescent="0.25">
      <c r="E22" s="62"/>
      <c r="F22" s="58"/>
      <c r="G22" s="63"/>
      <c r="K22" s="56" t="s">
        <v>16</v>
      </c>
      <c r="L22" s="56" t="s">
        <v>118</v>
      </c>
      <c r="Q22" s="81" t="s">
        <v>102</v>
      </c>
    </row>
    <row r="23" spans="5:17" x14ac:dyDescent="0.25">
      <c r="E23" s="62"/>
      <c r="F23" s="58"/>
      <c r="G23" s="63"/>
    </row>
    <row r="24" spans="5:17" x14ac:dyDescent="0.25">
      <c r="E24" s="62"/>
      <c r="F24" s="58"/>
      <c r="G24" s="63"/>
      <c r="K24" s="56" t="s">
        <v>119</v>
      </c>
      <c r="L24" s="56" t="s">
        <v>120</v>
      </c>
    </row>
    <row r="25" spans="5:17" x14ac:dyDescent="0.25">
      <c r="E25" s="62"/>
      <c r="F25" s="58"/>
      <c r="G25" s="63"/>
    </row>
    <row r="26" spans="5:17" x14ac:dyDescent="0.25">
      <c r="E26" s="62"/>
      <c r="F26" s="58"/>
      <c r="G26" s="63"/>
    </row>
    <row r="27" spans="5:17" x14ac:dyDescent="0.25">
      <c r="E27" s="62"/>
      <c r="F27" s="58"/>
      <c r="G27" s="63"/>
    </row>
    <row r="28" spans="5:17" x14ac:dyDescent="0.25">
      <c r="E28" s="62"/>
      <c r="F28" s="58"/>
      <c r="G28" s="63"/>
    </row>
    <row r="29" spans="5:17" x14ac:dyDescent="0.25">
      <c r="E29" s="62"/>
      <c r="F29" s="58"/>
      <c r="G29" s="63"/>
    </row>
    <row r="30" spans="5:17" x14ac:dyDescent="0.25">
      <c r="E30" s="62"/>
      <c r="F30" s="58"/>
      <c r="G30" s="63"/>
    </row>
    <row r="31" spans="5:17" x14ac:dyDescent="0.25">
      <c r="E31" s="62"/>
      <c r="F31" s="58"/>
      <c r="G31" s="63"/>
    </row>
    <row r="32" spans="5:17" x14ac:dyDescent="0.25">
      <c r="E32" s="62"/>
      <c r="F32" s="58"/>
      <c r="G32" s="63"/>
    </row>
    <row r="33" spans="5:7" x14ac:dyDescent="0.25">
      <c r="E33" s="62"/>
      <c r="F33" s="58"/>
      <c r="G33" s="63"/>
    </row>
    <row r="34" spans="5:7" x14ac:dyDescent="0.25">
      <c r="E34" s="62"/>
      <c r="F34" s="58"/>
      <c r="G34" s="63"/>
    </row>
    <row r="35" spans="5:7" x14ac:dyDescent="0.25">
      <c r="E35" s="62"/>
      <c r="F35" s="58"/>
      <c r="G35" s="63"/>
    </row>
    <row r="36" spans="5:7" ht="13.8" thickBot="1" x14ac:dyDescent="0.3">
      <c r="E36" s="64"/>
      <c r="F36" s="65"/>
      <c r="G36" s="6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6F07-A263-479D-9A65-AB5EBA3127BB}">
  <dimension ref="D4:G49"/>
  <sheetViews>
    <sheetView topLeftCell="A21" workbookViewId="0">
      <selection activeCell="F39" sqref="F39"/>
    </sheetView>
  </sheetViews>
  <sheetFormatPr defaultRowHeight="13.2" x14ac:dyDescent="0.25"/>
  <cols>
    <col min="4" max="4" width="35.5546875" bestFit="1" customWidth="1"/>
    <col min="5" max="5" width="33.6640625" bestFit="1" customWidth="1"/>
    <col min="7" max="7" width="15" bestFit="1" customWidth="1"/>
  </cols>
  <sheetData>
    <row r="4" spans="4:6" x14ac:dyDescent="0.25">
      <c r="D4" s="56" t="s">
        <v>223</v>
      </c>
    </row>
    <row r="5" spans="4:6" x14ac:dyDescent="0.25">
      <c r="E5" s="57" t="s">
        <v>190</v>
      </c>
      <c r="F5">
        <v>1000</v>
      </c>
    </row>
    <row r="6" spans="4:6" x14ac:dyDescent="0.25">
      <c r="E6" s="57" t="s">
        <v>174</v>
      </c>
      <c r="F6">
        <v>12</v>
      </c>
    </row>
    <row r="7" spans="4:6" x14ac:dyDescent="0.25">
      <c r="E7" s="57" t="s">
        <v>191</v>
      </c>
      <c r="F7" s="84">
        <v>0.15</v>
      </c>
    </row>
    <row r="8" spans="4:6" x14ac:dyDescent="0.25">
      <c r="E8" s="57" t="s">
        <v>175</v>
      </c>
      <c r="F8">
        <f>F7*F5</f>
        <v>150</v>
      </c>
    </row>
    <row r="9" spans="4:6" x14ac:dyDescent="0.25">
      <c r="E9" s="57" t="s">
        <v>176</v>
      </c>
      <c r="F9" s="84">
        <v>0.2</v>
      </c>
    </row>
    <row r="11" spans="4:6" x14ac:dyDescent="0.25">
      <c r="E11" s="57" t="s">
        <v>177</v>
      </c>
      <c r="F11">
        <v>6</v>
      </c>
    </row>
    <row r="12" spans="4:6" x14ac:dyDescent="0.25">
      <c r="E12" s="57" t="s">
        <v>77</v>
      </c>
      <c r="F12" s="129">
        <v>400000</v>
      </c>
    </row>
    <row r="13" spans="4:6" x14ac:dyDescent="0.25">
      <c r="E13" s="57" t="s">
        <v>178</v>
      </c>
      <c r="F13" s="84">
        <v>7.0000000000000007E-2</v>
      </c>
    </row>
    <row r="14" spans="4:6" x14ac:dyDescent="0.25">
      <c r="E14" s="57"/>
    </row>
    <row r="15" spans="4:6" x14ac:dyDescent="0.25">
      <c r="E15" s="57" t="s">
        <v>180</v>
      </c>
      <c r="F15">
        <v>500</v>
      </c>
    </row>
    <row r="16" spans="4:6" x14ac:dyDescent="0.25">
      <c r="E16" s="57" t="s">
        <v>179</v>
      </c>
      <c r="F16" s="56">
        <v>10</v>
      </c>
    </row>
    <row r="17" spans="5:7" x14ac:dyDescent="0.25">
      <c r="E17" s="57" t="s">
        <v>182</v>
      </c>
      <c r="F17" s="84">
        <v>7.0000000000000007E-2</v>
      </c>
    </row>
    <row r="18" spans="5:7" x14ac:dyDescent="0.25">
      <c r="E18" s="57" t="s">
        <v>181</v>
      </c>
      <c r="F18">
        <v>2</v>
      </c>
    </row>
    <row r="19" spans="5:7" x14ac:dyDescent="0.25">
      <c r="E19" s="57" t="s">
        <v>217</v>
      </c>
      <c r="F19">
        <v>2</v>
      </c>
    </row>
    <row r="20" spans="5:7" x14ac:dyDescent="0.25">
      <c r="E20" s="57" t="s">
        <v>219</v>
      </c>
      <c r="F20">
        <v>1</v>
      </c>
      <c r="G20" s="56" t="s">
        <v>220</v>
      </c>
    </row>
    <row r="21" spans="5:7" x14ac:dyDescent="0.25">
      <c r="E21" s="57" t="s">
        <v>183</v>
      </c>
      <c r="F21">
        <v>1500</v>
      </c>
    </row>
    <row r="22" spans="5:7" x14ac:dyDescent="0.25">
      <c r="E22" s="57" t="s">
        <v>182</v>
      </c>
      <c r="F22" s="84">
        <v>7.0000000000000007E-2</v>
      </c>
    </row>
    <row r="24" spans="5:7" x14ac:dyDescent="0.25">
      <c r="E24" s="56" t="s">
        <v>184</v>
      </c>
    </row>
    <row r="25" spans="5:7" x14ac:dyDescent="0.25">
      <c r="E25" s="130" t="s">
        <v>98</v>
      </c>
      <c r="F25" s="80">
        <v>215</v>
      </c>
    </row>
    <row r="26" spans="5:7" x14ac:dyDescent="0.25">
      <c r="E26" s="130" t="s">
        <v>99</v>
      </c>
      <c r="F26" s="80">
        <v>679</v>
      </c>
    </row>
    <row r="27" spans="5:7" x14ac:dyDescent="0.25">
      <c r="E27" s="130" t="s">
        <v>101</v>
      </c>
      <c r="F27" s="80">
        <v>1369</v>
      </c>
    </row>
    <row r="28" spans="5:7" x14ac:dyDescent="0.25">
      <c r="E28" s="130" t="s">
        <v>100</v>
      </c>
      <c r="F28" s="80">
        <v>110</v>
      </c>
    </row>
    <row r="29" spans="5:7" x14ac:dyDescent="0.25">
      <c r="E29" s="130" t="s">
        <v>105</v>
      </c>
      <c r="F29" s="80">
        <v>400</v>
      </c>
    </row>
    <row r="30" spans="5:7" x14ac:dyDescent="0.25">
      <c r="E30" s="130" t="s">
        <v>104</v>
      </c>
      <c r="F30" s="80">
        <f>5250*2</f>
        <v>10500</v>
      </c>
    </row>
    <row r="31" spans="5:7" x14ac:dyDescent="0.25">
      <c r="E31" s="130" t="s">
        <v>106</v>
      </c>
      <c r="F31" s="80">
        <v>1299</v>
      </c>
    </row>
    <row r="33" spans="4:7" x14ac:dyDescent="0.25">
      <c r="E33" s="56" t="s">
        <v>52</v>
      </c>
      <c r="F33" s="84">
        <v>0.15</v>
      </c>
    </row>
    <row r="34" spans="4:7" x14ac:dyDescent="0.25">
      <c r="E34" s="56" t="s">
        <v>172</v>
      </c>
      <c r="F34">
        <f>295*75</f>
        <v>22125</v>
      </c>
      <c r="G34" s="152" t="s">
        <v>201</v>
      </c>
    </row>
    <row r="35" spans="4:7" x14ac:dyDescent="0.25">
      <c r="E35" s="56" t="s">
        <v>197</v>
      </c>
      <c r="F35" s="84">
        <v>0.05</v>
      </c>
      <c r="G35" s="152"/>
    </row>
    <row r="36" spans="4:7" x14ac:dyDescent="0.25">
      <c r="E36" s="56" t="s">
        <v>186</v>
      </c>
      <c r="F36">
        <v>225</v>
      </c>
    </row>
    <row r="37" spans="4:7" x14ac:dyDescent="0.25">
      <c r="E37" s="56" t="s">
        <v>197</v>
      </c>
      <c r="F37" s="84">
        <v>0.05</v>
      </c>
    </row>
    <row r="38" spans="4:7" x14ac:dyDescent="0.25">
      <c r="E38" s="56" t="s">
        <v>187</v>
      </c>
      <c r="F38">
        <v>3</v>
      </c>
    </row>
    <row r="39" spans="4:7" x14ac:dyDescent="0.25">
      <c r="E39" s="56" t="s">
        <v>188</v>
      </c>
      <c r="F39">
        <v>35</v>
      </c>
    </row>
    <row r="40" spans="4:7" x14ac:dyDescent="0.25">
      <c r="D40" s="210" t="s">
        <v>224</v>
      </c>
      <c r="E40" s="56" t="s">
        <v>189</v>
      </c>
      <c r="F40">
        <v>3700</v>
      </c>
    </row>
    <row r="41" spans="4:7" x14ac:dyDescent="0.25">
      <c r="E41" s="56" t="s">
        <v>197</v>
      </c>
      <c r="F41" s="84">
        <v>7.0000000000000007E-2</v>
      </c>
    </row>
    <row r="42" spans="4:7" x14ac:dyDescent="0.25">
      <c r="E42" s="56" t="s">
        <v>192</v>
      </c>
      <c r="F42">
        <v>7700</v>
      </c>
    </row>
    <row r="43" spans="4:7" x14ac:dyDescent="0.25">
      <c r="E43" s="56" t="s">
        <v>197</v>
      </c>
      <c r="F43" s="84">
        <v>0.05</v>
      </c>
    </row>
    <row r="44" spans="4:7" x14ac:dyDescent="0.25">
      <c r="E44" s="56" t="s">
        <v>193</v>
      </c>
      <c r="F44" s="84">
        <v>0.12</v>
      </c>
    </row>
    <row r="46" spans="4:7" x14ac:dyDescent="0.25">
      <c r="E46" s="56" t="s">
        <v>158</v>
      </c>
      <c r="F46" s="140">
        <v>1200</v>
      </c>
    </row>
    <row r="47" spans="4:7" x14ac:dyDescent="0.25">
      <c r="E47" s="56" t="s">
        <v>199</v>
      </c>
      <c r="F47" s="141">
        <v>7.0000000000000007E-2</v>
      </c>
    </row>
    <row r="49" spans="5:6" x14ac:dyDescent="0.25">
      <c r="E49" s="56" t="s">
        <v>202</v>
      </c>
      <c r="F49" s="84">
        <v>0.25</v>
      </c>
    </row>
  </sheetData>
  <hyperlinks>
    <hyperlink ref="D40" location="Assumptions!D40" display="https://printingpune.com/pamphlet-printing" xr:uid="{CA7049DF-39F4-4FE5-87BA-0E5FABDEB2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4A1-8823-4630-8643-AEC54B5284E7}">
  <dimension ref="C3:R60"/>
  <sheetViews>
    <sheetView workbookViewId="0">
      <selection activeCell="F31" sqref="F31"/>
    </sheetView>
  </sheetViews>
  <sheetFormatPr defaultRowHeight="13.2" x14ac:dyDescent="0.25"/>
  <cols>
    <col min="4" max="4" width="30.44140625" bestFit="1" customWidth="1"/>
    <col min="5" max="5" width="12.88671875" bestFit="1" customWidth="1"/>
    <col min="6" max="9" width="12.77734375" bestFit="1" customWidth="1"/>
    <col min="11" max="11" width="11.5546875" bestFit="1" customWidth="1"/>
    <col min="13" max="13" width="35.5546875" bestFit="1" customWidth="1"/>
  </cols>
  <sheetData>
    <row r="3" spans="3:9" ht="13.8" thickBot="1" x14ac:dyDescent="0.3"/>
    <row r="4" spans="3:9" ht="13.8" thickBot="1" x14ac:dyDescent="0.3">
      <c r="D4" s="126" t="s">
        <v>194</v>
      </c>
      <c r="E4" s="127" t="s">
        <v>88</v>
      </c>
      <c r="F4" s="127" t="s">
        <v>89</v>
      </c>
      <c r="G4" s="127" t="s">
        <v>90</v>
      </c>
      <c r="H4" s="127" t="s">
        <v>91</v>
      </c>
      <c r="I4" s="128" t="s">
        <v>92</v>
      </c>
    </row>
    <row r="5" spans="3:9" x14ac:dyDescent="0.25">
      <c r="D5" s="78" t="s">
        <v>225</v>
      </c>
      <c r="E5" s="69">
        <f>Assumptions!F8</f>
        <v>150</v>
      </c>
      <c r="F5" s="69">
        <f>E5+E5*Assumptions!$F$9</f>
        <v>180</v>
      </c>
      <c r="G5" s="69">
        <f>F5+F5*Assumptions!$F$9</f>
        <v>216</v>
      </c>
      <c r="H5" s="142">
        <f>G5+G5*Assumptions!$F$9</f>
        <v>259.2</v>
      </c>
      <c r="I5" s="143">
        <f>H5+H5*Assumptions!$F$9</f>
        <v>311.03999999999996</v>
      </c>
    </row>
    <row r="6" spans="3:9" ht="13.8" thickBot="1" x14ac:dyDescent="0.3">
      <c r="D6" s="79" t="s">
        <v>195</v>
      </c>
      <c r="E6" s="71">
        <f>E5*12</f>
        <v>1800</v>
      </c>
      <c r="F6" s="71">
        <f t="shared" ref="F6:I6" si="0">F5*12</f>
        <v>2160</v>
      </c>
      <c r="G6" s="71">
        <f t="shared" si="0"/>
        <v>2592</v>
      </c>
      <c r="H6" s="138">
        <f t="shared" si="0"/>
        <v>3110.3999999999996</v>
      </c>
      <c r="I6" s="211">
        <f t="shared" si="0"/>
        <v>3732.4799999999996</v>
      </c>
    </row>
    <row r="7" spans="3:9" x14ac:dyDescent="0.25">
      <c r="D7" s="104"/>
      <c r="E7" s="69"/>
      <c r="F7" s="69"/>
      <c r="G7" s="69"/>
      <c r="H7" s="69"/>
      <c r="I7" s="69"/>
    </row>
    <row r="9" spans="3:9" ht="13.8" thickBot="1" x14ac:dyDescent="0.3">
      <c r="C9" s="84"/>
    </row>
    <row r="10" spans="3:9" x14ac:dyDescent="0.25">
      <c r="D10" s="123" t="s">
        <v>198</v>
      </c>
      <c r="E10" s="124" t="s">
        <v>88</v>
      </c>
      <c r="F10" s="124" t="s">
        <v>89</v>
      </c>
      <c r="G10" s="124" t="s">
        <v>90</v>
      </c>
      <c r="H10" s="124" t="s">
        <v>91</v>
      </c>
      <c r="I10" s="125" t="s">
        <v>92</v>
      </c>
    </row>
    <row r="11" spans="3:9" ht="13.8" thickBot="1" x14ac:dyDescent="0.3">
      <c r="D11" s="78" t="s">
        <v>158</v>
      </c>
      <c r="E11" s="80">
        <f>Assumptions!F46</f>
        <v>1200</v>
      </c>
      <c r="F11" s="80">
        <f>E11+E11*Assumptions!$F$47</f>
        <v>1284</v>
      </c>
      <c r="G11" s="80">
        <f>F11+F11*Assumptions!$F$47</f>
        <v>1373.88</v>
      </c>
      <c r="H11" s="80">
        <f>G11+G11*Assumptions!$F$47</f>
        <v>1470.0516000000002</v>
      </c>
      <c r="I11" s="93">
        <f>H11+H11*Assumptions!$F$47</f>
        <v>1572.9552120000003</v>
      </c>
    </row>
    <row r="12" spans="3:9" ht="13.8" thickBot="1" x14ac:dyDescent="0.3">
      <c r="D12" s="147" t="s">
        <v>200</v>
      </c>
      <c r="E12" s="150">
        <f>E11*E6</f>
        <v>2160000</v>
      </c>
      <c r="F12" s="150">
        <f>F11*F6</f>
        <v>2773440</v>
      </c>
      <c r="G12" s="150">
        <f>G11*G6</f>
        <v>3561096.9600000004</v>
      </c>
      <c r="H12" s="150">
        <f>H11*H6</f>
        <v>4572448.4966400005</v>
      </c>
      <c r="I12" s="151">
        <f>I11*I6</f>
        <v>5871023.8696857607</v>
      </c>
    </row>
    <row r="15" spans="3:9" ht="13.8" thickBot="1" x14ac:dyDescent="0.3"/>
    <row r="16" spans="3:9" ht="13.8" thickBot="1" x14ac:dyDescent="0.3">
      <c r="D16" s="89" t="s">
        <v>87</v>
      </c>
      <c r="E16" s="90" t="s">
        <v>88</v>
      </c>
      <c r="F16" s="90" t="s">
        <v>89</v>
      </c>
      <c r="G16" s="90" t="s">
        <v>90</v>
      </c>
      <c r="H16" s="90" t="s">
        <v>91</v>
      </c>
      <c r="I16" s="91" t="s">
        <v>92</v>
      </c>
    </row>
    <row r="17" spans="4:18" ht="13.8" thickBot="1" x14ac:dyDescent="0.3">
      <c r="D17" s="78" t="s">
        <v>93</v>
      </c>
      <c r="E17" s="80">
        <f>Assumptions!F18</f>
        <v>2</v>
      </c>
      <c r="F17" s="131">
        <f>Assumptions!F18</f>
        <v>2</v>
      </c>
      <c r="G17" s="131">
        <f>F17+Assumptions!F20</f>
        <v>3</v>
      </c>
      <c r="H17" s="131">
        <f>F17+Assumptions!F20</f>
        <v>3</v>
      </c>
      <c r="I17" s="132">
        <f>H17+Assumptions!F20</f>
        <v>4</v>
      </c>
    </row>
    <row r="18" spans="4:18" ht="13.8" thickBot="1" x14ac:dyDescent="0.3">
      <c r="D18" s="78" t="s">
        <v>221</v>
      </c>
      <c r="E18" s="80">
        <f>Assumptions!F21</f>
        <v>1500</v>
      </c>
      <c r="F18" s="131">
        <f>E18+E18*Assumptions!$F$22</f>
        <v>1605</v>
      </c>
      <c r="G18" s="131">
        <f>F18+F18*Assumptions!$F$22</f>
        <v>1717.35</v>
      </c>
      <c r="H18" s="131">
        <f>G18+G18*Assumptions!$F$22</f>
        <v>1837.5645</v>
      </c>
      <c r="I18" s="132">
        <f>H18+H18*Assumptions!$F$22</f>
        <v>1966.194015</v>
      </c>
      <c r="M18" s="96" t="s">
        <v>127</v>
      </c>
      <c r="N18" s="97" t="s">
        <v>88</v>
      </c>
      <c r="O18" s="97" t="s">
        <v>89</v>
      </c>
      <c r="P18" s="97" t="s">
        <v>90</v>
      </c>
      <c r="Q18" s="97" t="s">
        <v>91</v>
      </c>
      <c r="R18" s="98" t="s">
        <v>92</v>
      </c>
    </row>
    <row r="19" spans="4:18" x14ac:dyDescent="0.25">
      <c r="D19" s="78" t="s">
        <v>222</v>
      </c>
      <c r="E19" s="80">
        <f>E17*E18*Assumptions!$F$19*12</f>
        <v>72000</v>
      </c>
      <c r="F19" s="80">
        <f>F17*F18*Assumptions!$F$19*12</f>
        <v>77040</v>
      </c>
      <c r="G19" s="80">
        <f>G17*G18*Assumptions!$F$19*12</f>
        <v>123649.19999999998</v>
      </c>
      <c r="H19" s="80">
        <f>H17*H18*Assumptions!$F$19*12</f>
        <v>132304.64399999997</v>
      </c>
      <c r="I19" s="93">
        <f>I17*I18*Assumptions!$F$19*12</f>
        <v>188754.62544</v>
      </c>
      <c r="K19" s="75"/>
      <c r="M19" s="78" t="s">
        <v>96</v>
      </c>
      <c r="N19" s="69">
        <f>12*150</f>
        <v>1800</v>
      </c>
      <c r="O19" s="69"/>
      <c r="P19" s="69"/>
      <c r="Q19" s="69"/>
      <c r="R19" s="70"/>
    </row>
    <row r="20" spans="4:18" x14ac:dyDescent="0.25">
      <c r="D20" s="78" t="s">
        <v>196</v>
      </c>
      <c r="E20" s="80">
        <f>Assumptions!F15</f>
        <v>500</v>
      </c>
      <c r="F20" s="131">
        <f>E20+E20*Assumptions!$F$17</f>
        <v>535</v>
      </c>
      <c r="G20" s="131">
        <f>F20+F20*Assumptions!$F$17</f>
        <v>572.45000000000005</v>
      </c>
      <c r="H20" s="131">
        <f>G20+G20*Assumptions!$F$17</f>
        <v>612.52150000000006</v>
      </c>
      <c r="I20" s="132">
        <f>H20+H20*Assumptions!$F$17</f>
        <v>655.39800500000001</v>
      </c>
      <c r="K20" s="57"/>
      <c r="M20" s="78" t="s">
        <v>158</v>
      </c>
      <c r="N20" s="69">
        <v>1200</v>
      </c>
      <c r="O20" s="69"/>
      <c r="P20" s="69"/>
      <c r="Q20" s="69"/>
      <c r="R20" s="70"/>
    </row>
    <row r="21" spans="4:18" x14ac:dyDescent="0.25">
      <c r="D21" s="78" t="s">
        <v>67</v>
      </c>
      <c r="E21" s="80">
        <f>E20*Assumptions!$F$16/60*'Cost Schedule'!E6</f>
        <v>150000</v>
      </c>
      <c r="F21" s="80">
        <f>F20*Assumptions!$F$16/60*'Cost Schedule'!F6</f>
        <v>192600</v>
      </c>
      <c r="G21" s="80">
        <f>G20*Assumptions!$F$16/60*'Cost Schedule'!G6</f>
        <v>247298.4</v>
      </c>
      <c r="H21" s="80">
        <f>H20*Assumptions!$F$16/60*'Cost Schedule'!H6</f>
        <v>317531.14559999999</v>
      </c>
      <c r="I21" s="93">
        <f>I20*Assumptions!$F$16/60*'Cost Schedule'!I6</f>
        <v>407709.99095039995</v>
      </c>
      <c r="M21" s="78" t="s">
        <v>95</v>
      </c>
      <c r="N21" s="69">
        <f>N35*12</f>
        <v>150</v>
      </c>
      <c r="O21" s="69"/>
      <c r="P21" s="69"/>
      <c r="Q21" s="69"/>
      <c r="R21" s="70"/>
    </row>
    <row r="22" spans="4:18" x14ac:dyDescent="0.25">
      <c r="D22" s="78" t="s">
        <v>94</v>
      </c>
      <c r="E22" s="80">
        <f>Assumptions!F12*Assumptions!F11</f>
        <v>2400000</v>
      </c>
      <c r="F22" s="131">
        <f>E22+E22*Assumptions!$F$13</f>
        <v>2568000</v>
      </c>
      <c r="G22" s="131">
        <f>F22+F22*Assumptions!$F$13</f>
        <v>2747760</v>
      </c>
      <c r="H22" s="131">
        <f>G22+G22*Assumptions!$F$13</f>
        <v>2940103.2</v>
      </c>
      <c r="I22" s="132">
        <f>H22+H22*Assumptions!$F$13</f>
        <v>3145910.4240000001</v>
      </c>
      <c r="M22" s="78" t="s">
        <v>129</v>
      </c>
      <c r="N22" s="69">
        <v>500</v>
      </c>
      <c r="O22" s="69"/>
      <c r="P22" s="69"/>
      <c r="Q22" s="69"/>
      <c r="R22" s="70"/>
    </row>
    <row r="23" spans="4:18" ht="13.8" thickBot="1" x14ac:dyDescent="0.3">
      <c r="D23" s="77"/>
      <c r="E23" s="69"/>
      <c r="F23" s="69"/>
      <c r="G23" s="69"/>
      <c r="H23" s="69"/>
      <c r="I23" s="70"/>
      <c r="M23" s="78" t="s">
        <v>130</v>
      </c>
      <c r="N23" s="69">
        <v>2</v>
      </c>
      <c r="O23" s="69"/>
      <c r="P23" s="69"/>
      <c r="Q23" s="69"/>
      <c r="R23" s="70"/>
    </row>
    <row r="24" spans="4:18" ht="13.8" thickBot="1" x14ac:dyDescent="0.3">
      <c r="D24" s="147" t="s">
        <v>107</v>
      </c>
      <c r="E24" s="153">
        <f>E22+E21+E19</f>
        <v>2622000</v>
      </c>
      <c r="F24" s="153">
        <f t="shared" ref="F24:I24" si="1">F22+F21+F19</f>
        <v>2837640</v>
      </c>
      <c r="G24" s="153">
        <f t="shared" si="1"/>
        <v>3118707.6</v>
      </c>
      <c r="H24" s="153">
        <f t="shared" si="1"/>
        <v>3389938.9896</v>
      </c>
      <c r="I24" s="261">
        <f t="shared" si="1"/>
        <v>3742375.0403904002</v>
      </c>
      <c r="M24" s="88" t="s">
        <v>93</v>
      </c>
      <c r="N24" s="69">
        <f>1500</f>
        <v>1500</v>
      </c>
      <c r="O24" s="69"/>
      <c r="P24" s="69"/>
      <c r="Q24" s="69"/>
      <c r="R24" s="70"/>
    </row>
    <row r="25" spans="4:18" ht="13.8" thickBot="1" x14ac:dyDescent="0.3">
      <c r="M25" s="86" t="s">
        <v>125</v>
      </c>
      <c r="N25" s="71">
        <f>12*2</f>
        <v>24</v>
      </c>
      <c r="O25" s="71"/>
      <c r="P25" s="71"/>
      <c r="Q25" s="71"/>
      <c r="R25" s="72"/>
    </row>
    <row r="26" spans="4:18" ht="13.8" thickBot="1" x14ac:dyDescent="0.3">
      <c r="M26" s="75"/>
      <c r="N26" s="69"/>
      <c r="O26" s="69"/>
      <c r="P26" s="69"/>
      <c r="Q26" s="69"/>
      <c r="R26" s="69"/>
    </row>
    <row r="27" spans="4:18" ht="13.8" thickBot="1" x14ac:dyDescent="0.3">
      <c r="D27" s="96" t="s">
        <v>97</v>
      </c>
      <c r="E27" s="262" t="s">
        <v>64</v>
      </c>
      <c r="M27" s="75"/>
      <c r="N27" s="69"/>
      <c r="O27" s="69"/>
      <c r="P27" s="69"/>
      <c r="Q27" s="69"/>
      <c r="R27" s="69"/>
    </row>
    <row r="28" spans="4:18" x14ac:dyDescent="0.25">
      <c r="D28" s="78" t="s">
        <v>98</v>
      </c>
      <c r="E28" s="93">
        <f>Assumptions!F25</f>
        <v>215</v>
      </c>
      <c r="M28" s="75"/>
      <c r="N28" s="69"/>
      <c r="O28" s="69"/>
      <c r="P28" s="69"/>
      <c r="Q28" s="69"/>
      <c r="R28" s="69"/>
    </row>
    <row r="29" spans="4:18" x14ac:dyDescent="0.25">
      <c r="D29" s="78" t="s">
        <v>99</v>
      </c>
      <c r="E29" s="93">
        <f>Assumptions!F26</f>
        <v>679</v>
      </c>
      <c r="M29" s="75"/>
      <c r="N29" s="69"/>
      <c r="O29" s="69"/>
      <c r="P29" s="69"/>
      <c r="Q29" s="69"/>
      <c r="R29" s="69"/>
    </row>
    <row r="30" spans="4:18" x14ac:dyDescent="0.25">
      <c r="D30" s="78" t="s">
        <v>101</v>
      </c>
      <c r="E30" s="93">
        <f>Assumptions!F27</f>
        <v>1369</v>
      </c>
      <c r="M30" s="75"/>
      <c r="N30" s="69"/>
      <c r="O30" s="69"/>
      <c r="P30" s="69"/>
      <c r="Q30" s="69"/>
      <c r="R30" s="69"/>
    </row>
    <row r="31" spans="4:18" ht="13.8" thickBot="1" x14ac:dyDescent="0.3">
      <c r="D31" s="78" t="s">
        <v>100</v>
      </c>
      <c r="E31" s="93">
        <f>Assumptions!F28</f>
        <v>110</v>
      </c>
    </row>
    <row r="32" spans="4:18" ht="13.8" thickBot="1" x14ac:dyDescent="0.3">
      <c r="D32" s="78" t="s">
        <v>105</v>
      </c>
      <c r="E32" s="93">
        <f>Assumptions!F29</f>
        <v>400</v>
      </c>
      <c r="M32" s="105" t="s">
        <v>127</v>
      </c>
      <c r="N32" s="97" t="s">
        <v>88</v>
      </c>
      <c r="O32" s="97" t="s">
        <v>89</v>
      </c>
      <c r="P32" s="97" t="s">
        <v>90</v>
      </c>
      <c r="Q32" s="97" t="s">
        <v>91</v>
      </c>
      <c r="R32" s="98" t="s">
        <v>92</v>
      </c>
    </row>
    <row r="33" spans="3:18" x14ac:dyDescent="0.25">
      <c r="D33" s="78" t="s">
        <v>104</v>
      </c>
      <c r="E33" s="93">
        <f>Assumptions!F30</f>
        <v>10500</v>
      </c>
      <c r="M33" s="104" t="s">
        <v>126</v>
      </c>
      <c r="N33" s="69">
        <v>150</v>
      </c>
      <c r="O33" s="69"/>
      <c r="P33" s="69"/>
      <c r="Q33" s="69"/>
      <c r="R33" s="69"/>
    </row>
    <row r="34" spans="3:18" x14ac:dyDescent="0.25">
      <c r="D34" s="78" t="s">
        <v>106</v>
      </c>
      <c r="E34" s="93">
        <f>Assumptions!F31</f>
        <v>1299</v>
      </c>
      <c r="M34" s="75" t="s">
        <v>128</v>
      </c>
      <c r="N34">
        <v>5</v>
      </c>
    </row>
    <row r="35" spans="3:18" ht="13.8" thickBot="1" x14ac:dyDescent="0.3">
      <c r="D35" s="77"/>
      <c r="E35" s="70"/>
      <c r="M35" s="75" t="s">
        <v>146</v>
      </c>
      <c r="N35">
        <f>N34*N33/60</f>
        <v>12.5</v>
      </c>
    </row>
    <row r="36" spans="3:18" ht="13.8" thickBot="1" x14ac:dyDescent="0.3">
      <c r="D36" s="147" t="s">
        <v>108</v>
      </c>
      <c r="E36" s="261">
        <f>SUM(E28:E34)</f>
        <v>14572</v>
      </c>
      <c r="M36" s="75"/>
    </row>
    <row r="40" spans="3:18" ht="13.8" thickBot="1" x14ac:dyDescent="0.3"/>
    <row r="41" spans="3:18" ht="13.8" thickBot="1" x14ac:dyDescent="0.3">
      <c r="D41" s="99" t="s">
        <v>110</v>
      </c>
      <c r="E41" s="100" t="s">
        <v>88</v>
      </c>
      <c r="F41" s="100" t="s">
        <v>89</v>
      </c>
      <c r="G41" s="100" t="s">
        <v>90</v>
      </c>
      <c r="H41" s="100" t="s">
        <v>91</v>
      </c>
      <c r="I41" s="101" t="s">
        <v>92</v>
      </c>
    </row>
    <row r="42" spans="3:18" ht="13.8" thickBot="1" x14ac:dyDescent="0.3">
      <c r="D42" s="85" t="s">
        <v>185</v>
      </c>
      <c r="E42" s="87">
        <f>Assumptions!F36*12</f>
        <v>2700</v>
      </c>
      <c r="F42" s="133">
        <f>E42+E42*Assumptions!$F$37</f>
        <v>2835</v>
      </c>
      <c r="G42" s="133">
        <f>F42+F42*Assumptions!$F$37</f>
        <v>2976.75</v>
      </c>
      <c r="H42" s="133">
        <f>G42+G42*Assumptions!$F$37</f>
        <v>3125.5875000000001</v>
      </c>
      <c r="I42" s="135">
        <f>H42+H42*Assumptions!$F$37</f>
        <v>3281.8668750000002</v>
      </c>
    </row>
    <row r="43" spans="3:18" x14ac:dyDescent="0.25">
      <c r="C43" s="84"/>
    </row>
    <row r="44" spans="3:18" ht="13.8" thickBot="1" x14ac:dyDescent="0.3"/>
    <row r="45" spans="3:18" ht="13.8" thickBot="1" x14ac:dyDescent="0.3">
      <c r="D45" s="96" t="s">
        <v>112</v>
      </c>
      <c r="E45" s="97" t="s">
        <v>88</v>
      </c>
      <c r="F45" s="97" t="s">
        <v>89</v>
      </c>
      <c r="G45" s="97" t="s">
        <v>90</v>
      </c>
      <c r="H45" s="97" t="s">
        <v>91</v>
      </c>
      <c r="I45" s="98" t="s">
        <v>92</v>
      </c>
    </row>
    <row r="46" spans="3:18" x14ac:dyDescent="0.25">
      <c r="D46" s="88" t="s">
        <v>111</v>
      </c>
      <c r="E46" s="80">
        <f>Assumptions!F39*Assumptions!F38*Assumptions!F6</f>
        <v>1260</v>
      </c>
      <c r="F46" s="131">
        <f>E46+E46*Assumptions!$F$41</f>
        <v>1348.2</v>
      </c>
      <c r="G46" s="131">
        <f>F46+F46*Assumptions!$F$41</f>
        <v>1442.5740000000001</v>
      </c>
      <c r="H46" s="131">
        <f>G46+G46*Assumptions!$F$41</f>
        <v>1543.5541800000001</v>
      </c>
      <c r="I46" s="132">
        <f>H46+H46*Assumptions!$F$41</f>
        <v>1651.6029726000002</v>
      </c>
    </row>
    <row r="47" spans="3:18" x14ac:dyDescent="0.25">
      <c r="D47" s="88" t="s">
        <v>72</v>
      </c>
      <c r="E47" s="80">
        <f>Assumptions!F40*6</f>
        <v>22200</v>
      </c>
      <c r="F47" s="131">
        <f>4700*4</f>
        <v>18800</v>
      </c>
      <c r="G47" s="131">
        <f>4700*4</f>
        <v>18800</v>
      </c>
      <c r="H47" s="131">
        <f>7300*3</f>
        <v>21900</v>
      </c>
      <c r="I47" s="132">
        <f>7300*3</f>
        <v>21900</v>
      </c>
    </row>
    <row r="48" spans="3:18" ht="13.8" thickBot="1" x14ac:dyDescent="0.3">
      <c r="D48" s="77"/>
      <c r="E48" s="69"/>
      <c r="F48" s="69"/>
      <c r="G48" s="69"/>
      <c r="H48" s="69"/>
      <c r="I48" s="70"/>
    </row>
    <row r="49" spans="3:11" ht="13.8" thickBot="1" x14ac:dyDescent="0.3">
      <c r="D49" s="147" t="s">
        <v>113</v>
      </c>
      <c r="E49" s="150">
        <f>SUM(E46:E47)</f>
        <v>23460</v>
      </c>
      <c r="F49" s="150">
        <f t="shared" ref="F49:I49" si="2">SUM(F46:F47)</f>
        <v>20148.2</v>
      </c>
      <c r="G49" s="150">
        <f t="shared" si="2"/>
        <v>20242.574000000001</v>
      </c>
      <c r="H49" s="150">
        <f t="shared" si="2"/>
        <v>23443.554179999999</v>
      </c>
      <c r="I49" s="151">
        <f t="shared" si="2"/>
        <v>23551.602972600002</v>
      </c>
    </row>
    <row r="50" spans="3:11" ht="13.8" thickBot="1" x14ac:dyDescent="0.3"/>
    <row r="51" spans="3:11" ht="13.8" thickBot="1" x14ac:dyDescent="0.3">
      <c r="D51" s="96" t="s">
        <v>114</v>
      </c>
      <c r="E51" s="97" t="s">
        <v>88</v>
      </c>
      <c r="F51" s="97" t="s">
        <v>89</v>
      </c>
      <c r="G51" s="97" t="s">
        <v>90</v>
      </c>
      <c r="H51" s="97" t="s">
        <v>91</v>
      </c>
      <c r="I51" s="98" t="s">
        <v>92</v>
      </c>
    </row>
    <row r="52" spans="3:11" ht="13.8" thickBot="1" x14ac:dyDescent="0.3">
      <c r="D52" s="79" t="s">
        <v>114</v>
      </c>
      <c r="E52" s="73">
        <v>7700</v>
      </c>
      <c r="F52" s="134">
        <f>E52+E52*Assumptions!$F$37</f>
        <v>8085</v>
      </c>
      <c r="G52" s="134">
        <f>F52+F52*Assumptions!$F$37</f>
        <v>8489.25</v>
      </c>
      <c r="H52" s="134">
        <f>G52+G52*Assumptions!$F$37</f>
        <v>8913.7124999999996</v>
      </c>
      <c r="I52" s="136">
        <f>H52+H52*Assumptions!$F$37</f>
        <v>9359.3981249999997</v>
      </c>
    </row>
    <row r="53" spans="3:11" ht="13.8" thickBot="1" x14ac:dyDescent="0.3"/>
    <row r="54" spans="3:11" ht="13.8" thickBot="1" x14ac:dyDescent="0.3">
      <c r="D54" s="96" t="s">
        <v>115</v>
      </c>
      <c r="E54" s="97" t="s">
        <v>88</v>
      </c>
      <c r="F54" s="97" t="s">
        <v>89</v>
      </c>
      <c r="G54" s="97" t="s">
        <v>90</v>
      </c>
      <c r="H54" s="97" t="s">
        <v>91</v>
      </c>
      <c r="I54" s="98" t="s">
        <v>92</v>
      </c>
    </row>
    <row r="55" spans="3:11" ht="13.8" thickBot="1" x14ac:dyDescent="0.3">
      <c r="D55" s="144" t="s">
        <v>159</v>
      </c>
      <c r="E55" s="145">
        <f>Assumptions!$F$44</f>
        <v>0.12</v>
      </c>
      <c r="F55" s="145">
        <f>Assumptions!$F$44</f>
        <v>0.12</v>
      </c>
      <c r="G55" s="145">
        <f>Assumptions!$F$44</f>
        <v>0.12</v>
      </c>
      <c r="H55" s="145">
        <f>Assumptions!$F$44</f>
        <v>0.12</v>
      </c>
      <c r="I55" s="146">
        <f>Assumptions!$F$44</f>
        <v>0.12</v>
      </c>
    </row>
    <row r="56" spans="3:11" ht="13.8" thickBot="1" x14ac:dyDescent="0.3">
      <c r="D56" s="147" t="s">
        <v>116</v>
      </c>
      <c r="E56" s="148">
        <f>E55*E12</f>
        <v>259200</v>
      </c>
      <c r="F56" s="148">
        <f>F55*F12</f>
        <v>332812.79999999999</v>
      </c>
      <c r="G56" s="148">
        <f>G55*G12</f>
        <v>427331.63520000002</v>
      </c>
      <c r="H56" s="148">
        <f>H55*H12</f>
        <v>548693.81959680002</v>
      </c>
      <c r="I56" s="149">
        <f>I55*I12</f>
        <v>704522.86436229129</v>
      </c>
    </row>
    <row r="58" spans="3:11" ht="13.8" thickBot="1" x14ac:dyDescent="0.3"/>
    <row r="59" spans="3:11" ht="13.8" thickBot="1" x14ac:dyDescent="0.3">
      <c r="D59" s="126" t="s">
        <v>172</v>
      </c>
      <c r="E59" s="127" t="s">
        <v>88</v>
      </c>
      <c r="F59" s="127" t="s">
        <v>89</v>
      </c>
      <c r="G59" s="127" t="s">
        <v>90</v>
      </c>
      <c r="H59" s="127" t="s">
        <v>91</v>
      </c>
      <c r="I59" s="128" t="s">
        <v>92</v>
      </c>
      <c r="K59" s="94"/>
    </row>
    <row r="60" spans="3:11" ht="13.8" thickBot="1" x14ac:dyDescent="0.3">
      <c r="C60" s="84"/>
      <c r="D60" s="79" t="s">
        <v>173</v>
      </c>
      <c r="E60" s="71">
        <f>Assumptions!F34</f>
        <v>22125</v>
      </c>
      <c r="F60" s="138">
        <f>E60+E60*Assumptions!$F$35</f>
        <v>23231.25</v>
      </c>
      <c r="G60" s="138">
        <f>F60+F60*Assumptions!$F$35</f>
        <v>24392.8125</v>
      </c>
      <c r="H60" s="138">
        <f>G60+G60*Assumptions!$F$35</f>
        <v>25612.453125</v>
      </c>
      <c r="I60" s="139">
        <f>H60+H60*Assumptions!$F$35</f>
        <v>26893.075781250001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5703-E9B8-430D-8F74-7EA5171D2B63}">
  <dimension ref="B1:O29"/>
  <sheetViews>
    <sheetView workbookViewId="0">
      <selection activeCell="H3" sqref="H3"/>
    </sheetView>
  </sheetViews>
  <sheetFormatPr defaultRowHeight="13.2" x14ac:dyDescent="0.25"/>
  <cols>
    <col min="2" max="3" width="10.33203125" bestFit="1" customWidth="1"/>
    <col min="4" max="9" width="12.77734375" bestFit="1" customWidth="1"/>
    <col min="10" max="10" width="17.77734375" bestFit="1" customWidth="1"/>
    <col min="11" max="11" width="8.88671875" customWidth="1"/>
    <col min="12" max="12" width="14.5546875" customWidth="1"/>
    <col min="13" max="13" width="10" customWidth="1"/>
    <col min="14" max="14" width="9.21875" bestFit="1" customWidth="1"/>
    <col min="17" max="17" width="9.21875" bestFit="1" customWidth="1"/>
  </cols>
  <sheetData>
    <row r="1" spans="2:15" ht="13.8" thickBot="1" x14ac:dyDescent="0.3"/>
    <row r="2" spans="2:15" ht="13.8" thickBot="1" x14ac:dyDescent="0.3">
      <c r="B2" s="245" t="s">
        <v>26</v>
      </c>
      <c r="C2" s="247"/>
      <c r="D2" s="56"/>
      <c r="L2" s="74" t="s">
        <v>123</v>
      </c>
      <c r="M2" s="239" t="s">
        <v>124</v>
      </c>
      <c r="N2" s="234"/>
    </row>
    <row r="3" spans="2:15" x14ac:dyDescent="0.25">
      <c r="B3" s="78" t="s">
        <v>33</v>
      </c>
      <c r="C3" s="93">
        <f>'Cost Schedule'!E36</f>
        <v>14572</v>
      </c>
      <c r="L3" s="102" t="s">
        <v>121</v>
      </c>
      <c r="M3" s="237">
        <v>10</v>
      </c>
      <c r="N3" s="238"/>
    </row>
    <row r="4" spans="2:15" ht="13.8" thickBot="1" x14ac:dyDescent="0.3">
      <c r="B4" s="78" t="s">
        <v>31</v>
      </c>
      <c r="C4" s="93">
        <f>'Cost Schedule'!E52</f>
        <v>7700</v>
      </c>
      <c r="L4" s="103" t="s">
        <v>122</v>
      </c>
      <c r="M4" s="235">
        <f>'Cost Schedule'!N33*M3</f>
        <v>1500</v>
      </c>
      <c r="N4" s="236"/>
    </row>
    <row r="5" spans="2:15" x14ac:dyDescent="0.25">
      <c r="B5" s="78" t="s">
        <v>74</v>
      </c>
      <c r="C5" s="93">
        <f>'Cost Schedule'!E42</f>
        <v>2700</v>
      </c>
      <c r="H5" s="94"/>
      <c r="L5" s="56"/>
    </row>
    <row r="6" spans="2:15" x14ac:dyDescent="0.25">
      <c r="B6" s="78" t="s">
        <v>75</v>
      </c>
      <c r="C6" s="93">
        <f>'Cost Schedule'!E60</f>
        <v>22125</v>
      </c>
      <c r="L6" s="56"/>
    </row>
    <row r="7" spans="2:15" ht="13.8" thickBot="1" x14ac:dyDescent="0.3">
      <c r="B7" s="78" t="s">
        <v>77</v>
      </c>
      <c r="C7" s="93">
        <f>'Cost Schedule'!E22</f>
        <v>2400000</v>
      </c>
      <c r="L7" s="56"/>
      <c r="O7" s="94"/>
    </row>
    <row r="8" spans="2:15" ht="13.8" thickBot="1" x14ac:dyDescent="0.3">
      <c r="B8" s="147" t="s">
        <v>113</v>
      </c>
      <c r="C8" s="263">
        <f>SUM(C3:C7)</f>
        <v>2447097</v>
      </c>
      <c r="L8" s="56"/>
    </row>
    <row r="9" spans="2:15" ht="13.8" thickBot="1" x14ac:dyDescent="0.3">
      <c r="G9" s="56"/>
      <c r="I9" s="56"/>
      <c r="J9" s="95"/>
    </row>
    <row r="10" spans="2:15" ht="13.8" thickBot="1" x14ac:dyDescent="0.3">
      <c r="C10" s="126" t="s">
        <v>26</v>
      </c>
      <c r="D10" s="127" t="s">
        <v>88</v>
      </c>
      <c r="E10" s="127" t="s">
        <v>89</v>
      </c>
      <c r="F10" s="127" t="s">
        <v>90</v>
      </c>
      <c r="G10" s="127" t="s">
        <v>91</v>
      </c>
      <c r="H10" s="128" t="s">
        <v>92</v>
      </c>
      <c r="I10" s="56"/>
      <c r="J10" s="126" t="s">
        <v>227</v>
      </c>
      <c r="K10" s="127" t="s">
        <v>88</v>
      </c>
      <c r="L10" s="127" t="s">
        <v>89</v>
      </c>
      <c r="M10" s="127" t="s">
        <v>90</v>
      </c>
      <c r="N10" s="127" t="s">
        <v>91</v>
      </c>
      <c r="O10" s="128" t="s">
        <v>92</v>
      </c>
    </row>
    <row r="11" spans="2:15" x14ac:dyDescent="0.25">
      <c r="C11" s="78" t="s">
        <v>33</v>
      </c>
      <c r="D11" s="157">
        <f>Depriciation!F10</f>
        <v>14572</v>
      </c>
      <c r="E11" s="157">
        <f>Depriciation!G10</f>
        <v>12386.2</v>
      </c>
      <c r="F11" s="157">
        <f>Depriciation!H10</f>
        <v>10528.27</v>
      </c>
      <c r="G11" s="157">
        <f>Depriciation!I10</f>
        <v>8949.0295000000006</v>
      </c>
      <c r="H11" s="212">
        <f>Depriciation!J10</f>
        <v>7606.675075000001</v>
      </c>
      <c r="J11" s="78" t="s">
        <v>228</v>
      </c>
      <c r="K11" s="142">
        <f>'Cost Schedule'!E20</f>
        <v>500</v>
      </c>
      <c r="L11" s="142">
        <f>'Cost Schedule'!F20</f>
        <v>535</v>
      </c>
      <c r="M11" s="142">
        <f>'Cost Schedule'!G20</f>
        <v>572.45000000000005</v>
      </c>
      <c r="N11" s="142">
        <f>'Cost Schedule'!H20</f>
        <v>612.52150000000006</v>
      </c>
      <c r="O11" s="143">
        <f>'Cost Schedule'!I20</f>
        <v>655.39800500000001</v>
      </c>
    </row>
    <row r="12" spans="2:15" ht="26.4" x14ac:dyDescent="0.25">
      <c r="C12" s="78" t="s">
        <v>31</v>
      </c>
      <c r="D12" s="157">
        <f>'Cost Schedule'!E52</f>
        <v>7700</v>
      </c>
      <c r="E12" s="157">
        <f>'Cost Schedule'!F52</f>
        <v>8085</v>
      </c>
      <c r="F12" s="157">
        <f>'Cost Schedule'!G52</f>
        <v>8489.25</v>
      </c>
      <c r="G12" s="157">
        <f>'Cost Schedule'!H52</f>
        <v>8913.7124999999996</v>
      </c>
      <c r="H12" s="212">
        <f>'Cost Schedule'!I52</f>
        <v>9359.3981249999997</v>
      </c>
      <c r="J12" s="213" t="s">
        <v>229</v>
      </c>
      <c r="K12" s="142">
        <f>$M$3*'Cost Schedule'!E5/60</f>
        <v>25</v>
      </c>
      <c r="L12" s="142">
        <f>$M$3*'Cost Schedule'!F5/60</f>
        <v>30</v>
      </c>
      <c r="M12" s="142">
        <f>$M$3*'Cost Schedule'!G5/60</f>
        <v>36</v>
      </c>
      <c r="N12" s="142">
        <f>$M$3*'Cost Schedule'!H5/60</f>
        <v>43.2</v>
      </c>
      <c r="O12" s="143">
        <f>$M$3*'Cost Schedule'!I5/60</f>
        <v>51.839999999999996</v>
      </c>
    </row>
    <row r="13" spans="2:15" ht="13.8" thickBot="1" x14ac:dyDescent="0.3">
      <c r="C13" s="78" t="s">
        <v>74</v>
      </c>
      <c r="D13" s="157">
        <f>'Cost Schedule'!E42</f>
        <v>2700</v>
      </c>
      <c r="E13" s="157">
        <f>'Cost Schedule'!F42</f>
        <v>2835</v>
      </c>
      <c r="F13" s="157">
        <f>'Cost Schedule'!G42</f>
        <v>2976.75</v>
      </c>
      <c r="G13" s="157">
        <f>'Cost Schedule'!H42</f>
        <v>3125.5875000000001</v>
      </c>
      <c r="H13" s="212">
        <f>'Cost Schedule'!I42</f>
        <v>3281.8668750000002</v>
      </c>
      <c r="I13" s="129"/>
      <c r="J13" s="79" t="s">
        <v>230</v>
      </c>
      <c r="K13" s="138">
        <f>K12*K11</f>
        <v>12500</v>
      </c>
      <c r="L13" s="138">
        <f t="shared" ref="L13:O13" si="0">L12*L11</f>
        <v>16050</v>
      </c>
      <c r="M13" s="138">
        <f t="shared" si="0"/>
        <v>20608.2</v>
      </c>
      <c r="N13" s="138">
        <f t="shared" si="0"/>
        <v>26460.928800000005</v>
      </c>
      <c r="O13" s="139">
        <f t="shared" si="0"/>
        <v>33975.832579199996</v>
      </c>
    </row>
    <row r="14" spans="2:15" x14ac:dyDescent="0.25">
      <c r="C14" s="78" t="s">
        <v>75</v>
      </c>
      <c r="D14" s="157">
        <f>'Cost Schedule'!E60</f>
        <v>22125</v>
      </c>
      <c r="E14" s="157">
        <f>'Cost Schedule'!F60</f>
        <v>23231.25</v>
      </c>
      <c r="F14" s="157">
        <f>'Cost Schedule'!G60</f>
        <v>24392.8125</v>
      </c>
      <c r="G14" s="157">
        <f>'Cost Schedule'!H60</f>
        <v>25612.453125</v>
      </c>
      <c r="H14" s="212">
        <f>'Cost Schedule'!I60</f>
        <v>26893.075781250001</v>
      </c>
      <c r="J14" s="78" t="s">
        <v>231</v>
      </c>
      <c r="K14" s="142">
        <f>K13/'Cost Schedule'!E5</f>
        <v>83.333333333333329</v>
      </c>
      <c r="L14" s="142">
        <f>L13/'Cost Schedule'!F5</f>
        <v>89.166666666666671</v>
      </c>
      <c r="M14" s="142">
        <f>M13/'Cost Schedule'!G5</f>
        <v>95.408333333333331</v>
      </c>
      <c r="N14" s="142">
        <f>N13/'Cost Schedule'!H5</f>
        <v>102.0869166666667</v>
      </c>
      <c r="O14" s="143">
        <f>O13/'Cost Schedule'!I5</f>
        <v>109.23300083333334</v>
      </c>
    </row>
    <row r="15" spans="2:15" ht="13.8" thickBot="1" x14ac:dyDescent="0.3">
      <c r="C15" s="78" t="s">
        <v>77</v>
      </c>
      <c r="D15" s="157">
        <f>'Cost Schedule'!E22</f>
        <v>2400000</v>
      </c>
      <c r="E15" s="157">
        <f>'Cost Schedule'!F22</f>
        <v>2568000</v>
      </c>
      <c r="F15" s="157">
        <f>'Cost Schedule'!G22</f>
        <v>2747760</v>
      </c>
      <c r="G15" s="157">
        <f>'Cost Schedule'!H22</f>
        <v>2940103.2</v>
      </c>
      <c r="H15" s="212">
        <f>'Cost Schedule'!I22</f>
        <v>3145910.4240000001</v>
      </c>
      <c r="J15" s="78" t="s">
        <v>232</v>
      </c>
      <c r="K15" s="142">
        <f>'Cost Schedule'!E47/'Cost Schedule'!E6</f>
        <v>12.333333333333334</v>
      </c>
      <c r="L15" s="142">
        <f>'Cost Schedule'!F47/'Cost Schedule'!F6</f>
        <v>8.7037037037037042</v>
      </c>
      <c r="M15" s="142">
        <f>'Cost Schedule'!G47/'Cost Schedule'!G6</f>
        <v>7.2530864197530862</v>
      </c>
      <c r="N15" s="142">
        <f>'Cost Schedule'!H47/'Cost Schedule'!H6</f>
        <v>7.0408950617283956</v>
      </c>
      <c r="O15" s="143">
        <f>'Cost Schedule'!I47/'Cost Schedule'!I6</f>
        <v>5.8674125514403297</v>
      </c>
    </row>
    <row r="16" spans="2:15" ht="13.8" thickBot="1" x14ac:dyDescent="0.3">
      <c r="C16" s="147" t="s">
        <v>226</v>
      </c>
      <c r="D16" s="264">
        <f>SUM(D11:D15)</f>
        <v>2447097</v>
      </c>
      <c r="E16" s="264">
        <f t="shared" ref="E16:H16" si="1">SUM(E11:E15)</f>
        <v>2614537.4500000002</v>
      </c>
      <c r="F16" s="264">
        <f t="shared" si="1"/>
        <v>2794147.0825</v>
      </c>
      <c r="G16" s="264">
        <f t="shared" si="1"/>
        <v>2986703.9826250002</v>
      </c>
      <c r="H16" s="263">
        <f t="shared" si="1"/>
        <v>3193051.4398562503</v>
      </c>
      <c r="J16" s="78" t="s">
        <v>235</v>
      </c>
      <c r="K16" s="214">
        <f>'Cost Schedule'!E46/'Cost Schedule'!E6</f>
        <v>0.7</v>
      </c>
      <c r="L16" s="214">
        <f>'Cost Schedule'!F46/'Cost Schedule'!F6</f>
        <v>0.62416666666666665</v>
      </c>
      <c r="M16" s="214">
        <f>'Cost Schedule'!G46/'Cost Schedule'!G6</f>
        <v>0.55654861111111109</v>
      </c>
      <c r="N16" s="214">
        <f>'Cost Schedule'!H46/'Cost Schedule'!H6</f>
        <v>0.49625584490740748</v>
      </c>
      <c r="O16" s="215">
        <f>'Cost Schedule'!I46/'Cost Schedule'!I6</f>
        <v>0.44249479504243838</v>
      </c>
    </row>
    <row r="17" spans="4:15" x14ac:dyDescent="0.25">
      <c r="J17" s="78" t="s">
        <v>276</v>
      </c>
      <c r="K17" s="214">
        <f>'Cost Schedule'!E56/'Cost Schedule'!E6</f>
        <v>144</v>
      </c>
      <c r="L17" s="214">
        <f>'Cost Schedule'!F56/'Cost Schedule'!F6</f>
        <v>154.07999999999998</v>
      </c>
      <c r="M17" s="214">
        <f>'Cost Schedule'!G56/'Cost Schedule'!G6</f>
        <v>164.8656</v>
      </c>
      <c r="N17" s="214">
        <f>'Cost Schedule'!H56/'Cost Schedule'!H6</f>
        <v>176.40619200000003</v>
      </c>
      <c r="O17" s="215">
        <f>'Cost Schedule'!I56/'Cost Schedule'!I6</f>
        <v>188.75462544000004</v>
      </c>
    </row>
    <row r="18" spans="4:15" ht="13.8" thickBot="1" x14ac:dyDescent="0.3">
      <c r="J18" s="88" t="s">
        <v>234</v>
      </c>
      <c r="K18" s="142">
        <f>'Cost Schedule'!E19/'Cost Schedule'!E6</f>
        <v>40</v>
      </c>
      <c r="L18" s="142">
        <f>'Cost Schedule'!F19/'Cost Schedule'!F6</f>
        <v>35.666666666666664</v>
      </c>
      <c r="M18" s="142">
        <f>'Cost Schedule'!G19/'Cost Schedule'!G6</f>
        <v>47.704166666666659</v>
      </c>
      <c r="N18" s="142">
        <f>'Cost Schedule'!H19/'Cost Schedule'!H6</f>
        <v>42.536215277777771</v>
      </c>
      <c r="O18" s="143">
        <f>'Cost Schedule'!I19/'Cost Schedule'!I6</f>
        <v>50.570833719135813</v>
      </c>
    </row>
    <row r="19" spans="4:15" ht="13.8" thickBot="1" x14ac:dyDescent="0.3">
      <c r="J19" s="147" t="s">
        <v>233</v>
      </c>
      <c r="K19" s="208">
        <f>SUM(K14:K18)</f>
        <v>280.36666666666667</v>
      </c>
      <c r="L19" s="208">
        <f>SUM(L14:L18)</f>
        <v>288.24120370370372</v>
      </c>
      <c r="M19" s="208">
        <f>SUM(M14:M18)</f>
        <v>315.78773503086416</v>
      </c>
      <c r="N19" s="208">
        <f>SUM(N14:N18)</f>
        <v>328.56647485108033</v>
      </c>
      <c r="O19" s="209">
        <f>SUM(O14:O18)</f>
        <v>354.86836733895194</v>
      </c>
    </row>
    <row r="23" spans="4:15" ht="13.8" thickBot="1" x14ac:dyDescent="0.3"/>
    <row r="24" spans="4:15" ht="13.8" thickBot="1" x14ac:dyDescent="0.3">
      <c r="D24" s="126" t="s">
        <v>16</v>
      </c>
      <c r="E24" s="127" t="s">
        <v>88</v>
      </c>
      <c r="F24" s="127" t="s">
        <v>89</v>
      </c>
      <c r="G24" s="127" t="s">
        <v>90</v>
      </c>
      <c r="H24" s="127" t="s">
        <v>91</v>
      </c>
      <c r="I24" s="128" t="s">
        <v>92</v>
      </c>
    </row>
    <row r="25" spans="4:15" x14ac:dyDescent="0.25">
      <c r="D25" s="78" t="s">
        <v>26</v>
      </c>
      <c r="E25" s="131">
        <f>D16</f>
        <v>2447097</v>
      </c>
      <c r="F25" s="131">
        <f t="shared" ref="F25:I25" si="2">E16</f>
        <v>2614537.4500000002</v>
      </c>
      <c r="G25" s="131">
        <f t="shared" si="2"/>
        <v>2794147.0825</v>
      </c>
      <c r="H25" s="131">
        <f t="shared" si="2"/>
        <v>2986703.9826250002</v>
      </c>
      <c r="I25" s="132">
        <f t="shared" si="2"/>
        <v>3193051.4398562503</v>
      </c>
    </row>
    <row r="26" spans="4:15" x14ac:dyDescent="0.25">
      <c r="D26" s="78" t="s">
        <v>227</v>
      </c>
      <c r="E26" s="142">
        <f>K19</f>
        <v>280.36666666666667</v>
      </c>
      <c r="F26" s="142">
        <f t="shared" ref="F26:I26" si="3">L19</f>
        <v>288.24120370370372</v>
      </c>
      <c r="G26" s="142">
        <f t="shared" si="3"/>
        <v>315.78773503086416</v>
      </c>
      <c r="H26" s="142">
        <f t="shared" si="3"/>
        <v>328.56647485108033</v>
      </c>
      <c r="I26" s="143">
        <f t="shared" si="3"/>
        <v>354.86836733895194</v>
      </c>
    </row>
    <row r="27" spans="4:15" x14ac:dyDescent="0.25">
      <c r="D27" s="78" t="s">
        <v>158</v>
      </c>
      <c r="E27" s="142">
        <f>'Cost Schedule'!E11</f>
        <v>1200</v>
      </c>
      <c r="F27" s="142">
        <f>'Cost Schedule'!F11</f>
        <v>1284</v>
      </c>
      <c r="G27" s="142">
        <f>'Cost Schedule'!G11</f>
        <v>1373.88</v>
      </c>
      <c r="H27" s="142">
        <f>'Cost Schedule'!H11</f>
        <v>1470.0516000000002</v>
      </c>
      <c r="I27" s="143">
        <f>'Cost Schedule'!I11</f>
        <v>1572.9552120000003</v>
      </c>
    </row>
    <row r="28" spans="4:15" ht="13.8" thickBot="1" x14ac:dyDescent="0.3">
      <c r="D28" s="78" t="s">
        <v>14</v>
      </c>
      <c r="E28" s="142">
        <f>E27-E26</f>
        <v>919.63333333333333</v>
      </c>
      <c r="F28" s="142">
        <f t="shared" ref="F28:I28" si="4">F27-F26</f>
        <v>995.75879629629628</v>
      </c>
      <c r="G28" s="142">
        <f t="shared" si="4"/>
        <v>1058.0922649691361</v>
      </c>
      <c r="H28" s="142">
        <f t="shared" si="4"/>
        <v>1141.4851251489199</v>
      </c>
      <c r="I28" s="143">
        <f t="shared" si="4"/>
        <v>1218.0868446610484</v>
      </c>
    </row>
    <row r="29" spans="4:15" ht="13.8" thickBot="1" x14ac:dyDescent="0.3">
      <c r="D29" s="147" t="s">
        <v>16</v>
      </c>
      <c r="E29" s="265">
        <f>E25/E28</f>
        <v>2660.9485664576464</v>
      </c>
      <c r="F29" s="265">
        <f t="shared" ref="F29:I29" si="5">F25/F28</f>
        <v>2625.6734660288384</v>
      </c>
      <c r="G29" s="265">
        <f t="shared" si="5"/>
        <v>2640.740486446618</v>
      </c>
      <c r="H29" s="265">
        <f t="shared" si="5"/>
        <v>2616.5071421630223</v>
      </c>
      <c r="I29" s="266">
        <f t="shared" si="5"/>
        <v>2621.3660001760927</v>
      </c>
    </row>
  </sheetData>
  <mergeCells count="4">
    <mergeCell ref="B2:C2"/>
    <mergeCell ref="M4:N4"/>
    <mergeCell ref="M3:N3"/>
    <mergeCell ref="M2:N2"/>
  </mergeCells>
  <phoneticPr fontId="1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1F3D-2CF6-4B2B-B0AA-1176D9DD7B3E}">
  <dimension ref="E8:J11"/>
  <sheetViews>
    <sheetView tabSelected="1" workbookViewId="0">
      <selection activeCell="E17" sqref="E17"/>
    </sheetView>
  </sheetViews>
  <sheetFormatPr defaultRowHeight="13.2" x14ac:dyDescent="0.25"/>
  <cols>
    <col min="5" max="5" width="30.21875" bestFit="1" customWidth="1"/>
  </cols>
  <sheetData>
    <row r="8" spans="5:10" ht="13.8" thickBot="1" x14ac:dyDescent="0.3"/>
    <row r="9" spans="5:10" ht="13.8" thickBot="1" x14ac:dyDescent="0.3">
      <c r="E9" s="89" t="s">
        <v>203</v>
      </c>
      <c r="F9" s="90" t="s">
        <v>88</v>
      </c>
      <c r="G9" s="90" t="s">
        <v>89</v>
      </c>
      <c r="H9" s="90" t="s">
        <v>90</v>
      </c>
      <c r="I9" s="90" t="s">
        <v>91</v>
      </c>
      <c r="J9" s="91" t="s">
        <v>92</v>
      </c>
    </row>
    <row r="10" spans="5:10" ht="13.8" thickBot="1" x14ac:dyDescent="0.3">
      <c r="E10" s="102" t="s">
        <v>204</v>
      </c>
      <c r="F10" s="69">
        <f>'Cost Schedule'!E36</f>
        <v>14572</v>
      </c>
      <c r="G10" s="142">
        <f>F10-F11</f>
        <v>12386.2</v>
      </c>
      <c r="H10" s="142">
        <f>G10-G11</f>
        <v>10528.27</v>
      </c>
      <c r="I10" s="142">
        <f t="shared" ref="I10:J10" si="0">H10-H11</f>
        <v>8949.0295000000006</v>
      </c>
      <c r="J10" s="143">
        <f t="shared" si="0"/>
        <v>7606.675075000001</v>
      </c>
    </row>
    <row r="11" spans="5:10" ht="13.8" thickBot="1" x14ac:dyDescent="0.3">
      <c r="E11" s="147" t="s">
        <v>109</v>
      </c>
      <c r="F11" s="208">
        <f>F10*Assumptions!$F$33</f>
        <v>2185.7999999999997</v>
      </c>
      <c r="G11" s="208">
        <f>G10*Assumptions!$F$33</f>
        <v>1857.93</v>
      </c>
      <c r="H11" s="208">
        <f>H10*Assumptions!$F$33</f>
        <v>1579.2405000000001</v>
      </c>
      <c r="I11" s="208">
        <f>I10*Assumptions!$F$33</f>
        <v>1342.354425</v>
      </c>
      <c r="J11" s="209">
        <f>J10*Assumptions!$F$33</f>
        <v>1141.0012612500002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9C16-558E-4B79-A7EF-BC851C0D54BE}">
  <dimension ref="C1:O78"/>
  <sheetViews>
    <sheetView workbookViewId="0">
      <selection activeCell="G18" sqref="G18"/>
    </sheetView>
  </sheetViews>
  <sheetFormatPr defaultRowHeight="13.2" x14ac:dyDescent="0.25"/>
  <cols>
    <col min="3" max="3" width="17.21875" bestFit="1" customWidth="1"/>
    <col min="4" max="4" width="12.77734375" bestFit="1" customWidth="1"/>
    <col min="5" max="7" width="11.77734375" bestFit="1" customWidth="1"/>
    <col min="8" max="8" width="10.21875" bestFit="1" customWidth="1"/>
    <col min="10" max="10" width="9.44140625" customWidth="1"/>
    <col min="11" max="11" width="12.77734375" bestFit="1" customWidth="1"/>
    <col min="12" max="12" width="10.21875" bestFit="1" customWidth="1"/>
    <col min="13" max="13" width="10.6640625" bestFit="1" customWidth="1"/>
    <col min="14" max="14" width="12.33203125" bestFit="1" customWidth="1"/>
    <col min="15" max="15" width="20.21875" bestFit="1" customWidth="1"/>
  </cols>
  <sheetData>
    <row r="1" spans="3:8" ht="13.8" thickBot="1" x14ac:dyDescent="0.3"/>
    <row r="2" spans="3:8" ht="13.8" thickBot="1" x14ac:dyDescent="0.3">
      <c r="C2" s="126" t="s">
        <v>63</v>
      </c>
      <c r="D2" s="127" t="s">
        <v>88</v>
      </c>
      <c r="E2" s="127" t="s">
        <v>89</v>
      </c>
      <c r="F2" s="127" t="s">
        <v>90</v>
      </c>
      <c r="G2" s="127" t="s">
        <v>91</v>
      </c>
      <c r="H2" s="128" t="s">
        <v>92</v>
      </c>
    </row>
    <row r="3" spans="3:8" x14ac:dyDescent="0.25">
      <c r="C3" s="78" t="s">
        <v>147</v>
      </c>
      <c r="D3" s="157">
        <f>SUM(D4:D6)</f>
        <v>3022272</v>
      </c>
      <c r="E3" s="69"/>
      <c r="F3" s="69"/>
      <c r="G3" s="69"/>
      <c r="H3" s="70"/>
    </row>
    <row r="4" spans="3:8" x14ac:dyDescent="0.25">
      <c r="C4" s="78" t="s">
        <v>33</v>
      </c>
      <c r="D4" s="157">
        <f>'Cost Schedule'!E36</f>
        <v>14572</v>
      </c>
      <c r="E4" s="69"/>
      <c r="F4" s="69"/>
      <c r="G4" s="69"/>
      <c r="H4" s="70"/>
    </row>
    <row r="5" spans="3:8" x14ac:dyDescent="0.25">
      <c r="C5" s="78" t="s">
        <v>31</v>
      </c>
      <c r="D5" s="157">
        <f>'Cost Schedule'!E52</f>
        <v>7700</v>
      </c>
      <c r="E5" s="69"/>
      <c r="F5" s="69"/>
      <c r="G5" s="69"/>
      <c r="H5" s="70"/>
    </row>
    <row r="6" spans="3:8" x14ac:dyDescent="0.25">
      <c r="C6" s="78" t="s">
        <v>249</v>
      </c>
      <c r="D6" s="219">
        <v>3000000</v>
      </c>
      <c r="E6" s="69"/>
      <c r="F6" s="69"/>
      <c r="G6" s="69"/>
      <c r="H6" s="70"/>
    </row>
    <row r="7" spans="3:8" x14ac:dyDescent="0.25">
      <c r="C7" s="77"/>
      <c r="D7" s="69"/>
      <c r="E7" s="69"/>
      <c r="F7" s="69"/>
      <c r="G7" s="69"/>
      <c r="H7" s="70"/>
    </row>
    <row r="8" spans="3:8" x14ac:dyDescent="0.25">
      <c r="C8" s="78" t="s">
        <v>148</v>
      </c>
      <c r="D8" s="69"/>
      <c r="E8" s="69"/>
      <c r="F8" s="69"/>
      <c r="G8" s="69"/>
      <c r="H8" s="70"/>
    </row>
    <row r="9" spans="3:8" x14ac:dyDescent="0.25">
      <c r="C9" s="78" t="s">
        <v>149</v>
      </c>
      <c r="D9" s="137">
        <v>0.4</v>
      </c>
      <c r="E9" s="69"/>
      <c r="F9" s="69"/>
      <c r="G9" s="69"/>
      <c r="H9" s="70"/>
    </row>
    <row r="10" spans="3:8" x14ac:dyDescent="0.25">
      <c r="C10" s="78" t="s">
        <v>150</v>
      </c>
      <c r="D10" s="137">
        <v>0.6</v>
      </c>
      <c r="E10" s="69"/>
      <c r="F10" s="69"/>
      <c r="G10" s="69"/>
      <c r="H10" s="70"/>
    </row>
    <row r="11" spans="3:8" x14ac:dyDescent="0.25">
      <c r="C11" s="78" t="s">
        <v>149</v>
      </c>
      <c r="D11" s="111">
        <f>D9*D3</f>
        <v>1208908.8</v>
      </c>
      <c r="E11" s="69"/>
      <c r="F11" s="69"/>
      <c r="G11" s="69"/>
      <c r="H11" s="70"/>
    </row>
    <row r="12" spans="3:8" x14ac:dyDescent="0.25">
      <c r="C12" s="78" t="s">
        <v>150</v>
      </c>
      <c r="D12" s="111">
        <f>D10*D3</f>
        <v>1813363.2</v>
      </c>
      <c r="E12" s="69"/>
      <c r="F12" s="69"/>
      <c r="G12" s="69"/>
      <c r="H12" s="70"/>
    </row>
    <row r="13" spans="3:8" ht="13.8" thickBot="1" x14ac:dyDescent="0.3">
      <c r="C13" s="79" t="s">
        <v>152</v>
      </c>
      <c r="D13" s="114">
        <f>SUM(L19:L30)</f>
        <v>158016.57235573433</v>
      </c>
      <c r="E13" s="114">
        <f>SUM(L31:L42)</f>
        <v>131204.63838804138</v>
      </c>
      <c r="F13" s="114">
        <f>SUM(L43:L54)</f>
        <v>100388.55579464488</v>
      </c>
      <c r="G13" s="114">
        <f>SUM(L55:L66)</f>
        <v>64970.336894535169</v>
      </c>
      <c r="H13" s="158">
        <f>SUM(L67:L78)</f>
        <v>24262.689312979783</v>
      </c>
    </row>
    <row r="15" spans="3:8" ht="13.8" thickBot="1" x14ac:dyDescent="0.3"/>
    <row r="16" spans="3:8" x14ac:dyDescent="0.25">
      <c r="C16" s="68" t="s">
        <v>151</v>
      </c>
      <c r="D16" s="117">
        <f>D11</f>
        <v>1208908.8</v>
      </c>
    </row>
    <row r="17" spans="3:15" ht="13.8" thickBot="1" x14ac:dyDescent="0.3">
      <c r="C17" s="78" t="s">
        <v>152</v>
      </c>
      <c r="D17" s="118">
        <v>0.14000000000000001</v>
      </c>
    </row>
    <row r="18" spans="3:15" ht="13.8" thickBot="1" x14ac:dyDescent="0.3">
      <c r="C18" s="78" t="s">
        <v>153</v>
      </c>
      <c r="D18" s="70">
        <v>5</v>
      </c>
      <c r="J18" s="89" t="s">
        <v>157</v>
      </c>
      <c r="K18" s="90" t="s">
        <v>151</v>
      </c>
      <c r="L18" s="90" t="s">
        <v>152</v>
      </c>
      <c r="M18" s="90" t="s">
        <v>154</v>
      </c>
      <c r="N18" s="90" t="s">
        <v>155</v>
      </c>
      <c r="O18" s="91" t="s">
        <v>156</v>
      </c>
    </row>
    <row r="19" spans="3:15" ht="13.8" thickBot="1" x14ac:dyDescent="0.3">
      <c r="C19" s="79" t="s">
        <v>154</v>
      </c>
      <c r="D19" s="119">
        <f>PMT(D17/12,D18*12,-D16,,0)</f>
        <v>28129.193212432263</v>
      </c>
      <c r="J19" s="77">
        <v>1</v>
      </c>
      <c r="K19" s="111">
        <f>D11</f>
        <v>1208908.8</v>
      </c>
      <c r="L19" s="111">
        <f>K19*$D$17/12</f>
        <v>14103.936000000002</v>
      </c>
      <c r="M19" s="112">
        <f>$D$19</f>
        <v>28129.193212432263</v>
      </c>
      <c r="N19" s="112">
        <f>M19-L19</f>
        <v>14025.257212432261</v>
      </c>
      <c r="O19" s="113">
        <f>K19-N19</f>
        <v>1194883.5427875677</v>
      </c>
    </row>
    <row r="20" spans="3:15" x14ac:dyDescent="0.25">
      <c r="J20" s="77">
        <v>2</v>
      </c>
      <c r="K20" s="111">
        <f>O19</f>
        <v>1194883.5427875677</v>
      </c>
      <c r="L20" s="111">
        <f t="shared" ref="L20:L78" si="0">K20*$D$17/12</f>
        <v>13940.307999188291</v>
      </c>
      <c r="M20" s="112">
        <f t="shared" ref="M20:M78" si="1">$D$19</f>
        <v>28129.193212432263</v>
      </c>
      <c r="N20" s="112">
        <f t="shared" ref="N20:N78" si="2">M20-L20</f>
        <v>14188.885213243972</v>
      </c>
      <c r="O20" s="113">
        <f t="shared" ref="O20:O78" si="3">K20-N20</f>
        <v>1180694.6575743237</v>
      </c>
    </row>
    <row r="21" spans="3:15" x14ac:dyDescent="0.25">
      <c r="J21" s="77">
        <v>3</v>
      </c>
      <c r="K21" s="111">
        <f t="shared" ref="K21:K78" si="4">O20</f>
        <v>1180694.6575743237</v>
      </c>
      <c r="L21" s="111">
        <f t="shared" si="0"/>
        <v>13774.771005033777</v>
      </c>
      <c r="M21" s="112">
        <f t="shared" si="1"/>
        <v>28129.193212432263</v>
      </c>
      <c r="N21" s="112">
        <f t="shared" si="2"/>
        <v>14354.422207398486</v>
      </c>
      <c r="O21" s="113">
        <f t="shared" si="3"/>
        <v>1166340.2353669251</v>
      </c>
    </row>
    <row r="22" spans="3:15" x14ac:dyDescent="0.25">
      <c r="J22" s="77">
        <v>4</v>
      </c>
      <c r="K22" s="111">
        <f t="shared" si="4"/>
        <v>1166340.2353669251</v>
      </c>
      <c r="L22" s="111">
        <f t="shared" si="0"/>
        <v>13607.302745947462</v>
      </c>
      <c r="M22" s="112">
        <f t="shared" si="1"/>
        <v>28129.193212432263</v>
      </c>
      <c r="N22" s="112">
        <f t="shared" si="2"/>
        <v>14521.890466484801</v>
      </c>
      <c r="O22" s="113">
        <f t="shared" si="3"/>
        <v>1151818.3449004404</v>
      </c>
    </row>
    <row r="23" spans="3:15" x14ac:dyDescent="0.25">
      <c r="J23" s="77">
        <v>5</v>
      </c>
      <c r="K23" s="111">
        <f t="shared" si="4"/>
        <v>1151818.3449004404</v>
      </c>
      <c r="L23" s="111">
        <f t="shared" si="0"/>
        <v>13437.880690505139</v>
      </c>
      <c r="M23" s="112">
        <f t="shared" si="1"/>
        <v>28129.193212432263</v>
      </c>
      <c r="N23" s="112">
        <f t="shared" si="2"/>
        <v>14691.312521927124</v>
      </c>
      <c r="O23" s="113">
        <f t="shared" si="3"/>
        <v>1137127.0323785134</v>
      </c>
    </row>
    <row r="24" spans="3:15" x14ac:dyDescent="0.25">
      <c r="J24" s="77">
        <v>6</v>
      </c>
      <c r="K24" s="111">
        <f t="shared" si="4"/>
        <v>1137127.0323785134</v>
      </c>
      <c r="L24" s="111">
        <f t="shared" si="0"/>
        <v>13266.48204441599</v>
      </c>
      <c r="M24" s="112">
        <f t="shared" si="1"/>
        <v>28129.193212432263</v>
      </c>
      <c r="N24" s="112">
        <f t="shared" si="2"/>
        <v>14862.711168016272</v>
      </c>
      <c r="O24" s="113">
        <f t="shared" si="3"/>
        <v>1122264.3212104971</v>
      </c>
    </row>
    <row r="25" spans="3:15" x14ac:dyDescent="0.25">
      <c r="J25" s="77">
        <v>7</v>
      </c>
      <c r="K25" s="111">
        <f t="shared" si="4"/>
        <v>1122264.3212104971</v>
      </c>
      <c r="L25" s="111">
        <f t="shared" si="0"/>
        <v>13093.083747455799</v>
      </c>
      <c r="M25" s="112">
        <f t="shared" si="1"/>
        <v>28129.193212432263</v>
      </c>
      <c r="N25" s="112">
        <f t="shared" si="2"/>
        <v>15036.109464976464</v>
      </c>
      <c r="O25" s="113">
        <f t="shared" si="3"/>
        <v>1107228.2117455206</v>
      </c>
    </row>
    <row r="26" spans="3:15" x14ac:dyDescent="0.25">
      <c r="J26" s="77">
        <v>8</v>
      </c>
      <c r="K26" s="111">
        <f t="shared" si="4"/>
        <v>1107228.2117455206</v>
      </c>
      <c r="L26" s="111">
        <f t="shared" si="0"/>
        <v>12917.662470364407</v>
      </c>
      <c r="M26" s="112">
        <f t="shared" si="1"/>
        <v>28129.193212432263</v>
      </c>
      <c r="N26" s="112">
        <f t="shared" si="2"/>
        <v>15211.530742067856</v>
      </c>
      <c r="O26" s="113">
        <f t="shared" si="3"/>
        <v>1092016.6810034527</v>
      </c>
    </row>
    <row r="27" spans="3:15" x14ac:dyDescent="0.25">
      <c r="J27" s="77">
        <v>9</v>
      </c>
      <c r="K27" s="111">
        <f t="shared" si="4"/>
        <v>1092016.6810034527</v>
      </c>
      <c r="L27" s="111">
        <f t="shared" si="0"/>
        <v>12740.194611706951</v>
      </c>
      <c r="M27" s="112">
        <f t="shared" si="1"/>
        <v>28129.193212432263</v>
      </c>
      <c r="N27" s="112">
        <f t="shared" si="2"/>
        <v>15388.998600725312</v>
      </c>
      <c r="O27" s="113">
        <f t="shared" si="3"/>
        <v>1076627.6824027274</v>
      </c>
    </row>
    <row r="28" spans="3:15" x14ac:dyDescent="0.25">
      <c r="J28" s="77">
        <v>10</v>
      </c>
      <c r="K28" s="111">
        <f t="shared" si="4"/>
        <v>1076627.6824027274</v>
      </c>
      <c r="L28" s="111">
        <f t="shared" si="0"/>
        <v>12560.656294698487</v>
      </c>
      <c r="M28" s="112">
        <f t="shared" si="1"/>
        <v>28129.193212432263</v>
      </c>
      <c r="N28" s="112">
        <f t="shared" si="2"/>
        <v>15568.536917733776</v>
      </c>
      <c r="O28" s="113">
        <f t="shared" si="3"/>
        <v>1061059.1454849937</v>
      </c>
    </row>
    <row r="29" spans="3:15" x14ac:dyDescent="0.25">
      <c r="J29" s="77">
        <v>11</v>
      </c>
      <c r="K29" s="111">
        <f t="shared" si="4"/>
        <v>1061059.1454849937</v>
      </c>
      <c r="L29" s="111">
        <f t="shared" si="0"/>
        <v>12379.023363991595</v>
      </c>
      <c r="M29" s="112">
        <f t="shared" si="1"/>
        <v>28129.193212432263</v>
      </c>
      <c r="N29" s="112">
        <f t="shared" si="2"/>
        <v>15750.169848440668</v>
      </c>
      <c r="O29" s="113">
        <f t="shared" si="3"/>
        <v>1045308.975636553</v>
      </c>
    </row>
    <row r="30" spans="3:15" x14ac:dyDescent="0.25">
      <c r="J30" s="77">
        <v>12</v>
      </c>
      <c r="K30" s="111">
        <f t="shared" si="4"/>
        <v>1045308.975636553</v>
      </c>
      <c r="L30" s="111">
        <f t="shared" si="0"/>
        <v>12195.271382426452</v>
      </c>
      <c r="M30" s="112">
        <f t="shared" si="1"/>
        <v>28129.193212432263</v>
      </c>
      <c r="N30" s="112">
        <f t="shared" si="2"/>
        <v>15933.921830005811</v>
      </c>
      <c r="O30" s="113">
        <f t="shared" si="3"/>
        <v>1029375.0538065472</v>
      </c>
    </row>
    <row r="31" spans="3:15" x14ac:dyDescent="0.25">
      <c r="J31" s="77">
        <v>13</v>
      </c>
      <c r="K31" s="111">
        <f t="shared" si="4"/>
        <v>1029375.0538065472</v>
      </c>
      <c r="L31" s="111">
        <f t="shared" si="0"/>
        <v>12009.375627743051</v>
      </c>
      <c r="M31" s="112">
        <f t="shared" si="1"/>
        <v>28129.193212432263</v>
      </c>
      <c r="N31" s="112">
        <f t="shared" si="2"/>
        <v>16119.817584689212</v>
      </c>
      <c r="O31" s="113">
        <f t="shared" si="3"/>
        <v>1013255.236221858</v>
      </c>
    </row>
    <row r="32" spans="3:15" x14ac:dyDescent="0.25">
      <c r="J32" s="77">
        <v>14</v>
      </c>
      <c r="K32" s="111">
        <f t="shared" si="4"/>
        <v>1013255.236221858</v>
      </c>
      <c r="L32" s="111">
        <f t="shared" si="0"/>
        <v>11821.31108925501</v>
      </c>
      <c r="M32" s="112">
        <f t="shared" si="1"/>
        <v>28129.193212432263</v>
      </c>
      <c r="N32" s="112">
        <f t="shared" si="2"/>
        <v>16307.882123177253</v>
      </c>
      <c r="O32" s="113">
        <f t="shared" si="3"/>
        <v>996947.35409868066</v>
      </c>
    </row>
    <row r="33" spans="7:15" x14ac:dyDescent="0.25">
      <c r="J33" s="77">
        <v>15</v>
      </c>
      <c r="K33" s="111">
        <f t="shared" si="4"/>
        <v>996947.35409868066</v>
      </c>
      <c r="L33" s="111">
        <f t="shared" si="0"/>
        <v>11631.052464484608</v>
      </c>
      <c r="M33" s="112">
        <f t="shared" si="1"/>
        <v>28129.193212432263</v>
      </c>
      <c r="N33" s="112">
        <f t="shared" si="2"/>
        <v>16498.140747947655</v>
      </c>
      <c r="O33" s="113">
        <f t="shared" si="3"/>
        <v>980449.21335073304</v>
      </c>
    </row>
    <row r="34" spans="7:15" x14ac:dyDescent="0.25">
      <c r="G34" s="95"/>
      <c r="J34" s="77">
        <v>16</v>
      </c>
      <c r="K34" s="111">
        <f t="shared" si="4"/>
        <v>980449.21335073304</v>
      </c>
      <c r="L34" s="111">
        <f t="shared" si="0"/>
        <v>11438.574155758552</v>
      </c>
      <c r="M34" s="112">
        <f t="shared" si="1"/>
        <v>28129.193212432263</v>
      </c>
      <c r="N34" s="112">
        <f t="shared" si="2"/>
        <v>16690.619056673713</v>
      </c>
      <c r="O34" s="113">
        <f t="shared" si="3"/>
        <v>963758.59429405932</v>
      </c>
    </row>
    <row r="35" spans="7:15" x14ac:dyDescent="0.25">
      <c r="J35" s="77">
        <v>17</v>
      </c>
      <c r="K35" s="111">
        <f t="shared" si="4"/>
        <v>963758.59429405932</v>
      </c>
      <c r="L35" s="111">
        <f t="shared" si="0"/>
        <v>11243.850266764026</v>
      </c>
      <c r="M35" s="112">
        <f t="shared" si="1"/>
        <v>28129.193212432263</v>
      </c>
      <c r="N35" s="112">
        <f t="shared" si="2"/>
        <v>16885.342945668235</v>
      </c>
      <c r="O35" s="113">
        <f t="shared" si="3"/>
        <v>946873.25134839106</v>
      </c>
    </row>
    <row r="36" spans="7:15" x14ac:dyDescent="0.25">
      <c r="J36" s="77">
        <v>18</v>
      </c>
      <c r="K36" s="111">
        <f t="shared" si="4"/>
        <v>946873.25134839106</v>
      </c>
      <c r="L36" s="111">
        <f t="shared" si="0"/>
        <v>11046.854599064563</v>
      </c>
      <c r="M36" s="112">
        <f t="shared" si="1"/>
        <v>28129.193212432263</v>
      </c>
      <c r="N36" s="112">
        <f t="shared" si="2"/>
        <v>17082.338613367698</v>
      </c>
      <c r="O36" s="113">
        <f t="shared" si="3"/>
        <v>929790.9127350233</v>
      </c>
    </row>
    <row r="37" spans="7:15" x14ac:dyDescent="0.25">
      <c r="J37" s="77">
        <v>19</v>
      </c>
      <c r="K37" s="111">
        <f t="shared" si="4"/>
        <v>929790.9127350233</v>
      </c>
      <c r="L37" s="111">
        <f t="shared" si="0"/>
        <v>10847.560648575272</v>
      </c>
      <c r="M37" s="112">
        <f t="shared" si="1"/>
        <v>28129.193212432263</v>
      </c>
      <c r="N37" s="112">
        <f t="shared" si="2"/>
        <v>17281.632563856991</v>
      </c>
      <c r="O37" s="113">
        <f t="shared" si="3"/>
        <v>912509.28017116629</v>
      </c>
    </row>
    <row r="38" spans="7:15" x14ac:dyDescent="0.25">
      <c r="J38" s="77">
        <v>20</v>
      </c>
      <c r="K38" s="111">
        <f t="shared" si="4"/>
        <v>912509.28017116629</v>
      </c>
      <c r="L38" s="111">
        <f t="shared" si="0"/>
        <v>10645.941601996941</v>
      </c>
      <c r="M38" s="112">
        <f t="shared" si="1"/>
        <v>28129.193212432263</v>
      </c>
      <c r="N38" s="112">
        <f t="shared" si="2"/>
        <v>17483.25161043532</v>
      </c>
      <c r="O38" s="113">
        <f t="shared" si="3"/>
        <v>895026.02856073098</v>
      </c>
    </row>
    <row r="39" spans="7:15" x14ac:dyDescent="0.25">
      <c r="J39" s="77">
        <v>21</v>
      </c>
      <c r="K39" s="111">
        <f t="shared" si="4"/>
        <v>895026.02856073098</v>
      </c>
      <c r="L39" s="111">
        <f t="shared" si="0"/>
        <v>10441.970333208528</v>
      </c>
      <c r="M39" s="112">
        <f t="shared" si="1"/>
        <v>28129.193212432263</v>
      </c>
      <c r="N39" s="112">
        <f t="shared" si="2"/>
        <v>17687.222879223737</v>
      </c>
      <c r="O39" s="113">
        <f t="shared" si="3"/>
        <v>877338.80568150722</v>
      </c>
    </row>
    <row r="40" spans="7:15" x14ac:dyDescent="0.25">
      <c r="J40" s="77">
        <v>22</v>
      </c>
      <c r="K40" s="111">
        <f t="shared" si="4"/>
        <v>877338.80568150722</v>
      </c>
      <c r="L40" s="111">
        <f t="shared" si="0"/>
        <v>10235.619399617584</v>
      </c>
      <c r="M40" s="112">
        <f t="shared" si="1"/>
        <v>28129.193212432263</v>
      </c>
      <c r="N40" s="112">
        <f t="shared" si="2"/>
        <v>17893.573812814677</v>
      </c>
      <c r="O40" s="113">
        <f t="shared" si="3"/>
        <v>859445.23186869256</v>
      </c>
    </row>
    <row r="41" spans="7:15" x14ac:dyDescent="0.25">
      <c r="J41" s="77">
        <v>23</v>
      </c>
      <c r="K41" s="111">
        <f t="shared" si="4"/>
        <v>859445.23186869256</v>
      </c>
      <c r="L41" s="111">
        <f t="shared" si="0"/>
        <v>10026.861038468081</v>
      </c>
      <c r="M41" s="112">
        <f t="shared" si="1"/>
        <v>28129.193212432263</v>
      </c>
      <c r="N41" s="112">
        <f t="shared" si="2"/>
        <v>18102.332173964183</v>
      </c>
      <c r="O41" s="113">
        <f t="shared" si="3"/>
        <v>841342.89969472843</v>
      </c>
    </row>
    <row r="42" spans="7:15" x14ac:dyDescent="0.25">
      <c r="J42" s="77">
        <v>24</v>
      </c>
      <c r="K42" s="111">
        <f t="shared" si="4"/>
        <v>841342.89969472843</v>
      </c>
      <c r="L42" s="111">
        <f t="shared" si="0"/>
        <v>9815.6671631051668</v>
      </c>
      <c r="M42" s="112">
        <f t="shared" si="1"/>
        <v>28129.193212432263</v>
      </c>
      <c r="N42" s="112">
        <f t="shared" si="2"/>
        <v>18313.526049327098</v>
      </c>
      <c r="O42" s="113">
        <f t="shared" si="3"/>
        <v>823029.37364540133</v>
      </c>
    </row>
    <row r="43" spans="7:15" x14ac:dyDescent="0.25">
      <c r="J43" s="77">
        <v>25</v>
      </c>
      <c r="K43" s="111">
        <f t="shared" si="4"/>
        <v>823029.37364540133</v>
      </c>
      <c r="L43" s="111">
        <f t="shared" si="0"/>
        <v>9602.0093591963505</v>
      </c>
      <c r="M43" s="112">
        <f t="shared" si="1"/>
        <v>28129.193212432263</v>
      </c>
      <c r="N43" s="112">
        <f t="shared" si="2"/>
        <v>18527.183853235911</v>
      </c>
      <c r="O43" s="113">
        <f t="shared" si="3"/>
        <v>804502.18979216542</v>
      </c>
    </row>
    <row r="44" spans="7:15" x14ac:dyDescent="0.25">
      <c r="J44" s="77">
        <v>26</v>
      </c>
      <c r="K44" s="111">
        <f t="shared" si="4"/>
        <v>804502.18979216542</v>
      </c>
      <c r="L44" s="111">
        <f t="shared" si="0"/>
        <v>9385.8588809085977</v>
      </c>
      <c r="M44" s="112">
        <f t="shared" si="1"/>
        <v>28129.193212432263</v>
      </c>
      <c r="N44" s="112">
        <f t="shared" si="2"/>
        <v>18743.334331523663</v>
      </c>
      <c r="O44" s="113">
        <f t="shared" si="3"/>
        <v>785758.85546064179</v>
      </c>
    </row>
    <row r="45" spans="7:15" x14ac:dyDescent="0.25">
      <c r="J45" s="77">
        <v>27</v>
      </c>
      <c r="K45" s="111">
        <f t="shared" si="4"/>
        <v>785758.85546064179</v>
      </c>
      <c r="L45" s="111">
        <f t="shared" si="0"/>
        <v>9167.1866470408222</v>
      </c>
      <c r="M45" s="112">
        <f t="shared" si="1"/>
        <v>28129.193212432263</v>
      </c>
      <c r="N45" s="112">
        <f t="shared" si="2"/>
        <v>18962.006565391443</v>
      </c>
      <c r="O45" s="113">
        <f t="shared" si="3"/>
        <v>766796.84889525035</v>
      </c>
    </row>
    <row r="46" spans="7:15" x14ac:dyDescent="0.25">
      <c r="J46" s="77">
        <v>28</v>
      </c>
      <c r="K46" s="111">
        <f t="shared" si="4"/>
        <v>766796.84889525035</v>
      </c>
      <c r="L46" s="111">
        <f t="shared" si="0"/>
        <v>8945.9632371112548</v>
      </c>
      <c r="M46" s="112">
        <f t="shared" si="1"/>
        <v>28129.193212432263</v>
      </c>
      <c r="N46" s="112">
        <f t="shared" si="2"/>
        <v>19183.22997532101</v>
      </c>
      <c r="O46" s="113">
        <f t="shared" si="3"/>
        <v>747613.61891992937</v>
      </c>
    </row>
    <row r="47" spans="7:15" x14ac:dyDescent="0.25">
      <c r="J47" s="77">
        <v>29</v>
      </c>
      <c r="K47" s="111">
        <f t="shared" si="4"/>
        <v>747613.61891992937</v>
      </c>
      <c r="L47" s="111">
        <f t="shared" si="0"/>
        <v>8722.1588873991768</v>
      </c>
      <c r="M47" s="112">
        <f t="shared" si="1"/>
        <v>28129.193212432263</v>
      </c>
      <c r="N47" s="112">
        <f t="shared" si="2"/>
        <v>19407.034325033084</v>
      </c>
      <c r="O47" s="113">
        <f t="shared" si="3"/>
        <v>728206.5845948963</v>
      </c>
    </row>
    <row r="48" spans="7:15" x14ac:dyDescent="0.25">
      <c r="J48" s="77">
        <v>30</v>
      </c>
      <c r="K48" s="111">
        <f t="shared" si="4"/>
        <v>728206.5845948963</v>
      </c>
      <c r="L48" s="111">
        <f t="shared" si="0"/>
        <v>8495.7434869404588</v>
      </c>
      <c r="M48" s="112">
        <f t="shared" si="1"/>
        <v>28129.193212432263</v>
      </c>
      <c r="N48" s="112">
        <f t="shared" si="2"/>
        <v>19633.449725491802</v>
      </c>
      <c r="O48" s="113">
        <f t="shared" si="3"/>
        <v>708573.13486940449</v>
      </c>
    </row>
    <row r="49" spans="10:15" x14ac:dyDescent="0.25">
      <c r="J49" s="77">
        <v>31</v>
      </c>
      <c r="K49" s="111">
        <f t="shared" si="4"/>
        <v>708573.13486940449</v>
      </c>
      <c r="L49" s="111">
        <f t="shared" si="0"/>
        <v>8266.6865734763869</v>
      </c>
      <c r="M49" s="112">
        <f t="shared" si="1"/>
        <v>28129.193212432263</v>
      </c>
      <c r="N49" s="112">
        <f t="shared" si="2"/>
        <v>19862.506638955878</v>
      </c>
      <c r="O49" s="113">
        <f t="shared" si="3"/>
        <v>688710.62823044858</v>
      </c>
    </row>
    <row r="50" spans="10:15" x14ac:dyDescent="0.25">
      <c r="J50" s="77">
        <v>32</v>
      </c>
      <c r="K50" s="111">
        <f t="shared" si="4"/>
        <v>688710.62823044858</v>
      </c>
      <c r="L50" s="111">
        <f t="shared" si="0"/>
        <v>8034.9573293552339</v>
      </c>
      <c r="M50" s="112">
        <f t="shared" si="1"/>
        <v>28129.193212432263</v>
      </c>
      <c r="N50" s="112">
        <f t="shared" si="2"/>
        <v>20094.235883077028</v>
      </c>
      <c r="O50" s="113">
        <f t="shared" si="3"/>
        <v>668616.39234737155</v>
      </c>
    </row>
    <row r="51" spans="10:15" x14ac:dyDescent="0.25">
      <c r="J51" s="77">
        <v>33</v>
      </c>
      <c r="K51" s="111">
        <f t="shared" si="4"/>
        <v>668616.39234737155</v>
      </c>
      <c r="L51" s="111">
        <f t="shared" si="0"/>
        <v>7800.5245773860015</v>
      </c>
      <c r="M51" s="112">
        <f t="shared" si="1"/>
        <v>28129.193212432263</v>
      </c>
      <c r="N51" s="112">
        <f t="shared" si="2"/>
        <v>20328.668635046262</v>
      </c>
      <c r="O51" s="113">
        <f t="shared" si="3"/>
        <v>648287.72371232533</v>
      </c>
    </row>
    <row r="52" spans="10:15" x14ac:dyDescent="0.25">
      <c r="J52" s="77">
        <v>34</v>
      </c>
      <c r="K52" s="111">
        <f t="shared" si="4"/>
        <v>648287.72371232533</v>
      </c>
      <c r="L52" s="111">
        <f t="shared" si="0"/>
        <v>7563.3567766437964</v>
      </c>
      <c r="M52" s="112">
        <f t="shared" si="1"/>
        <v>28129.193212432263</v>
      </c>
      <c r="N52" s="112">
        <f t="shared" si="2"/>
        <v>20565.836435788467</v>
      </c>
      <c r="O52" s="113">
        <f t="shared" si="3"/>
        <v>627721.8872765369</v>
      </c>
    </row>
    <row r="53" spans="10:15" x14ac:dyDescent="0.25">
      <c r="J53" s="77">
        <v>35</v>
      </c>
      <c r="K53" s="111">
        <f t="shared" si="4"/>
        <v>627721.8872765369</v>
      </c>
      <c r="L53" s="111">
        <f t="shared" si="0"/>
        <v>7323.4220182262643</v>
      </c>
      <c r="M53" s="112">
        <f t="shared" si="1"/>
        <v>28129.193212432263</v>
      </c>
      <c r="N53" s="112">
        <f t="shared" si="2"/>
        <v>20805.771194205998</v>
      </c>
      <c r="O53" s="113">
        <f t="shared" si="3"/>
        <v>606916.11608233093</v>
      </c>
    </row>
    <row r="54" spans="10:15" x14ac:dyDescent="0.25">
      <c r="J54" s="77">
        <v>36</v>
      </c>
      <c r="K54" s="111">
        <f t="shared" si="4"/>
        <v>606916.11608233093</v>
      </c>
      <c r="L54" s="111">
        <f t="shared" si="0"/>
        <v>7080.6880209605288</v>
      </c>
      <c r="M54" s="112">
        <f t="shared" si="1"/>
        <v>28129.193212432263</v>
      </c>
      <c r="N54" s="112">
        <f t="shared" si="2"/>
        <v>21048.505191471733</v>
      </c>
      <c r="O54" s="113">
        <f t="shared" si="3"/>
        <v>585867.61089085916</v>
      </c>
    </row>
    <row r="55" spans="10:15" x14ac:dyDescent="0.25">
      <c r="J55" s="77">
        <v>37</v>
      </c>
      <c r="K55" s="111">
        <f t="shared" si="4"/>
        <v>585867.61089085916</v>
      </c>
      <c r="L55" s="111">
        <f t="shared" si="0"/>
        <v>6835.1221270600245</v>
      </c>
      <c r="M55" s="112">
        <f t="shared" si="1"/>
        <v>28129.193212432263</v>
      </c>
      <c r="N55" s="112">
        <f t="shared" si="2"/>
        <v>21294.071085372238</v>
      </c>
      <c r="O55" s="113">
        <f t="shared" si="3"/>
        <v>564573.53980548691</v>
      </c>
    </row>
    <row r="56" spans="10:15" x14ac:dyDescent="0.25">
      <c r="J56" s="77">
        <v>38</v>
      </c>
      <c r="K56" s="111">
        <f t="shared" si="4"/>
        <v>564573.53980548691</v>
      </c>
      <c r="L56" s="111">
        <f t="shared" si="0"/>
        <v>6586.6912977306811</v>
      </c>
      <c r="M56" s="112">
        <f t="shared" si="1"/>
        <v>28129.193212432263</v>
      </c>
      <c r="N56" s="112">
        <f t="shared" si="2"/>
        <v>21542.501914701581</v>
      </c>
      <c r="O56" s="113">
        <f t="shared" si="3"/>
        <v>543031.03789078537</v>
      </c>
    </row>
    <row r="57" spans="10:15" x14ac:dyDescent="0.25">
      <c r="J57" s="77">
        <v>39</v>
      </c>
      <c r="K57" s="111">
        <f t="shared" si="4"/>
        <v>543031.03789078537</v>
      </c>
      <c r="L57" s="111">
        <f t="shared" si="0"/>
        <v>6335.3621087258298</v>
      </c>
      <c r="M57" s="112">
        <f t="shared" si="1"/>
        <v>28129.193212432263</v>
      </c>
      <c r="N57" s="112">
        <f t="shared" si="2"/>
        <v>21793.831103706434</v>
      </c>
      <c r="O57" s="113">
        <f t="shared" si="3"/>
        <v>521237.20678707893</v>
      </c>
    </row>
    <row r="58" spans="10:15" x14ac:dyDescent="0.25">
      <c r="J58" s="77">
        <v>40</v>
      </c>
      <c r="K58" s="111">
        <f t="shared" si="4"/>
        <v>521237.20678707893</v>
      </c>
      <c r="L58" s="111">
        <f t="shared" si="0"/>
        <v>6081.1007458492541</v>
      </c>
      <c r="M58" s="112">
        <f t="shared" si="1"/>
        <v>28129.193212432263</v>
      </c>
      <c r="N58" s="112">
        <f t="shared" si="2"/>
        <v>22048.09246658301</v>
      </c>
      <c r="O58" s="113">
        <f t="shared" si="3"/>
        <v>499189.11432049592</v>
      </c>
    </row>
    <row r="59" spans="10:15" x14ac:dyDescent="0.25">
      <c r="J59" s="77">
        <v>41</v>
      </c>
      <c r="K59" s="111">
        <f t="shared" si="4"/>
        <v>499189.11432049592</v>
      </c>
      <c r="L59" s="111">
        <f t="shared" si="0"/>
        <v>5823.8730004057861</v>
      </c>
      <c r="M59" s="112">
        <f t="shared" si="1"/>
        <v>28129.193212432263</v>
      </c>
      <c r="N59" s="112">
        <f t="shared" si="2"/>
        <v>22305.320212026476</v>
      </c>
      <c r="O59" s="113">
        <f t="shared" si="3"/>
        <v>476883.79410846945</v>
      </c>
    </row>
    <row r="60" spans="10:15" x14ac:dyDescent="0.25">
      <c r="J60" s="77">
        <v>42</v>
      </c>
      <c r="K60" s="111">
        <f t="shared" si="4"/>
        <v>476883.79410846945</v>
      </c>
      <c r="L60" s="111">
        <f t="shared" si="0"/>
        <v>5563.6442645988109</v>
      </c>
      <c r="M60" s="112">
        <f t="shared" si="1"/>
        <v>28129.193212432263</v>
      </c>
      <c r="N60" s="112">
        <f t="shared" si="2"/>
        <v>22565.548947833453</v>
      </c>
      <c r="O60" s="113">
        <f t="shared" si="3"/>
        <v>454318.24516063597</v>
      </c>
    </row>
    <row r="61" spans="10:15" x14ac:dyDescent="0.25">
      <c r="J61" s="77">
        <v>43</v>
      </c>
      <c r="K61" s="111">
        <f t="shared" si="4"/>
        <v>454318.24516063597</v>
      </c>
      <c r="L61" s="111">
        <f t="shared" si="0"/>
        <v>5300.3795268740869</v>
      </c>
      <c r="M61" s="112">
        <f t="shared" si="1"/>
        <v>28129.193212432263</v>
      </c>
      <c r="N61" s="112">
        <f t="shared" si="2"/>
        <v>22828.813685558176</v>
      </c>
      <c r="O61" s="113">
        <f t="shared" si="3"/>
        <v>431489.43147507781</v>
      </c>
    </row>
    <row r="62" spans="10:15" x14ac:dyDescent="0.25">
      <c r="J62" s="77">
        <v>44</v>
      </c>
      <c r="K62" s="111">
        <f t="shared" si="4"/>
        <v>431489.43147507781</v>
      </c>
      <c r="L62" s="111">
        <f t="shared" si="0"/>
        <v>5034.0433672092413</v>
      </c>
      <c r="M62" s="112">
        <f t="shared" si="1"/>
        <v>28129.193212432263</v>
      </c>
      <c r="N62" s="112">
        <f t="shared" si="2"/>
        <v>23095.149845223023</v>
      </c>
      <c r="O62" s="113">
        <f t="shared" si="3"/>
        <v>408394.28162985481</v>
      </c>
    </row>
    <row r="63" spans="10:15" x14ac:dyDescent="0.25">
      <c r="J63" s="77">
        <v>45</v>
      </c>
      <c r="K63" s="111">
        <f t="shared" si="4"/>
        <v>408394.28162985481</v>
      </c>
      <c r="L63" s="111">
        <f t="shared" si="0"/>
        <v>4764.5999523483069</v>
      </c>
      <c r="M63" s="112">
        <f t="shared" si="1"/>
        <v>28129.193212432263</v>
      </c>
      <c r="N63" s="112">
        <f t="shared" si="2"/>
        <v>23364.593260083955</v>
      </c>
      <c r="O63" s="113">
        <f t="shared" si="3"/>
        <v>385029.68836977088</v>
      </c>
    </row>
    <row r="64" spans="10:15" x14ac:dyDescent="0.25">
      <c r="J64" s="77">
        <v>46</v>
      </c>
      <c r="K64" s="111">
        <f t="shared" si="4"/>
        <v>385029.68836977088</v>
      </c>
      <c r="L64" s="111">
        <f t="shared" si="0"/>
        <v>4492.0130309806609</v>
      </c>
      <c r="M64" s="112">
        <f t="shared" si="1"/>
        <v>28129.193212432263</v>
      </c>
      <c r="N64" s="112">
        <f t="shared" si="2"/>
        <v>23637.1801814516</v>
      </c>
      <c r="O64" s="113">
        <f t="shared" si="3"/>
        <v>361392.50818831928</v>
      </c>
    </row>
    <row r="65" spans="10:15" x14ac:dyDescent="0.25">
      <c r="J65" s="77">
        <v>47</v>
      </c>
      <c r="K65" s="111">
        <f t="shared" si="4"/>
        <v>361392.50818831928</v>
      </c>
      <c r="L65" s="111">
        <f t="shared" si="0"/>
        <v>4216.2459288637256</v>
      </c>
      <c r="M65" s="112">
        <f t="shared" si="1"/>
        <v>28129.193212432263</v>
      </c>
      <c r="N65" s="112">
        <f t="shared" si="2"/>
        <v>23912.947283568537</v>
      </c>
      <c r="O65" s="113">
        <f t="shared" si="3"/>
        <v>337479.56090475072</v>
      </c>
    </row>
    <row r="66" spans="10:15" x14ac:dyDescent="0.25">
      <c r="J66" s="77">
        <v>48</v>
      </c>
      <c r="K66" s="111">
        <f t="shared" si="4"/>
        <v>337479.56090475072</v>
      </c>
      <c r="L66" s="111">
        <f t="shared" si="0"/>
        <v>3937.2615438887588</v>
      </c>
      <c r="M66" s="112">
        <f t="shared" si="1"/>
        <v>28129.193212432263</v>
      </c>
      <c r="N66" s="112">
        <f t="shared" si="2"/>
        <v>24191.931668543504</v>
      </c>
      <c r="O66" s="113">
        <f t="shared" si="3"/>
        <v>313287.62923620723</v>
      </c>
    </row>
    <row r="67" spans="10:15" x14ac:dyDescent="0.25">
      <c r="J67" s="77">
        <v>49</v>
      </c>
      <c r="K67" s="111">
        <f t="shared" si="4"/>
        <v>313287.62923620723</v>
      </c>
      <c r="L67" s="111">
        <f t="shared" si="0"/>
        <v>3655.0223410890849</v>
      </c>
      <c r="M67" s="112">
        <f t="shared" si="1"/>
        <v>28129.193212432263</v>
      </c>
      <c r="N67" s="112">
        <f t="shared" si="2"/>
        <v>24474.17087134318</v>
      </c>
      <c r="O67" s="113">
        <f t="shared" si="3"/>
        <v>288813.45836486405</v>
      </c>
    </row>
    <row r="68" spans="10:15" x14ac:dyDescent="0.25">
      <c r="J68" s="77">
        <v>50</v>
      </c>
      <c r="K68" s="111">
        <f t="shared" si="4"/>
        <v>288813.45836486405</v>
      </c>
      <c r="L68" s="111">
        <f t="shared" si="0"/>
        <v>3369.490347590081</v>
      </c>
      <c r="M68" s="112">
        <f t="shared" si="1"/>
        <v>28129.193212432263</v>
      </c>
      <c r="N68" s="112">
        <f t="shared" si="2"/>
        <v>24759.702864842184</v>
      </c>
      <c r="O68" s="113">
        <f t="shared" si="3"/>
        <v>264053.75550002186</v>
      </c>
    </row>
    <row r="69" spans="10:15" x14ac:dyDescent="0.25">
      <c r="J69" s="77">
        <v>51</v>
      </c>
      <c r="K69" s="111">
        <f t="shared" si="4"/>
        <v>264053.75550002186</v>
      </c>
      <c r="L69" s="111">
        <f t="shared" si="0"/>
        <v>3080.6271475002554</v>
      </c>
      <c r="M69" s="112">
        <f t="shared" si="1"/>
        <v>28129.193212432263</v>
      </c>
      <c r="N69" s="112">
        <f t="shared" si="2"/>
        <v>25048.566064932009</v>
      </c>
      <c r="O69" s="113">
        <f t="shared" si="3"/>
        <v>239005.18943508985</v>
      </c>
    </row>
    <row r="70" spans="10:15" x14ac:dyDescent="0.25">
      <c r="J70" s="77">
        <v>52</v>
      </c>
      <c r="K70" s="111">
        <f t="shared" si="4"/>
        <v>239005.18943508985</v>
      </c>
      <c r="L70" s="111">
        <f t="shared" si="0"/>
        <v>2788.3938767427153</v>
      </c>
      <c r="M70" s="112">
        <f t="shared" si="1"/>
        <v>28129.193212432263</v>
      </c>
      <c r="N70" s="112">
        <f t="shared" si="2"/>
        <v>25340.799335689546</v>
      </c>
      <c r="O70" s="113">
        <f t="shared" si="3"/>
        <v>213664.39009940031</v>
      </c>
    </row>
    <row r="71" spans="10:15" x14ac:dyDescent="0.25">
      <c r="J71" s="77">
        <v>53</v>
      </c>
      <c r="K71" s="111">
        <f t="shared" si="4"/>
        <v>213664.39009940031</v>
      </c>
      <c r="L71" s="111">
        <f t="shared" si="0"/>
        <v>2492.7512178263373</v>
      </c>
      <c r="M71" s="112">
        <f t="shared" si="1"/>
        <v>28129.193212432263</v>
      </c>
      <c r="N71" s="112">
        <f t="shared" si="2"/>
        <v>25636.441994605924</v>
      </c>
      <c r="O71" s="113">
        <f t="shared" si="3"/>
        <v>188027.94810479437</v>
      </c>
    </row>
    <row r="72" spans="10:15" x14ac:dyDescent="0.25">
      <c r="J72" s="77">
        <v>54</v>
      </c>
      <c r="K72" s="111">
        <f t="shared" si="4"/>
        <v>188027.94810479437</v>
      </c>
      <c r="L72" s="111">
        <f t="shared" si="0"/>
        <v>2193.6593945559348</v>
      </c>
      <c r="M72" s="112">
        <f t="shared" si="1"/>
        <v>28129.193212432263</v>
      </c>
      <c r="N72" s="112">
        <f t="shared" si="2"/>
        <v>25935.533817876327</v>
      </c>
      <c r="O72" s="113">
        <f t="shared" si="3"/>
        <v>162092.41428691804</v>
      </c>
    </row>
    <row r="73" spans="10:15" x14ac:dyDescent="0.25">
      <c r="J73" s="77">
        <v>55</v>
      </c>
      <c r="K73" s="111">
        <f t="shared" si="4"/>
        <v>162092.41428691804</v>
      </c>
      <c r="L73" s="111">
        <f t="shared" si="0"/>
        <v>1891.0781666807106</v>
      </c>
      <c r="M73" s="112">
        <f t="shared" si="1"/>
        <v>28129.193212432263</v>
      </c>
      <c r="N73" s="112">
        <f t="shared" si="2"/>
        <v>26238.115045751554</v>
      </c>
      <c r="O73" s="113">
        <f t="shared" si="3"/>
        <v>135854.29924116647</v>
      </c>
    </row>
    <row r="74" spans="10:15" x14ac:dyDescent="0.25">
      <c r="J74" s="77">
        <v>56</v>
      </c>
      <c r="K74" s="111">
        <f t="shared" si="4"/>
        <v>135854.29924116647</v>
      </c>
      <c r="L74" s="111">
        <f t="shared" si="0"/>
        <v>1584.9668244802758</v>
      </c>
      <c r="M74" s="112">
        <f t="shared" si="1"/>
        <v>28129.193212432263</v>
      </c>
      <c r="N74" s="112">
        <f t="shared" si="2"/>
        <v>26544.226387951989</v>
      </c>
      <c r="O74" s="113">
        <f t="shared" si="3"/>
        <v>109310.07285321449</v>
      </c>
    </row>
    <row r="75" spans="10:15" x14ac:dyDescent="0.25">
      <c r="J75" s="77">
        <v>57</v>
      </c>
      <c r="K75" s="111">
        <f t="shared" si="4"/>
        <v>109310.07285321449</v>
      </c>
      <c r="L75" s="111">
        <f t="shared" si="0"/>
        <v>1275.2841832875024</v>
      </c>
      <c r="M75" s="112">
        <f t="shared" si="1"/>
        <v>28129.193212432263</v>
      </c>
      <c r="N75" s="112">
        <f t="shared" si="2"/>
        <v>26853.909029144761</v>
      </c>
      <c r="O75" s="113">
        <f t="shared" si="3"/>
        <v>82456.163824069721</v>
      </c>
    </row>
    <row r="76" spans="10:15" x14ac:dyDescent="0.25">
      <c r="J76" s="77">
        <v>58</v>
      </c>
      <c r="K76" s="111">
        <f t="shared" si="4"/>
        <v>82456.163824069721</v>
      </c>
      <c r="L76" s="111">
        <f t="shared" si="0"/>
        <v>961.98857794748017</v>
      </c>
      <c r="M76" s="112">
        <f t="shared" si="1"/>
        <v>28129.193212432263</v>
      </c>
      <c r="N76" s="112">
        <f t="shared" si="2"/>
        <v>27167.204634484784</v>
      </c>
      <c r="O76" s="113">
        <f t="shared" si="3"/>
        <v>55288.959189584937</v>
      </c>
    </row>
    <row r="77" spans="10:15" x14ac:dyDescent="0.25">
      <c r="J77" s="77">
        <v>59</v>
      </c>
      <c r="K77" s="111">
        <f t="shared" si="4"/>
        <v>55288.959189584937</v>
      </c>
      <c r="L77" s="111">
        <f t="shared" si="0"/>
        <v>645.0378572118243</v>
      </c>
      <c r="M77" s="112">
        <f t="shared" si="1"/>
        <v>28129.193212432263</v>
      </c>
      <c r="N77" s="112">
        <f t="shared" si="2"/>
        <v>27484.155355220439</v>
      </c>
      <c r="O77" s="113">
        <f t="shared" si="3"/>
        <v>27804.803834364498</v>
      </c>
    </row>
    <row r="78" spans="10:15" ht="13.8" thickBot="1" x14ac:dyDescent="0.3">
      <c r="J78" s="76">
        <v>60</v>
      </c>
      <c r="K78" s="114">
        <f t="shared" si="4"/>
        <v>27804.803834364498</v>
      </c>
      <c r="L78" s="114">
        <f t="shared" si="0"/>
        <v>324.38937806758582</v>
      </c>
      <c r="M78" s="115">
        <f t="shared" si="1"/>
        <v>28129.193212432263</v>
      </c>
      <c r="N78" s="115">
        <f t="shared" si="2"/>
        <v>27804.803834364677</v>
      </c>
      <c r="O78" s="116">
        <f t="shared" si="3"/>
        <v>-1.7826096154749393E-10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 900</vt:lpstr>
      <vt:lpstr>Sheet1</vt:lpstr>
      <vt:lpstr>PL 1100</vt:lpstr>
      <vt:lpstr>Sheet2</vt:lpstr>
      <vt:lpstr>Assumptions</vt:lpstr>
      <vt:lpstr>Cost Schedule</vt:lpstr>
      <vt:lpstr>Fixed&amp;Variable costs&amp;BEQ</vt:lpstr>
      <vt:lpstr>Depriciation</vt:lpstr>
      <vt:lpstr>Capital Structure &amp; Interest </vt:lpstr>
      <vt:lpstr>Profit and Loss</vt:lpstr>
      <vt:lpstr>Balance Sheet</vt:lpstr>
      <vt:lpstr>Cash Flow</vt:lpstr>
      <vt:lpstr>Ratio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Nikhitha Reddy</cp:lastModifiedBy>
  <dcterms:modified xsi:type="dcterms:W3CDTF">2022-04-15T10:36:09Z</dcterms:modified>
</cp:coreProperties>
</file>