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ION RESULTS\"/>
    </mc:Choice>
  </mc:AlternateContent>
  <xr:revisionPtr revIDLastSave="0" documentId="13_ncr:1_{A8C7ABE1-30AF-41FF-9C33-C203FD0EB3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EVES COUNTY DEM PRIMARY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6" i="3" l="1"/>
  <c r="I342" i="3" l="1"/>
  <c r="I335" i="3"/>
  <c r="I327" i="3"/>
  <c r="I320" i="3"/>
  <c r="I312" i="3"/>
  <c r="I298" i="3"/>
  <c r="I290" i="3"/>
  <c r="I282" i="3"/>
  <c r="I275" i="3"/>
  <c r="I267" i="3"/>
  <c r="I252" i="3" l="1"/>
  <c r="I244" i="3"/>
  <c r="I200" i="3"/>
  <c r="I192" i="3"/>
  <c r="I184" i="3"/>
  <c r="I178" i="3"/>
  <c r="I171" i="3"/>
  <c r="I163" i="3"/>
  <c r="I155" i="3"/>
  <c r="I146" i="3"/>
  <c r="I139" i="3"/>
  <c r="I132" i="3"/>
  <c r="I121" i="3"/>
  <c r="I100" i="3"/>
  <c r="I88" i="3"/>
  <c r="I79" i="3"/>
  <c r="I70" i="3"/>
  <c r="I57" i="3"/>
  <c r="I45" i="3"/>
  <c r="I23" i="3"/>
  <c r="H267" i="3"/>
  <c r="J250" i="3"/>
  <c r="J251" i="3"/>
  <c r="H252" i="3"/>
  <c r="H244" i="3"/>
  <c r="H200" i="3"/>
  <c r="J190" i="3"/>
  <c r="H184" i="3"/>
  <c r="H178" i="3"/>
  <c r="H121" i="3"/>
  <c r="H110" i="3"/>
  <c r="H100" i="3"/>
  <c r="H88" i="3"/>
  <c r="H79" i="3"/>
  <c r="H70" i="3"/>
  <c r="G342" i="3" l="1"/>
  <c r="G335" i="3"/>
  <c r="H327" i="3"/>
  <c r="G327" i="3"/>
  <c r="G320" i="3"/>
  <c r="G312" i="3"/>
  <c r="G298" i="3"/>
  <c r="G290" i="3"/>
  <c r="G282" i="3"/>
  <c r="G275" i="3"/>
  <c r="G267" i="3"/>
  <c r="I259" i="3"/>
  <c r="H259" i="3"/>
  <c r="G259" i="3"/>
  <c r="G236" i="3"/>
  <c r="G215" i="3"/>
  <c r="G200" i="3"/>
  <c r="G192" i="3"/>
  <c r="G184" i="3"/>
  <c r="G178" i="3"/>
  <c r="G171" i="3" l="1"/>
  <c r="G163" i="3"/>
  <c r="G146" i="3"/>
  <c r="J138" i="3"/>
  <c r="G139" i="3"/>
  <c r="G132" i="3"/>
  <c r="G121" i="3"/>
  <c r="G100" i="3"/>
  <c r="G88" i="3"/>
  <c r="G79" i="3"/>
  <c r="G70" i="3"/>
  <c r="G57" i="3"/>
  <c r="G45" i="3"/>
  <c r="G23" i="3"/>
  <c r="F267" i="3" l="1"/>
  <c r="F236" i="3"/>
  <c r="H23" i="3"/>
  <c r="H45" i="3"/>
  <c r="H57" i="3"/>
  <c r="E267" i="3" l="1"/>
  <c r="E236" i="3"/>
  <c r="J130" i="3"/>
  <c r="H132" i="3"/>
  <c r="H139" i="3"/>
  <c r="H146" i="3"/>
  <c r="H155" i="3"/>
  <c r="E100" i="3"/>
  <c r="J346" i="3"/>
  <c r="D267" i="3"/>
  <c r="D229" i="3"/>
  <c r="D79" i="3"/>
  <c r="D23" i="3"/>
  <c r="H342" i="3"/>
  <c r="C342" i="3"/>
  <c r="C335" i="3"/>
  <c r="H335" i="3"/>
  <c r="C327" i="3"/>
  <c r="H320" i="3"/>
  <c r="C320" i="3"/>
  <c r="J340" i="3"/>
  <c r="J341" i="3"/>
  <c r="J333" i="3"/>
  <c r="J334" i="3"/>
  <c r="J325" i="3"/>
  <c r="J326" i="3"/>
  <c r="J318" i="3"/>
  <c r="J319" i="3"/>
  <c r="H312" i="3"/>
  <c r="C312" i="3"/>
  <c r="J310" i="3"/>
  <c r="J311" i="3"/>
  <c r="I305" i="3"/>
  <c r="G305" i="3"/>
  <c r="H305" i="3"/>
  <c r="J303" i="3"/>
  <c r="J304" i="3"/>
  <c r="C305" i="3"/>
  <c r="H275" i="3"/>
  <c r="H282" i="3"/>
  <c r="H290" i="3"/>
  <c r="H298" i="3"/>
  <c r="J296" i="3"/>
  <c r="J297" i="3"/>
  <c r="C298" i="3"/>
  <c r="C290" i="3"/>
  <c r="J288" i="3"/>
  <c r="J289" i="3"/>
  <c r="J280" i="3"/>
  <c r="J281" i="3"/>
  <c r="J282" i="3" s="1"/>
  <c r="C282" i="3"/>
  <c r="C275" i="3"/>
  <c r="J273" i="3"/>
  <c r="J274" i="3"/>
  <c r="J265" i="3"/>
  <c r="J267" i="3" s="1"/>
  <c r="J266" i="3"/>
  <c r="J258" i="3"/>
  <c r="J259" i="3" s="1"/>
  <c r="B267" i="3"/>
  <c r="C267" i="3"/>
  <c r="J261" i="3"/>
  <c r="J260" i="3"/>
  <c r="F259" i="3"/>
  <c r="E259" i="3"/>
  <c r="D259" i="3"/>
  <c r="C259" i="3"/>
  <c r="B259" i="3"/>
  <c r="J183" i="3"/>
  <c r="J184" i="3" s="1"/>
  <c r="B184" i="3"/>
  <c r="C184" i="3"/>
  <c r="D184" i="3"/>
  <c r="E184" i="3"/>
  <c r="F184" i="3"/>
  <c r="J185" i="3"/>
  <c r="J186" i="3"/>
  <c r="J207" i="3"/>
  <c r="C200" i="3"/>
  <c r="B191" i="3"/>
  <c r="J191" i="3" s="1"/>
  <c r="J192" i="3" s="1"/>
  <c r="C192" i="3"/>
  <c r="C178" i="3"/>
  <c r="H171" i="3"/>
  <c r="C171" i="3"/>
  <c r="H163" i="3"/>
  <c r="C163" i="3"/>
  <c r="G155" i="3"/>
  <c r="C155" i="3"/>
  <c r="C146" i="3"/>
  <c r="C139" i="3"/>
  <c r="C132" i="3"/>
  <c r="C121" i="3"/>
  <c r="I110" i="3"/>
  <c r="G110" i="3"/>
  <c r="B70" i="3"/>
  <c r="H192" i="3" l="1"/>
  <c r="C110" i="3"/>
  <c r="C100" i="3"/>
  <c r="C88" i="3"/>
  <c r="C79" i="3"/>
  <c r="C70" i="3"/>
  <c r="C57" i="3"/>
  <c r="C45" i="3"/>
  <c r="C23" i="3"/>
  <c r="J254" i="3"/>
  <c r="J253" i="3"/>
  <c r="J210" i="3"/>
  <c r="J217" i="3"/>
  <c r="J216" i="3"/>
  <c r="F215" i="3"/>
  <c r="E215" i="3"/>
  <c r="J214" i="3"/>
  <c r="J221" i="3"/>
  <c r="J222" i="3" s="1"/>
  <c r="B222" i="3"/>
  <c r="J223" i="3"/>
  <c r="J246" i="3"/>
  <c r="J245" i="3"/>
  <c r="J243" i="3"/>
  <c r="J244" i="3" s="1"/>
  <c r="J238" i="3"/>
  <c r="J237" i="3"/>
  <c r="J235" i="3"/>
  <c r="J236" i="3" s="1"/>
  <c r="C229" i="3"/>
  <c r="J231" i="3"/>
  <c r="J230" i="3"/>
  <c r="J228" i="3"/>
  <c r="J229" i="3" s="1"/>
  <c r="J300" i="3"/>
  <c r="J299" i="3"/>
  <c r="F298" i="3"/>
  <c r="E298" i="3"/>
  <c r="D298" i="3"/>
  <c r="B298" i="3"/>
  <c r="J344" i="3"/>
  <c r="J343" i="3"/>
  <c r="F342" i="3"/>
  <c r="E342" i="3"/>
  <c r="D342" i="3"/>
  <c r="B342" i="3"/>
  <c r="J337" i="3"/>
  <c r="J336" i="3"/>
  <c r="F335" i="3"/>
  <c r="E335" i="3"/>
  <c r="D335" i="3"/>
  <c r="B335" i="3"/>
  <c r="J329" i="3"/>
  <c r="J328" i="3"/>
  <c r="F327" i="3"/>
  <c r="E327" i="3"/>
  <c r="D327" i="3"/>
  <c r="B327" i="3"/>
  <c r="J322" i="3"/>
  <c r="J321" i="3"/>
  <c r="F320" i="3"/>
  <c r="E320" i="3"/>
  <c r="D320" i="3"/>
  <c r="B320" i="3"/>
  <c r="J314" i="3"/>
  <c r="J313" i="3"/>
  <c r="F312" i="3"/>
  <c r="E312" i="3"/>
  <c r="D312" i="3"/>
  <c r="B312" i="3"/>
  <c r="J307" i="3"/>
  <c r="J306" i="3"/>
  <c r="F305" i="3"/>
  <c r="E305" i="3"/>
  <c r="D305" i="3"/>
  <c r="B305" i="3"/>
  <c r="J292" i="3"/>
  <c r="J291" i="3"/>
  <c r="F290" i="3"/>
  <c r="E290" i="3"/>
  <c r="D290" i="3"/>
  <c r="B290" i="3"/>
  <c r="J284" i="3"/>
  <c r="J283" i="3"/>
  <c r="F282" i="3"/>
  <c r="E282" i="3"/>
  <c r="D282" i="3"/>
  <c r="B282" i="3"/>
  <c r="B275" i="3"/>
  <c r="J277" i="3"/>
  <c r="J276" i="3"/>
  <c r="F275" i="3"/>
  <c r="E275" i="3"/>
  <c r="D275" i="3"/>
  <c r="J269" i="3"/>
  <c r="J268" i="3"/>
  <c r="J224" i="3"/>
  <c r="J209" i="3"/>
  <c r="B208" i="3"/>
  <c r="J206" i="3"/>
  <c r="J202" i="3"/>
  <c r="J201" i="3"/>
  <c r="F200" i="3"/>
  <c r="E200" i="3"/>
  <c r="D200" i="3"/>
  <c r="B200" i="3"/>
  <c r="J199" i="3"/>
  <c r="J200" i="3" s="1"/>
  <c r="J194" i="3"/>
  <c r="J193" i="3"/>
  <c r="F192" i="3"/>
  <c r="E192" i="3"/>
  <c r="D192" i="3"/>
  <c r="B192" i="3"/>
  <c r="J180" i="3"/>
  <c r="J179" i="3"/>
  <c r="F178" i="3"/>
  <c r="E178" i="3"/>
  <c r="D178" i="3"/>
  <c r="B178" i="3"/>
  <c r="J177" i="3"/>
  <c r="J173" i="3"/>
  <c r="J172" i="3"/>
  <c r="F171" i="3"/>
  <c r="E171" i="3"/>
  <c r="D171" i="3"/>
  <c r="B171" i="3"/>
  <c r="J170" i="3"/>
  <c r="J169" i="3"/>
  <c r="J165" i="3"/>
  <c r="J164" i="3"/>
  <c r="F163" i="3"/>
  <c r="E163" i="3"/>
  <c r="D163" i="3"/>
  <c r="B163" i="3"/>
  <c r="J162" i="3"/>
  <c r="J161" i="3"/>
  <c r="J160" i="3"/>
  <c r="J157" i="3"/>
  <c r="J156" i="3"/>
  <c r="F155" i="3"/>
  <c r="E155" i="3"/>
  <c r="D155" i="3"/>
  <c r="B155" i="3"/>
  <c r="J154" i="3"/>
  <c r="J153" i="3"/>
  <c r="J152" i="3"/>
  <c r="J148" i="3"/>
  <c r="J147" i="3"/>
  <c r="F146" i="3"/>
  <c r="E146" i="3"/>
  <c r="D146" i="3"/>
  <c r="B146" i="3"/>
  <c r="J145" i="3"/>
  <c r="J146" i="3" s="1"/>
  <c r="J141" i="3"/>
  <c r="J140" i="3"/>
  <c r="F139" i="3"/>
  <c r="E139" i="3"/>
  <c r="D139" i="3"/>
  <c r="B139" i="3"/>
  <c r="J139" i="3"/>
  <c r="J118" i="3"/>
  <c r="J119" i="3"/>
  <c r="J134" i="3"/>
  <c r="J133" i="3"/>
  <c r="F132" i="3"/>
  <c r="E132" i="3"/>
  <c r="D132" i="3"/>
  <c r="B132" i="3"/>
  <c r="J131" i="3"/>
  <c r="J123" i="3"/>
  <c r="J122" i="3"/>
  <c r="F121" i="3"/>
  <c r="E121" i="3"/>
  <c r="D121" i="3"/>
  <c r="B121" i="3"/>
  <c r="J120" i="3"/>
  <c r="J112" i="3"/>
  <c r="J111" i="3"/>
  <c r="F110" i="3"/>
  <c r="E110" i="3"/>
  <c r="D110" i="3"/>
  <c r="B110" i="3"/>
  <c r="J109" i="3"/>
  <c r="J108" i="3"/>
  <c r="J102" i="3"/>
  <c r="J101" i="3"/>
  <c r="F100" i="3"/>
  <c r="D100" i="3"/>
  <c r="B100" i="3"/>
  <c r="J99" i="3"/>
  <c r="J98" i="3"/>
  <c r="J90" i="3"/>
  <c r="J89" i="3"/>
  <c r="F88" i="3"/>
  <c r="E88" i="3"/>
  <c r="D88" i="3"/>
  <c r="B88" i="3"/>
  <c r="J87" i="3"/>
  <c r="J86" i="3"/>
  <c r="J81" i="3"/>
  <c r="J80" i="3"/>
  <c r="F79" i="3"/>
  <c r="B79" i="3"/>
  <c r="J78" i="3"/>
  <c r="J77" i="3"/>
  <c r="J72" i="3"/>
  <c r="J71" i="3"/>
  <c r="F70" i="3"/>
  <c r="E70" i="3"/>
  <c r="D70" i="3"/>
  <c r="J69" i="3"/>
  <c r="J68" i="3"/>
  <c r="J67" i="3"/>
  <c r="J66" i="3"/>
  <c r="J70" i="3" s="1"/>
  <c r="J59" i="3"/>
  <c r="J58" i="3"/>
  <c r="F57" i="3"/>
  <c r="E57" i="3"/>
  <c r="D57" i="3"/>
  <c r="B57" i="3"/>
  <c r="J56" i="3"/>
  <c r="J55" i="3"/>
  <c r="J54" i="3"/>
  <c r="J53" i="3"/>
  <c r="J52" i="3"/>
  <c r="B45" i="3"/>
  <c r="D45" i="3"/>
  <c r="E45" i="3"/>
  <c r="F45" i="3"/>
  <c r="J46" i="3"/>
  <c r="J33" i="3"/>
  <c r="J34" i="3"/>
  <c r="J35" i="3"/>
  <c r="J36" i="3"/>
  <c r="J37" i="3"/>
  <c r="J38" i="3"/>
  <c r="J39" i="3"/>
  <c r="J40" i="3"/>
  <c r="J41" i="3"/>
  <c r="J42" i="3"/>
  <c r="J43" i="3"/>
  <c r="J44" i="3"/>
  <c r="J47" i="3"/>
  <c r="J13" i="3"/>
  <c r="J14" i="3"/>
  <c r="J15" i="3"/>
  <c r="J215" i="3" l="1"/>
  <c r="J252" i="3"/>
  <c r="J298" i="3"/>
  <c r="J342" i="3"/>
  <c r="J290" i="3"/>
  <c r="J305" i="3"/>
  <c r="J312" i="3"/>
  <c r="J320" i="3"/>
  <c r="J327" i="3"/>
  <c r="J335" i="3"/>
  <c r="J275" i="3"/>
  <c r="J171" i="3"/>
  <c r="J208" i="3"/>
  <c r="J132" i="3"/>
  <c r="J163" i="3"/>
  <c r="J178" i="3"/>
  <c r="J155" i="3"/>
  <c r="J121" i="3"/>
  <c r="J110" i="3"/>
  <c r="J100" i="3"/>
  <c r="J79" i="3"/>
  <c r="J88" i="3"/>
  <c r="J57" i="3"/>
  <c r="J45" i="3"/>
  <c r="J6" i="3"/>
  <c r="J7" i="3"/>
  <c r="J8" i="3"/>
  <c r="J9" i="3"/>
  <c r="J10" i="3"/>
  <c r="J11" i="3"/>
  <c r="J12" i="3"/>
  <c r="J16" i="3"/>
  <c r="J17" i="3"/>
  <c r="J18" i="3"/>
  <c r="J19" i="3"/>
  <c r="J20" i="3"/>
  <c r="B23" i="3"/>
  <c r="E23" i="3"/>
  <c r="J21" i="3"/>
  <c r="J22" i="3"/>
  <c r="J24" i="3"/>
  <c r="J25" i="3"/>
  <c r="F23" i="3" l="1"/>
  <c r="J23" i="3" l="1"/>
</calcChain>
</file>

<file path=xl/sharedStrings.xml><?xml version="1.0" encoding="utf-8"?>
<sst xmlns="http://schemas.openxmlformats.org/spreadsheetml/2006/main" count="1121" uniqueCount="157">
  <si>
    <t>UNDER</t>
  </si>
  <si>
    <t>OVER</t>
  </si>
  <si>
    <t>CANDIDATE NAME</t>
  </si>
  <si>
    <t>BOX 4</t>
  </si>
  <si>
    <t>BOX 5</t>
  </si>
  <si>
    <t>BOX 6</t>
  </si>
  <si>
    <t>TOTAL</t>
  </si>
  <si>
    <t>Total</t>
  </si>
  <si>
    <t>REEVES COUTNY CIVIC CENTER</t>
  </si>
  <si>
    <t>PECOS COMMUNITY CENTER</t>
  </si>
  <si>
    <t>BALMORHEA COMMUNTIY CENTER</t>
  </si>
  <si>
    <t>SARAGOSA MPC</t>
  </si>
  <si>
    <t>TOYAH OLD SCHOOL BLDG</t>
  </si>
  <si>
    <t>BOX 7</t>
  </si>
  <si>
    <t>BOX 10</t>
  </si>
  <si>
    <t>BOX 3 &amp; 12</t>
  </si>
  <si>
    <t>REEVES COUTNY HOSPITAL</t>
  </si>
  <si>
    <t>REEVES COUNTY SENIOR CENTER</t>
  </si>
  <si>
    <t>REEVES COUNTY ANNEX</t>
  </si>
  <si>
    <t>PRESIDENT</t>
  </si>
  <si>
    <t>JULIAN CASTRO</t>
  </si>
  <si>
    <t>MICHAEL BENNET</t>
  </si>
  <si>
    <t>DEVAL PATRICK</t>
  </si>
  <si>
    <t>JOSEPH R. BIDEN</t>
  </si>
  <si>
    <t>PETE BUTTIGIEG</t>
  </si>
  <si>
    <t>ROBBY WELLS</t>
  </si>
  <si>
    <t>AMY KLOBUCHAR</t>
  </si>
  <si>
    <t>BERNIE SANDERS</t>
  </si>
  <si>
    <t>TULSI GABBARD</t>
  </si>
  <si>
    <t>MARIANNE WILLIAMSON</t>
  </si>
  <si>
    <t>ROQUE "ROCKY" DE LA FUNETE</t>
  </si>
  <si>
    <t>ANDREW YANG</t>
  </si>
  <si>
    <t>JOHN K. DELANEY</t>
  </si>
  <si>
    <t>CORY BOOKER</t>
  </si>
  <si>
    <t>BOX 2 &amp; 11</t>
  </si>
  <si>
    <t>BOX 1 &amp; 8</t>
  </si>
  <si>
    <t>TOM STEYER</t>
  </si>
  <si>
    <t>ELIZABETH WARREN</t>
  </si>
  <si>
    <t>MICHAEL BLOOMBERG</t>
  </si>
  <si>
    <t>U.S. SENATOR</t>
  </si>
  <si>
    <t>ROYCE WEST</t>
  </si>
  <si>
    <t>CHRIS BELL</t>
  </si>
  <si>
    <t>MICHAEL COOPER</t>
  </si>
  <si>
    <t>ADRIAN OCEGUEDA</t>
  </si>
  <si>
    <t>VICTOR HUGO HARRIS</t>
  </si>
  <si>
    <t>AMANDA K EDWARDS</t>
  </si>
  <si>
    <t>CRISTINA TZINTZUN RAMIREZ</t>
  </si>
  <si>
    <t>SEMA HERNANDEZ</t>
  </si>
  <si>
    <t>MARY "MJ' HEGAR</t>
  </si>
  <si>
    <t>ANNIE "MAMA" GARCIA</t>
  </si>
  <si>
    <t>JACK DANIEL FOSTER JR</t>
  </si>
  <si>
    <t>D.R. HUNTER</t>
  </si>
  <si>
    <t>PRECINCTS COUNTED = 8                                                                  PROVISIONAL VOTERS = 44</t>
  </si>
  <si>
    <t>U.S. REPRESENTATIVE DISTRICT 23</t>
  </si>
  <si>
    <t>ROSALINDA "ROSEY" RAMOS ABUABARA</t>
  </si>
  <si>
    <t>JAIME ESCUDER</t>
  </si>
  <si>
    <t>RICARDO R MADRID</t>
  </si>
  <si>
    <t>GINA ORTIZ JONES</t>
  </si>
  <si>
    <t>EFRAIN V VALDEZ</t>
  </si>
  <si>
    <t>RAILROAD COMMISSIONER</t>
  </si>
  <si>
    <t>KELLY STONE</t>
  </si>
  <si>
    <t>ROBERTO R. "BETO" ALONZO</t>
  </si>
  <si>
    <t>MARK WATSON</t>
  </si>
  <si>
    <t>CHRYSTA CASTANEDA</t>
  </si>
  <si>
    <t>CHIEF JUSTICE SUPREME COURT</t>
  </si>
  <si>
    <t>JERRY ZIMMERER</t>
  </si>
  <si>
    <t>AMY CLARK MEACHUM</t>
  </si>
  <si>
    <t>LARRY PRAEGER</t>
  </si>
  <si>
    <t>KATHY CHENG</t>
  </si>
  <si>
    <t>JUSTICE, SUPREME COURT, PLACE 7</t>
  </si>
  <si>
    <t>JUSTICE, SUPREME COURT, PLACE 6 - UNEXPIRED TERM</t>
  </si>
  <si>
    <t>JUSTICE, SUPREME COURT, PLACE 8</t>
  </si>
  <si>
    <t>STACI WILLLIAMS</t>
  </si>
  <si>
    <t>BRANDY VOSS</t>
  </si>
  <si>
    <t>GISELA D TRIANA</t>
  </si>
  <si>
    <t>PETER KELLY</t>
  </si>
  <si>
    <t>WILLIAM PIERATT DEMOND</t>
  </si>
  <si>
    <t>DAN WOOD</t>
  </si>
  <si>
    <t>ELIZABETH DAVID FRIZELL</t>
  </si>
  <si>
    <t>JUDGE, COURT OF CRIMINAL APPEALS, PLACE 3</t>
  </si>
  <si>
    <t>JUDGE, COURT OF CRIMINAL APPEALS P4</t>
  </si>
  <si>
    <t>STEVEN MIEARS</t>
  </si>
  <si>
    <t>TINA CLINTON</t>
  </si>
  <si>
    <t>JUDGE, COURT OF CRIMINAL APPEALS PLACE 9</t>
  </si>
  <si>
    <t>BRANDON BIRMINGHAM</t>
  </si>
  <si>
    <t>MEMBER, STATE BOARD OF EDUCATION, DIST. 1</t>
  </si>
  <si>
    <t>GEORGINA PEREZ</t>
  </si>
  <si>
    <t xml:space="preserve">STATE SENATOR, DISTRICT 19 </t>
  </si>
  <si>
    <t>FREDDY RAMIREZ</t>
  </si>
  <si>
    <t>ROLAND GUTIERREZ</t>
  </si>
  <si>
    <t>XOCHIL PENA RODRIGUEZ</t>
  </si>
  <si>
    <t>STATE REPRESENTATIVE, DISTRICT 74</t>
  </si>
  <si>
    <t>ROWLAND GARZA</t>
  </si>
  <si>
    <t>RAMSEY ENGLIS CANTU</t>
  </si>
  <si>
    <t>EDDIE MORALES</t>
  </si>
  <si>
    <t>CHIEF JUSTICE, 8TH COURT OF APPEALS DIST</t>
  </si>
  <si>
    <t>YVONNE RODRIGUEZ</t>
  </si>
  <si>
    <t>ANGIE JUAREZ BARILL</t>
  </si>
  <si>
    <t>DISTRICT ATTORNEY, 143RD JUDICIAL DIST</t>
  </si>
  <si>
    <t>RANDALL REYNOLDS</t>
  </si>
  <si>
    <t>COUNTY ATTORNEY</t>
  </si>
  <si>
    <t>ALVA ALVAREZ</t>
  </si>
  <si>
    <t>SHERIFF</t>
  </si>
  <si>
    <t>ARTURO "ART" GRANADO</t>
  </si>
  <si>
    <t>ALFREDO MARTINEZ</t>
  </si>
  <si>
    <t>COUNTY TAX ASSESSOR-COLLECTOR</t>
  </si>
  <si>
    <t>ROSEMARY CHABARRIA</t>
  </si>
  <si>
    <t>COUNTY COMMISSIONER, PRECINCT #1</t>
  </si>
  <si>
    <t>MARK A MENDOZA</t>
  </si>
  <si>
    <t>ROJELIO (ROY) ALVARADO</t>
  </si>
  <si>
    <t>CONSTABLE, PRECINT #1</t>
  </si>
  <si>
    <t>JACKIE HERNANDEZ</t>
  </si>
  <si>
    <t>PROP 1</t>
  </si>
  <si>
    <t xml:space="preserve"> RIGHT TO HEALTHCARE</t>
  </si>
  <si>
    <t>YES</t>
  </si>
  <si>
    <t>NO</t>
  </si>
  <si>
    <t>RIGHT TO A 21ST CENTURY PUBLIC EDUCATION:</t>
  </si>
  <si>
    <t>PROP 2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</si>
  <si>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</si>
  <si>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</si>
  <si>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</si>
  <si>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</si>
  <si>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</si>
  <si>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</si>
  <si>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</si>
  <si>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</si>
  <si>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PROP 11</t>
  </si>
  <si>
    <t>RIGHT TO CLEAN AIR, SAFE WATER, AND A RESPONSIBLE CLIMATE POLICY</t>
  </si>
  <si>
    <t>RIGHT TO ECONOMIC SECURITY</t>
  </si>
  <si>
    <t>RIGHT TO DIGNITY AND RESPECT</t>
  </si>
  <si>
    <t>RIGHT TO BE FREE FROM VIOLENCE</t>
  </si>
  <si>
    <t>RIGHT TO HOUSING</t>
  </si>
  <si>
    <t>RIGHT TO VOTE</t>
  </si>
  <si>
    <t>RIGHT TO A FAIR CRIMINAL JUSTICE SYSTEM</t>
  </si>
  <si>
    <t>IMMIGRANT RIGHTS</t>
  </si>
  <si>
    <t>RIGHT TO FAIR TAXATION</t>
  </si>
  <si>
    <t>CONSTABLE, PRECINT #2</t>
  </si>
  <si>
    <t>JERRY C MATTA</t>
  </si>
  <si>
    <t>0</t>
  </si>
  <si>
    <t>CONSTABLE, PRECINT #3</t>
  </si>
  <si>
    <t>JOSE ALFREDO SALDANA</t>
  </si>
  <si>
    <t>CONSTABLE, PRECINT #4</t>
  </si>
  <si>
    <t>JAY HANEY</t>
  </si>
  <si>
    <t>COUNTY COMMISSIONER, PRECINCT #3</t>
  </si>
  <si>
    <t>PAUL A HINOJOS</t>
  </si>
  <si>
    <t>JUSTICE OF THE PEACE PRECINCT #4</t>
  </si>
  <si>
    <t>SAM LUJAN</t>
  </si>
  <si>
    <t xml:space="preserve">CECIL J LEE II </t>
  </si>
  <si>
    <t>N/A</t>
  </si>
  <si>
    <t>DEMOCRAT COUNTY CHAIR</t>
  </si>
  <si>
    <t>ROBIN LAND</t>
  </si>
  <si>
    <t>The following totals are for Mail In, Early Voting and Election Day COMBINED</t>
  </si>
  <si>
    <t>TOTAL BALLOTS COUNTED</t>
  </si>
  <si>
    <t>80</t>
  </si>
  <si>
    <t>PROVISIONAL</t>
  </si>
  <si>
    <r>
      <rPr>
        <b/>
        <sz val="11"/>
        <rFont val="Times New Roman"/>
        <family val="1"/>
      </rPr>
      <t xml:space="preserve"> NUMBER OF REGISTERED VOTERS PER BOX:                                                                                                             </t>
    </r>
    <r>
      <rPr>
        <sz val="11"/>
        <rFont val="Times New Roman"/>
        <family val="1"/>
      </rPr>
      <t xml:space="preserve">   BOX 2 &amp; 11 = </t>
    </r>
    <r>
      <rPr>
        <b/>
        <sz val="11"/>
        <rFont val="Times New Roman"/>
        <family val="1"/>
      </rPr>
      <t>1748</t>
    </r>
    <r>
      <rPr>
        <sz val="11"/>
        <rFont val="Times New Roman"/>
        <family val="1"/>
      </rPr>
      <t xml:space="preserve">  BOX 3 &amp; 12 = </t>
    </r>
    <r>
      <rPr>
        <b/>
        <sz val="11"/>
        <rFont val="Times New Roman"/>
        <family val="1"/>
      </rPr>
      <t>1923</t>
    </r>
    <r>
      <rPr>
        <sz val="11"/>
        <rFont val="Times New Roman"/>
        <family val="1"/>
      </rPr>
      <t xml:space="preserve"> BOX 4 =</t>
    </r>
    <r>
      <rPr>
        <b/>
        <sz val="11"/>
        <rFont val="Times New Roman"/>
        <family val="1"/>
      </rPr>
      <t xml:space="preserve"> 109</t>
    </r>
    <r>
      <rPr>
        <sz val="11"/>
        <rFont val="Times New Roman"/>
        <family val="1"/>
      </rPr>
      <t xml:space="preserve"> BOX 5 =</t>
    </r>
    <r>
      <rPr>
        <b/>
        <sz val="11"/>
        <rFont val="Times New Roman"/>
        <family val="1"/>
      </rPr>
      <t xml:space="preserve"> 490 </t>
    </r>
    <r>
      <rPr>
        <sz val="11"/>
        <rFont val="Times New Roman"/>
        <family val="1"/>
      </rPr>
      <t xml:space="preserve">BOX 6 = </t>
    </r>
    <r>
      <rPr>
        <b/>
        <sz val="11"/>
        <rFont val="Times New Roman"/>
        <family val="1"/>
      </rPr>
      <t xml:space="preserve">143 </t>
    </r>
    <r>
      <rPr>
        <sz val="11"/>
        <rFont val="Times New Roman"/>
        <family val="1"/>
      </rPr>
      <t xml:space="preserve">BOX 10 = </t>
    </r>
    <r>
      <rPr>
        <b/>
        <sz val="11"/>
        <rFont val="Times New Roman"/>
        <family val="1"/>
      </rPr>
      <t xml:space="preserve">1066                            </t>
    </r>
    <r>
      <rPr>
        <sz val="11"/>
        <rFont val="Times New Roman"/>
        <family val="1"/>
      </rPr>
      <t xml:space="preserve"> BOX 1 &amp; 8 = </t>
    </r>
    <r>
      <rPr>
        <b/>
        <sz val="11"/>
        <rFont val="Times New Roman"/>
        <family val="1"/>
      </rPr>
      <t>1016</t>
    </r>
    <r>
      <rPr>
        <sz val="11"/>
        <rFont val="Times New Roman"/>
        <family val="1"/>
      </rPr>
      <t xml:space="preserve">   BOX 7 = </t>
    </r>
    <r>
      <rPr>
        <b/>
        <sz val="11"/>
        <rFont val="Times New Roman"/>
        <family val="1"/>
      </rPr>
      <t>893</t>
    </r>
    <r>
      <rPr>
        <sz val="1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</t>
    </r>
    <r>
      <rPr>
        <b/>
        <sz val="11"/>
        <rFont val="Times New Roman"/>
        <family val="1"/>
      </rPr>
      <t>TOTAL NUMBER  OF REGISTERED VOTERS =  7388</t>
    </r>
  </si>
  <si>
    <t>PROVISIONAL BALLOTS COUNTED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</si>
</sst>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u/>
      <sz val="14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u/>
      <sz val="1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</font>
    <font>
      <b/>
      <sz val="14"/>
      <color theme="1"/>
      <name val="Times New Roman"/>
      <family val="1"/>
    </font>
    <font>
      <sz val="14"/>
      <name val="Times New Roman"/>
    </font>
    <font>
      <sz val="10"/>
      <name val="Times New Roman"/>
      <family val="1"/>
    </font>
    <font>
      <b/>
      <sz val="6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/>
    <xf numFmtId="0" fontId="8" fillId="0" borderId="1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4" fillId="0" borderId="0" xfId="0" applyFont="1" applyBorder="1"/>
    <xf numFmtId="0" fontId="2" fillId="0" borderId="16" xfId="0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11" fillId="0" borderId="0" xfId="0" applyFont="1"/>
    <xf numFmtId="0" fontId="13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vertical="center" wrapText="1"/>
    </xf>
    <xf numFmtId="0" fontId="12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1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1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1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2" fillId="0" borderId="15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9" xfId="0" applyFont="1" applyBorder="1"/>
    <xf numFmtId="0" fontId="3" fillId="0" borderId="21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22" xfId="0" applyFont="1" applyBorder="1"/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105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vertAlign val="baseline"/>
        <sz val="14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4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>
        <top style="medium">
          <color indexed="64"/>
        </top>
      </border>
    </dxf>
    <dxf>
      <font>
        <b/>
        <strike val="0"/>
        <outline val="0"/>
        <shadow val="0"/>
        <vertAlign val="baseline"/>
        <sz val="14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K23" totalsRowCount="1" headerRowDxfId="1049" dataDxfId="1047" totalsRowDxfId="1045" headerRowBorderDxfId="1048" tableBorderDxfId="1046" totalsRowBorderDxfId="1044">
  <autoFilter ref="A5:K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CANDIDATE NAME" totalsRowLabel="Total" dataDxfId="1043" totalsRowDxfId="597"/>
    <tableColumn id="2" xr3:uid="{00000000-0010-0000-0000-000002000000}" name="BOX 2 &amp; 11" totalsRowFunction="sum" dataDxfId="1042" totalsRowDxfId="596"/>
    <tableColumn id="6" xr3:uid="{00000000-0010-0000-0000-000006000000}" name="BOX 3 &amp; 12" totalsRowFunction="sum" dataDxfId="1041" totalsRowDxfId="595"/>
    <tableColumn id="5" xr3:uid="{00000000-0010-0000-0000-000005000000}" name="BOX 4" totalsRowFunction="sum" dataDxfId="1040" totalsRowDxfId="594"/>
    <tableColumn id="8" xr3:uid="{00000000-0010-0000-0000-000008000000}" name="BOX 5" totalsRowFunction="sum" dataDxfId="1039" totalsRowDxfId="593"/>
    <tableColumn id="7" xr3:uid="{00000000-0010-0000-0000-000007000000}" name="BOX 6" totalsRowFunction="sum" dataDxfId="1038" totalsRowDxfId="592"/>
    <tableColumn id="10" xr3:uid="{00000000-0010-0000-0000-00000A000000}" name="BOX 10" totalsRowFunction="sum" dataDxfId="1037" totalsRowDxfId="591"/>
    <tableColumn id="3" xr3:uid="{00000000-0010-0000-0000-000003000000}" name="BOX 1 &amp; 8" totalsRowFunction="sum" dataDxfId="1036" totalsRowDxfId="590"/>
    <tableColumn id="9" xr3:uid="{00000000-0010-0000-0000-000009000000}" name="BOX 7" totalsRowFunction="sum" dataDxfId="1035" totalsRowDxfId="589"/>
    <tableColumn id="4" xr3:uid="{00000000-0010-0000-0000-000004000000}" name="TOTAL" totalsRowFunction="sum" dataDxfId="1034" totalsRowDxfId="588">
      <calculatedColumnFormula>SUM(B6:I6)</calculatedColumnFormula>
    </tableColumn>
    <tableColumn id="11" xr3:uid="{EDD1608A-9E89-4B94-97D4-5105804056AF}" name="PROVISIONAL" dataDxfId="561" totalsRowDxfId="56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34571013" displayName="Table134571013" ref="A129:J132" totalsRowCount="1" headerRowDxfId="409" dataDxfId="408" totalsRowDxfId="407" headerRowBorderDxfId="405" tableBorderDxfId="406" totalsRowBorderDxfId="404">
  <autoFilter ref="A129:J131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900-000001000000}" name="CANDIDATE NAME" totalsRowLabel="Total" dataDxfId="402" totalsRowDxfId="403"/>
    <tableColumn id="2" xr3:uid="{00000000-0010-0000-0900-000002000000}" name="BOX 2 &amp; 11" totalsRowFunction="sum" dataDxfId="400" totalsRowDxfId="401"/>
    <tableColumn id="6" xr3:uid="{00000000-0010-0000-0900-000006000000}" name="BOX 3 &amp; 12" totalsRowFunction="sum" dataDxfId="398" totalsRowDxfId="399"/>
    <tableColumn id="5" xr3:uid="{00000000-0010-0000-0900-000005000000}" name="BOX 4" totalsRowFunction="sum" dataDxfId="396" totalsRowDxfId="397"/>
    <tableColumn id="8" xr3:uid="{00000000-0010-0000-0900-000008000000}" name="BOX 5" totalsRowFunction="sum" dataDxfId="394" totalsRowDxfId="395"/>
    <tableColumn id="7" xr3:uid="{00000000-0010-0000-0900-000007000000}" name="BOX 6" totalsRowFunction="sum" dataDxfId="392" totalsRowDxfId="393"/>
    <tableColumn id="10" xr3:uid="{00000000-0010-0000-0900-00000A000000}" name="BOX 10" totalsRowFunction="sum" dataDxfId="390" totalsRowDxfId="391"/>
    <tableColumn id="3" xr3:uid="{00000000-0010-0000-0900-000003000000}" name="BOX 1 &amp; 8" totalsRowFunction="sum" dataDxfId="388" totalsRowDxfId="389"/>
    <tableColumn id="9" xr3:uid="{00000000-0010-0000-0900-000009000000}" name="BOX 7" totalsRowFunction="sum" dataDxfId="386" totalsRowDxfId="387"/>
    <tableColumn id="4" xr3:uid="{00000000-0010-0000-0900-000004000000}" name="TOTAL" totalsRowFunction="sum" dataDxfId="384" totalsRowDxfId="385">
      <calculatedColumnFormula>SUM(B130:I130)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e13457101315" displayName="Table13457101315" ref="A137:J139" totalsRowCount="1" headerRowDxfId="383" dataDxfId="382" totalsRowDxfId="381" headerRowBorderDxfId="379" tableBorderDxfId="380" totalsRowBorderDxfId="378">
  <autoFilter ref="A137:J138" xr:uid="{00000000-0009-0000-0100-00000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A00-000001000000}" name="CANDIDATE NAME" totalsRowLabel="Total" dataDxfId="376" totalsRowDxfId="377"/>
    <tableColumn id="2" xr3:uid="{00000000-0010-0000-0A00-000002000000}" name="BOX 2 &amp; 11" totalsRowFunction="sum" dataDxfId="374" totalsRowDxfId="375"/>
    <tableColumn id="6" xr3:uid="{00000000-0010-0000-0A00-000006000000}" name="BOX 3 &amp; 12" totalsRowFunction="sum" dataDxfId="372" totalsRowDxfId="373"/>
    <tableColumn id="5" xr3:uid="{00000000-0010-0000-0A00-000005000000}" name="BOX 4" totalsRowFunction="sum" dataDxfId="370" totalsRowDxfId="371"/>
    <tableColumn id="8" xr3:uid="{00000000-0010-0000-0A00-000008000000}" name="BOX 5" totalsRowFunction="sum" dataDxfId="368" totalsRowDxfId="369"/>
    <tableColumn id="7" xr3:uid="{00000000-0010-0000-0A00-000007000000}" name="BOX 6" totalsRowFunction="sum" dataDxfId="366" totalsRowDxfId="367"/>
    <tableColumn id="10" xr3:uid="{00000000-0010-0000-0A00-00000A000000}" name="BOX 10" totalsRowFunction="sum" dataDxfId="364" totalsRowDxfId="365"/>
    <tableColumn id="3" xr3:uid="{00000000-0010-0000-0A00-000003000000}" name="BOX 1 &amp; 8" totalsRowFunction="sum" dataDxfId="362" totalsRowDxfId="363"/>
    <tableColumn id="9" xr3:uid="{00000000-0010-0000-0A00-000009000000}" name="BOX 7" totalsRowFunction="sum" dataDxfId="360" totalsRowDxfId="361"/>
    <tableColumn id="4" xr3:uid="{00000000-0010-0000-0A00-000004000000}" name="TOTAL" totalsRowFunction="sum" dataDxfId="358" totalsRowDxfId="359">
      <calculatedColumnFormula>SUM(B138:I138)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13457101316" displayName="Table13457101316" ref="A144:K146" totalsRowCount="1" headerRowDxfId="357" dataDxfId="356" totalsRowDxfId="355" headerRowBorderDxfId="353" tableBorderDxfId="354" totalsRowBorderDxfId="352">
  <autoFilter ref="A144:K145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CANDIDATE NAME" totalsRowLabel="Total" dataDxfId="351" totalsRowDxfId="252"/>
    <tableColumn id="2" xr3:uid="{00000000-0010-0000-0B00-000002000000}" name="BOX 2 &amp; 11" totalsRowFunction="sum" dataDxfId="350" totalsRowDxfId="251"/>
    <tableColumn id="6" xr3:uid="{00000000-0010-0000-0B00-000006000000}" name="BOX 3 &amp; 12" totalsRowFunction="sum" dataDxfId="349" totalsRowDxfId="250"/>
    <tableColumn id="5" xr3:uid="{00000000-0010-0000-0B00-000005000000}" name="BOX 4" totalsRowFunction="sum" dataDxfId="348" totalsRowDxfId="249"/>
    <tableColumn id="8" xr3:uid="{00000000-0010-0000-0B00-000008000000}" name="BOX 5" totalsRowFunction="sum" dataDxfId="347" totalsRowDxfId="248"/>
    <tableColumn id="7" xr3:uid="{00000000-0010-0000-0B00-000007000000}" name="BOX 6" totalsRowFunction="sum" dataDxfId="346" totalsRowDxfId="247"/>
    <tableColumn id="10" xr3:uid="{00000000-0010-0000-0B00-00000A000000}" name="BOX 10" totalsRowFunction="sum" dataDxfId="345" totalsRowDxfId="246"/>
    <tableColumn id="3" xr3:uid="{00000000-0010-0000-0B00-000003000000}" name="BOX 1 &amp; 8" totalsRowFunction="sum" dataDxfId="344" totalsRowDxfId="245"/>
    <tableColumn id="9" xr3:uid="{00000000-0010-0000-0B00-000009000000}" name="BOX 7" totalsRowFunction="sum" dataDxfId="343" totalsRowDxfId="244"/>
    <tableColumn id="4" xr3:uid="{00000000-0010-0000-0B00-000004000000}" name="TOTAL" totalsRowFunction="sum" dataDxfId="342" totalsRowDxfId="243">
      <calculatedColumnFormula>SUM(B145:I145)</calculatedColumnFormula>
    </tableColumn>
    <tableColumn id="11" xr3:uid="{2FB440D3-ED41-47B7-BBC5-2E59E13F545B}" name="PROVISIONAL" dataDxfId="341" totalsRowDxfId="24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e13457101117" displayName="Table13457101117" ref="A151:K155" totalsRowCount="1" headerRowDxfId="995" dataDxfId="993" totalsRowDxfId="991" headerRowBorderDxfId="994" tableBorderDxfId="992" totalsRowBorderDxfId="990">
  <autoFilter ref="A151:K154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C00-000001000000}" name="CANDIDATE NAME" totalsRowLabel="Total" dataDxfId="989" totalsRowDxfId="241"/>
    <tableColumn id="2" xr3:uid="{00000000-0010-0000-0C00-000002000000}" name="BOX 2 &amp; 11" totalsRowFunction="sum" dataDxfId="988" totalsRowDxfId="240"/>
    <tableColumn id="6" xr3:uid="{00000000-0010-0000-0C00-000006000000}" name="BOX 3 &amp; 12" totalsRowFunction="sum" dataDxfId="987" totalsRowDxfId="239"/>
    <tableColumn id="5" xr3:uid="{00000000-0010-0000-0C00-000005000000}" name="BOX 4" totalsRowFunction="sum" dataDxfId="986" totalsRowDxfId="238"/>
    <tableColumn id="8" xr3:uid="{00000000-0010-0000-0C00-000008000000}" name="BOX 5" totalsRowFunction="sum" dataDxfId="985" totalsRowDxfId="237"/>
    <tableColumn id="7" xr3:uid="{00000000-0010-0000-0C00-000007000000}" name="BOX 6" totalsRowFunction="sum" dataDxfId="984" totalsRowDxfId="236"/>
    <tableColumn id="10" xr3:uid="{00000000-0010-0000-0C00-00000A000000}" name="BOX 10" totalsRowFunction="sum" dataDxfId="983" totalsRowDxfId="235"/>
    <tableColumn id="3" xr3:uid="{00000000-0010-0000-0C00-000003000000}" name="BOX 1 &amp; 8" totalsRowFunction="sum" dataDxfId="982" totalsRowDxfId="234"/>
    <tableColumn id="9" xr3:uid="{00000000-0010-0000-0C00-000009000000}" name="BOX 7" totalsRowFunction="sum" dataDxfId="981" totalsRowDxfId="233"/>
    <tableColumn id="4" xr3:uid="{00000000-0010-0000-0C00-000004000000}" name="TOTAL" totalsRowFunction="sum" dataDxfId="980" totalsRowDxfId="232">
      <calculatedColumnFormula>SUM(B152:I152)</calculatedColumnFormula>
    </tableColumn>
    <tableColumn id="11" xr3:uid="{BC567417-797D-4331-B7D3-01586746DD1E}" name="PROVISIONAL" dataDxfId="340" totalsRowDxfId="23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Table1345710111719" displayName="Table1345710111719" ref="A159:K163" totalsRowCount="1" headerRowDxfId="979" dataDxfId="977" totalsRowDxfId="975" headerRowBorderDxfId="978" tableBorderDxfId="976" totalsRowBorderDxfId="974">
  <autoFilter ref="A159:K162" xr:uid="{00000000-0009-0000-0100-00001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D00-000001000000}" name="CANDIDATE NAME" totalsRowLabel="Total" dataDxfId="973" totalsRowDxfId="230"/>
    <tableColumn id="2" xr3:uid="{00000000-0010-0000-0D00-000002000000}" name="BOX 2 &amp; 11" totalsRowFunction="sum" dataDxfId="972" totalsRowDxfId="229"/>
    <tableColumn id="6" xr3:uid="{00000000-0010-0000-0D00-000006000000}" name="BOX 3 &amp; 12" totalsRowFunction="sum" dataDxfId="971" totalsRowDxfId="228"/>
    <tableColumn id="5" xr3:uid="{00000000-0010-0000-0D00-000005000000}" name="BOX 4" totalsRowFunction="sum" dataDxfId="970" totalsRowDxfId="227"/>
    <tableColumn id="8" xr3:uid="{00000000-0010-0000-0D00-000008000000}" name="BOX 5" totalsRowFunction="sum" dataDxfId="969" totalsRowDxfId="226"/>
    <tableColumn id="7" xr3:uid="{00000000-0010-0000-0D00-000007000000}" name="BOX 6" totalsRowFunction="sum" dataDxfId="968" totalsRowDxfId="225"/>
    <tableColumn id="10" xr3:uid="{00000000-0010-0000-0D00-00000A000000}" name="BOX 10" totalsRowFunction="sum" dataDxfId="967" totalsRowDxfId="224"/>
    <tableColumn id="3" xr3:uid="{00000000-0010-0000-0D00-000003000000}" name="BOX 1 &amp; 8" totalsRowFunction="sum" dataDxfId="966" totalsRowDxfId="223"/>
    <tableColumn id="9" xr3:uid="{00000000-0010-0000-0D00-000009000000}" name="BOX 7" totalsRowFunction="sum" dataDxfId="965" totalsRowDxfId="222"/>
    <tableColumn id="4" xr3:uid="{00000000-0010-0000-0D00-000004000000}" name="TOTAL" totalsRowFunction="sum" dataDxfId="964" totalsRowDxfId="221">
      <calculatedColumnFormula>SUM(B160:I160)</calculatedColumnFormula>
    </tableColumn>
    <tableColumn id="11" xr3:uid="{DFD1894B-0AF7-4A05-9E13-F9DD64CE2759}" name="PROVISIONAL" dataDxfId="339" totalsRowDxfId="22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Table1345710111720" displayName="Table1345710111720" ref="A168:K171" totalsRowCount="1" headerRowDxfId="963" dataDxfId="961" totalsRowDxfId="959" headerRowBorderDxfId="962" tableBorderDxfId="960" totalsRowBorderDxfId="958">
  <autoFilter ref="A168:K170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E00-000001000000}" name="CANDIDATE NAME" totalsRowLabel="Total" dataDxfId="957" totalsRowDxfId="219"/>
    <tableColumn id="2" xr3:uid="{00000000-0010-0000-0E00-000002000000}" name="BOX 2 &amp; 11" totalsRowFunction="sum" dataDxfId="956" totalsRowDxfId="218"/>
    <tableColumn id="6" xr3:uid="{00000000-0010-0000-0E00-000006000000}" name="BOX 3 &amp; 12" totalsRowFunction="sum" dataDxfId="955" totalsRowDxfId="217"/>
    <tableColumn id="5" xr3:uid="{00000000-0010-0000-0E00-000005000000}" name="BOX 4" totalsRowFunction="sum" dataDxfId="954" totalsRowDxfId="216"/>
    <tableColumn id="8" xr3:uid="{00000000-0010-0000-0E00-000008000000}" name="BOX 5" totalsRowFunction="sum" dataDxfId="953" totalsRowDxfId="215"/>
    <tableColumn id="7" xr3:uid="{00000000-0010-0000-0E00-000007000000}" name="BOX 6" totalsRowFunction="sum" dataDxfId="952" totalsRowDxfId="214"/>
    <tableColumn id="10" xr3:uid="{00000000-0010-0000-0E00-00000A000000}" name="BOX 10" totalsRowFunction="sum" dataDxfId="951" totalsRowDxfId="213"/>
    <tableColumn id="3" xr3:uid="{00000000-0010-0000-0E00-000003000000}" name="BOX 1 &amp; 8" totalsRowFunction="sum" dataDxfId="950" totalsRowDxfId="212"/>
    <tableColumn id="9" xr3:uid="{00000000-0010-0000-0E00-000009000000}" name="BOX 7" totalsRowFunction="sum" dataDxfId="949" totalsRowDxfId="211"/>
    <tableColumn id="4" xr3:uid="{00000000-0010-0000-0E00-000004000000}" name="TOTAL" totalsRowFunction="sum" dataDxfId="948" totalsRowDxfId="210">
      <calculatedColumnFormula>SUM(B169:I169)</calculatedColumnFormula>
    </tableColumn>
    <tableColumn id="11" xr3:uid="{4B83A5E6-4876-44AD-A6CB-6D39320C8E58}" name="PROVISIONAL" dataDxfId="338" totalsRowDxfId="209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Table1345710111721" displayName="Table1345710111721" ref="A176:K178" totalsRowCount="1" headerRowDxfId="947" dataDxfId="945" totalsRowDxfId="943" headerRowBorderDxfId="946" tableBorderDxfId="944" totalsRowBorderDxfId="942">
  <autoFilter ref="A176:K177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F00-000001000000}" name="CANDIDATE NAME" totalsRowLabel="Total" dataDxfId="941" totalsRowDxfId="208"/>
    <tableColumn id="2" xr3:uid="{00000000-0010-0000-0F00-000002000000}" name="BOX 2 &amp; 11" totalsRowFunction="sum" dataDxfId="940" totalsRowDxfId="207"/>
    <tableColumn id="6" xr3:uid="{00000000-0010-0000-0F00-000006000000}" name="BOX 3 &amp; 12" totalsRowFunction="sum" dataDxfId="939" totalsRowDxfId="206"/>
    <tableColumn id="5" xr3:uid="{00000000-0010-0000-0F00-000005000000}" name="BOX 4" totalsRowFunction="sum" dataDxfId="938" totalsRowDxfId="205"/>
    <tableColumn id="8" xr3:uid="{00000000-0010-0000-0F00-000008000000}" name="BOX 5" totalsRowFunction="sum" dataDxfId="937" totalsRowDxfId="204"/>
    <tableColumn id="7" xr3:uid="{00000000-0010-0000-0F00-000007000000}" name="BOX 6" totalsRowFunction="sum" dataDxfId="936" totalsRowDxfId="203"/>
    <tableColumn id="10" xr3:uid="{00000000-0010-0000-0F00-00000A000000}" name="BOX 10" totalsRowFunction="sum" dataDxfId="935" totalsRowDxfId="202"/>
    <tableColumn id="3" xr3:uid="{00000000-0010-0000-0F00-000003000000}" name="BOX 1 &amp; 8" totalsRowFunction="sum" dataDxfId="934" totalsRowDxfId="201"/>
    <tableColumn id="9" xr3:uid="{00000000-0010-0000-0F00-000009000000}" name="BOX 7" totalsRowFunction="sum" dataDxfId="933" totalsRowDxfId="200"/>
    <tableColumn id="4" xr3:uid="{00000000-0010-0000-0F00-000004000000}" name="TOTAL" totalsRowFunction="sum" dataDxfId="932" totalsRowDxfId="199">
      <calculatedColumnFormula>SUM(B177:I177)</calculatedColumnFormula>
    </tableColumn>
    <tableColumn id="11" xr3:uid="{7BABD173-3357-43AD-BAFB-C16A705F9780}" name="PROVISIONAL" dataDxfId="337" totalsRowDxfId="19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0000000}" name="Table13457101117212223" displayName="Table13457101117212223" ref="A189:K192" totalsRowCount="1" headerRowDxfId="931" dataDxfId="929" totalsRowDxfId="927" headerRowBorderDxfId="930" tableBorderDxfId="928" totalsRowBorderDxfId="926">
  <autoFilter ref="A189:K191" xr:uid="{00000000-0009-0000-0100-00001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000-000001000000}" name="CANDIDATE NAME" totalsRowLabel="Total" dataDxfId="925" totalsRowDxfId="186"/>
    <tableColumn id="2" xr3:uid="{00000000-0010-0000-1000-000002000000}" name="BOX 2 &amp; 11" totalsRowFunction="sum" dataDxfId="924" totalsRowDxfId="185"/>
    <tableColumn id="6" xr3:uid="{00000000-0010-0000-1000-000006000000}" name="BOX 3 &amp; 12" totalsRowFunction="sum" dataDxfId="923" totalsRowDxfId="184"/>
    <tableColumn id="5" xr3:uid="{00000000-0010-0000-1000-000005000000}" name="BOX 4" totalsRowFunction="sum" dataDxfId="922" totalsRowDxfId="183">
      <calculatedColumnFormula>SUBTOTAL(109,D189)</calculatedColumnFormula>
    </tableColumn>
    <tableColumn id="8" xr3:uid="{00000000-0010-0000-1000-000008000000}" name="BOX 5" totalsRowFunction="sum" dataDxfId="921" totalsRowDxfId="182">
      <calculatedColumnFormula>SUBTOTAL(109,E189)</calculatedColumnFormula>
    </tableColumn>
    <tableColumn id="7" xr3:uid="{00000000-0010-0000-1000-000007000000}" name="BOX 6" totalsRowFunction="sum" dataDxfId="920" totalsRowDxfId="181">
      <calculatedColumnFormula>SUBTOTAL(109,F189)</calculatedColumnFormula>
    </tableColumn>
    <tableColumn id="10" xr3:uid="{00000000-0010-0000-1000-00000A000000}" name="BOX 10" totalsRowFunction="sum" dataDxfId="919" totalsRowDxfId="180">
      <calculatedColumnFormula>SUBTOTAL(109,G189)</calculatedColumnFormula>
    </tableColumn>
    <tableColumn id="3" xr3:uid="{00000000-0010-0000-1000-000003000000}" name="BOX 1 &amp; 8" totalsRowFunction="sum" dataDxfId="918" totalsRowDxfId="179">
      <calculatedColumnFormula>SUBTOTAL(109,H189)</calculatedColumnFormula>
    </tableColumn>
    <tableColumn id="9" xr3:uid="{00000000-0010-0000-1000-000009000000}" name="BOX 7" totalsRowFunction="sum" dataDxfId="917" totalsRowDxfId="178">
      <calculatedColumnFormula>SUBTOTAL(109,I189)</calculatedColumnFormula>
    </tableColumn>
    <tableColumn id="4" xr3:uid="{00000000-0010-0000-1000-000004000000}" name="TOTAL" totalsRowFunction="sum" dataDxfId="916" totalsRowDxfId="177">
      <calculatedColumnFormula>SUM(Table13457101117212223[[#This Row],[BOX 2 &amp; 11]:[BOX 7]])</calculatedColumnFormula>
    </tableColumn>
    <tableColumn id="11" xr3:uid="{FD81CA82-ECA8-48F0-B9CB-12B926702455}" name="PROVISIONAL" dataDxfId="319" totalsRowDxfId="17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1000000}" name="Table13457101117212224" displayName="Table13457101117212224" ref="A198:K200" totalsRowCount="1" headerRowDxfId="915" dataDxfId="913" totalsRowDxfId="911" headerRowBorderDxfId="914" tableBorderDxfId="912" totalsRowBorderDxfId="910">
  <autoFilter ref="A198:K199" xr:uid="{00000000-0009-0000-0100-00001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100-000001000000}" name="CANDIDATE NAME" totalsRowLabel="Total" dataDxfId="909" totalsRowDxfId="175"/>
    <tableColumn id="2" xr3:uid="{00000000-0010-0000-1100-000002000000}" name="BOX 2 &amp; 11" totalsRowFunction="sum" dataDxfId="908" totalsRowDxfId="174"/>
    <tableColumn id="6" xr3:uid="{00000000-0010-0000-1100-000006000000}" name="BOX 3 &amp; 12" totalsRowFunction="sum" dataDxfId="907" totalsRowDxfId="173"/>
    <tableColumn id="5" xr3:uid="{00000000-0010-0000-1100-000005000000}" name="BOX 4" totalsRowFunction="sum" dataDxfId="906" totalsRowDxfId="172"/>
    <tableColumn id="8" xr3:uid="{00000000-0010-0000-1100-000008000000}" name="BOX 5" totalsRowFunction="sum" dataDxfId="905" totalsRowDxfId="171"/>
    <tableColumn id="7" xr3:uid="{00000000-0010-0000-1100-000007000000}" name="BOX 6" totalsRowFunction="sum" dataDxfId="904" totalsRowDxfId="170"/>
    <tableColumn id="10" xr3:uid="{00000000-0010-0000-1100-00000A000000}" name="BOX 10" totalsRowFunction="sum" dataDxfId="903" totalsRowDxfId="169"/>
    <tableColumn id="3" xr3:uid="{00000000-0010-0000-1100-000003000000}" name="BOX 1 &amp; 8" totalsRowFunction="sum" dataDxfId="902" totalsRowDxfId="168"/>
    <tableColumn id="9" xr3:uid="{00000000-0010-0000-1100-000009000000}" name="BOX 7" totalsRowFunction="sum" dataDxfId="901" totalsRowDxfId="167"/>
    <tableColumn id="4" xr3:uid="{00000000-0010-0000-1100-000004000000}" name="TOTAL" totalsRowFunction="sum" dataDxfId="900" totalsRowDxfId="166">
      <calculatedColumnFormula>SUM(B199:I199)</calculatedColumnFormula>
    </tableColumn>
    <tableColumn id="11" xr3:uid="{657F1D05-10BF-4301-8DA5-27FC0BD7DC1E}" name="PROVISIONAL" dataDxfId="318" totalsRowDxfId="165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2000000}" name="Table13457101117212226" displayName="Table13457101117212226" ref="A205:K208" totalsRowCount="1" headerRowDxfId="899" dataDxfId="897" totalsRowDxfId="895" headerRowBorderDxfId="898" tableBorderDxfId="896" totalsRowBorderDxfId="894">
  <autoFilter ref="A205:K207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200-000001000000}" name="CANDIDATE NAME" totalsRowLabel="Total" dataDxfId="893" totalsRowDxfId="164"/>
    <tableColumn id="2" xr3:uid="{00000000-0010-0000-1200-000002000000}" name="BOX 2 &amp; 11" totalsRowFunction="sum" dataDxfId="892" totalsRowDxfId="163"/>
    <tableColumn id="6" xr3:uid="{00000000-0010-0000-1200-000006000000}" name="BOX 3 &amp; 12" dataDxfId="891" totalsRowDxfId="162"/>
    <tableColumn id="5" xr3:uid="{00000000-0010-0000-1200-000005000000}" name="BOX 4" dataDxfId="890" totalsRowDxfId="161"/>
    <tableColumn id="8" xr3:uid="{00000000-0010-0000-1200-000008000000}" name="BOX 5" dataDxfId="889" totalsRowDxfId="160"/>
    <tableColumn id="7" xr3:uid="{00000000-0010-0000-1200-000007000000}" name="BOX 6" dataDxfId="888" totalsRowDxfId="159"/>
    <tableColumn id="10" xr3:uid="{00000000-0010-0000-1200-00000A000000}" name="BOX 10" dataDxfId="887" totalsRowDxfId="158"/>
    <tableColumn id="3" xr3:uid="{00000000-0010-0000-1200-000003000000}" name="BOX 1 &amp; 8" dataDxfId="886" totalsRowDxfId="157"/>
    <tableColumn id="9" xr3:uid="{00000000-0010-0000-1200-000009000000}" name="BOX 7" dataDxfId="885" totalsRowDxfId="156"/>
    <tableColumn id="4" xr3:uid="{00000000-0010-0000-1200-000004000000}" name="TOTAL" totalsRowFunction="sum" dataDxfId="884" totalsRowDxfId="155">
      <calculatedColumnFormula>SUM(B206:I207)</calculatedColumnFormula>
    </tableColumn>
    <tableColumn id="11" xr3:uid="{1E4F0A60-3F7E-49F1-8795-CA1B70F3760D}" name="PROVISIONAL" dataDxfId="317" totalsRowDxfId="1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2:J45" totalsRowCount="1" headerRowDxfId="587" dataDxfId="586" totalsRowDxfId="585" headerRowBorderDxfId="583" tableBorderDxfId="584" totalsRowBorderDxfId="582">
  <autoFilter ref="A32:J4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CANDIDATE NAME" totalsRowLabel="Total" dataDxfId="580" totalsRowDxfId="581"/>
    <tableColumn id="2" xr3:uid="{00000000-0010-0000-0100-000002000000}" name="BOX 2 &amp; 11" totalsRowFunction="sum" dataDxfId="578" totalsRowDxfId="579"/>
    <tableColumn id="6" xr3:uid="{00000000-0010-0000-0100-000006000000}" name="BOX 3 &amp; 12" totalsRowFunction="sum" dataDxfId="576" totalsRowDxfId="577"/>
    <tableColumn id="5" xr3:uid="{00000000-0010-0000-0100-000005000000}" name="BOX 4" totalsRowFunction="sum" dataDxfId="574" totalsRowDxfId="575"/>
    <tableColumn id="8" xr3:uid="{00000000-0010-0000-0100-000008000000}" name="BOX 5" totalsRowFunction="sum" dataDxfId="572" totalsRowDxfId="573"/>
    <tableColumn id="7" xr3:uid="{00000000-0010-0000-0100-000007000000}" name="BOX 6" totalsRowFunction="sum" dataDxfId="570" totalsRowDxfId="571"/>
    <tableColumn id="10" xr3:uid="{00000000-0010-0000-0100-00000A000000}" name="BOX 10" totalsRowFunction="sum" dataDxfId="568" totalsRowDxfId="569"/>
    <tableColumn id="3" xr3:uid="{00000000-0010-0000-0100-000003000000}" name="BOX 1 &amp; 8" totalsRowFunction="sum" dataDxfId="566" totalsRowDxfId="567"/>
    <tableColumn id="9" xr3:uid="{00000000-0010-0000-0100-000009000000}" name="BOX 7" totalsRowFunction="sum" dataDxfId="564" totalsRowDxfId="565"/>
    <tableColumn id="4" xr3:uid="{00000000-0010-0000-0100-000004000000}" name="TOTAL" totalsRowFunction="sum" dataDxfId="562" totalsRowDxfId="563">
      <calculatedColumnFormula>SUM(B33:I33)</calculatedColumnFormula>
    </tableColumn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3000000}" name="Table13457101117212229" displayName="Table13457101117212229" ref="A264:K267" totalsRowCount="1" headerRowDxfId="883" dataDxfId="881" totalsRowDxfId="879" headerRowBorderDxfId="882" tableBorderDxfId="880" totalsRowBorderDxfId="878">
  <autoFilter ref="A264:K266" xr:uid="{00000000-0009-0000-0100-00001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300-000001000000}" name="PROP 1" totalsRowLabel="Total" dataDxfId="877" totalsRowDxfId="120"/>
    <tableColumn id="2" xr3:uid="{00000000-0010-0000-1300-000002000000}" name="BOX 2 &amp; 11" totalsRowFunction="custom" dataDxfId="876" totalsRowDxfId="119">
      <totalsRowFormula>SUBTOTAL(109,B265)</totalsRowFormula>
    </tableColumn>
    <tableColumn id="6" xr3:uid="{00000000-0010-0000-1300-000006000000}" name="BOX 3 &amp; 12" totalsRowFunction="custom" dataDxfId="875" totalsRowDxfId="118">
      <totalsRowFormula>SUBTOTAL(109,C265)</totalsRowFormula>
    </tableColumn>
    <tableColumn id="5" xr3:uid="{00000000-0010-0000-1300-000005000000}" name="BOX 4" totalsRowFunction="sum" dataDxfId="874" totalsRowDxfId="117"/>
    <tableColumn id="8" xr3:uid="{00000000-0010-0000-1300-000008000000}" name="BOX 5" totalsRowFunction="sum" dataDxfId="873" totalsRowDxfId="116"/>
    <tableColumn id="7" xr3:uid="{00000000-0010-0000-1300-000007000000}" name="BOX 6" totalsRowFunction="sum" dataDxfId="872" totalsRowDxfId="115"/>
    <tableColumn id="10" xr3:uid="{00000000-0010-0000-1300-00000A000000}" name="BOX 10" totalsRowFunction="sum" dataDxfId="871" totalsRowDxfId="114"/>
    <tableColumn id="3" xr3:uid="{00000000-0010-0000-1300-000003000000}" name="BOX 1 &amp; 8" totalsRowFunction="sum" dataDxfId="870" totalsRowDxfId="113"/>
    <tableColumn id="9" xr3:uid="{00000000-0010-0000-1300-000009000000}" name="BOX 7" totalsRowFunction="sum" dataDxfId="869" totalsRowDxfId="112"/>
    <tableColumn id="4" xr3:uid="{00000000-0010-0000-1300-000004000000}" name="TOTAL" totalsRowFunction="custom" dataDxfId="868" totalsRowDxfId="111">
      <calculatedColumnFormula>SUM(Table13457101117212229[[#This Row],[BOX 2 &amp; 11]:[BOX 7]])</calculatedColumnFormula>
      <totalsRowFormula>SUBTOTAL(109,J265)</totalsRowFormula>
    </tableColumn>
    <tableColumn id="11" xr3:uid="{429BBF0C-928E-4E7B-8241-662474B2AF41}" name="PROVISIONAL" dataDxfId="279" totalsRowDxfId="11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4000000}" name="Table13457101117212230" displayName="Table13457101117212230" ref="A272:K275" totalsRowCount="1" headerRowDxfId="867" dataDxfId="865" totalsRowDxfId="863" headerRowBorderDxfId="866" tableBorderDxfId="864" totalsRowBorderDxfId="862">
  <autoFilter ref="A272:K274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400-000001000000}" name="PROP 2" totalsRowLabel="Total" dataDxfId="861" totalsRowDxfId="109"/>
    <tableColumn id="2" xr3:uid="{00000000-0010-0000-1400-000002000000}" name="BOX 2 &amp; 11" totalsRowFunction="sum" dataDxfId="860" totalsRowDxfId="108"/>
    <tableColumn id="6" xr3:uid="{00000000-0010-0000-1400-000006000000}" name="BOX 3 &amp; 12" totalsRowFunction="sum" dataDxfId="859" totalsRowDxfId="107"/>
    <tableColumn id="5" xr3:uid="{00000000-0010-0000-1400-000005000000}" name="BOX 4" totalsRowFunction="sum" dataDxfId="858" totalsRowDxfId="106"/>
    <tableColumn id="8" xr3:uid="{00000000-0010-0000-1400-000008000000}" name="BOX 5" totalsRowFunction="sum" dataDxfId="857" totalsRowDxfId="105"/>
    <tableColumn id="7" xr3:uid="{00000000-0010-0000-1400-000007000000}" name="BOX 6" totalsRowFunction="sum" dataDxfId="856" totalsRowDxfId="104"/>
    <tableColumn id="10" xr3:uid="{00000000-0010-0000-1400-00000A000000}" name="BOX 10" totalsRowFunction="sum" dataDxfId="855" totalsRowDxfId="103"/>
    <tableColumn id="3" xr3:uid="{00000000-0010-0000-1400-000003000000}" name="BOX 1 &amp; 8" totalsRowFunction="sum" dataDxfId="854" totalsRowDxfId="102"/>
    <tableColumn id="9" xr3:uid="{00000000-0010-0000-1400-000009000000}" name="BOX 7" totalsRowFunction="sum" dataDxfId="853" totalsRowDxfId="101"/>
    <tableColumn id="4" xr3:uid="{00000000-0010-0000-1400-000004000000}" name="TOTAL" totalsRowFunction="sum" dataDxfId="852" totalsRowDxfId="100">
      <calculatedColumnFormula>SUM(Table13457101117212230[[#This Row],[BOX 2 &amp; 11]:[BOX 7]])</calculatedColumnFormula>
    </tableColumn>
    <tableColumn id="11" xr3:uid="{A89D59AC-65C7-4502-A271-5E216CCC4921}" name="PROVISIONAL" dataDxfId="278" totalsRowDxfId="99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5000000}" name="Table1345710111721223031" displayName="Table1345710111721223031" ref="A279:K282" totalsRowCount="1" headerRowDxfId="277" dataDxfId="276" totalsRowDxfId="275" headerRowBorderDxfId="273" tableBorderDxfId="274" totalsRowBorderDxfId="272">
  <autoFilter ref="A279:K281" xr:uid="{00000000-0009-0000-0100-00001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500-000001000000}" name="PROP 3" totalsRowLabel="Total" dataDxfId="271" totalsRowDxfId="98"/>
    <tableColumn id="2" xr3:uid="{00000000-0010-0000-1500-000002000000}" name="BOX 2 &amp; 11" totalsRowFunction="sum" dataDxfId="270" totalsRowDxfId="97"/>
    <tableColumn id="6" xr3:uid="{00000000-0010-0000-1500-000006000000}" name="BOX 3 &amp; 12" totalsRowFunction="sum" dataDxfId="269" totalsRowDxfId="96"/>
    <tableColumn id="5" xr3:uid="{00000000-0010-0000-1500-000005000000}" name="BOX 4" totalsRowFunction="sum" dataDxfId="268" totalsRowDxfId="95"/>
    <tableColumn id="8" xr3:uid="{00000000-0010-0000-1500-000008000000}" name="BOX 5" totalsRowFunction="sum" dataDxfId="267" totalsRowDxfId="94"/>
    <tableColumn id="7" xr3:uid="{00000000-0010-0000-1500-000007000000}" name="BOX 6" totalsRowFunction="sum" dataDxfId="266" totalsRowDxfId="93"/>
    <tableColumn id="10" xr3:uid="{00000000-0010-0000-1500-00000A000000}" name="BOX 10" totalsRowFunction="sum" dataDxfId="265" totalsRowDxfId="92"/>
    <tableColumn id="3" xr3:uid="{00000000-0010-0000-1500-000003000000}" name="BOX 1 &amp; 8" totalsRowFunction="sum" dataDxfId="264" totalsRowDxfId="91"/>
    <tableColumn id="9" xr3:uid="{00000000-0010-0000-1500-000009000000}" name="BOX 7" totalsRowFunction="sum" dataDxfId="263" totalsRowDxfId="90"/>
    <tableColumn id="4" xr3:uid="{00000000-0010-0000-1500-000004000000}" name="TOTAL" totalsRowFunction="sum" dataDxfId="262" totalsRowDxfId="89">
      <calculatedColumnFormula>SUM(B280:I280)</calculatedColumnFormula>
    </tableColumn>
    <tableColumn id="11" xr3:uid="{BDC14A11-4438-4D5B-8D3F-DC626FEE94F7}" name="PROVISIONAL" dataDxfId="261" totalsRowDxfId="88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6000000}" name="Table1345710111721223032" displayName="Table1345710111721223032" ref="A287:K290" totalsRowCount="1" headerRowDxfId="851" dataDxfId="849" totalsRowDxfId="847" headerRowBorderDxfId="850" tableBorderDxfId="848" totalsRowBorderDxfId="846">
  <autoFilter ref="A287:K289" xr:uid="{00000000-0009-0000-0100-00001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600-000001000000}" name="PROP 4" totalsRowLabel="Total" dataDxfId="845" totalsRowDxfId="87"/>
    <tableColumn id="2" xr3:uid="{00000000-0010-0000-1600-000002000000}" name="BOX 2 &amp; 11" totalsRowFunction="sum" dataDxfId="844" totalsRowDxfId="86"/>
    <tableColumn id="6" xr3:uid="{00000000-0010-0000-1600-000006000000}" name="BOX 3 &amp; 12" totalsRowFunction="sum" dataDxfId="843" totalsRowDxfId="85"/>
    <tableColumn id="5" xr3:uid="{00000000-0010-0000-1600-000005000000}" name="BOX 4" totalsRowFunction="sum" dataDxfId="842" totalsRowDxfId="84"/>
    <tableColumn id="8" xr3:uid="{00000000-0010-0000-1600-000008000000}" name="BOX 5" totalsRowFunction="sum" dataDxfId="841" totalsRowDxfId="83"/>
    <tableColumn id="7" xr3:uid="{00000000-0010-0000-1600-000007000000}" name="BOX 6" totalsRowFunction="sum" dataDxfId="840" totalsRowDxfId="82"/>
    <tableColumn id="10" xr3:uid="{00000000-0010-0000-1600-00000A000000}" name="BOX 10" totalsRowFunction="sum" dataDxfId="839" totalsRowDxfId="81"/>
    <tableColumn id="3" xr3:uid="{00000000-0010-0000-1600-000003000000}" name="BOX 1 &amp; 8" totalsRowFunction="sum" dataDxfId="838" totalsRowDxfId="80"/>
    <tableColumn id="9" xr3:uid="{00000000-0010-0000-1600-000009000000}" name="BOX 7" totalsRowFunction="sum" dataDxfId="837" totalsRowDxfId="79"/>
    <tableColumn id="4" xr3:uid="{00000000-0010-0000-1600-000004000000}" name="TOTAL" totalsRowFunction="sum" dataDxfId="836" totalsRowDxfId="78">
      <calculatedColumnFormula>SUM(B288:I288)</calculatedColumnFormula>
    </tableColumn>
    <tableColumn id="11" xr3:uid="{9F920CFA-0E62-433D-8818-248C4AAB51BE}" name="PROVISIONAL" dataDxfId="260" totalsRowDxfId="77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7000000}" name="Table1345710111721223035" displayName="Table1345710111721223035" ref="A302:K305" totalsRowCount="1" headerRowDxfId="835" dataDxfId="833" totalsRowDxfId="831" headerRowBorderDxfId="834" tableBorderDxfId="832" totalsRowBorderDxfId="830">
  <autoFilter ref="A302:K304" xr:uid="{00000000-0009-0000-0100-00002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700-000001000000}" name="PROP 6" totalsRowLabel="Total" dataDxfId="829" totalsRowDxfId="65"/>
    <tableColumn id="2" xr3:uid="{00000000-0010-0000-1700-000002000000}" name="BOX 2 &amp; 11" totalsRowFunction="sum" dataDxfId="828" totalsRowDxfId="64"/>
    <tableColumn id="6" xr3:uid="{00000000-0010-0000-1700-000006000000}" name="BOX 3 &amp; 12" totalsRowFunction="sum" dataDxfId="827" totalsRowDxfId="63"/>
    <tableColumn id="5" xr3:uid="{00000000-0010-0000-1700-000005000000}" name="BOX 4" totalsRowFunction="sum" dataDxfId="826" totalsRowDxfId="62"/>
    <tableColumn id="8" xr3:uid="{00000000-0010-0000-1700-000008000000}" name="BOX 5" totalsRowFunction="sum" dataDxfId="825" totalsRowDxfId="61"/>
    <tableColumn id="7" xr3:uid="{00000000-0010-0000-1700-000007000000}" name="BOX 6" totalsRowFunction="sum" dataDxfId="824" totalsRowDxfId="60"/>
    <tableColumn id="10" xr3:uid="{00000000-0010-0000-1700-00000A000000}" name="BOX 10" totalsRowFunction="sum" dataDxfId="823" totalsRowDxfId="59"/>
    <tableColumn id="3" xr3:uid="{00000000-0010-0000-1700-000003000000}" name="BOX 1 &amp; 8" totalsRowFunction="sum" dataDxfId="822" totalsRowDxfId="58"/>
    <tableColumn id="9" xr3:uid="{00000000-0010-0000-1700-000009000000}" name="BOX 7" totalsRowFunction="sum" dataDxfId="821" totalsRowDxfId="57"/>
    <tableColumn id="4" xr3:uid="{00000000-0010-0000-1700-000004000000}" name="TOTAL" totalsRowFunction="sum" dataDxfId="820" totalsRowDxfId="56">
      <calculatedColumnFormula>SUM(B303:I303)</calculatedColumnFormula>
    </tableColumn>
    <tableColumn id="11" xr3:uid="{62629F2D-DFE9-48A1-BA58-0CCA631C2588}" name="PROVISIONAL" dataDxfId="258" totalsRowDxfId="55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8000000}" name="Table1345710111721223036" displayName="Table1345710111721223036" ref="A309:K312" totalsRowCount="1" headerRowDxfId="819" dataDxfId="817" totalsRowDxfId="815" headerRowBorderDxfId="818" tableBorderDxfId="816" totalsRowBorderDxfId="814">
  <autoFilter ref="A309:K311" xr:uid="{00000000-0009-0000-0100-00002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800-000001000000}" name="PROP 7" totalsRowLabel="Total" dataDxfId="813" totalsRowDxfId="54"/>
    <tableColumn id="2" xr3:uid="{00000000-0010-0000-1800-000002000000}" name="BOX 2 &amp; 11" totalsRowFunction="sum" dataDxfId="812" totalsRowDxfId="53"/>
    <tableColumn id="6" xr3:uid="{00000000-0010-0000-1800-000006000000}" name="BOX 3 &amp; 12" totalsRowFunction="sum" dataDxfId="811" totalsRowDxfId="52"/>
    <tableColumn id="5" xr3:uid="{00000000-0010-0000-1800-000005000000}" name="BOX 4" totalsRowFunction="sum" dataDxfId="810" totalsRowDxfId="51"/>
    <tableColumn id="8" xr3:uid="{00000000-0010-0000-1800-000008000000}" name="BOX 5" totalsRowFunction="sum" dataDxfId="809" totalsRowDxfId="50"/>
    <tableColumn id="7" xr3:uid="{00000000-0010-0000-1800-000007000000}" name="BOX 6" totalsRowFunction="sum" dataDxfId="808" totalsRowDxfId="49"/>
    <tableColumn id="10" xr3:uid="{00000000-0010-0000-1800-00000A000000}" name="BOX 10" totalsRowFunction="sum" dataDxfId="807" totalsRowDxfId="48"/>
    <tableColumn id="3" xr3:uid="{00000000-0010-0000-1800-000003000000}" name="BOX 1 &amp; 8" totalsRowFunction="sum" dataDxfId="806" totalsRowDxfId="47"/>
    <tableColumn id="9" xr3:uid="{00000000-0010-0000-1800-000009000000}" name="BOX 7" totalsRowFunction="sum" dataDxfId="805" totalsRowDxfId="46"/>
    <tableColumn id="4" xr3:uid="{00000000-0010-0000-1800-000004000000}" name="TOTAL" totalsRowFunction="sum" dataDxfId="804" totalsRowDxfId="45">
      <calculatedColumnFormula>SUM(B310:I310)</calculatedColumnFormula>
    </tableColumn>
    <tableColumn id="11" xr3:uid="{95DCC108-4F16-426F-B0A2-38722D7601F5}" name="PROVISIONAL" dataDxfId="257" totalsRowDxfId="44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9000000}" name="Table1345710111721223037" displayName="Table1345710111721223037" ref="A317:K320" totalsRowCount="1" headerRowDxfId="803" dataDxfId="801" totalsRowDxfId="799" headerRowBorderDxfId="802" tableBorderDxfId="800" totalsRowBorderDxfId="798">
  <autoFilter ref="A317:K319" xr:uid="{00000000-0009-0000-0100-00002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900-000001000000}" name="PROP 8" totalsRowLabel="Total" dataDxfId="797" totalsRowDxfId="43"/>
    <tableColumn id="2" xr3:uid="{00000000-0010-0000-1900-000002000000}" name="BOX 2 &amp; 11" totalsRowFunction="sum" dataDxfId="796" totalsRowDxfId="42"/>
    <tableColumn id="6" xr3:uid="{00000000-0010-0000-1900-000006000000}" name="BOX 3 &amp; 12" totalsRowFunction="sum" dataDxfId="795" totalsRowDxfId="41"/>
    <tableColumn id="5" xr3:uid="{00000000-0010-0000-1900-000005000000}" name="BOX 4" totalsRowFunction="sum" dataDxfId="794" totalsRowDxfId="40"/>
    <tableColumn id="8" xr3:uid="{00000000-0010-0000-1900-000008000000}" name="BOX 5" totalsRowFunction="sum" dataDxfId="793" totalsRowDxfId="39"/>
    <tableColumn id="7" xr3:uid="{00000000-0010-0000-1900-000007000000}" name="BOX 6" totalsRowFunction="sum" dataDxfId="792" totalsRowDxfId="38"/>
    <tableColumn id="10" xr3:uid="{00000000-0010-0000-1900-00000A000000}" name="BOX 10" totalsRowFunction="sum" dataDxfId="791" totalsRowDxfId="37"/>
    <tableColumn id="3" xr3:uid="{00000000-0010-0000-1900-000003000000}" name="BOX 1 &amp; 8" totalsRowFunction="sum" dataDxfId="790" totalsRowDxfId="36"/>
    <tableColumn id="9" xr3:uid="{00000000-0010-0000-1900-000009000000}" name="BOX 7" totalsRowFunction="sum" dataDxfId="789" totalsRowDxfId="35"/>
    <tableColumn id="4" xr3:uid="{00000000-0010-0000-1900-000004000000}" name="TOTAL" totalsRowFunction="sum" dataDxfId="788" totalsRowDxfId="34">
      <calculatedColumnFormula>SUM(B318:I318)</calculatedColumnFormula>
    </tableColumn>
    <tableColumn id="11" xr3:uid="{E119E561-2D0B-4318-8FE9-8F2D851213FC}" name="PROVISIONAL" dataDxfId="256" totalsRowDxfId="33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A000000}" name="Table1345710111721223038" displayName="Table1345710111721223038" ref="A324:K327" totalsRowCount="1" headerRowDxfId="787" dataDxfId="785" totalsRowDxfId="783" headerRowBorderDxfId="786" tableBorderDxfId="784" totalsRowBorderDxfId="782">
  <autoFilter ref="A324:K326" xr:uid="{00000000-0009-0000-0100-00002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A00-000001000000}" name="PROP 9" totalsRowLabel="Total" dataDxfId="781" totalsRowDxfId="32"/>
    <tableColumn id="2" xr3:uid="{00000000-0010-0000-1A00-000002000000}" name="BOX 2 &amp; 11" totalsRowFunction="sum" dataDxfId="780" totalsRowDxfId="31"/>
    <tableColumn id="6" xr3:uid="{00000000-0010-0000-1A00-000006000000}" name="BOX 3 &amp; 12" totalsRowFunction="sum" dataDxfId="779" totalsRowDxfId="30"/>
    <tableColumn id="5" xr3:uid="{00000000-0010-0000-1A00-000005000000}" name="BOX 4" totalsRowFunction="sum" dataDxfId="778" totalsRowDxfId="29"/>
    <tableColumn id="8" xr3:uid="{00000000-0010-0000-1A00-000008000000}" name="BOX 5" totalsRowFunction="sum" dataDxfId="777" totalsRowDxfId="28"/>
    <tableColumn id="7" xr3:uid="{00000000-0010-0000-1A00-000007000000}" name="BOX 6" totalsRowFunction="sum" dataDxfId="776" totalsRowDxfId="27"/>
    <tableColumn id="10" xr3:uid="{00000000-0010-0000-1A00-00000A000000}" name="BOX 10" totalsRowFunction="sum" dataDxfId="775" totalsRowDxfId="26"/>
    <tableColumn id="3" xr3:uid="{00000000-0010-0000-1A00-000003000000}" name="BOX 1 &amp; 8" totalsRowFunction="sum" dataDxfId="774" totalsRowDxfId="25"/>
    <tableColumn id="9" xr3:uid="{00000000-0010-0000-1A00-000009000000}" name="BOX 7" totalsRowFunction="sum" dataDxfId="773" totalsRowDxfId="24"/>
    <tableColumn id="4" xr3:uid="{00000000-0010-0000-1A00-000004000000}" name="TOTAL" totalsRowFunction="sum" dataDxfId="772" totalsRowDxfId="23">
      <calculatedColumnFormula>SUM(B325:I325)</calculatedColumnFormula>
    </tableColumn>
    <tableColumn id="11" xr3:uid="{3E7B421C-CE82-49FB-B15D-94392BF5E755}" name="PROVISIONAL" dataDxfId="255" totalsRowDxfId="22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B000000}" name="Table134571011172122303839" displayName="Table134571011172122303839" ref="A332:K335" totalsRowCount="1" headerRowDxfId="771" dataDxfId="769" totalsRowDxfId="767" headerRowBorderDxfId="770" tableBorderDxfId="768" totalsRowBorderDxfId="766">
  <autoFilter ref="A332:K334" xr:uid="{00000000-0009-0000-0100-00002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B00-000001000000}" name="PROP 10" totalsRowLabel="Total" dataDxfId="765" totalsRowDxfId="21"/>
    <tableColumn id="2" xr3:uid="{00000000-0010-0000-1B00-000002000000}" name="BOX 2 &amp; 11" totalsRowFunction="sum" dataDxfId="764" totalsRowDxfId="20"/>
    <tableColumn id="6" xr3:uid="{00000000-0010-0000-1B00-000006000000}" name="BOX 3 &amp; 12" totalsRowFunction="sum" dataDxfId="763" totalsRowDxfId="19"/>
    <tableColumn id="5" xr3:uid="{00000000-0010-0000-1B00-000005000000}" name="BOX 4" totalsRowFunction="sum" dataDxfId="762" totalsRowDxfId="18"/>
    <tableColumn id="8" xr3:uid="{00000000-0010-0000-1B00-000008000000}" name="BOX 5" totalsRowFunction="sum" dataDxfId="761" totalsRowDxfId="17"/>
    <tableColumn id="7" xr3:uid="{00000000-0010-0000-1B00-000007000000}" name="BOX 6" totalsRowFunction="sum" dataDxfId="760" totalsRowDxfId="16"/>
    <tableColumn id="10" xr3:uid="{00000000-0010-0000-1B00-00000A000000}" name="BOX 10" totalsRowFunction="sum" dataDxfId="759" totalsRowDxfId="15"/>
    <tableColumn id="3" xr3:uid="{00000000-0010-0000-1B00-000003000000}" name="BOX 1 &amp; 8" totalsRowFunction="sum" dataDxfId="758" totalsRowDxfId="14"/>
    <tableColumn id="9" xr3:uid="{00000000-0010-0000-1B00-000009000000}" name="BOX 7" totalsRowFunction="sum" dataDxfId="757" totalsRowDxfId="13"/>
    <tableColumn id="4" xr3:uid="{00000000-0010-0000-1B00-000004000000}" name="TOTAL" totalsRowFunction="sum" dataDxfId="756" totalsRowDxfId="12">
      <calculatedColumnFormula>SUM(B333:I333)</calculatedColumnFormula>
    </tableColumn>
    <tableColumn id="11" xr3:uid="{DBCF6FCB-47BF-4E31-A237-B26783B266AB}" name="PROVISIONAL" dataDxfId="254" totalsRowDxfId="11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C000000}" name="Table13457101117212230383940" displayName="Table13457101117212230383940" ref="A339:K342" totalsRowCount="1" headerRowDxfId="755" dataDxfId="753" totalsRowDxfId="751" headerRowBorderDxfId="754" tableBorderDxfId="752" totalsRowBorderDxfId="750">
  <autoFilter ref="A339:K341" xr:uid="{00000000-0009-0000-0100-00002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C00-000001000000}" name="PROP 11" totalsRowLabel="Total" dataDxfId="749" totalsRowDxfId="10"/>
    <tableColumn id="2" xr3:uid="{00000000-0010-0000-1C00-000002000000}" name="BOX 2 &amp; 11" totalsRowFunction="sum" dataDxfId="748" totalsRowDxfId="9"/>
    <tableColumn id="6" xr3:uid="{00000000-0010-0000-1C00-000006000000}" name="BOX 3 &amp; 12" totalsRowFunction="sum" dataDxfId="747" totalsRowDxfId="8"/>
    <tableColumn id="5" xr3:uid="{00000000-0010-0000-1C00-000005000000}" name="BOX 4" totalsRowFunction="sum" dataDxfId="746" totalsRowDxfId="7"/>
    <tableColumn id="8" xr3:uid="{00000000-0010-0000-1C00-000008000000}" name="BOX 5" totalsRowFunction="sum" dataDxfId="745" totalsRowDxfId="6"/>
    <tableColumn id="7" xr3:uid="{00000000-0010-0000-1C00-000007000000}" name="BOX 6" totalsRowFunction="sum" dataDxfId="744" totalsRowDxfId="5"/>
    <tableColumn id="10" xr3:uid="{00000000-0010-0000-1C00-00000A000000}" name="BOX 10" totalsRowFunction="sum" dataDxfId="743" totalsRowDxfId="4"/>
    <tableColumn id="3" xr3:uid="{00000000-0010-0000-1C00-000003000000}" name="BOX 1 &amp; 8" totalsRowFunction="sum" dataDxfId="742" totalsRowDxfId="3"/>
    <tableColumn id="9" xr3:uid="{00000000-0010-0000-1C00-000009000000}" name="BOX 7" totalsRowFunction="sum" dataDxfId="741" totalsRowDxfId="2"/>
    <tableColumn id="4" xr3:uid="{00000000-0010-0000-1C00-000004000000}" name="TOTAL" totalsRowFunction="sum" dataDxfId="740" totalsRowDxfId="1">
      <calculatedColumnFormula>SUM(B340:I340)</calculatedColumnFormula>
    </tableColumn>
    <tableColumn id="11" xr3:uid="{E28D6BEA-C70D-40CA-A8FA-A46D6AA94312}" name="PROVISIONAL" dataDxfId="253" totalsRow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51:J57" totalsRowCount="1" headerRowDxfId="559" dataDxfId="558" totalsRowDxfId="557" headerRowBorderDxfId="555" tableBorderDxfId="556" totalsRowBorderDxfId="554">
  <autoFilter ref="A51:J5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200-000001000000}" name="CANDIDATE NAME" totalsRowLabel="Total" dataDxfId="552" totalsRowDxfId="553"/>
    <tableColumn id="2" xr3:uid="{00000000-0010-0000-0200-000002000000}" name="BOX 2 &amp; 11" totalsRowFunction="sum" dataDxfId="550" totalsRowDxfId="551"/>
    <tableColumn id="6" xr3:uid="{00000000-0010-0000-0200-000006000000}" name="BOX 3 &amp; 12" totalsRowFunction="sum" dataDxfId="548" totalsRowDxfId="549"/>
    <tableColumn id="5" xr3:uid="{00000000-0010-0000-0200-000005000000}" name="BOX 4" totalsRowFunction="sum" dataDxfId="546" totalsRowDxfId="547"/>
    <tableColumn id="8" xr3:uid="{00000000-0010-0000-0200-000008000000}" name="BOX 5" totalsRowFunction="sum" dataDxfId="544" totalsRowDxfId="545"/>
    <tableColumn id="7" xr3:uid="{00000000-0010-0000-0200-000007000000}" name="BOX 6" totalsRowFunction="sum" dataDxfId="542" totalsRowDxfId="543"/>
    <tableColumn id="10" xr3:uid="{00000000-0010-0000-0200-00000A000000}" name="BOX 10" totalsRowFunction="sum" dataDxfId="540" totalsRowDxfId="541"/>
    <tableColumn id="3" xr3:uid="{00000000-0010-0000-0200-000003000000}" name="BOX 1 &amp; 8" totalsRowFunction="sum" dataDxfId="538" totalsRowDxfId="539"/>
    <tableColumn id="9" xr3:uid="{00000000-0010-0000-0200-000009000000}" name="BOX 7" totalsRowFunction="sum" dataDxfId="536" totalsRowDxfId="537"/>
    <tableColumn id="4" xr3:uid="{00000000-0010-0000-0200-000004000000}" name="TOTAL" totalsRowFunction="sum" dataDxfId="534" totalsRowDxfId="535">
      <calculatedColumnFormula>SUM(B52:I52)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D000000}" name="Table134571011172122303542" displayName="Table134571011172122303542" ref="A295:K298" totalsRowCount="1" headerRowDxfId="739" dataDxfId="737" totalsRowDxfId="735" headerRowBorderDxfId="738" tableBorderDxfId="736" totalsRowBorderDxfId="734">
  <autoFilter ref="A295:K297" xr:uid="{00000000-0009-0000-0100-00002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D00-000001000000}" name="PROP 5" totalsRowLabel="Total" dataDxfId="733" totalsRowDxfId="76"/>
    <tableColumn id="2" xr3:uid="{00000000-0010-0000-1D00-000002000000}" name="BOX 2 &amp; 11" totalsRowFunction="sum" dataDxfId="732" totalsRowDxfId="75"/>
    <tableColumn id="6" xr3:uid="{00000000-0010-0000-1D00-000006000000}" name="BOX 3 &amp; 12" totalsRowFunction="sum" dataDxfId="731" totalsRowDxfId="74"/>
    <tableColumn id="5" xr3:uid="{00000000-0010-0000-1D00-000005000000}" name="BOX 4" totalsRowFunction="sum" dataDxfId="730" totalsRowDxfId="73"/>
    <tableColumn id="8" xr3:uid="{00000000-0010-0000-1D00-000008000000}" name="BOX 5" totalsRowFunction="sum" dataDxfId="729" totalsRowDxfId="72"/>
    <tableColumn id="7" xr3:uid="{00000000-0010-0000-1D00-000007000000}" name="BOX 6" totalsRowFunction="sum" dataDxfId="728" totalsRowDxfId="71"/>
    <tableColumn id="10" xr3:uid="{00000000-0010-0000-1D00-00000A000000}" name="BOX 10" totalsRowFunction="sum" dataDxfId="727" totalsRowDxfId="70"/>
    <tableColumn id="3" xr3:uid="{00000000-0010-0000-1D00-000003000000}" name="BOX 1 &amp; 8" totalsRowFunction="sum" dataDxfId="726" totalsRowDxfId="69"/>
    <tableColumn id="9" xr3:uid="{00000000-0010-0000-1D00-000009000000}" name="BOX 7" totalsRowFunction="sum" dataDxfId="725" totalsRowDxfId="68"/>
    <tableColumn id="4" xr3:uid="{00000000-0010-0000-1D00-000004000000}" name="TOTAL" totalsRowFunction="sum" dataDxfId="724" totalsRowDxfId="67">
      <calculatedColumnFormula>SUM(B296:I296)</calculatedColumnFormula>
    </tableColumn>
    <tableColumn id="11" xr3:uid="{88F63F1F-CD9A-4EBE-AFFD-2CAE184B3B49}" name="PROVISIONAL" dataDxfId="259" totalsRowDxfId="66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E000000}" name="Table1345710111721222743" displayName="Table1345710111721222743" ref="A227:K229" totalsRowCount="1" headerRowDxfId="723" dataDxfId="721" totalsRowDxfId="719" headerRowBorderDxfId="722" tableBorderDxfId="720" totalsRowBorderDxfId="718">
  <autoFilter ref="A227:K228" xr:uid="{00000000-0009-0000-0100-00002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E00-000001000000}" name="CANDIDATE NAME" totalsRowLabel="Total" dataDxfId="717" totalsRowDxfId="142"/>
    <tableColumn id="2" xr3:uid="{00000000-0010-0000-1E00-000002000000}" name="BOX 2 &amp; 11" dataDxfId="716" totalsRowDxfId="141"/>
    <tableColumn id="6" xr3:uid="{00000000-0010-0000-1E00-000006000000}" name="BOX 3 &amp; 12" totalsRowFunction="sum" dataDxfId="715" totalsRowDxfId="140"/>
    <tableColumn id="5" xr3:uid="{00000000-0010-0000-1E00-000005000000}" name="BOX 4" totalsRowFunction="sum" dataDxfId="714" totalsRowDxfId="139"/>
    <tableColumn id="8" xr3:uid="{00000000-0010-0000-1E00-000008000000}" name="BOX 5" totalsRowLabel="0" dataDxfId="713" totalsRowDxfId="138"/>
    <tableColumn id="7" xr3:uid="{00000000-0010-0000-1E00-000007000000}" name="BOX 6" totalsRowLabel="0" dataDxfId="712" totalsRowDxfId="137"/>
    <tableColumn id="10" xr3:uid="{00000000-0010-0000-1E00-00000A000000}" name="BOX 10" totalsRowLabel="0" dataDxfId="711" totalsRowDxfId="136"/>
    <tableColumn id="3" xr3:uid="{00000000-0010-0000-1E00-000003000000}" name="BOX 1 &amp; 8" totalsRowLabel="0" dataDxfId="710" totalsRowDxfId="135"/>
    <tableColumn id="9" xr3:uid="{00000000-0010-0000-1E00-000009000000}" name="BOX 7" dataDxfId="709" totalsRowDxfId="134"/>
    <tableColumn id="4" xr3:uid="{00000000-0010-0000-1E00-000004000000}" name="TOTAL" totalsRowFunction="sum" dataDxfId="708" totalsRowDxfId="133">
      <calculatedColumnFormula>SUM(B228:I228)</calculatedColumnFormula>
    </tableColumn>
    <tableColumn id="11" xr3:uid="{26D4FAB7-C61A-47E7-BA60-456C7C25438C}" name="PROVISIONAL" dataDxfId="287" totalsRowDxfId="132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F000000}" name="Table134571011172122274344" displayName="Table134571011172122274344" ref="A234:K236" totalsRowCount="1" headerRowDxfId="707" dataDxfId="705" totalsRowDxfId="703" headerRowBorderDxfId="706" tableBorderDxfId="704" totalsRowBorderDxfId="702">
  <autoFilter ref="A234:K235" xr:uid="{00000000-0009-0000-0100-00002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1F00-000001000000}" name="CANDIDATE NAME" totalsRowLabel="Total" dataDxfId="701" totalsRowDxfId="700"/>
    <tableColumn id="2" xr3:uid="{00000000-0010-0000-1F00-000002000000}" name="BOX 2 &amp; 11" dataDxfId="699" totalsRowDxfId="698"/>
    <tableColumn id="6" xr3:uid="{00000000-0010-0000-1F00-000006000000}" name="BOX 3 &amp; 12" dataDxfId="697" totalsRowDxfId="696"/>
    <tableColumn id="5" xr3:uid="{00000000-0010-0000-1F00-000005000000}" name="BOX 4" dataDxfId="695" totalsRowDxfId="694"/>
    <tableColumn id="8" xr3:uid="{00000000-0010-0000-1F00-000008000000}" name="BOX 5" totalsRowFunction="sum" dataDxfId="693" totalsRowDxfId="692"/>
    <tableColumn id="7" xr3:uid="{00000000-0010-0000-1F00-000007000000}" name="BOX 6" totalsRowFunction="sum" dataDxfId="691" totalsRowDxfId="690"/>
    <tableColumn id="10" xr3:uid="{00000000-0010-0000-1F00-00000A000000}" name="BOX 10" totalsRowFunction="sum" dataDxfId="689" totalsRowDxfId="688"/>
    <tableColumn id="3" xr3:uid="{00000000-0010-0000-1F00-000003000000}" name="BOX 1 &amp; 8" dataDxfId="687" totalsRowDxfId="686"/>
    <tableColumn id="9" xr3:uid="{00000000-0010-0000-1F00-000009000000}" name="BOX 7" dataDxfId="685" totalsRowDxfId="684"/>
    <tableColumn id="4" xr3:uid="{00000000-0010-0000-1F00-000004000000}" name="TOTAL" totalsRowFunction="sum" dataDxfId="683" totalsRowDxfId="682">
      <calculatedColumnFormula>SUM(B235:I235)</calculatedColumnFormula>
    </tableColumn>
    <tableColumn id="11" xr3:uid="{B0CFF52A-A8FD-44C6-B042-ADAA38FD919C}" name="PROVISIONAL" dataDxfId="286" totalsRowDxfId="28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0000000}" name="Table13457101117212227434446" displayName="Table13457101117212227434446" ref="A242:K244" totalsRowCount="1" headerRowDxfId="681" dataDxfId="679" totalsRowDxfId="677" headerRowBorderDxfId="680" tableBorderDxfId="678" totalsRowBorderDxfId="676">
  <autoFilter ref="A242:K243" xr:uid="{00000000-0009-0000-0100-00002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2000-000001000000}" name="CANDIDATE NAME" totalsRowLabel="Total" dataDxfId="675" totalsRowDxfId="674"/>
    <tableColumn id="2" xr3:uid="{00000000-0010-0000-2000-000002000000}" name="BOX 2 &amp; 11" dataDxfId="673" totalsRowDxfId="672"/>
    <tableColumn id="6" xr3:uid="{00000000-0010-0000-2000-000006000000}" name="BOX 3 &amp; 12" dataDxfId="671" totalsRowDxfId="670"/>
    <tableColumn id="5" xr3:uid="{00000000-0010-0000-2000-000005000000}" name="BOX 4" dataDxfId="669" totalsRowDxfId="668"/>
    <tableColumn id="8" xr3:uid="{00000000-0010-0000-2000-000008000000}" name="BOX 5" dataDxfId="667" totalsRowDxfId="666"/>
    <tableColumn id="7" xr3:uid="{00000000-0010-0000-2000-000007000000}" name="BOX 6" dataDxfId="665" totalsRowDxfId="664"/>
    <tableColumn id="10" xr3:uid="{00000000-0010-0000-2000-00000A000000}" name="BOX 10" dataDxfId="663" totalsRowDxfId="662"/>
    <tableColumn id="3" xr3:uid="{00000000-0010-0000-2000-000003000000}" name="BOX 1 &amp; 8" totalsRowFunction="sum" dataDxfId="661" totalsRowDxfId="660"/>
    <tableColumn id="9" xr3:uid="{00000000-0010-0000-2000-000009000000}" name="BOX 7" totalsRowFunction="sum" dataDxfId="659" totalsRowDxfId="658"/>
    <tableColumn id="4" xr3:uid="{00000000-0010-0000-2000-000004000000}" name="TOTAL" totalsRowFunction="sum" dataDxfId="657" totalsRowDxfId="656">
      <calculatedColumnFormula>SUM(B243:I243)</calculatedColumnFormula>
    </tableColumn>
    <tableColumn id="11" xr3:uid="{47817F04-84E8-4E1A-B439-C370F0EFF13B}" name="PROVISIONAL" dataDxfId="284" totalsRowDxfId="283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1000000}" name="Table13457101117212227" displayName="Table13457101117212227" ref="A220:K222" totalsRowCount="1" headerRowDxfId="655" dataDxfId="653" totalsRowDxfId="651" headerRowBorderDxfId="654" tableBorderDxfId="652" totalsRowBorderDxfId="650">
  <autoFilter ref="A220:K221" xr:uid="{00000000-0009-0000-0100-00001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2100-000001000000}" name="CANDIDATE NAME" totalsRowLabel="Total" dataDxfId="649" totalsRowDxfId="153"/>
    <tableColumn id="2" xr3:uid="{00000000-0010-0000-2100-000002000000}" name="BOX 2 &amp; 11" totalsRowFunction="sum" dataDxfId="648" totalsRowDxfId="152"/>
    <tableColumn id="6" xr3:uid="{00000000-0010-0000-2100-000006000000}" name="BOX 3 &amp; 12" dataDxfId="647" totalsRowDxfId="151"/>
    <tableColumn id="5" xr3:uid="{00000000-0010-0000-2100-000005000000}" name="BOX 4" dataDxfId="646" totalsRowDxfId="150"/>
    <tableColumn id="8" xr3:uid="{00000000-0010-0000-2100-000008000000}" name="BOX 5" dataDxfId="645" totalsRowDxfId="149"/>
    <tableColumn id="7" xr3:uid="{00000000-0010-0000-2100-000007000000}" name="BOX 6" dataDxfId="644" totalsRowDxfId="148"/>
    <tableColumn id="10" xr3:uid="{00000000-0010-0000-2100-00000A000000}" name="BOX 10" dataDxfId="643" totalsRowDxfId="147"/>
    <tableColumn id="3" xr3:uid="{00000000-0010-0000-2100-000003000000}" name="BOX 1 &amp; 8" dataDxfId="642" totalsRowDxfId="146"/>
    <tableColumn id="9" xr3:uid="{00000000-0010-0000-2100-000009000000}" name="BOX 7" dataDxfId="641" totalsRowDxfId="145"/>
    <tableColumn id="4" xr3:uid="{00000000-0010-0000-2100-000004000000}" name="TOTAL" totalsRowFunction="sum" dataDxfId="640" totalsRowDxfId="144">
      <calculatedColumnFormula>SUM(B221:I221)</calculatedColumnFormula>
    </tableColumn>
    <tableColumn id="11" xr3:uid="{4343E363-A087-48F2-A8E0-75537AB3933F}" name="PROVISIONAL" dataDxfId="288" totalsRowDxfId="143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2000000}" name="Table1345710111721222547" displayName="Table1345710111721222547" ref="A213:K215" totalsRowCount="1" headerRowDxfId="316" dataDxfId="315" totalsRowDxfId="314" headerRowBorderDxfId="312" tableBorderDxfId="313" totalsRowBorderDxfId="311">
  <autoFilter ref="A213:K214" xr:uid="{00000000-0009-0000-0100-00002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2200-000001000000}" name="CANDIDATE NAME" totalsRowLabel="Total" dataDxfId="309" totalsRowDxfId="310"/>
    <tableColumn id="2" xr3:uid="{00000000-0010-0000-2200-000002000000}" name="BOX 2 &amp; 11" dataDxfId="307" totalsRowDxfId="308"/>
    <tableColumn id="6" xr3:uid="{00000000-0010-0000-2200-000006000000}" name="BOX 3 &amp; 12" dataDxfId="305" totalsRowDxfId="306"/>
    <tableColumn id="5" xr3:uid="{00000000-0010-0000-2200-000005000000}" name="BOX 4" dataDxfId="303" totalsRowDxfId="304"/>
    <tableColumn id="8" xr3:uid="{00000000-0010-0000-2200-000008000000}" name="BOX 5" totalsRowFunction="sum" dataDxfId="301" totalsRowDxfId="302"/>
    <tableColumn id="7" xr3:uid="{00000000-0010-0000-2200-000007000000}" name="BOX 6" totalsRowFunction="sum" dataDxfId="299" totalsRowDxfId="300"/>
    <tableColumn id="10" xr3:uid="{00000000-0010-0000-2200-00000A000000}" name="BOX 10" totalsRowFunction="sum" dataDxfId="297" totalsRowDxfId="298"/>
    <tableColumn id="3" xr3:uid="{00000000-0010-0000-2200-000003000000}" name="BOX 1 &amp; 8" dataDxfId="295" totalsRowDxfId="296"/>
    <tableColumn id="9" xr3:uid="{00000000-0010-0000-2200-000009000000}" name="BOX 7" dataDxfId="293" totalsRowDxfId="294"/>
    <tableColumn id="4" xr3:uid="{00000000-0010-0000-2200-000004000000}" name="TOTAL" totalsRowFunction="sum" dataDxfId="291" totalsRowDxfId="292">
      <calculatedColumnFormula>SUM(B214:I214)</calculatedColumnFormula>
    </tableColumn>
    <tableColumn id="11" xr3:uid="{45E7C81C-E639-44F6-9D89-810CCA512B01}" name="PROVISIONAL" dataDxfId="290" totalsRowDxfId="289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3000000}" name="Table1345710111721222648" displayName="Table1345710111721222648" ref="A249:K252" totalsRowCount="1" headerRowDxfId="639" dataDxfId="637" totalsRowDxfId="635" headerRowBorderDxfId="638" tableBorderDxfId="636" totalsRowBorderDxfId="634">
  <autoFilter ref="A249:K251" xr:uid="{00000000-0009-0000-0100-00002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2300-000001000000}" name="CANDIDATE NAME" totalsRowLabel="Total" dataDxfId="633" totalsRowDxfId="632"/>
    <tableColumn id="2" xr3:uid="{00000000-0010-0000-2300-000002000000}" name="BOX 2 &amp; 11" dataDxfId="631" totalsRowDxfId="630"/>
    <tableColumn id="6" xr3:uid="{00000000-0010-0000-2300-000006000000}" name="BOX 3 &amp; 12" dataDxfId="629" totalsRowDxfId="628"/>
    <tableColumn id="5" xr3:uid="{00000000-0010-0000-2300-000005000000}" name="BOX 4" dataDxfId="627" totalsRowDxfId="626"/>
    <tableColumn id="8" xr3:uid="{00000000-0010-0000-2300-000008000000}" name="BOX 5" dataDxfId="625" totalsRowDxfId="624"/>
    <tableColumn id="7" xr3:uid="{00000000-0010-0000-2300-000007000000}" name="BOX 6" dataDxfId="623" totalsRowDxfId="622"/>
    <tableColumn id="10" xr3:uid="{00000000-0010-0000-2300-00000A000000}" name="BOX 10" dataDxfId="621" totalsRowDxfId="620"/>
    <tableColumn id="3" xr3:uid="{00000000-0010-0000-2300-000003000000}" name="BOX 1 &amp; 8" totalsRowFunction="sum" dataDxfId="619" totalsRowDxfId="618"/>
    <tableColumn id="9" xr3:uid="{00000000-0010-0000-2300-000009000000}" name="BOX 7" totalsRowFunction="sum" dataDxfId="617" totalsRowDxfId="616"/>
    <tableColumn id="4" xr3:uid="{00000000-0010-0000-2300-000004000000}" name="TOTAL" totalsRowFunction="sum" dataDxfId="615" totalsRowDxfId="614">
      <calculatedColumnFormula>SUM(Table1345710111721222648[[#This Row],[BOX 1 &amp; 8]:[BOX 7]])</calculatedColumnFormula>
    </tableColumn>
    <tableColumn id="11" xr3:uid="{27AE757C-2A3E-499E-A953-ECA6C3202CC0}" name="PROVISIONAL" dataDxfId="282" totalsRowDxfId="281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4000000}" name="Table134571011172122" displayName="Table134571011172122" ref="A182:K184" totalsRowCount="1" headerRowDxfId="336" dataDxfId="335" totalsRowDxfId="334" headerRowBorderDxfId="332" tableBorderDxfId="333" totalsRowBorderDxfId="331">
  <autoFilter ref="A182:K183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2400-000001000000}" name="CANDIDATE NAME" totalsRowLabel="Total" dataDxfId="330" totalsRowDxfId="197"/>
    <tableColumn id="2" xr3:uid="{00000000-0010-0000-2400-000002000000}" name="BOX 2 &amp; 11" totalsRowFunction="sum" dataDxfId="329" totalsRowDxfId="196"/>
    <tableColumn id="6" xr3:uid="{00000000-0010-0000-2400-000006000000}" name="BOX 3 &amp; 12" totalsRowFunction="sum" dataDxfId="328" totalsRowDxfId="195"/>
    <tableColumn id="5" xr3:uid="{00000000-0010-0000-2400-000005000000}" name="BOX 4" totalsRowFunction="sum" dataDxfId="327" totalsRowDxfId="194"/>
    <tableColumn id="8" xr3:uid="{00000000-0010-0000-2400-000008000000}" name="BOX 5" totalsRowFunction="sum" dataDxfId="326" totalsRowDxfId="193"/>
    <tableColumn id="7" xr3:uid="{00000000-0010-0000-2400-000007000000}" name="BOX 6" totalsRowFunction="sum" dataDxfId="325" totalsRowDxfId="192"/>
    <tableColumn id="10" xr3:uid="{00000000-0010-0000-2400-00000A000000}" name="BOX 10" totalsRowFunction="sum" dataDxfId="324" totalsRowDxfId="191"/>
    <tableColumn id="3" xr3:uid="{00000000-0010-0000-2400-000003000000}" name="BOX 1 &amp; 8" totalsRowFunction="sum" dataDxfId="323" totalsRowDxfId="190"/>
    <tableColumn id="9" xr3:uid="{00000000-0010-0000-2400-000009000000}" name="BOX 7" totalsRowFunction="sum" dataDxfId="322" totalsRowDxfId="189"/>
    <tableColumn id="4" xr3:uid="{00000000-0010-0000-2400-000004000000}" name="TOTAL" totalsRowFunction="sum" dataDxfId="321" totalsRowDxfId="188">
      <calculatedColumnFormula>SUM(B183:I183)</calculatedColumnFormula>
    </tableColumn>
    <tableColumn id="11" xr3:uid="{399126D5-BD99-462A-9682-7FAC420DF449}" name="PROVISIONAL" dataDxfId="320" totalsRowDxfId="187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25000000}" name="Table1345710111721226" displayName="Table1345710111721226" ref="A257:K259" totalsRowCount="1" headerRowDxfId="613" dataDxfId="611" totalsRowDxfId="609" headerRowBorderDxfId="612" tableBorderDxfId="610" totalsRowBorderDxfId="608">
  <autoFilter ref="A257:K258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2500-000001000000}" name="CANDIDATE NAME" totalsRowLabel="Total" dataDxfId="607" totalsRowDxfId="131"/>
    <tableColumn id="2" xr3:uid="{00000000-0010-0000-2500-000002000000}" name="BOX 2 &amp; 11" totalsRowFunction="sum" dataDxfId="606" totalsRowDxfId="130"/>
    <tableColumn id="6" xr3:uid="{00000000-0010-0000-2500-000006000000}" name="BOX 3 &amp; 12" totalsRowFunction="sum" dataDxfId="605" totalsRowDxfId="129"/>
    <tableColumn id="5" xr3:uid="{00000000-0010-0000-2500-000005000000}" name="BOX 4" totalsRowFunction="sum" dataDxfId="604" totalsRowDxfId="128"/>
    <tableColumn id="8" xr3:uid="{00000000-0010-0000-2500-000008000000}" name="BOX 5" totalsRowFunction="sum" dataDxfId="603" totalsRowDxfId="127"/>
    <tableColumn id="7" xr3:uid="{00000000-0010-0000-2500-000007000000}" name="BOX 6" totalsRowFunction="sum" dataDxfId="602" totalsRowDxfId="126"/>
    <tableColumn id="10" xr3:uid="{00000000-0010-0000-2500-00000A000000}" name="BOX 10" totalsRowFunction="sum" dataDxfId="601" totalsRowDxfId="125"/>
    <tableColumn id="3" xr3:uid="{00000000-0010-0000-2500-000003000000}" name="BOX 1 &amp; 8" totalsRowFunction="sum" dataDxfId="600" totalsRowDxfId="124"/>
    <tableColumn id="9" xr3:uid="{00000000-0010-0000-2500-000009000000}" name="BOX 7" totalsRowFunction="sum" dataDxfId="599" totalsRowDxfId="123"/>
    <tableColumn id="4" xr3:uid="{00000000-0010-0000-2500-000004000000}" name="TOTAL" totalsRowFunction="sum" dataDxfId="598" totalsRowDxfId="122">
      <calculatedColumnFormula>SUM(Table1345710111721226[[#This Row],[BOX 2 &amp; 11]:[BOX 7]])</calculatedColumnFormula>
    </tableColumn>
    <tableColumn id="11" xr3:uid="{F5D92F36-9683-4089-B0B5-1740AE788690}" name="PROVISIONAL" dataDxfId="280" totalsRowDxfId="1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65:J70" totalsRowCount="1" headerRowDxfId="1033" dataDxfId="1031" totalsRowDxfId="1029" headerRowBorderDxfId="1032" tableBorderDxfId="1030" totalsRowBorderDxfId="1028">
  <autoFilter ref="A65:J69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300-000001000000}" name="CANDIDATE NAME" totalsRowLabel="Total" dataDxfId="533" totalsRowDxfId="532"/>
    <tableColumn id="2" xr3:uid="{00000000-0010-0000-0300-000002000000}" name="BOX 2 &amp; 11" totalsRowFunction="sum" dataDxfId="531" totalsRowDxfId="530"/>
    <tableColumn id="6" xr3:uid="{00000000-0010-0000-0300-000006000000}" name="BOX 3 &amp; 12" totalsRowFunction="sum" dataDxfId="529" totalsRowDxfId="528"/>
    <tableColumn id="5" xr3:uid="{00000000-0010-0000-0300-000005000000}" name="BOX 4" totalsRowFunction="sum" dataDxfId="527" totalsRowDxfId="526"/>
    <tableColumn id="8" xr3:uid="{00000000-0010-0000-0300-000008000000}" name="BOX 5" totalsRowFunction="sum" dataDxfId="525" totalsRowDxfId="524"/>
    <tableColumn id="7" xr3:uid="{00000000-0010-0000-0300-000007000000}" name="BOX 6" totalsRowFunction="sum" dataDxfId="523" totalsRowDxfId="522"/>
    <tableColumn id="10" xr3:uid="{00000000-0010-0000-0300-00000A000000}" name="BOX 10" totalsRowFunction="sum" dataDxfId="521" totalsRowDxfId="520"/>
    <tableColumn id="3" xr3:uid="{00000000-0010-0000-0300-000003000000}" name="BOX 1 &amp; 8" totalsRowFunction="sum" dataDxfId="519" totalsRowDxfId="518"/>
    <tableColumn id="9" xr3:uid="{00000000-0010-0000-0300-000009000000}" name="BOX 7" totalsRowFunction="sum" dataDxfId="517" totalsRowDxfId="516"/>
    <tableColumn id="4" xr3:uid="{00000000-0010-0000-0300-000004000000}" name="TOTAL" totalsRowFunction="sum" dataDxfId="515" totalsRowDxfId="514">
      <calculatedColumnFormula>SUM(B66:I66)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13457" displayName="Table13457" ref="A76:K79" totalsRowCount="1" headerRowDxfId="1027" dataDxfId="1025" totalsRowDxfId="1023" headerRowBorderDxfId="1026" tableBorderDxfId="1024" totalsRowBorderDxfId="1022">
  <autoFilter ref="A76:K78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400-000001000000}" name="CANDIDATE NAME" totalsRowLabel="Total" dataDxfId="1021" totalsRowDxfId="512"/>
    <tableColumn id="2" xr3:uid="{00000000-0010-0000-0400-000002000000}" name="BOX 2 &amp; 11" totalsRowFunction="sum" dataDxfId="1020" totalsRowDxfId="511"/>
    <tableColumn id="6" xr3:uid="{00000000-0010-0000-0400-000006000000}" name="BOX 3 &amp; 12" totalsRowFunction="sum" dataDxfId="1019" totalsRowDxfId="510"/>
    <tableColumn id="5" xr3:uid="{00000000-0010-0000-0400-000005000000}" name="BOX 4" totalsRowFunction="sum" dataDxfId="1018" totalsRowDxfId="509"/>
    <tableColumn id="8" xr3:uid="{00000000-0010-0000-0400-000008000000}" name="BOX 5" totalsRowLabel="80" dataDxfId="1017" totalsRowDxfId="508"/>
    <tableColumn id="7" xr3:uid="{00000000-0010-0000-0400-000007000000}" name="BOX 6" totalsRowFunction="sum" dataDxfId="1016" totalsRowDxfId="507"/>
    <tableColumn id="10" xr3:uid="{00000000-0010-0000-0400-00000A000000}" name="BOX 10" totalsRowFunction="sum" dataDxfId="1015" totalsRowDxfId="506"/>
    <tableColumn id="3" xr3:uid="{00000000-0010-0000-0400-000003000000}" name="BOX 1 &amp; 8" totalsRowFunction="sum" dataDxfId="1014" totalsRowDxfId="505"/>
    <tableColumn id="9" xr3:uid="{00000000-0010-0000-0400-000009000000}" name="BOX 7" totalsRowFunction="sum" dataDxfId="1013" totalsRowDxfId="504"/>
    <tableColumn id="4" xr3:uid="{00000000-0010-0000-0400-000004000000}" name="TOTAL" totalsRowFunction="sum" dataDxfId="1012" totalsRowDxfId="503">
      <calculatedColumnFormula>SUM(B77:I77)</calculatedColumnFormula>
    </tableColumn>
    <tableColumn id="11" xr3:uid="{64FFBA50-FE6F-454A-B8FE-282BCA874C76}" name="PROVISIONAL" dataDxfId="513" totalsRowDxfId="50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34578" displayName="Table134578" ref="A85:K88" totalsRowCount="1" headerRowDxfId="1011" dataDxfId="1009" totalsRowDxfId="1007" headerRowBorderDxfId="1010" tableBorderDxfId="1008" totalsRowBorderDxfId="1006">
  <autoFilter ref="A85:K87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500-000001000000}" name="CANDIDATE NAME" totalsRowLabel="Total" dataDxfId="1005" totalsRowDxfId="500"/>
    <tableColumn id="2" xr3:uid="{00000000-0010-0000-0500-000002000000}" name="BOX 2 &amp; 11" totalsRowFunction="sum" dataDxfId="1004" totalsRowDxfId="499"/>
    <tableColumn id="6" xr3:uid="{00000000-0010-0000-0500-000006000000}" name="BOX 3 &amp; 12" totalsRowFunction="sum" dataDxfId="1003" totalsRowDxfId="498"/>
    <tableColumn id="5" xr3:uid="{00000000-0010-0000-0500-000005000000}" name="BOX 4" totalsRowFunction="sum" dataDxfId="1002" totalsRowDxfId="497"/>
    <tableColumn id="8" xr3:uid="{00000000-0010-0000-0500-000008000000}" name="BOX 5" totalsRowFunction="sum" dataDxfId="1001" totalsRowDxfId="496"/>
    <tableColumn id="7" xr3:uid="{00000000-0010-0000-0500-000007000000}" name="BOX 6" totalsRowFunction="sum" dataDxfId="1000" totalsRowDxfId="495"/>
    <tableColumn id="10" xr3:uid="{00000000-0010-0000-0500-00000A000000}" name="BOX 10" totalsRowFunction="sum" dataDxfId="999" totalsRowDxfId="494"/>
    <tableColumn id="3" xr3:uid="{00000000-0010-0000-0500-000003000000}" name="BOX 1 &amp; 8" totalsRowFunction="sum" dataDxfId="998" totalsRowDxfId="493"/>
    <tableColumn id="9" xr3:uid="{00000000-0010-0000-0500-000009000000}" name="BOX 7" totalsRowFunction="sum" dataDxfId="997" totalsRowDxfId="492"/>
    <tableColumn id="4" xr3:uid="{00000000-0010-0000-0500-000004000000}" name="TOTAL" totalsRowFunction="sum" dataDxfId="996" totalsRowDxfId="491">
      <calculatedColumnFormula>SUM(B86:I86)</calculatedColumnFormula>
    </tableColumn>
    <tableColumn id="11" xr3:uid="{CCE5E935-EC54-4DC2-950E-1FA16058E53D}" name="PROVISIONAL" dataDxfId="501" totalsRowDxfId="49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134579" displayName="Table134579" ref="A97:J100" totalsRowCount="1" headerRowDxfId="489" dataDxfId="488" totalsRowDxfId="487" headerRowBorderDxfId="485" tableBorderDxfId="486" totalsRowBorderDxfId="484">
  <autoFilter ref="A97:J99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600-000001000000}" name="CANDIDATE NAME" totalsRowLabel="Total" dataDxfId="482" totalsRowDxfId="483"/>
    <tableColumn id="2" xr3:uid="{00000000-0010-0000-0600-000002000000}" name="BOX 2 &amp; 11" totalsRowFunction="sum" dataDxfId="480" totalsRowDxfId="481"/>
    <tableColumn id="6" xr3:uid="{00000000-0010-0000-0600-000006000000}" name="BOX 3 &amp; 12" totalsRowFunction="sum" dataDxfId="478" totalsRowDxfId="479"/>
    <tableColumn id="5" xr3:uid="{00000000-0010-0000-0600-000005000000}" name="BOX 4" totalsRowFunction="sum" dataDxfId="476" totalsRowDxfId="477"/>
    <tableColumn id="8" xr3:uid="{00000000-0010-0000-0600-000008000000}" name="BOX 5" totalsRowFunction="sum" dataDxfId="474" totalsRowDxfId="475"/>
    <tableColumn id="7" xr3:uid="{00000000-0010-0000-0600-000007000000}" name="BOX 6" totalsRowFunction="sum" dataDxfId="472" totalsRowDxfId="473"/>
    <tableColumn id="10" xr3:uid="{00000000-0010-0000-0600-00000A000000}" name="BOX 10" totalsRowFunction="sum" dataDxfId="470" totalsRowDxfId="471"/>
    <tableColumn id="3" xr3:uid="{00000000-0010-0000-0600-000003000000}" name="BOX 1 &amp; 8" totalsRowFunction="sum" dataDxfId="468" totalsRowDxfId="469"/>
    <tableColumn id="9" xr3:uid="{00000000-0010-0000-0600-000009000000}" name="BOX 7" totalsRowFunction="sum" dataDxfId="466" totalsRowDxfId="467"/>
    <tableColumn id="4" xr3:uid="{00000000-0010-0000-0600-000004000000}" name="TOTAL" totalsRowFunction="sum" dataDxfId="464" totalsRowDxfId="465">
      <calculatedColumnFormula>SUM(B98:I98)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1345710" displayName="Table1345710" ref="A107:J110" totalsRowCount="1" headerRowDxfId="463" dataDxfId="462" totalsRowDxfId="461" headerRowBorderDxfId="459" tableBorderDxfId="460" totalsRowBorderDxfId="458">
  <autoFilter ref="A107:J109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700-000001000000}" name="CANDIDATE NAME" totalsRowLabel="Total" dataDxfId="456" totalsRowDxfId="457"/>
    <tableColumn id="2" xr3:uid="{00000000-0010-0000-0700-000002000000}" name="BOX 2 &amp; 11" totalsRowFunction="sum" dataDxfId="454" totalsRowDxfId="455"/>
    <tableColumn id="6" xr3:uid="{00000000-0010-0000-0700-000006000000}" name="BOX 3 &amp; 12" totalsRowFunction="sum" dataDxfId="452" totalsRowDxfId="453"/>
    <tableColumn id="5" xr3:uid="{00000000-0010-0000-0700-000005000000}" name="BOX 4" totalsRowFunction="sum" dataDxfId="450" totalsRowDxfId="451"/>
    <tableColumn id="8" xr3:uid="{00000000-0010-0000-0700-000008000000}" name="BOX 5" totalsRowFunction="sum" dataDxfId="448" totalsRowDxfId="449"/>
    <tableColumn id="7" xr3:uid="{00000000-0010-0000-0700-000007000000}" name="BOX 6" totalsRowFunction="sum" dataDxfId="446" totalsRowDxfId="447"/>
    <tableColumn id="10" xr3:uid="{00000000-0010-0000-0700-00000A000000}" name="BOX 10" totalsRowFunction="sum" dataDxfId="444" totalsRowDxfId="445"/>
    <tableColumn id="3" xr3:uid="{00000000-0010-0000-0700-000003000000}" name="BOX 1 &amp; 8" totalsRowFunction="sum" dataDxfId="442" totalsRowDxfId="443"/>
    <tableColumn id="9" xr3:uid="{00000000-0010-0000-0700-000009000000}" name="BOX 7" totalsRowFunction="sum" dataDxfId="440" totalsRowDxfId="441"/>
    <tableColumn id="4" xr3:uid="{00000000-0010-0000-0700-000004000000}" name="TOTAL" totalsRowFunction="sum" dataDxfId="438" totalsRowDxfId="439">
      <calculatedColumnFormula>SUM(B108:I108)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34571011" displayName="Table134571011" ref="A117:K121" totalsRowCount="1" headerRowDxfId="437" dataDxfId="436" totalsRowDxfId="435" headerRowBorderDxfId="433" tableBorderDxfId="434" totalsRowBorderDxfId="432">
  <autoFilter ref="A117:K120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800-000001000000}" name="CANDIDATE NAME" totalsRowLabel="Total" dataDxfId="431" totalsRowDxfId="420"/>
    <tableColumn id="2" xr3:uid="{00000000-0010-0000-0800-000002000000}" name="BOX 2 &amp; 11" totalsRowFunction="sum" dataDxfId="430" totalsRowDxfId="419"/>
    <tableColumn id="6" xr3:uid="{00000000-0010-0000-0800-000006000000}" name="BOX 3 &amp; 12" totalsRowFunction="sum" dataDxfId="429" totalsRowDxfId="418"/>
    <tableColumn id="5" xr3:uid="{00000000-0010-0000-0800-000005000000}" name="BOX 4" totalsRowFunction="sum" dataDxfId="428" totalsRowDxfId="417"/>
    <tableColumn id="8" xr3:uid="{00000000-0010-0000-0800-000008000000}" name="BOX 5" totalsRowFunction="sum" dataDxfId="427" totalsRowDxfId="416"/>
    <tableColumn id="7" xr3:uid="{00000000-0010-0000-0800-000007000000}" name="BOX 6" totalsRowFunction="sum" dataDxfId="426" totalsRowDxfId="415"/>
    <tableColumn id="10" xr3:uid="{00000000-0010-0000-0800-00000A000000}" name="BOX 10" totalsRowFunction="sum" dataDxfId="425" totalsRowDxfId="414"/>
    <tableColumn id="3" xr3:uid="{00000000-0010-0000-0800-000003000000}" name="BOX 1 &amp; 8" totalsRowFunction="sum" dataDxfId="424" totalsRowDxfId="413"/>
    <tableColumn id="9" xr3:uid="{00000000-0010-0000-0800-000009000000}" name="BOX 7" totalsRowFunction="sum" dataDxfId="423" totalsRowDxfId="412"/>
    <tableColumn id="4" xr3:uid="{00000000-0010-0000-0800-000004000000}" name="TOTAL" totalsRowFunction="sum" dataDxfId="422" totalsRowDxfId="411">
      <calculatedColumnFormula>SUM(B118:I118)</calculatedColumnFormula>
    </tableColumn>
    <tableColumn id="11" xr3:uid="{C9358B13-F8F0-4F0B-9DCC-34A9A06B7C06}" name="PROVISIONAL" dataDxfId="421" totalsRowDxfId="4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46"/>
  <sheetViews>
    <sheetView tabSelected="1" view="pageLayout" topLeftCell="A325" zoomScale="92" zoomScaleNormal="100" zoomScalePageLayoutView="92" workbookViewId="0">
      <selection activeCell="K347" sqref="K347"/>
    </sheetView>
  </sheetViews>
  <sheetFormatPr defaultRowHeight="15" x14ac:dyDescent="0.25"/>
  <cols>
    <col min="1" max="1" width="32.85546875" style="50" bestFit="1" customWidth="1"/>
    <col min="2" max="3" width="17" style="50" bestFit="1" customWidth="1"/>
    <col min="4" max="6" width="11.7109375" style="50" bestFit="1" customWidth="1"/>
    <col min="7" max="7" width="13" style="50" bestFit="1" customWidth="1"/>
    <col min="8" max="8" width="15.85546875" style="7" bestFit="1" customWidth="1"/>
    <col min="9" max="9" width="11.7109375" style="7" bestFit="1" customWidth="1"/>
    <col min="10" max="10" width="13" style="7" bestFit="1" customWidth="1"/>
    <col min="11" max="11" width="9.140625" style="62"/>
    <col min="12" max="16384" width="9.140625" style="7"/>
  </cols>
  <sheetData>
    <row r="1" spans="1:11" ht="15.7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64.5" customHeight="1" x14ac:dyDescent="0.25">
      <c r="A2" s="109" t="s">
        <v>155</v>
      </c>
      <c r="B2" s="109"/>
      <c r="C2" s="109"/>
      <c r="D2" s="109"/>
      <c r="E2" s="109"/>
      <c r="F2" s="118" t="s">
        <v>52</v>
      </c>
      <c r="G2" s="119"/>
      <c r="H2" s="120" t="s">
        <v>156</v>
      </c>
      <c r="I2" s="102"/>
    </row>
    <row r="3" spans="1:11" ht="20.25" customHeight="1" x14ac:dyDescent="0.3">
      <c r="A3" s="101" t="s">
        <v>151</v>
      </c>
      <c r="B3" s="101"/>
      <c r="C3" s="101"/>
      <c r="D3" s="101"/>
      <c r="E3" s="101"/>
      <c r="F3" s="101"/>
      <c r="G3" s="101"/>
      <c r="H3" s="101"/>
      <c r="I3" s="101"/>
      <c r="J3" s="101"/>
    </row>
    <row r="4" spans="1:11" s="11" customFormat="1" ht="45" x14ac:dyDescent="0.2">
      <c r="A4" s="8" t="s">
        <v>19</v>
      </c>
      <c r="B4" s="9" t="s">
        <v>8</v>
      </c>
      <c r="C4" s="10" t="s">
        <v>16</v>
      </c>
      <c r="D4" s="9" t="s">
        <v>12</v>
      </c>
      <c r="E4" s="9" t="s">
        <v>10</v>
      </c>
      <c r="F4" s="9" t="s">
        <v>11</v>
      </c>
      <c r="G4" s="9" t="s">
        <v>18</v>
      </c>
      <c r="H4" s="9" t="s">
        <v>9</v>
      </c>
      <c r="I4" s="9" t="s">
        <v>17</v>
      </c>
      <c r="K4" s="106"/>
    </row>
    <row r="5" spans="1:11" ht="24.95" customHeight="1" x14ac:dyDescent="0.25">
      <c r="A5" s="12" t="s">
        <v>2</v>
      </c>
      <c r="B5" s="13" t="s">
        <v>34</v>
      </c>
      <c r="C5" s="14" t="s">
        <v>15</v>
      </c>
      <c r="D5" s="15" t="s">
        <v>3</v>
      </c>
      <c r="E5" s="15" t="s">
        <v>4</v>
      </c>
      <c r="F5" s="15" t="s">
        <v>5</v>
      </c>
      <c r="G5" s="15" t="s">
        <v>14</v>
      </c>
      <c r="H5" s="15" t="s">
        <v>35</v>
      </c>
      <c r="I5" s="15" t="s">
        <v>13</v>
      </c>
      <c r="J5" s="16" t="s">
        <v>6</v>
      </c>
      <c r="K5" s="104" t="s">
        <v>154</v>
      </c>
    </row>
    <row r="6" spans="1:11" ht="18.75" x14ac:dyDescent="0.3">
      <c r="A6" s="17" t="s">
        <v>20</v>
      </c>
      <c r="B6" s="18">
        <v>23</v>
      </c>
      <c r="C6" s="18">
        <v>35</v>
      </c>
      <c r="D6" s="19">
        <v>0</v>
      </c>
      <c r="E6" s="19">
        <v>10</v>
      </c>
      <c r="F6" s="19">
        <v>2</v>
      </c>
      <c r="G6" s="19">
        <v>16</v>
      </c>
      <c r="H6" s="19">
        <v>16</v>
      </c>
      <c r="I6" s="19">
        <v>11</v>
      </c>
      <c r="J6" s="20">
        <f t="shared" ref="J6:J12" si="0">SUM(B6:I6)</f>
        <v>113</v>
      </c>
      <c r="K6" s="103"/>
    </row>
    <row r="7" spans="1:11" ht="18.75" x14ac:dyDescent="0.3">
      <c r="A7" s="17" t="s">
        <v>21</v>
      </c>
      <c r="B7" s="18">
        <v>6</v>
      </c>
      <c r="C7" s="18">
        <v>8</v>
      </c>
      <c r="D7" s="19">
        <v>0</v>
      </c>
      <c r="E7" s="19">
        <v>2</v>
      </c>
      <c r="F7" s="19">
        <v>0</v>
      </c>
      <c r="G7" s="19">
        <v>4</v>
      </c>
      <c r="H7" s="19">
        <v>4</v>
      </c>
      <c r="I7" s="19">
        <v>6</v>
      </c>
      <c r="J7" s="20">
        <f t="shared" si="0"/>
        <v>30</v>
      </c>
      <c r="K7" s="30">
        <v>1</v>
      </c>
    </row>
    <row r="8" spans="1:11" ht="18.75" x14ac:dyDescent="0.3">
      <c r="A8" s="17" t="s">
        <v>22</v>
      </c>
      <c r="B8" s="18">
        <v>3</v>
      </c>
      <c r="C8" s="18">
        <v>2</v>
      </c>
      <c r="D8" s="19">
        <v>0</v>
      </c>
      <c r="E8" s="19">
        <v>0</v>
      </c>
      <c r="F8" s="19">
        <v>0</v>
      </c>
      <c r="G8" s="19">
        <v>2</v>
      </c>
      <c r="H8" s="19">
        <v>1</v>
      </c>
      <c r="I8" s="19">
        <v>1</v>
      </c>
      <c r="J8" s="20">
        <f t="shared" si="0"/>
        <v>9</v>
      </c>
      <c r="K8" s="30"/>
    </row>
    <row r="9" spans="1:11" ht="18.75" x14ac:dyDescent="0.3">
      <c r="A9" s="17" t="s">
        <v>23</v>
      </c>
      <c r="B9" s="18">
        <v>90</v>
      </c>
      <c r="C9" s="18">
        <v>99</v>
      </c>
      <c r="D9" s="19">
        <v>2</v>
      </c>
      <c r="E9" s="19">
        <v>22</v>
      </c>
      <c r="F9" s="19">
        <v>3</v>
      </c>
      <c r="G9" s="19">
        <v>42</v>
      </c>
      <c r="H9" s="19">
        <v>32</v>
      </c>
      <c r="I9" s="19">
        <v>38</v>
      </c>
      <c r="J9" s="20">
        <f t="shared" si="0"/>
        <v>328</v>
      </c>
      <c r="K9" s="30"/>
    </row>
    <row r="10" spans="1:11" ht="18.75" x14ac:dyDescent="0.3">
      <c r="A10" s="17" t="s">
        <v>24</v>
      </c>
      <c r="B10" s="18">
        <v>15</v>
      </c>
      <c r="C10" s="18">
        <v>15</v>
      </c>
      <c r="D10" s="19">
        <v>0</v>
      </c>
      <c r="E10" s="19">
        <v>3</v>
      </c>
      <c r="F10" s="19">
        <v>1</v>
      </c>
      <c r="G10" s="19">
        <v>5</v>
      </c>
      <c r="H10" s="19">
        <v>3</v>
      </c>
      <c r="I10" s="19">
        <v>10</v>
      </c>
      <c r="J10" s="20">
        <f t="shared" si="0"/>
        <v>52</v>
      </c>
      <c r="K10" s="30"/>
    </row>
    <row r="11" spans="1:11" ht="18.75" x14ac:dyDescent="0.3">
      <c r="A11" s="17" t="s">
        <v>25</v>
      </c>
      <c r="B11" s="18">
        <v>2</v>
      </c>
      <c r="C11" s="18">
        <v>5</v>
      </c>
      <c r="D11" s="19">
        <v>0</v>
      </c>
      <c r="E11" s="19">
        <v>1</v>
      </c>
      <c r="F11" s="19">
        <v>0</v>
      </c>
      <c r="G11" s="19">
        <v>1</v>
      </c>
      <c r="H11" s="19">
        <v>1</v>
      </c>
      <c r="I11" s="19">
        <v>3</v>
      </c>
      <c r="J11" s="20">
        <f t="shared" si="0"/>
        <v>13</v>
      </c>
      <c r="K11" s="30"/>
    </row>
    <row r="12" spans="1:11" ht="18.75" x14ac:dyDescent="0.3">
      <c r="A12" s="17" t="s">
        <v>26</v>
      </c>
      <c r="B12" s="18">
        <v>11</v>
      </c>
      <c r="C12" s="18">
        <v>8</v>
      </c>
      <c r="D12" s="19">
        <v>0</v>
      </c>
      <c r="E12" s="19">
        <v>1</v>
      </c>
      <c r="F12" s="19">
        <v>0</v>
      </c>
      <c r="G12" s="19">
        <v>2</v>
      </c>
      <c r="H12" s="19">
        <v>1</v>
      </c>
      <c r="I12" s="19">
        <v>3</v>
      </c>
      <c r="J12" s="20">
        <f t="shared" si="0"/>
        <v>26</v>
      </c>
      <c r="K12" s="30"/>
    </row>
    <row r="13" spans="1:11" s="21" customFormat="1" ht="18.75" x14ac:dyDescent="0.25">
      <c r="A13" s="17" t="s">
        <v>36</v>
      </c>
      <c r="B13" s="2">
        <v>2</v>
      </c>
      <c r="C13" s="2">
        <v>4</v>
      </c>
      <c r="D13" s="19">
        <v>0</v>
      </c>
      <c r="E13" s="19">
        <v>1</v>
      </c>
      <c r="F13" s="19">
        <v>0</v>
      </c>
      <c r="G13" s="19">
        <v>1</v>
      </c>
      <c r="H13" s="19">
        <v>1</v>
      </c>
      <c r="I13" s="19">
        <v>1</v>
      </c>
      <c r="J13" s="20">
        <f t="shared" ref="J13:J15" si="1">SUM(B13:I13)</f>
        <v>10</v>
      </c>
      <c r="K13" s="30"/>
    </row>
    <row r="14" spans="1:11" ht="18.75" x14ac:dyDescent="0.25">
      <c r="A14" s="17" t="s">
        <v>37</v>
      </c>
      <c r="B14" s="2">
        <v>22</v>
      </c>
      <c r="C14" s="2">
        <v>17</v>
      </c>
      <c r="D14" s="19">
        <v>1</v>
      </c>
      <c r="E14" s="19">
        <v>7</v>
      </c>
      <c r="F14" s="19">
        <v>0</v>
      </c>
      <c r="G14" s="19">
        <v>12</v>
      </c>
      <c r="H14" s="19">
        <v>8</v>
      </c>
      <c r="I14" s="19">
        <v>13</v>
      </c>
      <c r="J14" s="20">
        <f t="shared" si="1"/>
        <v>80</v>
      </c>
      <c r="K14" s="30"/>
    </row>
    <row r="15" spans="1:11" ht="18.75" x14ac:dyDescent="0.25">
      <c r="A15" s="17" t="s">
        <v>38</v>
      </c>
      <c r="B15" s="2">
        <v>84</v>
      </c>
      <c r="C15" s="2">
        <v>102</v>
      </c>
      <c r="D15" s="19">
        <v>0</v>
      </c>
      <c r="E15" s="19">
        <v>31</v>
      </c>
      <c r="F15" s="19">
        <v>7</v>
      </c>
      <c r="G15" s="19">
        <v>42</v>
      </c>
      <c r="H15" s="19">
        <v>36</v>
      </c>
      <c r="I15" s="19">
        <v>43</v>
      </c>
      <c r="J15" s="20">
        <f t="shared" si="1"/>
        <v>345</v>
      </c>
      <c r="K15" s="30"/>
    </row>
    <row r="16" spans="1:11" ht="18.75" x14ac:dyDescent="0.3">
      <c r="A16" s="17" t="s">
        <v>27</v>
      </c>
      <c r="B16" s="18">
        <v>101</v>
      </c>
      <c r="C16" s="18">
        <v>70</v>
      </c>
      <c r="D16" s="19">
        <v>1</v>
      </c>
      <c r="E16" s="19">
        <v>16</v>
      </c>
      <c r="F16" s="19">
        <v>2</v>
      </c>
      <c r="G16" s="19">
        <v>42</v>
      </c>
      <c r="H16" s="19">
        <v>34</v>
      </c>
      <c r="I16" s="19">
        <v>44</v>
      </c>
      <c r="J16" s="20">
        <f t="shared" ref="J16:J22" si="2">SUM(B16:I16)</f>
        <v>310</v>
      </c>
      <c r="K16" s="30">
        <v>3</v>
      </c>
    </row>
    <row r="17" spans="1:11" ht="18.75" x14ac:dyDescent="0.3">
      <c r="A17" s="17" t="s">
        <v>28</v>
      </c>
      <c r="B17" s="18">
        <v>2</v>
      </c>
      <c r="C17" s="18">
        <v>8</v>
      </c>
      <c r="D17" s="19">
        <v>1</v>
      </c>
      <c r="E17" s="19">
        <v>3</v>
      </c>
      <c r="F17" s="19">
        <v>0</v>
      </c>
      <c r="G17" s="19">
        <v>6</v>
      </c>
      <c r="H17" s="19">
        <v>6</v>
      </c>
      <c r="I17" s="19">
        <v>4</v>
      </c>
      <c r="J17" s="20">
        <f t="shared" si="2"/>
        <v>30</v>
      </c>
      <c r="K17" s="30"/>
    </row>
    <row r="18" spans="1:11" s="22" customFormat="1" ht="18.75" x14ac:dyDescent="0.3">
      <c r="A18" s="17" t="s">
        <v>29</v>
      </c>
      <c r="B18" s="18">
        <v>2</v>
      </c>
      <c r="C18" s="18">
        <v>4</v>
      </c>
      <c r="D18" s="19">
        <v>0</v>
      </c>
      <c r="E18" s="19">
        <v>0</v>
      </c>
      <c r="F18" s="19">
        <v>0</v>
      </c>
      <c r="G18" s="19">
        <v>0</v>
      </c>
      <c r="H18" s="19">
        <v>1</v>
      </c>
      <c r="I18" s="19">
        <v>1</v>
      </c>
      <c r="J18" s="20">
        <f t="shared" si="2"/>
        <v>8</v>
      </c>
      <c r="K18" s="30"/>
    </row>
    <row r="19" spans="1:11" s="23" customFormat="1" ht="18.75" x14ac:dyDescent="0.3">
      <c r="A19" s="17" t="s">
        <v>30</v>
      </c>
      <c r="B19" s="18">
        <v>19</v>
      </c>
      <c r="C19" s="18">
        <v>8</v>
      </c>
      <c r="D19" s="19">
        <v>1</v>
      </c>
      <c r="E19" s="19">
        <v>3</v>
      </c>
      <c r="F19" s="19">
        <v>0</v>
      </c>
      <c r="G19" s="19">
        <v>5</v>
      </c>
      <c r="H19" s="19">
        <v>6</v>
      </c>
      <c r="I19" s="19">
        <v>4</v>
      </c>
      <c r="J19" s="20">
        <f t="shared" si="2"/>
        <v>46</v>
      </c>
      <c r="K19" s="30"/>
    </row>
    <row r="20" spans="1:11" s="24" customFormat="1" ht="18.75" x14ac:dyDescent="0.3">
      <c r="A20" s="17" t="s">
        <v>31</v>
      </c>
      <c r="B20" s="18">
        <v>7</v>
      </c>
      <c r="C20" s="18">
        <v>11</v>
      </c>
      <c r="D20" s="19">
        <v>0</v>
      </c>
      <c r="E20" s="19">
        <v>1</v>
      </c>
      <c r="F20" s="19">
        <v>1</v>
      </c>
      <c r="G20" s="19">
        <v>5</v>
      </c>
      <c r="H20" s="19">
        <v>1</v>
      </c>
      <c r="I20" s="19">
        <v>3</v>
      </c>
      <c r="J20" s="20">
        <f t="shared" si="2"/>
        <v>29</v>
      </c>
      <c r="K20" s="30"/>
    </row>
    <row r="21" spans="1:11" s="11" customFormat="1" ht="18.75" x14ac:dyDescent="0.3">
      <c r="A21" s="17" t="s">
        <v>32</v>
      </c>
      <c r="B21" s="18">
        <v>5</v>
      </c>
      <c r="C21" s="18">
        <v>1</v>
      </c>
      <c r="D21" s="19">
        <v>0</v>
      </c>
      <c r="E21" s="19">
        <v>1</v>
      </c>
      <c r="F21" s="19">
        <v>0</v>
      </c>
      <c r="G21" s="19">
        <v>0</v>
      </c>
      <c r="H21" s="19">
        <v>0</v>
      </c>
      <c r="I21" s="19">
        <v>2</v>
      </c>
      <c r="J21" s="20">
        <f t="shared" si="2"/>
        <v>9</v>
      </c>
      <c r="K21" s="30"/>
    </row>
    <row r="22" spans="1:11" ht="19.5" thickBot="1" x14ac:dyDescent="0.35">
      <c r="A22" s="17" t="s">
        <v>33</v>
      </c>
      <c r="B22" s="25">
        <v>4</v>
      </c>
      <c r="C22" s="25">
        <v>7</v>
      </c>
      <c r="D22" s="26">
        <v>0</v>
      </c>
      <c r="E22" s="26">
        <v>4</v>
      </c>
      <c r="F22" s="26">
        <v>0</v>
      </c>
      <c r="G22" s="26">
        <v>0</v>
      </c>
      <c r="H22" s="26">
        <v>2</v>
      </c>
      <c r="I22" s="26">
        <v>2</v>
      </c>
      <c r="J22" s="27">
        <f t="shared" si="2"/>
        <v>19</v>
      </c>
      <c r="K22" s="33"/>
    </row>
    <row r="23" spans="1:11" ht="16.5" customHeight="1" x14ac:dyDescent="0.25">
      <c r="A23" s="28" t="s">
        <v>7</v>
      </c>
      <c r="B23" s="4">
        <f>SUBTOTAL(109,Table1[BOX 2 &amp; 11])</f>
        <v>398</v>
      </c>
      <c r="C23" s="5">
        <f>SUBTOTAL(109,Table1[BOX 3 &amp; 12])</f>
        <v>404</v>
      </c>
      <c r="D23" s="4">
        <f>SUBTOTAL(109,Table1[BOX 4])</f>
        <v>6</v>
      </c>
      <c r="E23" s="4">
        <f>SUBTOTAL(109,Table1[BOX 5])</f>
        <v>106</v>
      </c>
      <c r="F23" s="4">
        <f>SUBTOTAL(109,Table1[BOX 6])</f>
        <v>16</v>
      </c>
      <c r="G23" s="92">
        <f>SUBTOTAL(109,Table1[BOX 10])</f>
        <v>185</v>
      </c>
      <c r="H23" s="4">
        <f>SUBTOTAL(109,Table1[BOX 1 &amp; 8])</f>
        <v>153</v>
      </c>
      <c r="I23" s="4">
        <f>SUBTOTAL(109,Table1[BOX 7])</f>
        <v>189</v>
      </c>
      <c r="J23" s="6">
        <f>SUBTOTAL(109,Table1[TOTAL])</f>
        <v>1457</v>
      </c>
      <c r="K23" s="107"/>
    </row>
    <row r="24" spans="1:11" ht="16.5" customHeight="1" x14ac:dyDescent="0.25">
      <c r="A24" s="29" t="s">
        <v>1</v>
      </c>
      <c r="B24" s="30">
        <v>2</v>
      </c>
      <c r="C24" s="30">
        <v>2</v>
      </c>
      <c r="D24" s="30">
        <v>0</v>
      </c>
      <c r="E24" s="30">
        <v>0</v>
      </c>
      <c r="F24" s="30">
        <v>0</v>
      </c>
      <c r="G24" s="30">
        <v>4</v>
      </c>
      <c r="H24" s="30">
        <v>0</v>
      </c>
      <c r="I24" s="30">
        <v>0</v>
      </c>
      <c r="J24" s="31">
        <f>SUM(B24:I24)</f>
        <v>8</v>
      </c>
    </row>
    <row r="25" spans="1:11" ht="16.5" customHeight="1" x14ac:dyDescent="0.25">
      <c r="A25" s="32" t="s">
        <v>0</v>
      </c>
      <c r="B25" s="33">
        <v>207</v>
      </c>
      <c r="C25" s="30">
        <v>293</v>
      </c>
      <c r="D25" s="33">
        <v>12</v>
      </c>
      <c r="E25" s="33">
        <v>46</v>
      </c>
      <c r="F25" s="33">
        <v>19</v>
      </c>
      <c r="G25" s="33">
        <v>110</v>
      </c>
      <c r="H25" s="33">
        <v>108</v>
      </c>
      <c r="I25" s="33">
        <v>108</v>
      </c>
      <c r="J25" s="34">
        <f>SUM(B25:I25)</f>
        <v>903</v>
      </c>
      <c r="K25" s="62">
        <v>2</v>
      </c>
    </row>
    <row r="26" spans="1:11" x14ac:dyDescent="0.25">
      <c r="A26" s="7"/>
      <c r="B26" s="7"/>
      <c r="C26" s="7"/>
      <c r="D26" s="7"/>
      <c r="E26" s="7"/>
      <c r="F26" s="7"/>
      <c r="G26" s="7"/>
    </row>
    <row r="27" spans="1:11" x14ac:dyDescent="0.25">
      <c r="A27" s="7"/>
      <c r="B27" s="7"/>
      <c r="C27" s="7"/>
      <c r="D27" s="7"/>
      <c r="E27" s="7"/>
      <c r="F27" s="7"/>
      <c r="G27" s="7"/>
    </row>
    <row r="28" spans="1:11" x14ac:dyDescent="0.25">
      <c r="A28" s="7"/>
      <c r="B28" s="7"/>
      <c r="C28" s="7"/>
      <c r="D28" s="7"/>
      <c r="E28" s="7"/>
      <c r="F28" s="7"/>
      <c r="G28" s="7"/>
    </row>
    <row r="29" spans="1:11" x14ac:dyDescent="0.25">
      <c r="A29" s="7"/>
      <c r="B29" s="7"/>
      <c r="C29" s="7"/>
      <c r="D29" s="7"/>
      <c r="E29" s="7"/>
      <c r="F29" s="7"/>
      <c r="G29" s="7"/>
    </row>
    <row r="30" spans="1:11" x14ac:dyDescent="0.25">
      <c r="A30" s="7"/>
      <c r="B30" s="7"/>
      <c r="C30" s="7"/>
      <c r="D30" s="7"/>
      <c r="E30" s="7"/>
      <c r="F30" s="7"/>
      <c r="G30" s="7"/>
    </row>
    <row r="31" spans="1:11" ht="45.75" customHeight="1" x14ac:dyDescent="0.25">
      <c r="A31" s="35" t="s">
        <v>39</v>
      </c>
      <c r="B31" s="9" t="s">
        <v>8</v>
      </c>
      <c r="C31" s="9" t="s">
        <v>16</v>
      </c>
      <c r="D31" s="36" t="s">
        <v>12</v>
      </c>
      <c r="E31" s="9" t="s">
        <v>10</v>
      </c>
      <c r="F31" s="37" t="s">
        <v>11</v>
      </c>
      <c r="G31" s="9" t="s">
        <v>18</v>
      </c>
      <c r="H31" s="9" t="s">
        <v>9</v>
      </c>
      <c r="I31" s="9" t="s">
        <v>17</v>
      </c>
      <c r="J31" s="11"/>
    </row>
    <row r="32" spans="1:11" ht="15.75" x14ac:dyDescent="0.25">
      <c r="A32" s="12" t="s">
        <v>2</v>
      </c>
      <c r="B32" s="13" t="s">
        <v>34</v>
      </c>
      <c r="C32" s="14" t="s">
        <v>15</v>
      </c>
      <c r="D32" s="15" t="s">
        <v>3</v>
      </c>
      <c r="E32" s="15" t="s">
        <v>4</v>
      </c>
      <c r="F32" s="15" t="s">
        <v>5</v>
      </c>
      <c r="G32" s="15" t="s">
        <v>14</v>
      </c>
      <c r="H32" s="15" t="s">
        <v>35</v>
      </c>
      <c r="I32" s="15" t="s">
        <v>13</v>
      </c>
      <c r="J32" s="16" t="s">
        <v>6</v>
      </c>
      <c r="K32" s="104" t="s">
        <v>154</v>
      </c>
    </row>
    <row r="33" spans="1:11" ht="18.75" x14ac:dyDescent="0.3">
      <c r="A33" s="7" t="s">
        <v>40</v>
      </c>
      <c r="B33" s="18">
        <v>17</v>
      </c>
      <c r="C33" s="18">
        <v>28</v>
      </c>
      <c r="D33" s="19">
        <v>0</v>
      </c>
      <c r="E33" s="19">
        <v>4</v>
      </c>
      <c r="F33" s="19">
        <v>2</v>
      </c>
      <c r="G33" s="19">
        <v>8</v>
      </c>
      <c r="H33" s="19">
        <v>10</v>
      </c>
      <c r="I33" s="19">
        <v>18</v>
      </c>
      <c r="J33" s="20">
        <f t="shared" ref="J33:J39" si="3">SUM(B33:I33)</f>
        <v>87</v>
      </c>
    </row>
    <row r="34" spans="1:11" ht="18.75" x14ac:dyDescent="0.3">
      <c r="A34" s="7" t="s">
        <v>41</v>
      </c>
      <c r="B34" s="18">
        <v>11</v>
      </c>
      <c r="C34" s="18">
        <v>22</v>
      </c>
      <c r="D34" s="19">
        <v>1</v>
      </c>
      <c r="E34" s="19">
        <v>4</v>
      </c>
      <c r="F34" s="19">
        <v>2</v>
      </c>
      <c r="G34" s="19">
        <v>7</v>
      </c>
      <c r="H34" s="19">
        <v>4</v>
      </c>
      <c r="I34" s="19">
        <v>10</v>
      </c>
      <c r="J34" s="20">
        <f t="shared" si="3"/>
        <v>61</v>
      </c>
    </row>
    <row r="35" spans="1:11" ht="18.75" x14ac:dyDescent="0.3">
      <c r="A35" s="7" t="s">
        <v>42</v>
      </c>
      <c r="B35" s="18">
        <v>23</v>
      </c>
      <c r="C35" s="18">
        <v>26</v>
      </c>
      <c r="D35" s="19">
        <v>0</v>
      </c>
      <c r="E35" s="19">
        <v>7</v>
      </c>
      <c r="F35" s="19">
        <v>1</v>
      </c>
      <c r="G35" s="19">
        <v>14</v>
      </c>
      <c r="H35" s="19">
        <v>7</v>
      </c>
      <c r="I35" s="19">
        <v>14</v>
      </c>
      <c r="J35" s="20">
        <f t="shared" si="3"/>
        <v>92</v>
      </c>
    </row>
    <row r="36" spans="1:11" ht="18.75" x14ac:dyDescent="0.3">
      <c r="A36" s="7" t="s">
        <v>43</v>
      </c>
      <c r="B36" s="18">
        <v>17</v>
      </c>
      <c r="C36" s="18">
        <v>12</v>
      </c>
      <c r="D36" s="19">
        <v>1</v>
      </c>
      <c r="E36" s="19">
        <v>5</v>
      </c>
      <c r="F36" s="19">
        <v>1</v>
      </c>
      <c r="G36" s="19">
        <v>10</v>
      </c>
      <c r="H36" s="19">
        <v>5</v>
      </c>
      <c r="I36" s="19">
        <v>5</v>
      </c>
      <c r="J36" s="20">
        <f t="shared" si="3"/>
        <v>56</v>
      </c>
    </row>
    <row r="37" spans="1:11" ht="18.75" x14ac:dyDescent="0.3">
      <c r="A37" s="7" t="s">
        <v>44</v>
      </c>
      <c r="B37" s="18">
        <v>18</v>
      </c>
      <c r="C37" s="18">
        <v>9</v>
      </c>
      <c r="D37" s="19">
        <v>0</v>
      </c>
      <c r="E37" s="19">
        <v>6</v>
      </c>
      <c r="F37" s="19">
        <v>1</v>
      </c>
      <c r="G37" s="19">
        <v>8</v>
      </c>
      <c r="H37" s="19">
        <v>6</v>
      </c>
      <c r="I37" s="19">
        <v>5</v>
      </c>
      <c r="J37" s="20">
        <f t="shared" si="3"/>
        <v>53</v>
      </c>
    </row>
    <row r="38" spans="1:11" ht="18.75" x14ac:dyDescent="0.3">
      <c r="A38" s="7" t="s">
        <v>45</v>
      </c>
      <c r="B38" s="18">
        <v>27</v>
      </c>
      <c r="C38" s="18">
        <v>28</v>
      </c>
      <c r="D38" s="19">
        <v>1</v>
      </c>
      <c r="E38" s="19">
        <v>5</v>
      </c>
      <c r="F38" s="19">
        <v>2</v>
      </c>
      <c r="G38" s="19">
        <v>8</v>
      </c>
      <c r="H38" s="19">
        <v>3</v>
      </c>
      <c r="I38" s="19">
        <v>16</v>
      </c>
      <c r="J38" s="20">
        <f t="shared" si="3"/>
        <v>90</v>
      </c>
    </row>
    <row r="39" spans="1:11" ht="18.75" x14ac:dyDescent="0.3">
      <c r="A39" s="7" t="s">
        <v>46</v>
      </c>
      <c r="B39" s="18">
        <v>91</v>
      </c>
      <c r="C39" s="18">
        <v>67</v>
      </c>
      <c r="D39" s="19">
        <v>0</v>
      </c>
      <c r="E39" s="19">
        <v>22</v>
      </c>
      <c r="F39" s="19">
        <v>2</v>
      </c>
      <c r="G39" s="19">
        <v>46</v>
      </c>
      <c r="H39" s="19">
        <v>39</v>
      </c>
      <c r="I39" s="19">
        <v>30</v>
      </c>
      <c r="J39" s="20">
        <f t="shared" si="3"/>
        <v>297</v>
      </c>
      <c r="K39" s="62">
        <v>1</v>
      </c>
    </row>
    <row r="40" spans="1:11" ht="18.75" x14ac:dyDescent="0.25">
      <c r="A40" s="7" t="s">
        <v>47</v>
      </c>
      <c r="B40" s="2">
        <v>31</v>
      </c>
      <c r="C40" s="2">
        <v>53</v>
      </c>
      <c r="D40" s="19">
        <v>0</v>
      </c>
      <c r="E40" s="19">
        <v>13</v>
      </c>
      <c r="F40" s="19">
        <v>1</v>
      </c>
      <c r="G40" s="19">
        <v>15</v>
      </c>
      <c r="H40" s="19">
        <v>16</v>
      </c>
      <c r="I40" s="19">
        <v>15</v>
      </c>
      <c r="J40" s="20">
        <f t="shared" ref="J40:J42" si="4">SUM(B40:I40)</f>
        <v>144</v>
      </c>
    </row>
    <row r="41" spans="1:11" ht="18.75" x14ac:dyDescent="0.25">
      <c r="A41" s="7" t="s">
        <v>48</v>
      </c>
      <c r="B41" s="2">
        <v>5</v>
      </c>
      <c r="C41" s="2">
        <v>13</v>
      </c>
      <c r="D41" s="19">
        <v>0</v>
      </c>
      <c r="E41" s="19">
        <v>6</v>
      </c>
      <c r="F41" s="19">
        <v>0</v>
      </c>
      <c r="G41" s="19">
        <v>2</v>
      </c>
      <c r="H41" s="19">
        <v>3</v>
      </c>
      <c r="I41" s="19">
        <v>4</v>
      </c>
      <c r="J41" s="20">
        <f t="shared" si="4"/>
        <v>33</v>
      </c>
      <c r="K41" s="62">
        <v>1</v>
      </c>
    </row>
    <row r="42" spans="1:11" ht="18.75" x14ac:dyDescent="0.25">
      <c r="A42" s="7" t="s">
        <v>49</v>
      </c>
      <c r="B42" s="2">
        <v>58</v>
      </c>
      <c r="C42" s="2">
        <v>51</v>
      </c>
      <c r="D42" s="19">
        <v>1</v>
      </c>
      <c r="E42" s="19">
        <v>8</v>
      </c>
      <c r="F42" s="19">
        <v>4</v>
      </c>
      <c r="G42" s="19">
        <v>25</v>
      </c>
      <c r="H42" s="19">
        <v>29</v>
      </c>
      <c r="I42" s="19">
        <v>28</v>
      </c>
      <c r="J42" s="20">
        <f t="shared" si="4"/>
        <v>204</v>
      </c>
      <c r="K42" s="62">
        <v>1</v>
      </c>
    </row>
    <row r="43" spans="1:11" ht="18.75" x14ac:dyDescent="0.3">
      <c r="A43" s="7" t="s">
        <v>50</v>
      </c>
      <c r="B43" s="18">
        <v>12</v>
      </c>
      <c r="C43" s="18">
        <v>19</v>
      </c>
      <c r="D43" s="19">
        <v>1</v>
      </c>
      <c r="E43" s="19">
        <v>1</v>
      </c>
      <c r="F43" s="19">
        <v>0</v>
      </c>
      <c r="G43" s="19">
        <v>6</v>
      </c>
      <c r="H43" s="19">
        <v>7</v>
      </c>
      <c r="I43" s="19">
        <v>9</v>
      </c>
      <c r="J43" s="20">
        <f>SUM(B43:I43)</f>
        <v>55</v>
      </c>
    </row>
    <row r="44" spans="1:11" ht="19.5" thickBot="1" x14ac:dyDescent="0.35">
      <c r="A44" s="7" t="s">
        <v>51</v>
      </c>
      <c r="B44" s="38">
        <v>9</v>
      </c>
      <c r="C44" s="38">
        <v>13</v>
      </c>
      <c r="D44" s="39">
        <v>0</v>
      </c>
      <c r="E44" s="39">
        <v>5</v>
      </c>
      <c r="F44" s="39">
        <v>0</v>
      </c>
      <c r="G44" s="39">
        <v>5</v>
      </c>
      <c r="H44" s="39">
        <v>4</v>
      </c>
      <c r="I44" s="39">
        <v>3</v>
      </c>
      <c r="J44" s="40">
        <f>SUM(B44:I44)</f>
        <v>39</v>
      </c>
    </row>
    <row r="45" spans="1:11" ht="19.5" thickBot="1" x14ac:dyDescent="0.3">
      <c r="A45" s="41" t="s">
        <v>7</v>
      </c>
      <c r="B45" s="42">
        <f>SUBTOTAL(109,Table13[BOX 2 &amp; 11])</f>
        <v>319</v>
      </c>
      <c r="C45" s="43">
        <f>SUBTOTAL(109,Table13[BOX 3 &amp; 12])</f>
        <v>341</v>
      </c>
      <c r="D45" s="43">
        <f>SUBTOTAL(109,Table13[BOX 4])</f>
        <v>5</v>
      </c>
      <c r="E45" s="43">
        <f>SUBTOTAL(109,Table13[BOX 5])</f>
        <v>86</v>
      </c>
      <c r="F45" s="43">
        <f>SUBTOTAL(109,Table13[BOX 6])</f>
        <v>16</v>
      </c>
      <c r="G45" s="93">
        <f>SUBTOTAL(109,Table13[BOX 10])</f>
        <v>154</v>
      </c>
      <c r="H45" s="43">
        <f>SUBTOTAL(109,Table13[BOX 1 &amp; 8])</f>
        <v>133</v>
      </c>
      <c r="I45" s="43">
        <f>SUBTOTAL(109,Table13[BOX 7])</f>
        <v>157</v>
      </c>
      <c r="J45" s="44">
        <f>SUBTOTAL(109,Table13[TOTAL])</f>
        <v>1211</v>
      </c>
    </row>
    <row r="46" spans="1:11" ht="15.75" x14ac:dyDescent="0.25">
      <c r="A46" s="29" t="s">
        <v>1</v>
      </c>
      <c r="B46" s="45">
        <v>1</v>
      </c>
      <c r="C46" s="45">
        <v>0</v>
      </c>
      <c r="D46" s="45">
        <v>0</v>
      </c>
      <c r="E46" s="45">
        <v>0</v>
      </c>
      <c r="F46" s="45">
        <v>0</v>
      </c>
      <c r="G46" s="45">
        <v>2</v>
      </c>
      <c r="H46" s="45">
        <v>3</v>
      </c>
      <c r="I46" s="45">
        <v>0</v>
      </c>
      <c r="J46" s="46">
        <f>SUM(B46:I46)</f>
        <v>6</v>
      </c>
    </row>
    <row r="47" spans="1:11" ht="15.75" x14ac:dyDescent="0.25">
      <c r="A47" s="32" t="s">
        <v>0</v>
      </c>
      <c r="B47" s="33">
        <v>287</v>
      </c>
      <c r="C47" s="30">
        <v>358</v>
      </c>
      <c r="D47" s="33">
        <v>13</v>
      </c>
      <c r="E47" s="33">
        <v>66</v>
      </c>
      <c r="F47" s="33">
        <v>19</v>
      </c>
      <c r="G47" s="33">
        <v>143</v>
      </c>
      <c r="H47" s="33">
        <v>125</v>
      </c>
      <c r="I47" s="33">
        <v>140</v>
      </c>
      <c r="J47" s="34">
        <f>SUM(B47:I47)</f>
        <v>1151</v>
      </c>
      <c r="K47" s="62">
        <v>3</v>
      </c>
    </row>
    <row r="50" spans="1:11" ht="45" x14ac:dyDescent="0.3">
      <c r="A50" s="47" t="s">
        <v>53</v>
      </c>
      <c r="B50" s="9" t="s">
        <v>8</v>
      </c>
      <c r="C50" s="9" t="s">
        <v>16</v>
      </c>
      <c r="D50" s="36" t="s">
        <v>12</v>
      </c>
      <c r="E50" s="9" t="s">
        <v>10</v>
      </c>
      <c r="F50" s="37" t="s">
        <v>11</v>
      </c>
      <c r="G50" s="9" t="s">
        <v>18</v>
      </c>
      <c r="H50" s="9" t="s">
        <v>9</v>
      </c>
      <c r="I50" s="9" t="s">
        <v>17</v>
      </c>
      <c r="J50" s="11"/>
    </row>
    <row r="51" spans="1:11" ht="15.75" x14ac:dyDescent="0.25">
      <c r="A51" s="12" t="s">
        <v>2</v>
      </c>
      <c r="B51" s="13" t="s">
        <v>34</v>
      </c>
      <c r="C51" s="14" t="s">
        <v>15</v>
      </c>
      <c r="D51" s="15" t="s">
        <v>3</v>
      </c>
      <c r="E51" s="15" t="s">
        <v>4</v>
      </c>
      <c r="F51" s="15" t="s">
        <v>5</v>
      </c>
      <c r="G51" s="15" t="s">
        <v>14</v>
      </c>
      <c r="H51" s="15" t="s">
        <v>35</v>
      </c>
      <c r="I51" s="15" t="s">
        <v>13</v>
      </c>
      <c r="J51" s="16" t="s">
        <v>6</v>
      </c>
      <c r="K51" s="104" t="s">
        <v>154</v>
      </c>
    </row>
    <row r="52" spans="1:11" ht="18.75" x14ac:dyDescent="0.3">
      <c r="A52" s="48" t="s">
        <v>54</v>
      </c>
      <c r="B52" s="18">
        <v>49</v>
      </c>
      <c r="C52" s="18">
        <v>42</v>
      </c>
      <c r="D52" s="19">
        <v>1</v>
      </c>
      <c r="E52" s="19">
        <v>15</v>
      </c>
      <c r="F52" s="19">
        <v>2</v>
      </c>
      <c r="G52" s="19">
        <v>18</v>
      </c>
      <c r="H52" s="19">
        <v>18</v>
      </c>
      <c r="I52" s="19">
        <v>21</v>
      </c>
      <c r="J52" s="20">
        <f>SUM(B52:I52)</f>
        <v>166</v>
      </c>
      <c r="K52" s="62">
        <v>1</v>
      </c>
    </row>
    <row r="53" spans="1:11" ht="18.75" x14ac:dyDescent="0.3">
      <c r="A53" s="49" t="s">
        <v>55</v>
      </c>
      <c r="B53" s="18">
        <v>15</v>
      </c>
      <c r="C53" s="18">
        <v>31</v>
      </c>
      <c r="D53" s="19">
        <v>1</v>
      </c>
      <c r="E53" s="19">
        <v>3</v>
      </c>
      <c r="F53" s="19">
        <v>1</v>
      </c>
      <c r="G53" s="19">
        <v>8</v>
      </c>
      <c r="H53" s="19">
        <v>6</v>
      </c>
      <c r="I53" s="19">
        <v>12</v>
      </c>
      <c r="J53" s="20">
        <f>SUM(B53:I53)</f>
        <v>77</v>
      </c>
    </row>
    <row r="54" spans="1:11" ht="18.75" x14ac:dyDescent="0.3">
      <c r="A54" s="49" t="s">
        <v>56</v>
      </c>
      <c r="B54" s="18">
        <v>43</v>
      </c>
      <c r="C54" s="18">
        <v>52</v>
      </c>
      <c r="D54" s="19">
        <v>0</v>
      </c>
      <c r="E54" s="19">
        <v>8</v>
      </c>
      <c r="F54" s="19">
        <v>4</v>
      </c>
      <c r="G54" s="19">
        <v>23</v>
      </c>
      <c r="H54" s="19">
        <v>21</v>
      </c>
      <c r="I54" s="19">
        <v>12</v>
      </c>
      <c r="J54" s="20">
        <f>SUM(B54:I54)</f>
        <v>163</v>
      </c>
    </row>
    <row r="55" spans="1:11" ht="18.75" x14ac:dyDescent="0.3">
      <c r="A55" s="49" t="s">
        <v>57</v>
      </c>
      <c r="B55" s="18">
        <v>222</v>
      </c>
      <c r="C55" s="18">
        <v>221</v>
      </c>
      <c r="D55" s="19">
        <v>7</v>
      </c>
      <c r="E55" s="19">
        <v>57</v>
      </c>
      <c r="F55" s="19">
        <v>10</v>
      </c>
      <c r="G55" s="19">
        <v>95</v>
      </c>
      <c r="H55" s="19">
        <v>94</v>
      </c>
      <c r="I55" s="19">
        <v>113</v>
      </c>
      <c r="J55" s="20">
        <f>SUM(B55:I55)</f>
        <v>819</v>
      </c>
      <c r="K55" s="62">
        <v>2</v>
      </c>
    </row>
    <row r="56" spans="1:11" ht="19.5" thickBot="1" x14ac:dyDescent="0.35">
      <c r="A56" s="49" t="s">
        <v>58</v>
      </c>
      <c r="B56" s="38">
        <v>49</v>
      </c>
      <c r="C56" s="38">
        <v>39</v>
      </c>
      <c r="D56" s="39">
        <v>0</v>
      </c>
      <c r="E56" s="39">
        <v>9</v>
      </c>
      <c r="F56" s="39">
        <v>3</v>
      </c>
      <c r="G56" s="39">
        <v>19</v>
      </c>
      <c r="H56" s="39">
        <v>13</v>
      </c>
      <c r="I56" s="39">
        <v>15</v>
      </c>
      <c r="J56" s="40">
        <f>SUM(B56:I56)</f>
        <v>147</v>
      </c>
    </row>
    <row r="57" spans="1:11" ht="19.5" thickBot="1" x14ac:dyDescent="0.3">
      <c r="A57" s="41" t="s">
        <v>7</v>
      </c>
      <c r="B57" s="42">
        <f>SUBTOTAL(109,Table134[BOX 2 &amp; 11])</f>
        <v>378</v>
      </c>
      <c r="C57" s="43">
        <f>SUBTOTAL(109,Table134[BOX 3 &amp; 12])</f>
        <v>385</v>
      </c>
      <c r="D57" s="43">
        <f>SUBTOTAL(109,Table134[BOX 4])</f>
        <v>9</v>
      </c>
      <c r="E57" s="43">
        <f>SUBTOTAL(109,Table134[BOX 5])</f>
        <v>92</v>
      </c>
      <c r="F57" s="43">
        <f>SUBTOTAL(109,Table134[BOX 6])</f>
        <v>20</v>
      </c>
      <c r="G57" s="93">
        <f>SUBTOTAL(109,Table134[BOX 10])</f>
        <v>163</v>
      </c>
      <c r="H57" s="43">
        <f>SUBTOTAL(109,Table134[BOX 1 &amp; 8])</f>
        <v>152</v>
      </c>
      <c r="I57" s="43">
        <f>SUBTOTAL(109,Table134[BOX 7])</f>
        <v>173</v>
      </c>
      <c r="J57" s="44">
        <f>SUBTOTAL(109,Table134[TOTAL])</f>
        <v>1372</v>
      </c>
    </row>
    <row r="58" spans="1:11" ht="15.75" x14ac:dyDescent="0.25">
      <c r="A58" s="29" t="s">
        <v>1</v>
      </c>
      <c r="B58" s="45">
        <v>1</v>
      </c>
      <c r="C58" s="45">
        <v>0</v>
      </c>
      <c r="D58" s="45">
        <v>0</v>
      </c>
      <c r="E58" s="45">
        <v>0</v>
      </c>
      <c r="F58" s="45">
        <v>0</v>
      </c>
      <c r="G58" s="45">
        <v>1</v>
      </c>
      <c r="H58" s="45">
        <v>0</v>
      </c>
      <c r="I58" s="45">
        <v>0</v>
      </c>
      <c r="J58" s="46">
        <f>SUM(B58:I58)</f>
        <v>2</v>
      </c>
    </row>
    <row r="59" spans="1:11" ht="15.75" x14ac:dyDescent="0.25">
      <c r="A59" s="32" t="s">
        <v>0</v>
      </c>
      <c r="B59" s="33">
        <v>228</v>
      </c>
      <c r="C59" s="30">
        <v>314</v>
      </c>
      <c r="D59" s="33">
        <v>9</v>
      </c>
      <c r="E59" s="33">
        <v>60</v>
      </c>
      <c r="F59" s="33">
        <v>15</v>
      </c>
      <c r="G59" s="33">
        <v>135</v>
      </c>
      <c r="H59" s="33">
        <v>109</v>
      </c>
      <c r="I59" s="33">
        <v>124</v>
      </c>
      <c r="J59" s="34">
        <f>SUM(B59:I59)</f>
        <v>994</v>
      </c>
      <c r="K59" s="62">
        <v>3</v>
      </c>
    </row>
    <row r="64" spans="1:11" ht="45" x14ac:dyDescent="0.3">
      <c r="A64" s="47" t="s">
        <v>59</v>
      </c>
      <c r="B64" s="9" t="s">
        <v>8</v>
      </c>
      <c r="C64" s="9" t="s">
        <v>16</v>
      </c>
      <c r="D64" s="36" t="s">
        <v>12</v>
      </c>
      <c r="E64" s="9" t="s">
        <v>10</v>
      </c>
      <c r="F64" s="37" t="s">
        <v>11</v>
      </c>
      <c r="G64" s="9" t="s">
        <v>18</v>
      </c>
      <c r="H64" s="9" t="s">
        <v>9</v>
      </c>
      <c r="I64" s="9" t="s">
        <v>17</v>
      </c>
      <c r="J64" s="11"/>
    </row>
    <row r="65" spans="1:11" ht="15.75" x14ac:dyDescent="0.25">
      <c r="A65" s="12" t="s">
        <v>2</v>
      </c>
      <c r="B65" s="13" t="s">
        <v>34</v>
      </c>
      <c r="C65" s="14" t="s">
        <v>15</v>
      </c>
      <c r="D65" s="15" t="s">
        <v>3</v>
      </c>
      <c r="E65" s="15" t="s">
        <v>4</v>
      </c>
      <c r="F65" s="15" t="s">
        <v>5</v>
      </c>
      <c r="G65" s="15" t="s">
        <v>14</v>
      </c>
      <c r="H65" s="15" t="s">
        <v>35</v>
      </c>
      <c r="I65" s="15" t="s">
        <v>13</v>
      </c>
      <c r="J65" s="16" t="s">
        <v>6</v>
      </c>
      <c r="K65" s="104" t="s">
        <v>154</v>
      </c>
    </row>
    <row r="66" spans="1:11" ht="18.75" x14ac:dyDescent="0.3">
      <c r="A66" s="49" t="s">
        <v>60</v>
      </c>
      <c r="B66" s="18">
        <v>39</v>
      </c>
      <c r="C66" s="18">
        <v>48</v>
      </c>
      <c r="D66" s="19">
        <v>2</v>
      </c>
      <c r="E66" s="19">
        <v>13</v>
      </c>
      <c r="F66" s="19">
        <v>2</v>
      </c>
      <c r="G66" s="19">
        <v>16</v>
      </c>
      <c r="H66" s="19">
        <v>14</v>
      </c>
      <c r="I66" s="19">
        <v>25</v>
      </c>
      <c r="J66" s="20">
        <f>SUM(B66:I66)</f>
        <v>159</v>
      </c>
      <c r="K66" s="103">
        <v>1</v>
      </c>
    </row>
    <row r="67" spans="1:11" ht="18.75" x14ac:dyDescent="0.3">
      <c r="A67" s="49" t="s">
        <v>61</v>
      </c>
      <c r="B67" s="18">
        <v>172</v>
      </c>
      <c r="C67" s="18">
        <v>165</v>
      </c>
      <c r="D67" s="19">
        <v>3</v>
      </c>
      <c r="E67" s="19">
        <v>43</v>
      </c>
      <c r="F67" s="19">
        <v>8</v>
      </c>
      <c r="G67" s="19">
        <v>69</v>
      </c>
      <c r="H67" s="19">
        <v>65</v>
      </c>
      <c r="I67" s="19">
        <v>75</v>
      </c>
      <c r="J67" s="20">
        <f>SUM(B67:I67)</f>
        <v>600</v>
      </c>
      <c r="K67" s="2"/>
    </row>
    <row r="68" spans="1:11" ht="18.75" x14ac:dyDescent="0.3">
      <c r="A68" s="49" t="s">
        <v>62</v>
      </c>
      <c r="B68" s="18">
        <v>42</v>
      </c>
      <c r="C68" s="18">
        <v>56</v>
      </c>
      <c r="D68" s="19">
        <v>3</v>
      </c>
      <c r="E68" s="19">
        <v>9</v>
      </c>
      <c r="F68" s="19">
        <v>5</v>
      </c>
      <c r="G68" s="19">
        <v>20</v>
      </c>
      <c r="H68" s="19">
        <v>23</v>
      </c>
      <c r="I68" s="19">
        <v>23</v>
      </c>
      <c r="J68" s="20">
        <f>SUM(B68:I68)</f>
        <v>181</v>
      </c>
      <c r="K68" s="2">
        <v>1</v>
      </c>
    </row>
    <row r="69" spans="1:11" ht="19.5" thickBot="1" x14ac:dyDescent="0.35">
      <c r="A69" s="49" t="s">
        <v>63</v>
      </c>
      <c r="B69" s="38">
        <v>97</v>
      </c>
      <c r="C69" s="38">
        <v>87</v>
      </c>
      <c r="D69" s="39">
        <v>2</v>
      </c>
      <c r="E69" s="39">
        <v>25</v>
      </c>
      <c r="F69" s="39">
        <v>3</v>
      </c>
      <c r="G69" s="39">
        <v>46</v>
      </c>
      <c r="H69" s="39">
        <v>42</v>
      </c>
      <c r="I69" s="39">
        <v>41</v>
      </c>
      <c r="J69" s="40">
        <f>SUM(B69:I69)</f>
        <v>343</v>
      </c>
      <c r="K69" s="1">
        <v>1</v>
      </c>
    </row>
    <row r="70" spans="1:11" ht="19.5" thickBot="1" x14ac:dyDescent="0.3">
      <c r="A70" s="41" t="s">
        <v>7</v>
      </c>
      <c r="B70" s="42">
        <f>SUBTOTAL(109,Table1345[BOX 2 &amp; 11])</f>
        <v>350</v>
      </c>
      <c r="C70" s="43">
        <f>SUBTOTAL(109,Table1345[BOX 3 &amp; 12])</f>
        <v>356</v>
      </c>
      <c r="D70" s="43">
        <f>SUBTOTAL(109,Table1345[BOX 4])</f>
        <v>10</v>
      </c>
      <c r="E70" s="43">
        <f>SUBTOTAL(109,Table1345[BOX 5])</f>
        <v>90</v>
      </c>
      <c r="F70" s="43">
        <f>SUBTOTAL(109,Table1345[BOX 6])</f>
        <v>18</v>
      </c>
      <c r="G70" s="93">
        <f>SUBTOTAL(109,Table1345[BOX 10])</f>
        <v>151</v>
      </c>
      <c r="H70" s="43">
        <f>SUBTOTAL(109,Table1345[BOX 1 &amp; 8])</f>
        <v>144</v>
      </c>
      <c r="I70" s="43">
        <f>SUBTOTAL(109,Table1345[BOX 7])</f>
        <v>164</v>
      </c>
      <c r="J70" s="44">
        <f>SUBTOTAL(109,Table1345[TOTAL])</f>
        <v>1283</v>
      </c>
      <c r="K70" s="105"/>
    </row>
    <row r="71" spans="1:11" ht="15.75" x14ac:dyDescent="0.25">
      <c r="A71" s="29" t="s">
        <v>1</v>
      </c>
      <c r="B71" s="45">
        <v>0</v>
      </c>
      <c r="C71" s="45">
        <v>0</v>
      </c>
      <c r="D71" s="45">
        <v>0</v>
      </c>
      <c r="E71" s="45">
        <v>0</v>
      </c>
      <c r="F71" s="45">
        <v>0</v>
      </c>
      <c r="G71" s="45">
        <v>2</v>
      </c>
      <c r="H71" s="45">
        <v>0</v>
      </c>
      <c r="I71" s="45">
        <v>0</v>
      </c>
      <c r="J71" s="46">
        <f>SUM(B71:I71)</f>
        <v>2</v>
      </c>
    </row>
    <row r="72" spans="1:11" ht="15.75" x14ac:dyDescent="0.25">
      <c r="A72" s="32" t="s">
        <v>0</v>
      </c>
      <c r="B72" s="33">
        <v>257</v>
      </c>
      <c r="C72" s="30">
        <v>343</v>
      </c>
      <c r="D72" s="33">
        <v>8</v>
      </c>
      <c r="E72" s="33">
        <v>62</v>
      </c>
      <c r="F72" s="33">
        <v>17</v>
      </c>
      <c r="G72" s="33">
        <v>146</v>
      </c>
      <c r="H72" s="33">
        <v>117</v>
      </c>
      <c r="I72" s="33">
        <v>133</v>
      </c>
      <c r="J72" s="34">
        <f>SUM(B72:I72)</f>
        <v>1083</v>
      </c>
      <c r="K72" s="62">
        <v>3</v>
      </c>
    </row>
    <row r="74" spans="1:11" ht="9.75" customHeight="1" x14ac:dyDescent="0.25"/>
    <row r="75" spans="1:11" ht="39.75" customHeight="1" x14ac:dyDescent="0.25">
      <c r="A75" s="51" t="s">
        <v>64</v>
      </c>
      <c r="B75" s="9" t="s">
        <v>8</v>
      </c>
      <c r="C75" s="9" t="s">
        <v>16</v>
      </c>
      <c r="D75" s="36" t="s">
        <v>12</v>
      </c>
      <c r="E75" s="9" t="s">
        <v>10</v>
      </c>
      <c r="F75" s="37" t="s">
        <v>11</v>
      </c>
      <c r="G75" s="9" t="s">
        <v>18</v>
      </c>
      <c r="H75" s="9" t="s">
        <v>9</v>
      </c>
      <c r="I75" s="9" t="s">
        <v>17</v>
      </c>
      <c r="J75" s="11"/>
    </row>
    <row r="76" spans="1:11" ht="21" customHeight="1" x14ac:dyDescent="0.25">
      <c r="A76" s="12" t="s">
        <v>2</v>
      </c>
      <c r="B76" s="13" t="s">
        <v>34</v>
      </c>
      <c r="C76" s="14" t="s">
        <v>15</v>
      </c>
      <c r="D76" s="15" t="s">
        <v>3</v>
      </c>
      <c r="E76" s="15" t="s">
        <v>4</v>
      </c>
      <c r="F76" s="15" t="s">
        <v>5</v>
      </c>
      <c r="G76" s="15" t="s">
        <v>14</v>
      </c>
      <c r="H76" s="15" t="s">
        <v>35</v>
      </c>
      <c r="I76" s="15" t="s">
        <v>13</v>
      </c>
      <c r="J76" s="16" t="s">
        <v>6</v>
      </c>
      <c r="K76" s="104" t="s">
        <v>154</v>
      </c>
    </row>
    <row r="77" spans="1:11" ht="15" customHeight="1" x14ac:dyDescent="0.3">
      <c r="A77" s="49" t="s">
        <v>65</v>
      </c>
      <c r="B77" s="18">
        <v>113</v>
      </c>
      <c r="C77" s="18">
        <v>126</v>
      </c>
      <c r="D77" s="19">
        <v>2</v>
      </c>
      <c r="E77" s="19">
        <v>34</v>
      </c>
      <c r="F77" s="19">
        <v>7</v>
      </c>
      <c r="G77" s="19">
        <v>57</v>
      </c>
      <c r="H77" s="19">
        <v>66</v>
      </c>
      <c r="I77" s="19">
        <v>63</v>
      </c>
      <c r="J77" s="20">
        <f>SUM(B77:I77)</f>
        <v>468</v>
      </c>
      <c r="K77" s="103"/>
    </row>
    <row r="78" spans="1:11" ht="19.5" thickBot="1" x14ac:dyDescent="0.35">
      <c r="A78" s="7" t="s">
        <v>66</v>
      </c>
      <c r="B78" s="38">
        <v>200</v>
      </c>
      <c r="C78" s="38">
        <v>199</v>
      </c>
      <c r="D78" s="39">
        <v>4</v>
      </c>
      <c r="E78" s="39">
        <v>46</v>
      </c>
      <c r="F78" s="39">
        <v>9</v>
      </c>
      <c r="G78" s="39">
        <v>80</v>
      </c>
      <c r="H78" s="39">
        <v>65</v>
      </c>
      <c r="I78" s="39">
        <v>79</v>
      </c>
      <c r="J78" s="40">
        <f>SUM(B78:I78)</f>
        <v>682</v>
      </c>
      <c r="K78" s="1">
        <v>3</v>
      </c>
    </row>
    <row r="79" spans="1:11" ht="19.5" thickBot="1" x14ac:dyDescent="0.3">
      <c r="A79" s="41" t="s">
        <v>7</v>
      </c>
      <c r="B79" s="42">
        <f>SUBTOTAL(109,Table13457[BOX 2 &amp; 11])</f>
        <v>313</v>
      </c>
      <c r="C79" s="43">
        <f>SUBTOTAL(109,Table13457[BOX 3 &amp; 12])</f>
        <v>325</v>
      </c>
      <c r="D79" s="43">
        <f>SUBTOTAL(109,Table13457[BOX 4])</f>
        <v>6</v>
      </c>
      <c r="E79" s="43" t="s">
        <v>153</v>
      </c>
      <c r="F79" s="43">
        <f>SUBTOTAL(109,Table13457[BOX 6])</f>
        <v>16</v>
      </c>
      <c r="G79" s="93">
        <f>SUBTOTAL(109,Table13457[BOX 10])</f>
        <v>137</v>
      </c>
      <c r="H79" s="43">
        <f>SUBTOTAL(109,Table13457[BOX 1 &amp; 8])</f>
        <v>131</v>
      </c>
      <c r="I79" s="43">
        <f>SUBTOTAL(109,Table13457[BOX 7])</f>
        <v>142</v>
      </c>
      <c r="J79" s="44">
        <f>SUBTOTAL(109,Table13457[TOTAL])</f>
        <v>1150</v>
      </c>
      <c r="K79" s="105"/>
    </row>
    <row r="80" spans="1:11" ht="15.75" x14ac:dyDescent="0.25">
      <c r="A80" s="29" t="s">
        <v>1</v>
      </c>
      <c r="B80" s="45">
        <v>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6">
        <f>SUM(B80:I80)</f>
        <v>0</v>
      </c>
    </row>
    <row r="81" spans="1:11" ht="15.75" x14ac:dyDescent="0.25">
      <c r="A81" s="32" t="s">
        <v>0</v>
      </c>
      <c r="B81" s="30">
        <v>294</v>
      </c>
      <c r="C81" s="30">
        <v>374</v>
      </c>
      <c r="D81" s="30">
        <v>12</v>
      </c>
      <c r="E81" s="33">
        <v>72</v>
      </c>
      <c r="F81" s="33">
        <v>19</v>
      </c>
      <c r="G81" s="33">
        <v>162</v>
      </c>
      <c r="H81" s="33">
        <v>130</v>
      </c>
      <c r="I81" s="33">
        <v>155</v>
      </c>
      <c r="J81" s="34">
        <f>SUM(B81:I81)</f>
        <v>1218</v>
      </c>
      <c r="K81" s="62">
        <v>3</v>
      </c>
    </row>
    <row r="82" spans="1:11" ht="2.25" hidden="1" customHeight="1" x14ac:dyDescent="0.25"/>
    <row r="83" spans="1:11" ht="19.5" customHeight="1" x14ac:dyDescent="0.25"/>
    <row r="84" spans="1:11" ht="57.75" customHeight="1" x14ac:dyDescent="0.25">
      <c r="A84" s="52" t="s">
        <v>70</v>
      </c>
      <c r="B84" s="9" t="s">
        <v>8</v>
      </c>
      <c r="C84" s="9" t="s">
        <v>16</v>
      </c>
      <c r="D84" s="36" t="s">
        <v>12</v>
      </c>
      <c r="E84" s="9" t="s">
        <v>10</v>
      </c>
      <c r="F84" s="37" t="s">
        <v>11</v>
      </c>
      <c r="G84" s="9" t="s">
        <v>18</v>
      </c>
      <c r="H84" s="9" t="s">
        <v>9</v>
      </c>
      <c r="I84" s="9" t="s">
        <v>17</v>
      </c>
      <c r="J84" s="11"/>
    </row>
    <row r="85" spans="1:11" ht="23.25" customHeight="1" x14ac:dyDescent="0.25">
      <c r="A85" s="12" t="s">
        <v>2</v>
      </c>
      <c r="B85" s="13" t="s">
        <v>34</v>
      </c>
      <c r="C85" s="14" t="s">
        <v>15</v>
      </c>
      <c r="D85" s="15" t="s">
        <v>3</v>
      </c>
      <c r="E85" s="15" t="s">
        <v>4</v>
      </c>
      <c r="F85" s="15" t="s">
        <v>5</v>
      </c>
      <c r="G85" s="15" t="s">
        <v>14</v>
      </c>
      <c r="H85" s="15" t="s">
        <v>35</v>
      </c>
      <c r="I85" s="15" t="s">
        <v>13</v>
      </c>
      <c r="J85" s="16" t="s">
        <v>6</v>
      </c>
      <c r="K85" s="104" t="s">
        <v>154</v>
      </c>
    </row>
    <row r="86" spans="1:11" ht="15.75" customHeight="1" x14ac:dyDescent="0.3">
      <c r="A86" s="49" t="s">
        <v>67</v>
      </c>
      <c r="B86" s="18">
        <v>126</v>
      </c>
      <c r="C86" s="18">
        <v>133</v>
      </c>
      <c r="D86" s="19">
        <v>3</v>
      </c>
      <c r="E86" s="19">
        <v>40</v>
      </c>
      <c r="F86" s="19">
        <v>6</v>
      </c>
      <c r="G86" s="19">
        <v>53</v>
      </c>
      <c r="H86" s="19">
        <v>57</v>
      </c>
      <c r="I86" s="19">
        <v>60</v>
      </c>
      <c r="J86" s="20">
        <f>SUM(B86:I86)</f>
        <v>478</v>
      </c>
      <c r="K86" s="103">
        <v>1</v>
      </c>
    </row>
    <row r="87" spans="1:11" ht="23.25" customHeight="1" thickBot="1" x14ac:dyDescent="0.35">
      <c r="A87" s="49" t="s">
        <v>68</v>
      </c>
      <c r="B87" s="38">
        <v>178</v>
      </c>
      <c r="C87" s="38">
        <v>185</v>
      </c>
      <c r="D87" s="39">
        <v>4</v>
      </c>
      <c r="E87" s="39">
        <v>39</v>
      </c>
      <c r="F87" s="39">
        <v>9</v>
      </c>
      <c r="G87" s="39">
        <v>83</v>
      </c>
      <c r="H87" s="39">
        <v>60</v>
      </c>
      <c r="I87" s="39">
        <v>82</v>
      </c>
      <c r="J87" s="40">
        <f>SUM(B87:I87)</f>
        <v>640</v>
      </c>
      <c r="K87" s="1">
        <v>2</v>
      </c>
    </row>
    <row r="88" spans="1:11" ht="19.5" thickBot="1" x14ac:dyDescent="0.3">
      <c r="A88" s="41" t="s">
        <v>7</v>
      </c>
      <c r="B88" s="42">
        <f>SUBTOTAL(109,Table134578[BOX 2 &amp; 11])</f>
        <v>304</v>
      </c>
      <c r="C88" s="43">
        <f>SUBTOTAL(109,Table134578[BOX 3 &amp; 12])</f>
        <v>318</v>
      </c>
      <c r="D88" s="43">
        <f>SUBTOTAL(109,Table134578[BOX 4])</f>
        <v>7</v>
      </c>
      <c r="E88" s="43">
        <f>SUBTOTAL(109,Table134578[BOX 5])</f>
        <v>79</v>
      </c>
      <c r="F88" s="43">
        <f>SUBTOTAL(109,Table134578[BOX 6])</f>
        <v>15</v>
      </c>
      <c r="G88" s="93">
        <f>SUBTOTAL(109,Table134578[BOX 10])</f>
        <v>136</v>
      </c>
      <c r="H88" s="43">
        <f>SUBTOTAL(109,Table134578[BOX 1 &amp; 8])</f>
        <v>117</v>
      </c>
      <c r="I88" s="43">
        <f>SUBTOTAL(109,Table134578[BOX 7])</f>
        <v>142</v>
      </c>
      <c r="J88" s="44">
        <f>SUBTOTAL(109,Table134578[TOTAL])</f>
        <v>1118</v>
      </c>
      <c r="K88" s="105"/>
    </row>
    <row r="89" spans="1:11" ht="15.75" x14ac:dyDescent="0.25">
      <c r="A89" s="29" t="s">
        <v>1</v>
      </c>
      <c r="B89" s="45">
        <v>0</v>
      </c>
      <c r="C89" s="45">
        <v>0</v>
      </c>
      <c r="D89" s="45">
        <v>0</v>
      </c>
      <c r="E89" s="45">
        <v>0</v>
      </c>
      <c r="F89" s="45">
        <v>0</v>
      </c>
      <c r="G89" s="45">
        <v>0</v>
      </c>
      <c r="H89" s="45">
        <v>0</v>
      </c>
      <c r="I89" s="45">
        <v>0</v>
      </c>
      <c r="J89" s="46">
        <f>SUM(B89:I89)</f>
        <v>0</v>
      </c>
    </row>
    <row r="90" spans="1:11" ht="20.25" customHeight="1" x14ac:dyDescent="0.25">
      <c r="A90" s="32" t="s">
        <v>0</v>
      </c>
      <c r="B90" s="30">
        <v>303</v>
      </c>
      <c r="C90" s="30">
        <v>381</v>
      </c>
      <c r="D90" s="30">
        <v>11</v>
      </c>
      <c r="E90" s="33">
        <v>73</v>
      </c>
      <c r="F90" s="33">
        <v>20</v>
      </c>
      <c r="G90" s="33">
        <v>163</v>
      </c>
      <c r="H90" s="33">
        <v>144</v>
      </c>
      <c r="I90" s="33">
        <v>155</v>
      </c>
      <c r="J90" s="34">
        <f>SUM(B90:I90)</f>
        <v>1250</v>
      </c>
      <c r="K90" s="62">
        <v>3</v>
      </c>
    </row>
    <row r="92" spans="1:11" ht="26.25" customHeight="1" x14ac:dyDescent="0.25"/>
    <row r="94" spans="1:11" x14ac:dyDescent="0.25">
      <c r="A94" s="7"/>
      <c r="B94" s="7"/>
      <c r="C94" s="7"/>
      <c r="D94" s="7"/>
      <c r="E94" s="7"/>
      <c r="F94" s="7"/>
      <c r="G94" s="7"/>
    </row>
    <row r="95" spans="1:11" x14ac:dyDescent="0.25">
      <c r="A95" s="7"/>
      <c r="B95" s="7"/>
      <c r="C95" s="7"/>
      <c r="D95" s="7"/>
      <c r="E95" s="7"/>
      <c r="F95" s="7"/>
      <c r="G95" s="7"/>
    </row>
    <row r="96" spans="1:11" ht="45" x14ac:dyDescent="0.25">
      <c r="A96" s="52" t="s">
        <v>69</v>
      </c>
      <c r="B96" s="9" t="s">
        <v>8</v>
      </c>
      <c r="C96" s="9" t="s">
        <v>16</v>
      </c>
      <c r="D96" s="36" t="s">
        <v>12</v>
      </c>
      <c r="E96" s="9" t="s">
        <v>10</v>
      </c>
      <c r="F96" s="37" t="s">
        <v>11</v>
      </c>
      <c r="G96" s="9" t="s">
        <v>18</v>
      </c>
      <c r="H96" s="9" t="s">
        <v>9</v>
      </c>
      <c r="I96" s="9" t="s">
        <v>17</v>
      </c>
      <c r="J96" s="11"/>
    </row>
    <row r="97" spans="1:11" ht="15.75" x14ac:dyDescent="0.25">
      <c r="A97" s="12" t="s">
        <v>2</v>
      </c>
      <c r="B97" s="13" t="s">
        <v>34</v>
      </c>
      <c r="C97" s="14" t="s">
        <v>15</v>
      </c>
      <c r="D97" s="15" t="s">
        <v>3</v>
      </c>
      <c r="E97" s="15" t="s">
        <v>4</v>
      </c>
      <c r="F97" s="15" t="s">
        <v>5</v>
      </c>
      <c r="G97" s="15" t="s">
        <v>14</v>
      </c>
      <c r="H97" s="15" t="s">
        <v>35</v>
      </c>
      <c r="I97" s="15" t="s">
        <v>13</v>
      </c>
      <c r="J97" s="16" t="s">
        <v>6</v>
      </c>
      <c r="K97" s="108" t="s">
        <v>154</v>
      </c>
    </row>
    <row r="98" spans="1:11" ht="18.75" x14ac:dyDescent="0.3">
      <c r="A98" s="49" t="s">
        <v>72</v>
      </c>
      <c r="B98" s="18">
        <v>193</v>
      </c>
      <c r="C98" s="2">
        <v>198</v>
      </c>
      <c r="D98" s="19">
        <v>6</v>
      </c>
      <c r="E98" s="19">
        <v>50</v>
      </c>
      <c r="F98" s="19">
        <v>12</v>
      </c>
      <c r="G98" s="19">
        <v>82</v>
      </c>
      <c r="H98" s="19">
        <v>84</v>
      </c>
      <c r="I98" s="19">
        <v>86</v>
      </c>
      <c r="J98" s="20">
        <f>SUM(B98:I98)</f>
        <v>711</v>
      </c>
      <c r="K98" s="62">
        <v>3</v>
      </c>
    </row>
    <row r="99" spans="1:11" ht="19.5" thickBot="1" x14ac:dyDescent="0.35">
      <c r="A99" s="49" t="s">
        <v>73</v>
      </c>
      <c r="B99" s="38">
        <v>116</v>
      </c>
      <c r="C99" s="1">
        <v>115</v>
      </c>
      <c r="D99" s="39">
        <v>0</v>
      </c>
      <c r="E99" s="39">
        <v>26</v>
      </c>
      <c r="F99" s="39">
        <v>3</v>
      </c>
      <c r="G99" s="39">
        <v>50</v>
      </c>
      <c r="H99" s="39">
        <v>38</v>
      </c>
      <c r="I99" s="39">
        <v>56</v>
      </c>
      <c r="J99" s="40">
        <f>SUM(B99:I99)</f>
        <v>404</v>
      </c>
    </row>
    <row r="100" spans="1:11" ht="19.5" thickBot="1" x14ac:dyDescent="0.3">
      <c r="A100" s="41" t="s">
        <v>7</v>
      </c>
      <c r="B100" s="42">
        <f>SUBTOTAL(109,Table134579[BOX 2 &amp; 11])</f>
        <v>309</v>
      </c>
      <c r="C100" s="43">
        <f>SUBTOTAL(109,Table134579[BOX 3 &amp; 12])</f>
        <v>313</v>
      </c>
      <c r="D100" s="43">
        <f>SUBTOTAL(109,Table134579[BOX 4])</f>
        <v>6</v>
      </c>
      <c r="E100" s="43">
        <f>SUBTOTAL(109,Table134579[BOX 5])</f>
        <v>76</v>
      </c>
      <c r="F100" s="43">
        <f>SUBTOTAL(109,Table134579[BOX 6])</f>
        <v>15</v>
      </c>
      <c r="G100" s="93">
        <f>SUBTOTAL(109,Table134579[BOX 10])</f>
        <v>132</v>
      </c>
      <c r="H100" s="43">
        <f>SUBTOTAL(109,Table134579[BOX 1 &amp; 8])</f>
        <v>122</v>
      </c>
      <c r="I100" s="43">
        <f>SUBTOTAL(109,Table134579[BOX 7])</f>
        <v>142</v>
      </c>
      <c r="J100" s="44">
        <f>SUBTOTAL(109,Table134579[TOTAL])</f>
        <v>1115</v>
      </c>
    </row>
    <row r="101" spans="1:11" ht="15.75" x14ac:dyDescent="0.25">
      <c r="A101" s="29" t="s">
        <v>1</v>
      </c>
      <c r="B101" s="45">
        <v>0</v>
      </c>
      <c r="C101" s="45">
        <v>0</v>
      </c>
      <c r="D101" s="45">
        <v>0</v>
      </c>
      <c r="E101" s="45">
        <v>0</v>
      </c>
      <c r="F101" s="45">
        <v>0</v>
      </c>
      <c r="G101" s="45">
        <v>0</v>
      </c>
      <c r="H101" s="45">
        <v>0</v>
      </c>
      <c r="I101" s="45">
        <v>0</v>
      </c>
      <c r="J101" s="46">
        <f>SUM(B101:I101)</f>
        <v>0</v>
      </c>
    </row>
    <row r="102" spans="1:11" ht="15.75" x14ac:dyDescent="0.25">
      <c r="A102" s="32" t="s">
        <v>0</v>
      </c>
      <c r="B102" s="30">
        <v>298</v>
      </c>
      <c r="C102" s="30">
        <v>386</v>
      </c>
      <c r="D102" s="30">
        <v>12</v>
      </c>
      <c r="E102" s="33">
        <v>76</v>
      </c>
      <c r="F102" s="33">
        <v>20</v>
      </c>
      <c r="G102" s="33">
        <v>167</v>
      </c>
      <c r="H102" s="33">
        <v>139</v>
      </c>
      <c r="I102" s="33">
        <v>155</v>
      </c>
      <c r="J102" s="34">
        <f>SUM(B102:I102)</f>
        <v>1253</v>
      </c>
      <c r="K102" s="62">
        <v>3</v>
      </c>
    </row>
    <row r="103" spans="1:11" x14ac:dyDescent="0.25">
      <c r="A103" s="7"/>
      <c r="B103" s="7"/>
      <c r="C103" s="7"/>
      <c r="D103" s="7"/>
      <c r="E103" s="7"/>
      <c r="F103" s="7"/>
      <c r="G103" s="7"/>
    </row>
    <row r="104" spans="1:11" x14ac:dyDescent="0.25">
      <c r="A104" s="7"/>
      <c r="B104" s="7"/>
      <c r="C104" s="7"/>
      <c r="D104" s="7"/>
      <c r="E104" s="7"/>
      <c r="F104" s="7"/>
      <c r="G104" s="7"/>
    </row>
    <row r="105" spans="1:11" x14ac:dyDescent="0.25">
      <c r="A105" s="7"/>
      <c r="B105" s="7"/>
      <c r="C105" s="7"/>
      <c r="D105" s="7"/>
      <c r="E105" s="7"/>
      <c r="F105" s="7"/>
      <c r="G105" s="7"/>
    </row>
    <row r="106" spans="1:11" ht="45" x14ac:dyDescent="0.25">
      <c r="A106" s="53" t="s">
        <v>71</v>
      </c>
      <c r="B106" s="9" t="s">
        <v>8</v>
      </c>
      <c r="C106" s="9" t="s">
        <v>16</v>
      </c>
      <c r="D106" s="36" t="s">
        <v>12</v>
      </c>
      <c r="E106" s="9" t="s">
        <v>10</v>
      </c>
      <c r="F106" s="37" t="s">
        <v>11</v>
      </c>
      <c r="G106" s="9" t="s">
        <v>18</v>
      </c>
      <c r="H106" s="9" t="s">
        <v>9</v>
      </c>
      <c r="I106" s="9" t="s">
        <v>17</v>
      </c>
      <c r="J106" s="11"/>
    </row>
    <row r="107" spans="1:11" ht="15.75" x14ac:dyDescent="0.25">
      <c r="A107" s="12" t="s">
        <v>2</v>
      </c>
      <c r="B107" s="13" t="s">
        <v>34</v>
      </c>
      <c r="C107" s="14" t="s">
        <v>15</v>
      </c>
      <c r="D107" s="15" t="s">
        <v>3</v>
      </c>
      <c r="E107" s="15" t="s">
        <v>4</v>
      </c>
      <c r="F107" s="15" t="s">
        <v>5</v>
      </c>
      <c r="G107" s="15" t="s">
        <v>14</v>
      </c>
      <c r="H107" s="15" t="s">
        <v>35</v>
      </c>
      <c r="I107" s="15" t="s">
        <v>13</v>
      </c>
      <c r="J107" s="16" t="s">
        <v>6</v>
      </c>
      <c r="K107" s="108" t="s">
        <v>154</v>
      </c>
    </row>
    <row r="108" spans="1:11" ht="18.75" x14ac:dyDescent="0.3">
      <c r="A108" s="49" t="s">
        <v>74</v>
      </c>
      <c r="B108" s="18">
        <v>225</v>
      </c>
      <c r="C108" s="18">
        <v>215</v>
      </c>
      <c r="D108" s="19">
        <v>4</v>
      </c>
      <c r="E108" s="19">
        <v>57</v>
      </c>
      <c r="F108" s="19">
        <v>9</v>
      </c>
      <c r="G108" s="19">
        <v>97</v>
      </c>
      <c r="H108" s="19">
        <v>93</v>
      </c>
      <c r="I108" s="19">
        <v>93</v>
      </c>
      <c r="J108" s="20">
        <f>SUM(B108:I108)</f>
        <v>793</v>
      </c>
      <c r="K108" s="62">
        <v>2</v>
      </c>
    </row>
    <row r="109" spans="1:11" ht="19.5" thickBot="1" x14ac:dyDescent="0.35">
      <c r="A109" s="49" t="s">
        <v>75</v>
      </c>
      <c r="B109" s="38">
        <v>93</v>
      </c>
      <c r="C109" s="38">
        <v>113</v>
      </c>
      <c r="D109" s="39">
        <v>3</v>
      </c>
      <c r="E109" s="39">
        <v>27</v>
      </c>
      <c r="F109" s="39">
        <v>6</v>
      </c>
      <c r="G109" s="39">
        <v>42</v>
      </c>
      <c r="H109" s="39">
        <v>36</v>
      </c>
      <c r="I109" s="39">
        <v>56</v>
      </c>
      <c r="J109" s="40">
        <f>SUM(B109:I109)</f>
        <v>376</v>
      </c>
      <c r="K109" s="62">
        <v>1</v>
      </c>
    </row>
    <row r="110" spans="1:11" ht="19.5" thickBot="1" x14ac:dyDescent="0.3">
      <c r="A110" s="41" t="s">
        <v>7</v>
      </c>
      <c r="B110" s="42">
        <f>SUBTOTAL(109,Table1345710[BOX 2 &amp; 11])</f>
        <v>318</v>
      </c>
      <c r="C110" s="43">
        <f>SUBTOTAL(109,Table1345710[BOX 3 &amp; 12])</f>
        <v>328</v>
      </c>
      <c r="D110" s="43">
        <f>SUBTOTAL(109,Table1345710[BOX 4])</f>
        <v>7</v>
      </c>
      <c r="E110" s="43">
        <f>SUBTOTAL(109,Table1345710[BOX 5])</f>
        <v>84</v>
      </c>
      <c r="F110" s="43">
        <f>SUBTOTAL(109,Table1345710[BOX 6])</f>
        <v>15</v>
      </c>
      <c r="G110" s="43">
        <f>SUBTOTAL(109,Table1345710[BOX 10])</f>
        <v>139</v>
      </c>
      <c r="H110" s="43">
        <f>SUBTOTAL(109,Table1345710[BOX 1 &amp; 8])</f>
        <v>129</v>
      </c>
      <c r="I110" s="43">
        <f>SUBTOTAL(109,Table1345710[BOX 7])</f>
        <v>149</v>
      </c>
      <c r="J110" s="44">
        <f>SUBTOTAL(109,Table1345710[TOTAL])</f>
        <v>1169</v>
      </c>
    </row>
    <row r="111" spans="1:11" ht="15.75" x14ac:dyDescent="0.25">
      <c r="A111" s="29" t="s">
        <v>1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6">
        <f>SUM(B111:I111)</f>
        <v>0</v>
      </c>
    </row>
    <row r="112" spans="1:11" ht="15.75" x14ac:dyDescent="0.25">
      <c r="A112" s="32" t="s">
        <v>0</v>
      </c>
      <c r="B112" s="30">
        <v>289</v>
      </c>
      <c r="C112" s="30">
        <v>371</v>
      </c>
      <c r="D112" s="30">
        <v>11</v>
      </c>
      <c r="E112" s="33">
        <v>68</v>
      </c>
      <c r="F112" s="33">
        <v>20</v>
      </c>
      <c r="G112" s="33">
        <v>160</v>
      </c>
      <c r="H112" s="33">
        <v>132</v>
      </c>
      <c r="I112" s="33">
        <v>148</v>
      </c>
      <c r="J112" s="34">
        <f>SUM(B112:I112)</f>
        <v>1199</v>
      </c>
      <c r="K112" s="62">
        <v>3</v>
      </c>
    </row>
    <row r="113" spans="1:11" x14ac:dyDescent="0.25">
      <c r="A113" s="7"/>
      <c r="B113" s="7"/>
      <c r="C113" s="7"/>
      <c r="D113" s="7"/>
      <c r="E113" s="7"/>
      <c r="F113" s="7"/>
      <c r="G113" s="7"/>
    </row>
    <row r="116" spans="1:11" ht="45" x14ac:dyDescent="0.25">
      <c r="A116" s="52" t="s">
        <v>79</v>
      </c>
      <c r="B116" s="9" t="s">
        <v>8</v>
      </c>
      <c r="C116" s="9" t="s">
        <v>16</v>
      </c>
      <c r="D116" s="36" t="s">
        <v>12</v>
      </c>
      <c r="E116" s="9" t="s">
        <v>10</v>
      </c>
      <c r="F116" s="37" t="s">
        <v>11</v>
      </c>
      <c r="G116" s="9" t="s">
        <v>18</v>
      </c>
      <c r="H116" s="9" t="s">
        <v>9</v>
      </c>
      <c r="I116" s="9" t="s">
        <v>17</v>
      </c>
      <c r="J116" s="11"/>
    </row>
    <row r="117" spans="1:11" ht="15.75" x14ac:dyDescent="0.25">
      <c r="A117" s="12" t="s">
        <v>2</v>
      </c>
      <c r="B117" s="13" t="s">
        <v>34</v>
      </c>
      <c r="C117" s="14" t="s">
        <v>15</v>
      </c>
      <c r="D117" s="15" t="s">
        <v>3</v>
      </c>
      <c r="E117" s="15" t="s">
        <v>4</v>
      </c>
      <c r="F117" s="15" t="s">
        <v>5</v>
      </c>
      <c r="G117" s="15" t="s">
        <v>14</v>
      </c>
      <c r="H117" s="15" t="s">
        <v>35</v>
      </c>
      <c r="I117" s="15" t="s">
        <v>13</v>
      </c>
      <c r="J117" s="16" t="s">
        <v>6</v>
      </c>
      <c r="K117" s="104" t="s">
        <v>154</v>
      </c>
    </row>
    <row r="118" spans="1:11" ht="18.75" x14ac:dyDescent="0.25">
      <c r="A118" s="49" t="s">
        <v>76</v>
      </c>
      <c r="B118" s="19">
        <v>46</v>
      </c>
      <c r="C118" s="2">
        <v>34</v>
      </c>
      <c r="D118" s="19">
        <v>0</v>
      </c>
      <c r="E118" s="19">
        <v>11</v>
      </c>
      <c r="F118" s="19">
        <v>2</v>
      </c>
      <c r="G118" s="19">
        <v>23</v>
      </c>
      <c r="H118" s="19">
        <v>11</v>
      </c>
      <c r="I118" s="19">
        <v>14</v>
      </c>
      <c r="J118" s="20">
        <f t="shared" ref="J118:J119" si="5">SUM(B118:I118)</f>
        <v>141</v>
      </c>
      <c r="K118" s="103"/>
    </row>
    <row r="119" spans="1:11" ht="18.75" x14ac:dyDescent="0.25">
      <c r="A119" s="49" t="s">
        <v>77</v>
      </c>
      <c r="B119" s="19">
        <v>106</v>
      </c>
      <c r="C119" s="2">
        <v>127</v>
      </c>
      <c r="D119" s="19">
        <v>3</v>
      </c>
      <c r="E119" s="19">
        <v>33</v>
      </c>
      <c r="F119" s="19">
        <v>9</v>
      </c>
      <c r="G119" s="19">
        <v>56</v>
      </c>
      <c r="H119" s="19">
        <v>48</v>
      </c>
      <c r="I119" s="19">
        <v>69</v>
      </c>
      <c r="J119" s="20">
        <f t="shared" si="5"/>
        <v>451</v>
      </c>
      <c r="K119" s="2">
        <v>2</v>
      </c>
    </row>
    <row r="120" spans="1:11" ht="19.5" thickBot="1" x14ac:dyDescent="0.35">
      <c r="A120" s="49" t="s">
        <v>78</v>
      </c>
      <c r="B120" s="38">
        <v>163</v>
      </c>
      <c r="C120" s="38">
        <v>156</v>
      </c>
      <c r="D120" s="39">
        <v>3</v>
      </c>
      <c r="E120" s="39">
        <v>39</v>
      </c>
      <c r="F120" s="39">
        <v>5</v>
      </c>
      <c r="G120" s="39">
        <v>58</v>
      </c>
      <c r="H120" s="39">
        <v>64</v>
      </c>
      <c r="I120" s="39">
        <v>61</v>
      </c>
      <c r="J120" s="40">
        <f>SUM(B120:I120)</f>
        <v>549</v>
      </c>
      <c r="K120" s="1">
        <v>1</v>
      </c>
    </row>
    <row r="121" spans="1:11" ht="19.5" thickBot="1" x14ac:dyDescent="0.3">
      <c r="A121" s="41" t="s">
        <v>7</v>
      </c>
      <c r="B121" s="42">
        <f>SUBTOTAL(109,Table134571011[BOX 2 &amp; 11])</f>
        <v>315</v>
      </c>
      <c r="C121" s="43">
        <f>SUBTOTAL(109,Table134571011[BOX 3 &amp; 12])</f>
        <v>317</v>
      </c>
      <c r="D121" s="43">
        <f>SUBTOTAL(109,Table134571011[BOX 4])</f>
        <v>6</v>
      </c>
      <c r="E121" s="43">
        <f>SUBTOTAL(109,Table134571011[BOX 5])</f>
        <v>83</v>
      </c>
      <c r="F121" s="43">
        <f>SUBTOTAL(109,Table134571011[BOX 6])</f>
        <v>16</v>
      </c>
      <c r="G121" s="93">
        <f>SUBTOTAL(109,Table134571011[BOX 10])</f>
        <v>137</v>
      </c>
      <c r="H121" s="43">
        <f>SUBTOTAL(109,Table134571011[BOX 1 &amp; 8])</f>
        <v>123</v>
      </c>
      <c r="I121" s="43">
        <f>SUBTOTAL(109,Table134571011[BOX 7])</f>
        <v>144</v>
      </c>
      <c r="J121" s="44">
        <f>SUBTOTAL(109,Table134571011[TOTAL])</f>
        <v>1141</v>
      </c>
      <c r="K121" s="105"/>
    </row>
    <row r="122" spans="1:11" ht="15.75" x14ac:dyDescent="0.25">
      <c r="A122" s="29" t="s">
        <v>1</v>
      </c>
      <c r="B122" s="45">
        <v>0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6">
        <f>SUM(B122:I122)</f>
        <v>0</v>
      </c>
    </row>
    <row r="123" spans="1:11" ht="15.75" x14ac:dyDescent="0.25">
      <c r="A123" s="32" t="s">
        <v>0</v>
      </c>
      <c r="B123" s="30">
        <v>292</v>
      </c>
      <c r="C123" s="30">
        <v>382</v>
      </c>
      <c r="D123" s="30">
        <v>12</v>
      </c>
      <c r="E123" s="33">
        <v>69</v>
      </c>
      <c r="F123" s="33">
        <v>19</v>
      </c>
      <c r="G123" s="33">
        <v>162</v>
      </c>
      <c r="H123" s="33">
        <v>138</v>
      </c>
      <c r="I123" s="33">
        <v>153</v>
      </c>
      <c r="J123" s="34">
        <f>SUM(B123:I123)</f>
        <v>1227</v>
      </c>
      <c r="K123" s="62">
        <v>3</v>
      </c>
    </row>
    <row r="128" spans="1:11" ht="45" x14ac:dyDescent="0.25">
      <c r="A128" s="54" t="s">
        <v>80</v>
      </c>
      <c r="B128" s="9" t="s">
        <v>8</v>
      </c>
      <c r="C128" s="9" t="s">
        <v>16</v>
      </c>
      <c r="D128" s="36" t="s">
        <v>12</v>
      </c>
      <c r="E128" s="9" t="s">
        <v>10</v>
      </c>
      <c r="F128" s="37" t="s">
        <v>11</v>
      </c>
      <c r="G128" s="9" t="s">
        <v>18</v>
      </c>
      <c r="H128" s="9" t="s">
        <v>9</v>
      </c>
      <c r="I128" s="9" t="s">
        <v>17</v>
      </c>
      <c r="J128" s="11"/>
    </row>
    <row r="129" spans="1:11" ht="15.75" x14ac:dyDescent="0.25">
      <c r="A129" s="12" t="s">
        <v>2</v>
      </c>
      <c r="B129" s="13" t="s">
        <v>34</v>
      </c>
      <c r="C129" s="14" t="s">
        <v>15</v>
      </c>
      <c r="D129" s="15" t="s">
        <v>3</v>
      </c>
      <c r="E129" s="15" t="s">
        <v>4</v>
      </c>
      <c r="F129" s="15" t="s">
        <v>5</v>
      </c>
      <c r="G129" s="15" t="s">
        <v>14</v>
      </c>
      <c r="H129" s="15" t="s">
        <v>35</v>
      </c>
      <c r="I129" s="15" t="s">
        <v>13</v>
      </c>
      <c r="J129" s="16" t="s">
        <v>6</v>
      </c>
      <c r="K129" s="108" t="s">
        <v>154</v>
      </c>
    </row>
    <row r="130" spans="1:11" ht="18.75" x14ac:dyDescent="0.3">
      <c r="A130" s="49" t="s">
        <v>81</v>
      </c>
      <c r="B130" s="18">
        <v>102</v>
      </c>
      <c r="C130" s="18">
        <v>110</v>
      </c>
      <c r="D130" s="19">
        <v>4</v>
      </c>
      <c r="E130" s="19">
        <v>29</v>
      </c>
      <c r="F130" s="19">
        <v>5</v>
      </c>
      <c r="G130" s="19">
        <v>48</v>
      </c>
      <c r="H130" s="19">
        <v>45</v>
      </c>
      <c r="I130" s="19">
        <v>65</v>
      </c>
      <c r="J130" s="20">
        <f>SUM(B130:I130)</f>
        <v>408</v>
      </c>
      <c r="K130" s="62">
        <v>1</v>
      </c>
    </row>
    <row r="131" spans="1:11" ht="19.5" thickBot="1" x14ac:dyDescent="0.35">
      <c r="A131" s="49" t="s">
        <v>82</v>
      </c>
      <c r="B131" s="38">
        <v>211</v>
      </c>
      <c r="C131" s="38">
        <v>206</v>
      </c>
      <c r="D131" s="39">
        <v>3</v>
      </c>
      <c r="E131" s="39">
        <v>51</v>
      </c>
      <c r="F131" s="39">
        <v>9</v>
      </c>
      <c r="G131" s="39">
        <v>88</v>
      </c>
      <c r="H131" s="39">
        <v>77</v>
      </c>
      <c r="I131" s="39">
        <v>76</v>
      </c>
      <c r="J131" s="40">
        <f>SUM(B131:I131)</f>
        <v>721</v>
      </c>
      <c r="K131" s="62">
        <v>1</v>
      </c>
    </row>
    <row r="132" spans="1:11" ht="19.5" thickBot="1" x14ac:dyDescent="0.3">
      <c r="A132" s="55" t="s">
        <v>7</v>
      </c>
      <c r="B132" s="43">
        <f>SUBTOTAL(109,Table134571013[BOX 2 &amp; 11])</f>
        <v>313</v>
      </c>
      <c r="C132" s="43">
        <f>SUBTOTAL(109,Table134571013[BOX 3 &amp; 12])</f>
        <v>316</v>
      </c>
      <c r="D132" s="43">
        <f>SUBTOTAL(109,Table134571013[BOX 4])</f>
        <v>7</v>
      </c>
      <c r="E132" s="43">
        <f>SUBTOTAL(109,Table134571013[BOX 5])</f>
        <v>80</v>
      </c>
      <c r="F132" s="43">
        <f>SUBTOTAL(109,Table134571013[BOX 6])</f>
        <v>14</v>
      </c>
      <c r="G132" s="93">
        <f>SUBTOTAL(109,Table134571013[BOX 10])</f>
        <v>136</v>
      </c>
      <c r="H132" s="43">
        <f>SUBTOTAL(109,Table134571013[BOX 1 &amp; 8])</f>
        <v>122</v>
      </c>
      <c r="I132" s="43">
        <f>SUBTOTAL(109,Table134571013[BOX 7])</f>
        <v>141</v>
      </c>
      <c r="J132" s="44">
        <f>SUBTOTAL(109,Table134571013[TOTAL])</f>
        <v>1129</v>
      </c>
    </row>
    <row r="133" spans="1:11" ht="15.75" x14ac:dyDescent="0.25">
      <c r="A133" s="56" t="s">
        <v>1</v>
      </c>
      <c r="B133" s="45">
        <v>0</v>
      </c>
      <c r="C133" s="45">
        <v>0</v>
      </c>
      <c r="D133" s="45">
        <v>0</v>
      </c>
      <c r="E133" s="45">
        <v>0</v>
      </c>
      <c r="F133" s="45">
        <v>0</v>
      </c>
      <c r="G133" s="45">
        <v>0</v>
      </c>
      <c r="H133" s="45">
        <v>0</v>
      </c>
      <c r="I133" s="45">
        <v>0</v>
      </c>
      <c r="J133" s="46">
        <f>SUM(B133:I133)</f>
        <v>0</v>
      </c>
    </row>
    <row r="134" spans="1:11" ht="15.75" x14ac:dyDescent="0.25">
      <c r="A134" s="32" t="s">
        <v>0</v>
      </c>
      <c r="B134" s="30">
        <v>294</v>
      </c>
      <c r="C134" s="30">
        <v>383</v>
      </c>
      <c r="D134" s="30">
        <v>11</v>
      </c>
      <c r="E134" s="33">
        <v>72</v>
      </c>
      <c r="F134" s="33">
        <v>21</v>
      </c>
      <c r="G134" s="33">
        <v>163</v>
      </c>
      <c r="H134" s="33">
        <v>139</v>
      </c>
      <c r="I134" s="33">
        <v>156</v>
      </c>
      <c r="J134" s="34">
        <f>SUM(B134:I134)</f>
        <v>1239</v>
      </c>
      <c r="K134" s="62">
        <v>4</v>
      </c>
    </row>
    <row r="136" spans="1:11" ht="47.25" x14ac:dyDescent="0.25">
      <c r="A136" s="54" t="s">
        <v>83</v>
      </c>
      <c r="B136" s="9" t="s">
        <v>8</v>
      </c>
      <c r="C136" s="9" t="s">
        <v>16</v>
      </c>
      <c r="D136" s="36" t="s">
        <v>12</v>
      </c>
      <c r="E136" s="9" t="s">
        <v>10</v>
      </c>
      <c r="F136" s="37" t="s">
        <v>11</v>
      </c>
      <c r="G136" s="9" t="s">
        <v>18</v>
      </c>
      <c r="H136" s="9" t="s">
        <v>9</v>
      </c>
      <c r="I136" s="9" t="s">
        <v>17</v>
      </c>
      <c r="J136" s="11"/>
    </row>
    <row r="137" spans="1:11" ht="15.75" x14ac:dyDescent="0.25">
      <c r="A137" s="12" t="s">
        <v>2</v>
      </c>
      <c r="B137" s="13" t="s">
        <v>34</v>
      </c>
      <c r="C137" s="14" t="s">
        <v>15</v>
      </c>
      <c r="D137" s="15" t="s">
        <v>3</v>
      </c>
      <c r="E137" s="15" t="s">
        <v>4</v>
      </c>
      <c r="F137" s="15" t="s">
        <v>5</v>
      </c>
      <c r="G137" s="15" t="s">
        <v>14</v>
      </c>
      <c r="H137" s="15" t="s">
        <v>35</v>
      </c>
      <c r="I137" s="15" t="s">
        <v>13</v>
      </c>
      <c r="J137" s="16" t="s">
        <v>6</v>
      </c>
      <c r="K137" s="108" t="s">
        <v>154</v>
      </c>
    </row>
    <row r="138" spans="1:11" ht="19.5" thickBot="1" x14ac:dyDescent="0.35">
      <c r="A138" s="49" t="s">
        <v>84</v>
      </c>
      <c r="B138" s="38">
        <v>239</v>
      </c>
      <c r="C138" s="38">
        <v>240</v>
      </c>
      <c r="D138" s="39">
        <v>4</v>
      </c>
      <c r="E138" s="39">
        <v>58</v>
      </c>
      <c r="F138" s="39">
        <v>12</v>
      </c>
      <c r="G138" s="39">
        <v>98</v>
      </c>
      <c r="H138" s="39">
        <v>96</v>
      </c>
      <c r="I138" s="39">
        <v>106</v>
      </c>
      <c r="J138" s="40">
        <f>SUM(B138:I138)</f>
        <v>853</v>
      </c>
      <c r="K138" s="62">
        <v>1</v>
      </c>
    </row>
    <row r="139" spans="1:11" ht="19.5" thickBot="1" x14ac:dyDescent="0.3">
      <c r="A139" s="41" t="s">
        <v>7</v>
      </c>
      <c r="B139" s="42">
        <f>SUBTOTAL(109,Table13457101315[BOX 2 &amp; 11])</f>
        <v>239</v>
      </c>
      <c r="C139" s="43">
        <f>SUBTOTAL(109,Table13457101315[BOX 3 &amp; 12])</f>
        <v>240</v>
      </c>
      <c r="D139" s="43">
        <f>SUBTOTAL(109,Table13457101315[BOX 4])</f>
        <v>4</v>
      </c>
      <c r="E139" s="43">
        <f>SUBTOTAL(109,Table13457101315[BOX 5])</f>
        <v>58</v>
      </c>
      <c r="F139" s="43">
        <f>SUBTOTAL(109,Table13457101315[BOX 6])</f>
        <v>12</v>
      </c>
      <c r="G139" s="93">
        <f>SUBTOTAL(109,Table13457101315[BOX 10])</f>
        <v>98</v>
      </c>
      <c r="H139" s="43">
        <f>SUBTOTAL(109,Table13457101315[BOX 1 &amp; 8])</f>
        <v>96</v>
      </c>
      <c r="I139" s="43">
        <f>SUBTOTAL(109,Table13457101315[BOX 7])</f>
        <v>106</v>
      </c>
      <c r="J139" s="44">
        <f>SUBTOTAL(109,Table13457101315[TOTAL])</f>
        <v>853</v>
      </c>
    </row>
    <row r="140" spans="1:11" ht="15.75" x14ac:dyDescent="0.25">
      <c r="A140" s="29" t="s">
        <v>1</v>
      </c>
      <c r="B140" s="45">
        <v>0</v>
      </c>
      <c r="C140" s="45">
        <v>0</v>
      </c>
      <c r="D140" s="45">
        <v>0</v>
      </c>
      <c r="E140" s="45">
        <v>0</v>
      </c>
      <c r="F140" s="45">
        <v>0</v>
      </c>
      <c r="G140" s="45">
        <v>0</v>
      </c>
      <c r="H140" s="45">
        <v>0</v>
      </c>
      <c r="I140" s="45">
        <v>0</v>
      </c>
      <c r="J140" s="46">
        <f>SUM(B140:I140)</f>
        <v>0</v>
      </c>
    </row>
    <row r="141" spans="1:11" ht="15.75" x14ac:dyDescent="0.25">
      <c r="A141" s="32" t="s">
        <v>0</v>
      </c>
      <c r="B141" s="30">
        <v>368</v>
      </c>
      <c r="C141" s="50">
        <v>459</v>
      </c>
      <c r="D141" s="30">
        <v>14</v>
      </c>
      <c r="E141" s="33">
        <v>94</v>
      </c>
      <c r="F141" s="33">
        <v>23</v>
      </c>
      <c r="G141" s="33">
        <v>201</v>
      </c>
      <c r="H141" s="33">
        <v>165</v>
      </c>
      <c r="I141" s="33">
        <v>191</v>
      </c>
      <c r="J141" s="34">
        <f>SUM(B141:I141)</f>
        <v>1515</v>
      </c>
      <c r="K141" s="62">
        <v>5</v>
      </c>
    </row>
    <row r="143" spans="1:11" ht="45" x14ac:dyDescent="0.25">
      <c r="A143" s="57" t="s">
        <v>85</v>
      </c>
      <c r="B143" s="9" t="s">
        <v>8</v>
      </c>
      <c r="C143" s="9" t="s">
        <v>16</v>
      </c>
      <c r="D143" s="36" t="s">
        <v>12</v>
      </c>
      <c r="E143" s="9" t="s">
        <v>10</v>
      </c>
      <c r="F143" s="37" t="s">
        <v>11</v>
      </c>
      <c r="G143" s="9" t="s">
        <v>18</v>
      </c>
      <c r="H143" s="9" t="s">
        <v>9</v>
      </c>
      <c r="I143" s="9" t="s">
        <v>17</v>
      </c>
      <c r="J143" s="11"/>
    </row>
    <row r="144" spans="1:11" ht="15.75" x14ac:dyDescent="0.25">
      <c r="A144" s="12" t="s">
        <v>2</v>
      </c>
      <c r="B144" s="13" t="s">
        <v>34</v>
      </c>
      <c r="C144" s="14" t="s">
        <v>15</v>
      </c>
      <c r="D144" s="15" t="s">
        <v>3</v>
      </c>
      <c r="E144" s="15" t="s">
        <v>4</v>
      </c>
      <c r="F144" s="15" t="s">
        <v>5</v>
      </c>
      <c r="G144" s="15" t="s">
        <v>14</v>
      </c>
      <c r="H144" s="15" t="s">
        <v>35</v>
      </c>
      <c r="I144" s="15" t="s">
        <v>13</v>
      </c>
      <c r="J144" s="16" t="s">
        <v>6</v>
      </c>
      <c r="K144" s="104" t="s">
        <v>154</v>
      </c>
    </row>
    <row r="145" spans="1:11" ht="19.5" thickBot="1" x14ac:dyDescent="0.35">
      <c r="A145" s="49" t="s">
        <v>86</v>
      </c>
      <c r="B145" s="38">
        <v>265</v>
      </c>
      <c r="C145" s="1">
        <v>252</v>
      </c>
      <c r="D145" s="39">
        <v>6</v>
      </c>
      <c r="E145" s="39">
        <v>63</v>
      </c>
      <c r="F145" s="39">
        <v>11</v>
      </c>
      <c r="G145" s="39">
        <v>113</v>
      </c>
      <c r="H145" s="39">
        <v>108</v>
      </c>
      <c r="I145" s="39">
        <v>116</v>
      </c>
      <c r="J145" s="40">
        <f>SUM(B145:I145)</f>
        <v>934</v>
      </c>
      <c r="K145" s="110">
        <v>1</v>
      </c>
    </row>
    <row r="146" spans="1:11" ht="19.5" thickBot="1" x14ac:dyDescent="0.3">
      <c r="A146" s="41" t="s">
        <v>7</v>
      </c>
      <c r="B146" s="42">
        <f>SUBTOTAL(109,Table13457101316[BOX 2 &amp; 11])</f>
        <v>265</v>
      </c>
      <c r="C146" s="43">
        <f>SUBTOTAL(109,Table13457101316[BOX 3 &amp; 12])</f>
        <v>252</v>
      </c>
      <c r="D146" s="43">
        <f>SUBTOTAL(109,Table13457101316[BOX 4])</f>
        <v>6</v>
      </c>
      <c r="E146" s="43">
        <f>SUBTOTAL(109,Table13457101316[BOX 5])</f>
        <v>63</v>
      </c>
      <c r="F146" s="43">
        <f>SUBTOTAL(109,Table13457101316[BOX 6])</f>
        <v>11</v>
      </c>
      <c r="G146" s="93">
        <f>SUBTOTAL(109,Table13457101316[BOX 10])</f>
        <v>113</v>
      </c>
      <c r="H146" s="43">
        <f>SUBTOTAL(109,Table13457101316[BOX 1 &amp; 8])</f>
        <v>108</v>
      </c>
      <c r="I146" s="43">
        <f>SUBTOTAL(109,Table13457101316[BOX 7])</f>
        <v>116</v>
      </c>
      <c r="J146" s="44">
        <f>SUBTOTAL(109,Table13457101316[TOTAL])</f>
        <v>934</v>
      </c>
      <c r="K146" s="105"/>
    </row>
    <row r="147" spans="1:11" ht="15.75" x14ac:dyDescent="0.25">
      <c r="A147" s="29" t="s">
        <v>1</v>
      </c>
      <c r="B147" s="45">
        <v>0</v>
      </c>
      <c r="C147" s="45">
        <v>0</v>
      </c>
      <c r="D147" s="45">
        <v>0</v>
      </c>
      <c r="E147" s="45">
        <v>0</v>
      </c>
      <c r="F147" s="45">
        <v>0</v>
      </c>
      <c r="G147" s="45">
        <v>0</v>
      </c>
      <c r="H147" s="45">
        <v>0</v>
      </c>
      <c r="I147" s="45">
        <v>0</v>
      </c>
      <c r="J147" s="46">
        <f>SUM(B147:I147)</f>
        <v>0</v>
      </c>
    </row>
    <row r="148" spans="1:11" ht="15.75" x14ac:dyDescent="0.25">
      <c r="A148" s="32" t="s">
        <v>0</v>
      </c>
      <c r="B148" s="30">
        <v>342</v>
      </c>
      <c r="C148" s="30">
        <v>447</v>
      </c>
      <c r="D148" s="30">
        <v>12</v>
      </c>
      <c r="E148" s="33">
        <v>89</v>
      </c>
      <c r="F148" s="33">
        <v>24</v>
      </c>
      <c r="G148" s="33">
        <v>186</v>
      </c>
      <c r="H148" s="33">
        <v>153</v>
      </c>
      <c r="I148" s="33">
        <v>181</v>
      </c>
      <c r="J148" s="34">
        <f>SUM(B148:I148)</f>
        <v>1434</v>
      </c>
      <c r="K148" s="62">
        <v>5</v>
      </c>
    </row>
    <row r="150" spans="1:11" ht="45" x14ac:dyDescent="0.25">
      <c r="A150" s="51" t="s">
        <v>87</v>
      </c>
      <c r="B150" s="9" t="s">
        <v>8</v>
      </c>
      <c r="C150" s="9" t="s">
        <v>16</v>
      </c>
      <c r="D150" s="36" t="s">
        <v>12</v>
      </c>
      <c r="E150" s="9" t="s">
        <v>10</v>
      </c>
      <c r="F150" s="37" t="s">
        <v>11</v>
      </c>
      <c r="G150" s="9" t="s">
        <v>18</v>
      </c>
      <c r="H150" s="9" t="s">
        <v>9</v>
      </c>
      <c r="I150" s="9" t="s">
        <v>17</v>
      </c>
      <c r="J150" s="11"/>
    </row>
    <row r="151" spans="1:11" ht="15.75" x14ac:dyDescent="0.25">
      <c r="A151" s="12" t="s">
        <v>2</v>
      </c>
      <c r="B151" s="13" t="s">
        <v>34</v>
      </c>
      <c r="C151" s="14" t="s">
        <v>15</v>
      </c>
      <c r="D151" s="15" t="s">
        <v>3</v>
      </c>
      <c r="E151" s="15" t="s">
        <v>4</v>
      </c>
      <c r="F151" s="15" t="s">
        <v>5</v>
      </c>
      <c r="G151" s="15" t="s">
        <v>14</v>
      </c>
      <c r="H151" s="15" t="s">
        <v>35</v>
      </c>
      <c r="I151" s="15" t="s">
        <v>13</v>
      </c>
      <c r="J151" s="16" t="s">
        <v>6</v>
      </c>
      <c r="K151" s="104" t="s">
        <v>154</v>
      </c>
    </row>
    <row r="152" spans="1:11" ht="18.75" x14ac:dyDescent="0.25">
      <c r="A152" s="49" t="s">
        <v>88</v>
      </c>
      <c r="B152" s="19">
        <v>101</v>
      </c>
      <c r="C152" s="2">
        <v>88</v>
      </c>
      <c r="D152" s="19">
        <v>2</v>
      </c>
      <c r="E152" s="19">
        <v>21</v>
      </c>
      <c r="F152" s="19">
        <v>5</v>
      </c>
      <c r="G152" s="19">
        <v>41</v>
      </c>
      <c r="H152" s="19">
        <v>34</v>
      </c>
      <c r="I152" s="19">
        <v>42</v>
      </c>
      <c r="J152" s="20">
        <f t="shared" ref="J152:J153" si="6">SUM(B152:I152)</f>
        <v>334</v>
      </c>
      <c r="K152" s="103">
        <v>1</v>
      </c>
    </row>
    <row r="153" spans="1:11" ht="18.75" x14ac:dyDescent="0.25">
      <c r="A153" s="49" t="s">
        <v>89</v>
      </c>
      <c r="B153" s="19">
        <v>154</v>
      </c>
      <c r="C153" s="2">
        <v>158</v>
      </c>
      <c r="D153" s="19">
        <v>4</v>
      </c>
      <c r="E153" s="19">
        <v>33</v>
      </c>
      <c r="F153" s="19">
        <v>8</v>
      </c>
      <c r="G153" s="19">
        <v>68</v>
      </c>
      <c r="H153" s="19">
        <v>59</v>
      </c>
      <c r="I153" s="19">
        <v>82</v>
      </c>
      <c r="J153" s="20">
        <f t="shared" si="6"/>
        <v>566</v>
      </c>
      <c r="K153" s="2">
        <v>1</v>
      </c>
    </row>
    <row r="154" spans="1:11" ht="19.5" thickBot="1" x14ac:dyDescent="0.35">
      <c r="A154" s="49" t="s">
        <v>90</v>
      </c>
      <c r="B154" s="38">
        <v>102</v>
      </c>
      <c r="C154" s="38">
        <v>116</v>
      </c>
      <c r="D154" s="39">
        <v>2</v>
      </c>
      <c r="E154" s="39">
        <v>37</v>
      </c>
      <c r="F154" s="39">
        <v>6</v>
      </c>
      <c r="G154" s="39">
        <v>48</v>
      </c>
      <c r="H154" s="39">
        <v>51</v>
      </c>
      <c r="I154" s="39">
        <v>48</v>
      </c>
      <c r="J154" s="40">
        <f>SUM(B154:I154)</f>
        <v>410</v>
      </c>
      <c r="K154" s="1">
        <v>1</v>
      </c>
    </row>
    <row r="155" spans="1:11" ht="19.5" thickBot="1" x14ac:dyDescent="0.3">
      <c r="A155" s="41" t="s">
        <v>7</v>
      </c>
      <c r="B155" s="42">
        <f>SUBTOTAL(109,Table13457101117[BOX 2 &amp; 11])</f>
        <v>357</v>
      </c>
      <c r="C155" s="43">
        <f>SUBTOTAL(109,Table13457101117[BOX 3 &amp; 12])</f>
        <v>362</v>
      </c>
      <c r="D155" s="43">
        <f>SUBTOTAL(109,Table13457101117[BOX 4])</f>
        <v>8</v>
      </c>
      <c r="E155" s="43">
        <f>SUBTOTAL(109,Table13457101117[BOX 5])</f>
        <v>91</v>
      </c>
      <c r="F155" s="43">
        <f>SUBTOTAL(109,Table13457101117[BOX 6])</f>
        <v>19</v>
      </c>
      <c r="G155" s="43">
        <f>SUBTOTAL(109,Table13457101117[BOX 10])</f>
        <v>157</v>
      </c>
      <c r="H155" s="43">
        <f>SUBTOTAL(109,Table13457101117[BOX 1 &amp; 8])</f>
        <v>144</v>
      </c>
      <c r="I155" s="43">
        <f>SUBTOTAL(109,Table13457101117[BOX 7])</f>
        <v>172</v>
      </c>
      <c r="J155" s="44">
        <f>SUBTOTAL(109,Table13457101117[TOTAL])</f>
        <v>1310</v>
      </c>
      <c r="K155" s="105"/>
    </row>
    <row r="156" spans="1:11" ht="15.75" x14ac:dyDescent="0.25">
      <c r="A156" s="29" t="s">
        <v>1</v>
      </c>
      <c r="B156" s="45">
        <v>0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6">
        <f>SUM(B156:I156)</f>
        <v>0</v>
      </c>
    </row>
    <row r="157" spans="1:11" ht="15.75" x14ac:dyDescent="0.25">
      <c r="A157" s="32" t="s">
        <v>0</v>
      </c>
      <c r="B157" s="30">
        <v>250</v>
      </c>
      <c r="C157" s="30">
        <v>337</v>
      </c>
      <c r="D157" s="30">
        <v>10</v>
      </c>
      <c r="E157" s="33">
        <v>61</v>
      </c>
      <c r="F157" s="33">
        <v>16</v>
      </c>
      <c r="G157" s="33">
        <v>142</v>
      </c>
      <c r="H157" s="33">
        <v>117</v>
      </c>
      <c r="I157" s="33">
        <v>125</v>
      </c>
      <c r="J157" s="34">
        <f>SUM(B157:I157)</f>
        <v>1058</v>
      </c>
      <c r="K157" s="62">
        <v>3</v>
      </c>
    </row>
    <row r="158" spans="1:11" ht="45" x14ac:dyDescent="0.25">
      <c r="A158" s="58" t="s">
        <v>91</v>
      </c>
      <c r="B158" s="9" t="s">
        <v>8</v>
      </c>
      <c r="C158" s="9" t="s">
        <v>16</v>
      </c>
      <c r="D158" s="36" t="s">
        <v>12</v>
      </c>
      <c r="E158" s="9" t="s">
        <v>10</v>
      </c>
      <c r="F158" s="37" t="s">
        <v>11</v>
      </c>
      <c r="G158" s="9" t="s">
        <v>18</v>
      </c>
      <c r="H158" s="9" t="s">
        <v>9</v>
      </c>
      <c r="I158" s="9" t="s">
        <v>17</v>
      </c>
      <c r="J158" s="11"/>
    </row>
    <row r="159" spans="1:11" ht="15.75" x14ac:dyDescent="0.25">
      <c r="A159" s="12" t="s">
        <v>2</v>
      </c>
      <c r="B159" s="13" t="s">
        <v>34</v>
      </c>
      <c r="C159" s="14" t="s">
        <v>15</v>
      </c>
      <c r="D159" s="15" t="s">
        <v>3</v>
      </c>
      <c r="E159" s="15" t="s">
        <v>4</v>
      </c>
      <c r="F159" s="15" t="s">
        <v>5</v>
      </c>
      <c r="G159" s="15" t="s">
        <v>14</v>
      </c>
      <c r="H159" s="15" t="s">
        <v>35</v>
      </c>
      <c r="I159" s="15" t="s">
        <v>13</v>
      </c>
      <c r="J159" s="16" t="s">
        <v>6</v>
      </c>
      <c r="K159" s="104" t="s">
        <v>154</v>
      </c>
    </row>
    <row r="160" spans="1:11" ht="18.75" x14ac:dyDescent="0.25">
      <c r="A160" s="49" t="s">
        <v>92</v>
      </c>
      <c r="B160" s="19">
        <v>96</v>
      </c>
      <c r="C160" s="2">
        <v>103</v>
      </c>
      <c r="D160" s="19">
        <v>1</v>
      </c>
      <c r="E160" s="19">
        <v>23</v>
      </c>
      <c r="F160" s="19">
        <v>4</v>
      </c>
      <c r="G160" s="19">
        <v>28</v>
      </c>
      <c r="H160" s="19">
        <v>26</v>
      </c>
      <c r="I160" s="19">
        <v>42</v>
      </c>
      <c r="J160" s="20">
        <f t="shared" ref="J160:J161" si="7">SUM(B160:I160)</f>
        <v>323</v>
      </c>
      <c r="K160" s="103">
        <v>2</v>
      </c>
    </row>
    <row r="161" spans="1:11" ht="18.75" x14ac:dyDescent="0.25">
      <c r="A161" s="49" t="s">
        <v>93</v>
      </c>
      <c r="B161" s="19">
        <v>36</v>
      </c>
      <c r="C161" s="2">
        <v>47</v>
      </c>
      <c r="D161" s="19">
        <v>0</v>
      </c>
      <c r="E161" s="19">
        <v>16</v>
      </c>
      <c r="F161" s="19">
        <v>3</v>
      </c>
      <c r="G161" s="19">
        <v>19</v>
      </c>
      <c r="H161" s="19">
        <v>16</v>
      </c>
      <c r="I161" s="19">
        <v>20</v>
      </c>
      <c r="J161" s="20">
        <f t="shared" si="7"/>
        <v>157</v>
      </c>
      <c r="K161" s="2">
        <v>1</v>
      </c>
    </row>
    <row r="162" spans="1:11" ht="19.5" thickBot="1" x14ac:dyDescent="0.35">
      <c r="A162" s="49" t="s">
        <v>94</v>
      </c>
      <c r="B162" s="38">
        <v>229</v>
      </c>
      <c r="C162" s="38">
        <v>211</v>
      </c>
      <c r="D162" s="39">
        <v>6</v>
      </c>
      <c r="E162" s="39">
        <v>57</v>
      </c>
      <c r="F162" s="39">
        <v>11</v>
      </c>
      <c r="G162" s="39">
        <v>110</v>
      </c>
      <c r="H162" s="39">
        <v>105</v>
      </c>
      <c r="I162" s="39">
        <v>99</v>
      </c>
      <c r="J162" s="40">
        <f>SUM(B162:I162)</f>
        <v>828</v>
      </c>
      <c r="K162" s="1">
        <v>1</v>
      </c>
    </row>
    <row r="163" spans="1:11" ht="19.5" thickBot="1" x14ac:dyDescent="0.3">
      <c r="A163" s="41" t="s">
        <v>7</v>
      </c>
      <c r="B163" s="42">
        <f>SUBTOTAL(109,Table1345710111719[BOX 2 &amp; 11])</f>
        <v>361</v>
      </c>
      <c r="C163" s="43">
        <f>SUBTOTAL(109,Table1345710111719[BOX 3 &amp; 12])</f>
        <v>361</v>
      </c>
      <c r="D163" s="43">
        <f>SUBTOTAL(109,Table1345710111719[BOX 4])</f>
        <v>7</v>
      </c>
      <c r="E163" s="43">
        <f>SUBTOTAL(109,Table1345710111719[BOX 5])</f>
        <v>96</v>
      </c>
      <c r="F163" s="43">
        <f>SUBTOTAL(109,Table1345710111719[BOX 6])</f>
        <v>18</v>
      </c>
      <c r="G163" s="93">
        <f>SUBTOTAL(109,Table1345710111719[BOX 10])</f>
        <v>157</v>
      </c>
      <c r="H163" s="43">
        <f>SUBTOTAL(109,Table1345710111719[BOX 1 &amp; 8])</f>
        <v>147</v>
      </c>
      <c r="I163" s="43">
        <f>SUBTOTAL(109,Table1345710111719[BOX 7])</f>
        <v>161</v>
      </c>
      <c r="J163" s="44">
        <f>SUBTOTAL(109,Table1345710111719[TOTAL])</f>
        <v>1308</v>
      </c>
      <c r="K163" s="105"/>
    </row>
    <row r="164" spans="1:11" ht="15.75" x14ac:dyDescent="0.25">
      <c r="A164" s="29" t="s">
        <v>1</v>
      </c>
      <c r="B164" s="45">
        <v>0</v>
      </c>
      <c r="C164" s="45">
        <v>2</v>
      </c>
      <c r="D164" s="45">
        <v>0</v>
      </c>
      <c r="E164" s="45">
        <v>0</v>
      </c>
      <c r="F164" s="45">
        <v>0</v>
      </c>
      <c r="G164" s="45">
        <v>0</v>
      </c>
      <c r="H164" s="45">
        <v>1</v>
      </c>
      <c r="I164" s="45">
        <v>0</v>
      </c>
      <c r="J164" s="46">
        <f>SUM(B164:I164)</f>
        <v>3</v>
      </c>
    </row>
    <row r="165" spans="1:11" ht="15.75" x14ac:dyDescent="0.25">
      <c r="A165" s="32" t="s">
        <v>0</v>
      </c>
      <c r="B165" s="30">
        <v>246</v>
      </c>
      <c r="C165" s="30">
        <v>336</v>
      </c>
      <c r="D165" s="30">
        <v>11</v>
      </c>
      <c r="E165" s="33">
        <v>56</v>
      </c>
      <c r="F165" s="33">
        <v>17</v>
      </c>
      <c r="G165" s="33">
        <v>142</v>
      </c>
      <c r="H165" s="33">
        <v>113</v>
      </c>
      <c r="I165" s="33">
        <v>136</v>
      </c>
      <c r="J165" s="34">
        <f>SUM(B165:I165)</f>
        <v>1057</v>
      </c>
      <c r="K165" s="62">
        <v>2</v>
      </c>
    </row>
    <row r="167" spans="1:11" ht="45" x14ac:dyDescent="0.25">
      <c r="A167" s="58" t="s">
        <v>95</v>
      </c>
      <c r="B167" s="9" t="s">
        <v>8</v>
      </c>
      <c r="C167" s="9" t="s">
        <v>16</v>
      </c>
      <c r="D167" s="36" t="s">
        <v>12</v>
      </c>
      <c r="E167" s="9" t="s">
        <v>10</v>
      </c>
      <c r="F167" s="37" t="s">
        <v>11</v>
      </c>
      <c r="G167" s="9" t="s">
        <v>18</v>
      </c>
      <c r="H167" s="9" t="s">
        <v>9</v>
      </c>
      <c r="I167" s="9" t="s">
        <v>17</v>
      </c>
      <c r="J167" s="11"/>
    </row>
    <row r="168" spans="1:11" ht="15.75" x14ac:dyDescent="0.25">
      <c r="A168" s="12" t="s">
        <v>2</v>
      </c>
      <c r="B168" s="13" t="s">
        <v>34</v>
      </c>
      <c r="C168" s="14" t="s">
        <v>15</v>
      </c>
      <c r="D168" s="15" t="s">
        <v>3</v>
      </c>
      <c r="E168" s="15" t="s">
        <v>4</v>
      </c>
      <c r="F168" s="15" t="s">
        <v>5</v>
      </c>
      <c r="G168" s="15" t="s">
        <v>14</v>
      </c>
      <c r="H168" s="15" t="s">
        <v>35</v>
      </c>
      <c r="I168" s="15" t="s">
        <v>13</v>
      </c>
      <c r="J168" s="16" t="s">
        <v>6</v>
      </c>
      <c r="K168" s="104" t="s">
        <v>154</v>
      </c>
    </row>
    <row r="169" spans="1:11" ht="18.75" x14ac:dyDescent="0.25">
      <c r="A169" s="49" t="s">
        <v>96</v>
      </c>
      <c r="B169" s="19">
        <v>250</v>
      </c>
      <c r="C169" s="2">
        <v>248</v>
      </c>
      <c r="D169" s="19">
        <v>6</v>
      </c>
      <c r="E169" s="19">
        <v>67</v>
      </c>
      <c r="F169" s="19">
        <v>11</v>
      </c>
      <c r="G169" s="19">
        <v>119</v>
      </c>
      <c r="H169" s="19">
        <v>115</v>
      </c>
      <c r="I169" s="19">
        <v>120</v>
      </c>
      <c r="J169" s="20">
        <f t="shared" ref="J169:J170" si="8">SUM(B169:I169)</f>
        <v>936</v>
      </c>
      <c r="K169" s="103">
        <v>1</v>
      </c>
    </row>
    <row r="170" spans="1:11" ht="19.5" thickBot="1" x14ac:dyDescent="0.3">
      <c r="A170" s="49" t="s">
        <v>97</v>
      </c>
      <c r="B170" s="39">
        <v>83</v>
      </c>
      <c r="C170" s="1">
        <v>82</v>
      </c>
      <c r="D170" s="39">
        <v>1</v>
      </c>
      <c r="E170" s="39">
        <v>23</v>
      </c>
      <c r="F170" s="39">
        <v>7</v>
      </c>
      <c r="G170" s="39">
        <v>31</v>
      </c>
      <c r="H170" s="39">
        <v>27</v>
      </c>
      <c r="I170" s="39">
        <v>30</v>
      </c>
      <c r="J170" s="40">
        <f t="shared" si="8"/>
        <v>284</v>
      </c>
      <c r="K170" s="1">
        <v>2</v>
      </c>
    </row>
    <row r="171" spans="1:11" ht="19.5" thickBot="1" x14ac:dyDescent="0.3">
      <c r="A171" s="41" t="s">
        <v>7</v>
      </c>
      <c r="B171" s="42">
        <f>SUBTOTAL(109,Table1345710111720[BOX 2 &amp; 11])</f>
        <v>333</v>
      </c>
      <c r="C171" s="43">
        <f>SUBTOTAL(109,Table1345710111720[BOX 3 &amp; 12])</f>
        <v>330</v>
      </c>
      <c r="D171" s="43">
        <f>SUBTOTAL(109,Table1345710111720[BOX 4])</f>
        <v>7</v>
      </c>
      <c r="E171" s="43">
        <f>SUBTOTAL(109,Table1345710111720[BOX 5])</f>
        <v>90</v>
      </c>
      <c r="F171" s="43">
        <f>SUBTOTAL(109,Table1345710111720[BOX 6])</f>
        <v>18</v>
      </c>
      <c r="G171" s="93">
        <f>SUBTOTAL(109,Table1345710111720[BOX 10])</f>
        <v>150</v>
      </c>
      <c r="H171" s="43">
        <f>SUBTOTAL(109,Table1345710111720[BOX 1 &amp; 8])</f>
        <v>142</v>
      </c>
      <c r="I171" s="43">
        <f>SUBTOTAL(109,Table1345710111720[BOX 7])</f>
        <v>150</v>
      </c>
      <c r="J171" s="44">
        <f>SUBTOTAL(109,Table1345710111720[TOTAL])</f>
        <v>1220</v>
      </c>
      <c r="K171" s="105"/>
    </row>
    <row r="172" spans="1:11" ht="15.75" x14ac:dyDescent="0.25">
      <c r="A172" s="29" t="s">
        <v>1</v>
      </c>
      <c r="B172" s="45">
        <v>0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6">
        <f>SUM(B172:I172)</f>
        <v>0</v>
      </c>
    </row>
    <row r="173" spans="1:11" ht="15.75" x14ac:dyDescent="0.25">
      <c r="A173" s="32" t="s">
        <v>0</v>
      </c>
      <c r="B173" s="30">
        <v>274</v>
      </c>
      <c r="C173" s="30">
        <v>369</v>
      </c>
      <c r="D173" s="30">
        <v>11</v>
      </c>
      <c r="E173" s="33">
        <v>62</v>
      </c>
      <c r="F173" s="33">
        <v>17</v>
      </c>
      <c r="G173" s="33">
        <v>149</v>
      </c>
      <c r="H173" s="33">
        <v>119</v>
      </c>
      <c r="I173" s="33">
        <v>147</v>
      </c>
      <c r="J173" s="34">
        <f>SUM(B173:I173)</f>
        <v>1148</v>
      </c>
      <c r="K173" s="62">
        <v>3</v>
      </c>
    </row>
    <row r="175" spans="1:11" ht="45" x14ac:dyDescent="0.25">
      <c r="A175" s="59" t="s">
        <v>98</v>
      </c>
      <c r="B175" s="9" t="s">
        <v>8</v>
      </c>
      <c r="C175" s="9" t="s">
        <v>16</v>
      </c>
      <c r="D175" s="36" t="s">
        <v>12</v>
      </c>
      <c r="E175" s="9" t="s">
        <v>10</v>
      </c>
      <c r="F175" s="37" t="s">
        <v>11</v>
      </c>
      <c r="G175" s="9" t="s">
        <v>18</v>
      </c>
      <c r="H175" s="9" t="s">
        <v>9</v>
      </c>
      <c r="I175" s="9" t="s">
        <v>17</v>
      </c>
      <c r="J175" s="11"/>
    </row>
    <row r="176" spans="1:11" ht="15.75" x14ac:dyDescent="0.25">
      <c r="A176" s="12" t="s">
        <v>2</v>
      </c>
      <c r="B176" s="13" t="s">
        <v>34</v>
      </c>
      <c r="C176" s="14" t="s">
        <v>15</v>
      </c>
      <c r="D176" s="15" t="s">
        <v>3</v>
      </c>
      <c r="E176" s="15" t="s">
        <v>4</v>
      </c>
      <c r="F176" s="15" t="s">
        <v>5</v>
      </c>
      <c r="G176" s="15" t="s">
        <v>14</v>
      </c>
      <c r="H176" s="15" t="s">
        <v>35</v>
      </c>
      <c r="I176" s="15" t="s">
        <v>13</v>
      </c>
      <c r="J176" s="16" t="s">
        <v>6</v>
      </c>
      <c r="K176" s="104" t="s">
        <v>154</v>
      </c>
    </row>
    <row r="177" spans="1:11" ht="19.5" thickBot="1" x14ac:dyDescent="0.3">
      <c r="A177" s="49" t="s">
        <v>99</v>
      </c>
      <c r="B177" s="39">
        <v>321</v>
      </c>
      <c r="C177" s="1">
        <v>352</v>
      </c>
      <c r="D177" s="39">
        <v>7</v>
      </c>
      <c r="E177" s="39">
        <v>69</v>
      </c>
      <c r="F177" s="39">
        <v>14</v>
      </c>
      <c r="G177" s="39">
        <v>141</v>
      </c>
      <c r="H177" s="39">
        <v>129</v>
      </c>
      <c r="I177" s="39">
        <v>153</v>
      </c>
      <c r="J177" s="40">
        <f t="shared" ref="J177" si="9">SUM(B177:I177)</f>
        <v>1186</v>
      </c>
      <c r="K177" s="110">
        <v>2</v>
      </c>
    </row>
    <row r="178" spans="1:11" ht="19.5" thickBot="1" x14ac:dyDescent="0.3">
      <c r="A178" s="41" t="s">
        <v>7</v>
      </c>
      <c r="B178" s="42">
        <f>SUBTOTAL(109,Table1345710111721[BOX 2 &amp; 11])</f>
        <v>321</v>
      </c>
      <c r="C178" s="43">
        <f>SUBTOTAL(109,Table1345710111721[BOX 3 &amp; 12])</f>
        <v>352</v>
      </c>
      <c r="D178" s="43">
        <f>SUBTOTAL(109,Table1345710111721[BOX 4])</f>
        <v>7</v>
      </c>
      <c r="E178" s="43">
        <f>SUBTOTAL(109,Table1345710111721[BOX 5])</f>
        <v>69</v>
      </c>
      <c r="F178" s="43">
        <f>SUBTOTAL(109,Table1345710111721[BOX 6])</f>
        <v>14</v>
      </c>
      <c r="G178" s="93">
        <f>SUBTOTAL(109,Table1345710111721[BOX 10])</f>
        <v>141</v>
      </c>
      <c r="H178" s="43">
        <f>SUBTOTAL(109,Table1345710111721[BOX 1 &amp; 8])</f>
        <v>129</v>
      </c>
      <c r="I178" s="43">
        <f>SUBTOTAL(109,Table1345710111721[BOX 7])</f>
        <v>153</v>
      </c>
      <c r="J178" s="44">
        <f>SUBTOTAL(109,Table1345710111721[TOTAL])</f>
        <v>1186</v>
      </c>
      <c r="K178" s="105"/>
    </row>
    <row r="179" spans="1:11" ht="15.75" x14ac:dyDescent="0.25">
      <c r="A179" s="29" t="s">
        <v>1</v>
      </c>
      <c r="B179" s="45">
        <v>0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6">
        <f>SUM(B179:I179)</f>
        <v>0</v>
      </c>
    </row>
    <row r="180" spans="1:11" ht="15.75" x14ac:dyDescent="0.25">
      <c r="A180" s="32" t="s">
        <v>0</v>
      </c>
      <c r="B180" s="30">
        <v>286</v>
      </c>
      <c r="C180" s="30">
        <v>347</v>
      </c>
      <c r="D180" s="30">
        <v>11</v>
      </c>
      <c r="E180" s="33">
        <v>83</v>
      </c>
      <c r="F180" s="33">
        <v>21</v>
      </c>
      <c r="G180" s="33">
        <v>158</v>
      </c>
      <c r="H180" s="33">
        <v>132</v>
      </c>
      <c r="I180" s="33">
        <v>144</v>
      </c>
      <c r="J180" s="34">
        <f>SUM(B180:I180)</f>
        <v>1182</v>
      </c>
      <c r="K180" s="62">
        <v>4</v>
      </c>
    </row>
    <row r="181" spans="1:11" ht="45" x14ac:dyDescent="0.25">
      <c r="A181" s="58" t="s">
        <v>100</v>
      </c>
      <c r="B181" s="9" t="s">
        <v>8</v>
      </c>
      <c r="C181" s="9" t="s">
        <v>16</v>
      </c>
      <c r="D181" s="36" t="s">
        <v>12</v>
      </c>
      <c r="E181" s="9" t="s">
        <v>10</v>
      </c>
      <c r="F181" s="37" t="s">
        <v>11</v>
      </c>
      <c r="G181" s="9" t="s">
        <v>18</v>
      </c>
      <c r="H181" s="9" t="s">
        <v>9</v>
      </c>
      <c r="I181" s="9" t="s">
        <v>17</v>
      </c>
      <c r="J181" s="11"/>
    </row>
    <row r="182" spans="1:11" ht="15.75" x14ac:dyDescent="0.25">
      <c r="A182" s="12" t="s">
        <v>2</v>
      </c>
      <c r="B182" s="13" t="s">
        <v>34</v>
      </c>
      <c r="C182" s="14" t="s">
        <v>15</v>
      </c>
      <c r="D182" s="15" t="s">
        <v>3</v>
      </c>
      <c r="E182" s="15" t="s">
        <v>4</v>
      </c>
      <c r="F182" s="15" t="s">
        <v>5</v>
      </c>
      <c r="G182" s="15" t="s">
        <v>14</v>
      </c>
      <c r="H182" s="15" t="s">
        <v>35</v>
      </c>
      <c r="I182" s="15" t="s">
        <v>13</v>
      </c>
      <c r="J182" s="16" t="s">
        <v>6</v>
      </c>
      <c r="K182" s="104" t="s">
        <v>154</v>
      </c>
    </row>
    <row r="183" spans="1:11" ht="19.5" thickBot="1" x14ac:dyDescent="0.3">
      <c r="A183" s="49" t="s">
        <v>101</v>
      </c>
      <c r="B183" s="39">
        <v>393</v>
      </c>
      <c r="C183" s="1">
        <v>417</v>
      </c>
      <c r="D183" s="39">
        <v>9</v>
      </c>
      <c r="E183" s="39">
        <v>87</v>
      </c>
      <c r="F183" s="39">
        <v>20</v>
      </c>
      <c r="G183" s="39">
        <v>180</v>
      </c>
      <c r="H183" s="39">
        <v>152</v>
      </c>
      <c r="I183" s="39">
        <v>179</v>
      </c>
      <c r="J183" s="40">
        <f t="shared" ref="J183" si="10">SUM(B183:I183)</f>
        <v>1437</v>
      </c>
      <c r="K183" s="110">
        <v>2</v>
      </c>
    </row>
    <row r="184" spans="1:11" ht="19.5" thickBot="1" x14ac:dyDescent="0.3">
      <c r="A184" s="41" t="s">
        <v>7</v>
      </c>
      <c r="B184" s="42">
        <f>SUBTOTAL(109,Table134571011172122[BOX 2 &amp; 11])</f>
        <v>393</v>
      </c>
      <c r="C184" s="43">
        <f>SUBTOTAL(109,Table134571011172122[BOX 3 &amp; 12])</f>
        <v>417</v>
      </c>
      <c r="D184" s="43">
        <f>SUBTOTAL(109,Table134571011172122[BOX 4])</f>
        <v>9</v>
      </c>
      <c r="E184" s="43">
        <f>SUBTOTAL(109,Table134571011172122[BOX 5])</f>
        <v>87</v>
      </c>
      <c r="F184" s="43">
        <f>SUBTOTAL(109,Table134571011172122[BOX 6])</f>
        <v>20</v>
      </c>
      <c r="G184" s="93">
        <f>SUBTOTAL(109,Table134571011172122[BOX 10])</f>
        <v>180</v>
      </c>
      <c r="H184" s="43">
        <f>SUBTOTAL(109,Table134571011172122[BOX 1 &amp; 8])</f>
        <v>152</v>
      </c>
      <c r="I184" s="43">
        <f>SUBTOTAL(109,Table134571011172122[BOX 7])</f>
        <v>179</v>
      </c>
      <c r="J184" s="44">
        <f>SUBTOTAL(109,Table134571011172122[TOTAL])</f>
        <v>1437</v>
      </c>
      <c r="K184" s="105"/>
    </row>
    <row r="185" spans="1:11" ht="15.75" x14ac:dyDescent="0.25">
      <c r="A185" s="29" t="s">
        <v>1</v>
      </c>
      <c r="B185" s="45">
        <v>0</v>
      </c>
      <c r="C185" s="45">
        <v>0</v>
      </c>
      <c r="D185" s="45">
        <v>0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6">
        <f>SUM(B185:I185)</f>
        <v>0</v>
      </c>
    </row>
    <row r="186" spans="1:11" ht="15.75" x14ac:dyDescent="0.25">
      <c r="A186" s="32" t="s">
        <v>0</v>
      </c>
      <c r="B186" s="30">
        <v>214</v>
      </c>
      <c r="C186" s="30">
        <v>282</v>
      </c>
      <c r="D186" s="30">
        <v>9</v>
      </c>
      <c r="E186" s="33">
        <v>65</v>
      </c>
      <c r="F186" s="33">
        <v>15</v>
      </c>
      <c r="G186" s="33">
        <v>119</v>
      </c>
      <c r="H186" s="33">
        <v>109</v>
      </c>
      <c r="I186" s="33">
        <v>118</v>
      </c>
      <c r="J186" s="34">
        <f>SUM(B186:I186)</f>
        <v>931</v>
      </c>
      <c r="K186" s="62">
        <v>4</v>
      </c>
    </row>
    <row r="188" spans="1:11" ht="45" x14ac:dyDescent="0.25">
      <c r="A188" s="58" t="s">
        <v>102</v>
      </c>
      <c r="B188" s="9" t="s">
        <v>8</v>
      </c>
      <c r="C188" s="9" t="s">
        <v>16</v>
      </c>
      <c r="D188" s="36" t="s">
        <v>12</v>
      </c>
      <c r="E188" s="9" t="s">
        <v>10</v>
      </c>
      <c r="F188" s="37" t="s">
        <v>11</v>
      </c>
      <c r="G188" s="9" t="s">
        <v>18</v>
      </c>
      <c r="H188" s="9" t="s">
        <v>9</v>
      </c>
      <c r="I188" s="9" t="s">
        <v>17</v>
      </c>
      <c r="J188" s="11"/>
    </row>
    <row r="189" spans="1:11" ht="15.75" x14ac:dyDescent="0.25">
      <c r="A189" s="12" t="s">
        <v>2</v>
      </c>
      <c r="B189" s="13" t="s">
        <v>34</v>
      </c>
      <c r="C189" s="14" t="s">
        <v>15</v>
      </c>
      <c r="D189" s="15" t="s">
        <v>3</v>
      </c>
      <c r="E189" s="15" t="s">
        <v>4</v>
      </c>
      <c r="F189" s="15" t="s">
        <v>5</v>
      </c>
      <c r="G189" s="15" t="s">
        <v>14</v>
      </c>
      <c r="H189" s="15" t="s">
        <v>35</v>
      </c>
      <c r="I189" s="15" t="s">
        <v>13</v>
      </c>
      <c r="J189" s="16" t="s">
        <v>6</v>
      </c>
      <c r="K189" s="104" t="s">
        <v>154</v>
      </c>
    </row>
    <row r="190" spans="1:11" ht="18.75" x14ac:dyDescent="0.25">
      <c r="A190" s="49" t="s">
        <v>103</v>
      </c>
      <c r="B190" s="19">
        <v>300</v>
      </c>
      <c r="C190" s="2">
        <v>399</v>
      </c>
      <c r="D190" s="97">
        <v>3</v>
      </c>
      <c r="E190" s="94">
        <v>123</v>
      </c>
      <c r="F190" s="94">
        <v>27</v>
      </c>
      <c r="G190" s="94">
        <v>160</v>
      </c>
      <c r="H190" s="94">
        <v>127</v>
      </c>
      <c r="I190" s="94">
        <v>165</v>
      </c>
      <c r="J190" s="20">
        <f>SUM(Table13457101117212223[[#This Row],[BOX 2 &amp; 11]:[BOX 7]])</f>
        <v>1304</v>
      </c>
      <c r="K190" s="111">
        <v>1</v>
      </c>
    </row>
    <row r="191" spans="1:11" ht="19.5" thickBot="1" x14ac:dyDescent="0.3">
      <c r="A191" s="60" t="s">
        <v>104</v>
      </c>
      <c r="B191" s="61">
        <f t="shared" ref="B191" si="11">SUBTOTAL(109,B190)</f>
        <v>300</v>
      </c>
      <c r="C191" s="1">
        <v>293</v>
      </c>
      <c r="D191" s="95">
        <v>14</v>
      </c>
      <c r="E191" s="95">
        <v>27</v>
      </c>
      <c r="F191" s="95">
        <v>8</v>
      </c>
      <c r="G191" s="95">
        <v>127</v>
      </c>
      <c r="H191" s="95">
        <v>130</v>
      </c>
      <c r="I191" s="95">
        <v>131</v>
      </c>
      <c r="J191" s="40">
        <f>SUM(Table13457101117212223[[#This Row],[BOX 2 &amp; 11]:[BOX 7]])</f>
        <v>1030</v>
      </c>
      <c r="K191" s="112">
        <v>4</v>
      </c>
    </row>
    <row r="192" spans="1:11" ht="19.5" thickBot="1" x14ac:dyDescent="0.3">
      <c r="A192" s="41" t="s">
        <v>7</v>
      </c>
      <c r="B192" s="42">
        <f>SUBTOTAL(109,Table13457101117212223[BOX 2 &amp; 11])</f>
        <v>300</v>
      </c>
      <c r="C192" s="43">
        <f>SUBTOTAL(109,Table13457101117212223[BOX 3 &amp; 12])</f>
        <v>692</v>
      </c>
      <c r="D192" s="43">
        <f>SUBTOTAL(109,Table13457101117212223[BOX 4])</f>
        <v>17</v>
      </c>
      <c r="E192" s="43">
        <f>SUBTOTAL(109,Table13457101117212223[BOX 5])</f>
        <v>150</v>
      </c>
      <c r="F192" s="43">
        <f>SUBTOTAL(109,Table13457101117212223[BOX 6])</f>
        <v>35</v>
      </c>
      <c r="G192" s="96">
        <f>SUBTOTAL(109,Table13457101117212223[BOX 10])</f>
        <v>287</v>
      </c>
      <c r="H192" s="96">
        <f>SUBTOTAL(109,Table13457101117212223[BOX 1 &amp; 8])</f>
        <v>257</v>
      </c>
      <c r="I192" s="96">
        <f>SUBTOTAL(109,Table13457101117212223[BOX 7])</f>
        <v>296</v>
      </c>
      <c r="J192" s="98">
        <f>SUBTOTAL(109,Table13457101117212223[TOTAL])</f>
        <v>2334</v>
      </c>
      <c r="K192" s="105"/>
    </row>
    <row r="193" spans="1:11" ht="15.75" x14ac:dyDescent="0.25">
      <c r="A193" s="29" t="s">
        <v>1</v>
      </c>
      <c r="B193" s="45">
        <v>0</v>
      </c>
      <c r="C193" s="45">
        <v>0</v>
      </c>
      <c r="D193" s="45">
        <v>0</v>
      </c>
      <c r="E193" s="45">
        <v>0</v>
      </c>
      <c r="F193" s="45">
        <v>0</v>
      </c>
      <c r="G193" s="45">
        <v>1</v>
      </c>
      <c r="H193" s="45">
        <v>1</v>
      </c>
      <c r="I193" s="45">
        <v>0</v>
      </c>
      <c r="J193" s="46">
        <f>SUM(B193:I193)</f>
        <v>2</v>
      </c>
    </row>
    <row r="194" spans="1:11" ht="15.75" x14ac:dyDescent="0.25">
      <c r="A194" s="32" t="s">
        <v>0</v>
      </c>
      <c r="B194" s="30">
        <v>7</v>
      </c>
      <c r="C194" s="30">
        <v>7</v>
      </c>
      <c r="D194" s="30">
        <v>1</v>
      </c>
      <c r="E194" s="33">
        <v>2</v>
      </c>
      <c r="F194" s="33">
        <v>0</v>
      </c>
      <c r="G194" s="33">
        <v>11</v>
      </c>
      <c r="H194" s="33">
        <v>3</v>
      </c>
      <c r="I194" s="33">
        <v>1</v>
      </c>
      <c r="J194" s="34">
        <f>SUM(B194:I194)</f>
        <v>32</v>
      </c>
      <c r="K194" s="62">
        <v>1</v>
      </c>
    </row>
    <row r="197" spans="1:11" ht="45" x14ac:dyDescent="0.25">
      <c r="A197" s="58" t="s">
        <v>105</v>
      </c>
      <c r="B197" s="9" t="s">
        <v>8</v>
      </c>
      <c r="C197" s="9" t="s">
        <v>16</v>
      </c>
      <c r="D197" s="36" t="s">
        <v>12</v>
      </c>
      <c r="E197" s="9" t="s">
        <v>10</v>
      </c>
      <c r="F197" s="37" t="s">
        <v>11</v>
      </c>
      <c r="G197" s="9" t="s">
        <v>18</v>
      </c>
      <c r="H197" s="9" t="s">
        <v>9</v>
      </c>
      <c r="I197" s="9" t="s">
        <v>17</v>
      </c>
      <c r="J197" s="11"/>
    </row>
    <row r="198" spans="1:11" ht="15.75" x14ac:dyDescent="0.25">
      <c r="A198" s="12" t="s">
        <v>2</v>
      </c>
      <c r="B198" s="13" t="s">
        <v>34</v>
      </c>
      <c r="C198" s="14" t="s">
        <v>15</v>
      </c>
      <c r="D198" s="15" t="s">
        <v>3</v>
      </c>
      <c r="E198" s="15" t="s">
        <v>4</v>
      </c>
      <c r="F198" s="15" t="s">
        <v>5</v>
      </c>
      <c r="G198" s="15" t="s">
        <v>14</v>
      </c>
      <c r="H198" s="15" t="s">
        <v>35</v>
      </c>
      <c r="I198" s="15" t="s">
        <v>13</v>
      </c>
      <c r="J198" s="16" t="s">
        <v>6</v>
      </c>
      <c r="K198" s="104" t="s">
        <v>154</v>
      </c>
    </row>
    <row r="199" spans="1:11" ht="19.5" thickBot="1" x14ac:dyDescent="0.3">
      <c r="A199" s="49" t="s">
        <v>106</v>
      </c>
      <c r="B199" s="39">
        <v>401</v>
      </c>
      <c r="C199" s="1">
        <v>451</v>
      </c>
      <c r="D199" s="39">
        <v>11</v>
      </c>
      <c r="E199" s="39">
        <v>87</v>
      </c>
      <c r="F199" s="39">
        <v>18</v>
      </c>
      <c r="G199" s="39">
        <v>191</v>
      </c>
      <c r="H199" s="39">
        <v>162</v>
      </c>
      <c r="I199" s="39">
        <v>187</v>
      </c>
      <c r="J199" s="40">
        <f t="shared" ref="J199" si="12">SUM(B199:I199)</f>
        <v>1508</v>
      </c>
      <c r="K199" s="110">
        <v>3</v>
      </c>
    </row>
    <row r="200" spans="1:11" ht="19.5" thickBot="1" x14ac:dyDescent="0.3">
      <c r="A200" s="41" t="s">
        <v>7</v>
      </c>
      <c r="B200" s="42">
        <f>SUBTOTAL(109,Table13457101117212224[BOX 2 &amp; 11])</f>
        <v>401</v>
      </c>
      <c r="C200" s="43">
        <f>SUBTOTAL(109,Table13457101117212224[BOX 3 &amp; 12])</f>
        <v>451</v>
      </c>
      <c r="D200" s="43">
        <f>SUBTOTAL(109,Table13457101117212224[BOX 4])</f>
        <v>11</v>
      </c>
      <c r="E200" s="43">
        <f>SUBTOTAL(109,Table13457101117212224[BOX 5])</f>
        <v>87</v>
      </c>
      <c r="F200" s="43">
        <f>SUBTOTAL(109,Table13457101117212224[BOX 6])</f>
        <v>18</v>
      </c>
      <c r="G200" s="43">
        <f>SUBTOTAL(109,Table13457101117212224[BOX 10])</f>
        <v>191</v>
      </c>
      <c r="H200" s="43">
        <f>SUBTOTAL(109,Table13457101117212224[BOX 1 &amp; 8])</f>
        <v>162</v>
      </c>
      <c r="I200" s="43">
        <f>SUBTOTAL(109,Table13457101117212224[BOX 7])</f>
        <v>187</v>
      </c>
      <c r="J200" s="44">
        <f>SUBTOTAL(109,Table13457101117212224[TOTAL])</f>
        <v>1508</v>
      </c>
      <c r="K200" s="105"/>
    </row>
    <row r="201" spans="1:11" ht="15.75" x14ac:dyDescent="0.25">
      <c r="A201" s="29" t="s">
        <v>1</v>
      </c>
      <c r="B201" s="45">
        <v>0</v>
      </c>
      <c r="C201" s="45">
        <v>0</v>
      </c>
      <c r="D201" s="45">
        <v>0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6">
        <f>SUM(B201:I201)</f>
        <v>0</v>
      </c>
    </row>
    <row r="202" spans="1:11" ht="15.75" x14ac:dyDescent="0.25">
      <c r="A202" s="32" t="s">
        <v>0</v>
      </c>
      <c r="B202" s="30">
        <v>206</v>
      </c>
      <c r="C202" s="30">
        <v>248</v>
      </c>
      <c r="D202" s="30">
        <v>7</v>
      </c>
      <c r="E202" s="33">
        <v>65</v>
      </c>
      <c r="F202" s="33">
        <v>17</v>
      </c>
      <c r="G202" s="33">
        <v>108</v>
      </c>
      <c r="H202" s="33">
        <v>99</v>
      </c>
      <c r="I202" s="33">
        <v>110</v>
      </c>
      <c r="J202" s="34">
        <f>SUM(B202:I202)</f>
        <v>860</v>
      </c>
      <c r="K202" s="62">
        <v>3</v>
      </c>
    </row>
    <row r="203" spans="1:11" x14ac:dyDescent="0.25">
      <c r="H203" s="62"/>
      <c r="I203" s="62"/>
      <c r="J203" s="62"/>
    </row>
    <row r="204" spans="1:11" ht="45" x14ac:dyDescent="0.25">
      <c r="A204" s="58" t="s">
        <v>107</v>
      </c>
      <c r="B204" s="9" t="s">
        <v>8</v>
      </c>
      <c r="C204" s="9" t="s">
        <v>16</v>
      </c>
      <c r="D204" s="36" t="s">
        <v>12</v>
      </c>
      <c r="E204" s="9" t="s">
        <v>10</v>
      </c>
      <c r="F204" s="37" t="s">
        <v>11</v>
      </c>
      <c r="G204" s="9" t="s">
        <v>18</v>
      </c>
      <c r="H204" s="9" t="s">
        <v>9</v>
      </c>
      <c r="I204" s="9" t="s">
        <v>17</v>
      </c>
      <c r="J204" s="11"/>
    </row>
    <row r="205" spans="1:11" ht="15.75" x14ac:dyDescent="0.25">
      <c r="A205" s="12" t="s">
        <v>2</v>
      </c>
      <c r="B205" s="63" t="s">
        <v>34</v>
      </c>
      <c r="C205" s="14" t="s">
        <v>15</v>
      </c>
      <c r="D205" s="15" t="s">
        <v>3</v>
      </c>
      <c r="E205" s="15" t="s">
        <v>4</v>
      </c>
      <c r="F205" s="15" t="s">
        <v>5</v>
      </c>
      <c r="G205" s="15" t="s">
        <v>14</v>
      </c>
      <c r="H205" s="15" t="s">
        <v>35</v>
      </c>
      <c r="I205" s="15" t="s">
        <v>13</v>
      </c>
      <c r="J205" s="16" t="s">
        <v>6</v>
      </c>
      <c r="K205" s="104" t="s">
        <v>154</v>
      </c>
    </row>
    <row r="206" spans="1:11" ht="18.75" x14ac:dyDescent="0.25">
      <c r="A206" s="49" t="s">
        <v>108</v>
      </c>
      <c r="B206" s="64">
        <v>260</v>
      </c>
      <c r="C206" s="30" t="s">
        <v>148</v>
      </c>
      <c r="D206" s="30" t="s">
        <v>148</v>
      </c>
      <c r="E206" s="30" t="s">
        <v>148</v>
      </c>
      <c r="F206" s="30" t="s">
        <v>148</v>
      </c>
      <c r="G206" s="30" t="s">
        <v>148</v>
      </c>
      <c r="H206" s="30" t="s">
        <v>148</v>
      </c>
      <c r="I206" s="30" t="s">
        <v>148</v>
      </c>
      <c r="J206" s="20">
        <f t="shared" ref="J206" si="13">SUM(B206:I206)</f>
        <v>260</v>
      </c>
      <c r="K206" s="45">
        <v>2</v>
      </c>
    </row>
    <row r="207" spans="1:11" ht="19.5" thickBot="1" x14ac:dyDescent="0.3">
      <c r="A207" s="65" t="s">
        <v>109</v>
      </c>
      <c r="B207" s="66">
        <v>280</v>
      </c>
      <c r="C207" s="30" t="s">
        <v>148</v>
      </c>
      <c r="D207" s="30" t="s">
        <v>148</v>
      </c>
      <c r="E207" s="30" t="s">
        <v>148</v>
      </c>
      <c r="F207" s="30" t="s">
        <v>148</v>
      </c>
      <c r="G207" s="30" t="s">
        <v>148</v>
      </c>
      <c r="H207" s="30" t="s">
        <v>148</v>
      </c>
      <c r="I207" s="30" t="s">
        <v>148</v>
      </c>
      <c r="J207" s="40">
        <f>SUM(Table13457101117212226[[#This Row],[BOX 2 &amp; 11]:[BOX 7]])</f>
        <v>280</v>
      </c>
      <c r="K207" s="33"/>
    </row>
    <row r="208" spans="1:11" ht="19.5" thickBot="1" x14ac:dyDescent="0.3">
      <c r="A208" s="41" t="s">
        <v>7</v>
      </c>
      <c r="B208" s="67">
        <f>SUBTOTAL(109,Table13457101117212226[BOX 2 &amp; 11])</f>
        <v>540</v>
      </c>
      <c r="C208" s="68"/>
      <c r="D208" s="69"/>
      <c r="E208" s="69"/>
      <c r="F208" s="69"/>
      <c r="G208" s="69"/>
      <c r="H208" s="69"/>
      <c r="I208" s="69"/>
      <c r="J208" s="70">
        <f>SUBTOTAL(109,Table13457101117212226[TOTAL])</f>
        <v>540</v>
      </c>
      <c r="K208" s="113"/>
    </row>
    <row r="209" spans="1:11" ht="15.75" x14ac:dyDescent="0.25">
      <c r="A209" s="29" t="s">
        <v>1</v>
      </c>
      <c r="B209" s="71">
        <v>0</v>
      </c>
      <c r="C209" s="45" t="s">
        <v>148</v>
      </c>
      <c r="D209" s="45" t="s">
        <v>148</v>
      </c>
      <c r="E209" s="45" t="s">
        <v>148</v>
      </c>
      <c r="F209" s="45" t="s">
        <v>148</v>
      </c>
      <c r="G209" s="45" t="s">
        <v>148</v>
      </c>
      <c r="H209" s="45" t="s">
        <v>148</v>
      </c>
      <c r="I209" s="45" t="s">
        <v>148</v>
      </c>
      <c r="J209" s="46">
        <f>SUM(B209:I209)</f>
        <v>0</v>
      </c>
    </row>
    <row r="210" spans="1:11" ht="15.75" x14ac:dyDescent="0.25">
      <c r="A210" s="32" t="s">
        <v>0</v>
      </c>
      <c r="B210" s="72">
        <v>67</v>
      </c>
      <c r="C210" s="30" t="s">
        <v>148</v>
      </c>
      <c r="D210" s="30" t="s">
        <v>148</v>
      </c>
      <c r="E210" s="30" t="s">
        <v>148</v>
      </c>
      <c r="F210" s="30" t="s">
        <v>148</v>
      </c>
      <c r="G210" s="30" t="s">
        <v>148</v>
      </c>
      <c r="H210" s="30" t="s">
        <v>148</v>
      </c>
      <c r="I210" s="30" t="s">
        <v>148</v>
      </c>
      <c r="J210" s="34">
        <f>SUM(B210:I210)</f>
        <v>67</v>
      </c>
    </row>
    <row r="212" spans="1:11" ht="45" x14ac:dyDescent="0.25">
      <c r="A212" s="58" t="s">
        <v>143</v>
      </c>
      <c r="B212" s="9" t="s">
        <v>8</v>
      </c>
      <c r="C212" s="9" t="s">
        <v>16</v>
      </c>
      <c r="D212" s="36" t="s">
        <v>12</v>
      </c>
      <c r="E212" s="9" t="s">
        <v>10</v>
      </c>
      <c r="F212" s="37" t="s">
        <v>11</v>
      </c>
      <c r="G212" s="9" t="s">
        <v>18</v>
      </c>
      <c r="H212" s="9" t="s">
        <v>9</v>
      </c>
      <c r="I212" s="9" t="s">
        <v>17</v>
      </c>
      <c r="J212" s="11"/>
    </row>
    <row r="213" spans="1:11" ht="15.75" x14ac:dyDescent="0.25">
      <c r="A213" s="12" t="s">
        <v>2</v>
      </c>
      <c r="B213" s="13" t="s">
        <v>34</v>
      </c>
      <c r="C213" s="14" t="s">
        <v>15</v>
      </c>
      <c r="D213" s="15" t="s">
        <v>3</v>
      </c>
      <c r="E213" s="73" t="s">
        <v>4</v>
      </c>
      <c r="F213" s="73" t="s">
        <v>5</v>
      </c>
      <c r="G213" s="73" t="s">
        <v>14</v>
      </c>
      <c r="H213" s="15" t="s">
        <v>35</v>
      </c>
      <c r="I213" s="15" t="s">
        <v>13</v>
      </c>
      <c r="J213" s="16" t="s">
        <v>6</v>
      </c>
      <c r="K213" s="104" t="s">
        <v>154</v>
      </c>
    </row>
    <row r="214" spans="1:11" ht="19.5" thickBot="1" x14ac:dyDescent="0.3">
      <c r="A214" s="49" t="s">
        <v>144</v>
      </c>
      <c r="B214" s="74" t="s">
        <v>148</v>
      </c>
      <c r="C214" s="74" t="s">
        <v>148</v>
      </c>
      <c r="D214" s="74" t="s">
        <v>148</v>
      </c>
      <c r="E214" s="75">
        <v>79</v>
      </c>
      <c r="F214" s="75">
        <v>14</v>
      </c>
      <c r="G214" s="75">
        <v>173</v>
      </c>
      <c r="H214" s="45" t="s">
        <v>148</v>
      </c>
      <c r="I214" s="45" t="s">
        <v>148</v>
      </c>
      <c r="J214" s="40">
        <f t="shared" ref="J214" si="14">SUM(B214:I214)</f>
        <v>266</v>
      </c>
      <c r="K214" s="50"/>
    </row>
    <row r="215" spans="1:11" ht="19.5" thickBot="1" x14ac:dyDescent="0.3">
      <c r="A215" s="41" t="s">
        <v>7</v>
      </c>
      <c r="B215" s="76"/>
      <c r="C215" s="69"/>
      <c r="D215" s="69"/>
      <c r="E215" s="77">
        <f>SUBTOTAL(109,Table1345710111721222547[BOX 5])</f>
        <v>79</v>
      </c>
      <c r="F215" s="77">
        <f>SUBTOTAL(109,Table1345710111721222547[BOX 6])</f>
        <v>14</v>
      </c>
      <c r="G215" s="77">
        <f>SUBTOTAL(109,Table1345710111721222547[BOX 10])</f>
        <v>173</v>
      </c>
      <c r="H215" s="69"/>
      <c r="I215" s="69"/>
      <c r="J215" s="70">
        <f>SUBTOTAL(109,Table1345710111721222547[TOTAL])</f>
        <v>266</v>
      </c>
      <c r="K215" s="114"/>
    </row>
    <row r="216" spans="1:11" ht="15.75" x14ac:dyDescent="0.25">
      <c r="A216" s="29" t="s">
        <v>1</v>
      </c>
      <c r="B216" s="45" t="s">
        <v>148</v>
      </c>
      <c r="C216" s="45" t="s">
        <v>148</v>
      </c>
      <c r="D216" s="45" t="s">
        <v>148</v>
      </c>
      <c r="E216" s="71">
        <v>0</v>
      </c>
      <c r="F216" s="71">
        <v>0</v>
      </c>
      <c r="G216" s="71">
        <v>0</v>
      </c>
      <c r="H216" s="45" t="s">
        <v>148</v>
      </c>
      <c r="I216" s="45" t="s">
        <v>148</v>
      </c>
      <c r="J216" s="46">
        <f>SUM(B216:I216)</f>
        <v>0</v>
      </c>
    </row>
    <row r="217" spans="1:11" ht="15.75" x14ac:dyDescent="0.25">
      <c r="A217" s="32" t="s">
        <v>0</v>
      </c>
      <c r="B217" s="30" t="s">
        <v>148</v>
      </c>
      <c r="C217" s="30" t="s">
        <v>148</v>
      </c>
      <c r="D217" s="30" t="s">
        <v>148</v>
      </c>
      <c r="E217" s="78">
        <v>73</v>
      </c>
      <c r="F217" s="78">
        <v>21</v>
      </c>
      <c r="G217" s="78">
        <v>126</v>
      </c>
      <c r="H217" s="30" t="s">
        <v>148</v>
      </c>
      <c r="I217" s="30" t="s">
        <v>148</v>
      </c>
      <c r="J217" s="34">
        <f>SUM(B217:I217)</f>
        <v>220</v>
      </c>
    </row>
    <row r="218" spans="1:11" x14ac:dyDescent="0.25">
      <c r="A218" s="7"/>
      <c r="B218" s="7"/>
      <c r="C218" s="7"/>
      <c r="D218" s="7"/>
      <c r="E218" s="7"/>
      <c r="F218" s="7"/>
      <c r="G218" s="7"/>
    </row>
    <row r="219" spans="1:11" ht="45" x14ac:dyDescent="0.25">
      <c r="A219" s="58" t="s">
        <v>110</v>
      </c>
      <c r="B219" s="9" t="s">
        <v>8</v>
      </c>
      <c r="C219" s="9" t="s">
        <v>16</v>
      </c>
      <c r="D219" s="36" t="s">
        <v>12</v>
      </c>
      <c r="E219" s="9" t="s">
        <v>10</v>
      </c>
      <c r="F219" s="37" t="s">
        <v>11</v>
      </c>
      <c r="G219" s="9" t="s">
        <v>18</v>
      </c>
      <c r="H219" s="9" t="s">
        <v>9</v>
      </c>
      <c r="I219" s="9" t="s">
        <v>17</v>
      </c>
      <c r="J219" s="11"/>
    </row>
    <row r="220" spans="1:11" ht="15.75" x14ac:dyDescent="0.25">
      <c r="A220" s="12" t="s">
        <v>2</v>
      </c>
      <c r="B220" s="63" t="s">
        <v>34</v>
      </c>
      <c r="C220" s="14" t="s">
        <v>15</v>
      </c>
      <c r="D220" s="15" t="s">
        <v>3</v>
      </c>
      <c r="E220" s="15" t="s">
        <v>4</v>
      </c>
      <c r="F220" s="15" t="s">
        <v>5</v>
      </c>
      <c r="G220" s="15" t="s">
        <v>14</v>
      </c>
      <c r="H220" s="15" t="s">
        <v>35</v>
      </c>
      <c r="I220" s="15" t="s">
        <v>13</v>
      </c>
      <c r="J220" s="16" t="s">
        <v>6</v>
      </c>
      <c r="K220" s="104" t="s">
        <v>154</v>
      </c>
    </row>
    <row r="221" spans="1:11" ht="19.5" thickBot="1" x14ac:dyDescent="0.3">
      <c r="A221" s="49" t="s">
        <v>111</v>
      </c>
      <c r="B221" s="75">
        <v>370</v>
      </c>
      <c r="C221" s="1" t="s">
        <v>148</v>
      </c>
      <c r="D221" s="1" t="s">
        <v>148</v>
      </c>
      <c r="E221" s="1" t="s">
        <v>148</v>
      </c>
      <c r="F221" s="1" t="s">
        <v>148</v>
      </c>
      <c r="G221" s="1" t="s">
        <v>148</v>
      </c>
      <c r="H221" s="1" t="s">
        <v>148</v>
      </c>
      <c r="I221" s="1" t="s">
        <v>148</v>
      </c>
      <c r="J221" s="40">
        <f t="shared" ref="J221" si="15">SUM(B221:I221)</f>
        <v>370</v>
      </c>
      <c r="K221" s="110">
        <v>1</v>
      </c>
    </row>
    <row r="222" spans="1:11" ht="19.5" thickBot="1" x14ac:dyDescent="0.3">
      <c r="A222" s="41" t="s">
        <v>7</v>
      </c>
      <c r="B222" s="79">
        <f>SUBTOTAL(109,Table13457101117212227[BOX 2 &amp; 11])</f>
        <v>370</v>
      </c>
      <c r="C222" s="80"/>
      <c r="D222" s="43"/>
      <c r="E222" s="43"/>
      <c r="F222" s="43"/>
      <c r="G222" s="43"/>
      <c r="H222" s="43"/>
      <c r="I222" s="43"/>
      <c r="J222" s="44">
        <f>SUBTOTAL(109,Table13457101117212227[TOTAL])</f>
        <v>370</v>
      </c>
      <c r="K222" s="115"/>
    </row>
    <row r="223" spans="1:11" ht="18.75" x14ac:dyDescent="0.25">
      <c r="A223" s="29" t="s">
        <v>1</v>
      </c>
      <c r="B223" s="81">
        <v>0</v>
      </c>
      <c r="C223" s="45" t="s">
        <v>148</v>
      </c>
      <c r="D223" s="45" t="s">
        <v>148</v>
      </c>
      <c r="E223" s="45" t="s">
        <v>148</v>
      </c>
      <c r="F223" s="45" t="s">
        <v>148</v>
      </c>
      <c r="G223" s="45" t="s">
        <v>148</v>
      </c>
      <c r="H223" s="45" t="s">
        <v>148</v>
      </c>
      <c r="I223" s="45" t="s">
        <v>148</v>
      </c>
      <c r="J223" s="82">
        <f>SUM(B223:I223)</f>
        <v>0</v>
      </c>
    </row>
    <row r="224" spans="1:11" ht="18.75" x14ac:dyDescent="0.25">
      <c r="A224" s="32" t="s">
        <v>0</v>
      </c>
      <c r="B224" s="64">
        <v>237</v>
      </c>
      <c r="C224" s="30" t="s">
        <v>148</v>
      </c>
      <c r="D224" s="30" t="s">
        <v>148</v>
      </c>
      <c r="E224" s="30" t="s">
        <v>148</v>
      </c>
      <c r="F224" s="30" t="s">
        <v>148</v>
      </c>
      <c r="G224" s="30" t="s">
        <v>148</v>
      </c>
      <c r="H224" s="30" t="s">
        <v>148</v>
      </c>
      <c r="I224" s="30" t="s">
        <v>148</v>
      </c>
      <c r="J224" s="3">
        <f>SUM(B224:I224)</f>
        <v>237</v>
      </c>
      <c r="K224" s="62">
        <v>1</v>
      </c>
    </row>
    <row r="225" spans="1:11" x14ac:dyDescent="0.25">
      <c r="A225" s="7"/>
      <c r="B225" s="7"/>
      <c r="C225" s="7"/>
      <c r="D225" s="7"/>
      <c r="E225" s="7"/>
      <c r="F225" s="7"/>
      <c r="G225" s="7"/>
    </row>
    <row r="226" spans="1:11" ht="45" x14ac:dyDescent="0.25">
      <c r="A226" s="58" t="s">
        <v>136</v>
      </c>
      <c r="B226" s="9" t="s">
        <v>8</v>
      </c>
      <c r="C226" s="9" t="s">
        <v>16</v>
      </c>
      <c r="D226" s="36" t="s">
        <v>12</v>
      </c>
      <c r="E226" s="9" t="s">
        <v>10</v>
      </c>
      <c r="F226" s="37" t="s">
        <v>11</v>
      </c>
      <c r="G226" s="9" t="s">
        <v>18</v>
      </c>
      <c r="H226" s="9" t="s">
        <v>9</v>
      </c>
      <c r="I226" s="9" t="s">
        <v>17</v>
      </c>
      <c r="J226" s="11"/>
    </row>
    <row r="227" spans="1:11" ht="15.75" x14ac:dyDescent="0.25">
      <c r="A227" s="12" t="s">
        <v>2</v>
      </c>
      <c r="B227" s="13" t="s">
        <v>34</v>
      </c>
      <c r="C227" s="63" t="s">
        <v>15</v>
      </c>
      <c r="D227" s="73" t="s">
        <v>3</v>
      </c>
      <c r="E227" s="15" t="s">
        <v>4</v>
      </c>
      <c r="F227" s="15" t="s">
        <v>5</v>
      </c>
      <c r="G227" s="15" t="s">
        <v>14</v>
      </c>
      <c r="H227" s="15" t="s">
        <v>35</v>
      </c>
      <c r="I227" s="15" t="s">
        <v>13</v>
      </c>
      <c r="J227" s="16" t="s">
        <v>6</v>
      </c>
      <c r="K227" s="104" t="s">
        <v>154</v>
      </c>
    </row>
    <row r="228" spans="1:11" ht="19.5" thickBot="1" x14ac:dyDescent="0.3">
      <c r="A228" s="49" t="s">
        <v>137</v>
      </c>
      <c r="B228" s="39" t="s">
        <v>148</v>
      </c>
      <c r="C228" s="75">
        <v>415</v>
      </c>
      <c r="D228" s="75">
        <v>10</v>
      </c>
      <c r="E228" s="39" t="s">
        <v>148</v>
      </c>
      <c r="F228" s="39" t="s">
        <v>148</v>
      </c>
      <c r="G228" s="39" t="s">
        <v>148</v>
      </c>
      <c r="H228" s="39" t="s">
        <v>148</v>
      </c>
      <c r="I228" s="39" t="s">
        <v>148</v>
      </c>
      <c r="J228" s="40">
        <f t="shared" ref="J228" si="16">SUM(B228:I228)</f>
        <v>425</v>
      </c>
      <c r="K228" s="116">
        <v>1</v>
      </c>
    </row>
    <row r="229" spans="1:11" ht="15.75" customHeight="1" thickBot="1" x14ac:dyDescent="0.3">
      <c r="A229" s="41" t="s">
        <v>7</v>
      </c>
      <c r="B229" s="42"/>
      <c r="C229" s="83">
        <f>SUBTOTAL(109,Table1345710111721222743[BOX 3 &amp; 12])</f>
        <v>415</v>
      </c>
      <c r="D229" s="83">
        <f>SUBTOTAL(109,Table1345710111721222743[BOX 4])</f>
        <v>10</v>
      </c>
      <c r="E229" s="43" t="s">
        <v>138</v>
      </c>
      <c r="F229" s="43" t="s">
        <v>138</v>
      </c>
      <c r="G229" s="43" t="s">
        <v>138</v>
      </c>
      <c r="H229" s="43" t="s">
        <v>138</v>
      </c>
      <c r="I229" s="43"/>
      <c r="J229" s="44">
        <f>SUBTOTAL(109,Table1345710111721222743[TOTAL])</f>
        <v>425</v>
      </c>
      <c r="K229" s="105"/>
    </row>
    <row r="230" spans="1:11" ht="15.75" x14ac:dyDescent="0.25">
      <c r="A230" s="29" t="s">
        <v>1</v>
      </c>
      <c r="B230" s="45" t="s">
        <v>148</v>
      </c>
      <c r="C230" s="71">
        <v>0</v>
      </c>
      <c r="D230" s="71">
        <v>0</v>
      </c>
      <c r="E230" s="45" t="s">
        <v>148</v>
      </c>
      <c r="F230" s="45" t="s">
        <v>148</v>
      </c>
      <c r="G230" s="45" t="s">
        <v>148</v>
      </c>
      <c r="H230" s="45" t="s">
        <v>148</v>
      </c>
      <c r="I230" s="45" t="s">
        <v>148</v>
      </c>
      <c r="J230" s="46">
        <f>SUM(B230:I230)</f>
        <v>0</v>
      </c>
    </row>
    <row r="231" spans="1:11" ht="15.75" x14ac:dyDescent="0.25">
      <c r="A231" s="32" t="s">
        <v>0</v>
      </c>
      <c r="B231" s="30" t="s">
        <v>148</v>
      </c>
      <c r="C231" s="72">
        <v>284</v>
      </c>
      <c r="D231" s="72">
        <v>8</v>
      </c>
      <c r="E231" s="30" t="s">
        <v>148</v>
      </c>
      <c r="F231" s="30" t="s">
        <v>148</v>
      </c>
      <c r="G231" s="30" t="s">
        <v>148</v>
      </c>
      <c r="H231" s="30" t="s">
        <v>148</v>
      </c>
      <c r="I231" s="30" t="s">
        <v>148</v>
      </c>
      <c r="J231" s="34">
        <f>SUM(B231:I231)</f>
        <v>292</v>
      </c>
      <c r="K231" s="62">
        <v>3</v>
      </c>
    </row>
    <row r="232" spans="1:11" x14ac:dyDescent="0.25">
      <c r="A232" s="7"/>
      <c r="B232" s="7"/>
      <c r="C232" s="7"/>
      <c r="D232" s="7"/>
      <c r="E232" s="7"/>
      <c r="F232" s="7"/>
      <c r="G232" s="7"/>
    </row>
    <row r="233" spans="1:11" ht="45" x14ac:dyDescent="0.25">
      <c r="A233" s="58" t="s">
        <v>139</v>
      </c>
      <c r="B233" s="9" t="s">
        <v>8</v>
      </c>
      <c r="C233" s="9" t="s">
        <v>16</v>
      </c>
      <c r="D233" s="36" t="s">
        <v>12</v>
      </c>
      <c r="E233" s="9" t="s">
        <v>10</v>
      </c>
      <c r="F233" s="37" t="s">
        <v>11</v>
      </c>
      <c r="G233" s="9" t="s">
        <v>18</v>
      </c>
      <c r="H233" s="9" t="s">
        <v>9</v>
      </c>
      <c r="I233" s="9" t="s">
        <v>17</v>
      </c>
      <c r="J233" s="11"/>
    </row>
    <row r="234" spans="1:11" ht="15.75" x14ac:dyDescent="0.25">
      <c r="A234" s="12" t="s">
        <v>2</v>
      </c>
      <c r="B234" s="13" t="s">
        <v>34</v>
      </c>
      <c r="C234" s="14" t="s">
        <v>15</v>
      </c>
      <c r="D234" s="15" t="s">
        <v>3</v>
      </c>
      <c r="E234" s="73" t="s">
        <v>4</v>
      </c>
      <c r="F234" s="73" t="s">
        <v>5</v>
      </c>
      <c r="G234" s="73" t="s">
        <v>14</v>
      </c>
      <c r="H234" s="15" t="s">
        <v>35</v>
      </c>
      <c r="I234" s="15" t="s">
        <v>13</v>
      </c>
      <c r="J234" s="16" t="s">
        <v>6</v>
      </c>
      <c r="K234" s="104" t="s">
        <v>154</v>
      </c>
    </row>
    <row r="235" spans="1:11" ht="19.5" thickBot="1" x14ac:dyDescent="0.3">
      <c r="A235" s="49" t="s">
        <v>140</v>
      </c>
      <c r="B235" s="39" t="s">
        <v>148</v>
      </c>
      <c r="C235" s="39" t="s">
        <v>148</v>
      </c>
      <c r="D235" s="39" t="s">
        <v>148</v>
      </c>
      <c r="E235" s="75">
        <v>69</v>
      </c>
      <c r="F235" s="75">
        <v>13</v>
      </c>
      <c r="G235" s="75">
        <v>170</v>
      </c>
      <c r="H235" s="39" t="s">
        <v>148</v>
      </c>
      <c r="I235" s="39" t="s">
        <v>148</v>
      </c>
      <c r="J235" s="40">
        <f t="shared" ref="J235" si="17">SUM(B235:I235)</f>
        <v>252</v>
      </c>
      <c r="K235" s="50"/>
    </row>
    <row r="236" spans="1:11" ht="19.5" thickBot="1" x14ac:dyDescent="0.3">
      <c r="A236" s="41" t="s">
        <v>7</v>
      </c>
      <c r="B236" s="76"/>
      <c r="C236" s="69"/>
      <c r="D236" s="69"/>
      <c r="E236" s="83">
        <f>SUBTOTAL(109,Table134571011172122274344[BOX 5])</f>
        <v>69</v>
      </c>
      <c r="F236" s="83">
        <f>SUBTOTAL(109,Table134571011172122274344[BOX 6])</f>
        <v>13</v>
      </c>
      <c r="G236" s="83">
        <f>SUBTOTAL(109,Table134571011172122274344[BOX 10])</f>
        <v>170</v>
      </c>
      <c r="H236" s="43"/>
      <c r="I236" s="43"/>
      <c r="J236" s="44">
        <f>SUBTOTAL(109,Table134571011172122274344[TOTAL])</f>
        <v>252</v>
      </c>
      <c r="K236" s="114"/>
    </row>
    <row r="237" spans="1:11" ht="15.75" x14ac:dyDescent="0.25">
      <c r="A237" s="29" t="s">
        <v>1</v>
      </c>
      <c r="B237" s="45" t="s">
        <v>148</v>
      </c>
      <c r="C237" s="45" t="s">
        <v>148</v>
      </c>
      <c r="D237" s="45" t="s">
        <v>148</v>
      </c>
      <c r="E237" s="71">
        <v>0</v>
      </c>
      <c r="F237" s="71">
        <v>0</v>
      </c>
      <c r="G237" s="71">
        <v>0</v>
      </c>
      <c r="H237" s="45" t="s">
        <v>148</v>
      </c>
      <c r="I237" s="45" t="s">
        <v>148</v>
      </c>
      <c r="J237" s="46">
        <f>SUM(B237:I237)</f>
        <v>0</v>
      </c>
    </row>
    <row r="238" spans="1:11" ht="15.75" x14ac:dyDescent="0.25">
      <c r="A238" s="32" t="s">
        <v>0</v>
      </c>
      <c r="B238" s="30" t="s">
        <v>148</v>
      </c>
      <c r="C238" s="30" t="s">
        <v>148</v>
      </c>
      <c r="D238" s="30" t="s">
        <v>148</v>
      </c>
      <c r="E238" s="78">
        <v>83</v>
      </c>
      <c r="F238" s="78">
        <v>22</v>
      </c>
      <c r="G238" s="78">
        <v>129</v>
      </c>
      <c r="H238" s="30" t="s">
        <v>148</v>
      </c>
      <c r="I238" s="30" t="s">
        <v>148</v>
      </c>
      <c r="J238" s="34">
        <f>SUM(B238:I238)</f>
        <v>234</v>
      </c>
    </row>
    <row r="239" spans="1:11" ht="18.75" x14ac:dyDescent="0.25">
      <c r="A239" s="84"/>
      <c r="B239" s="85"/>
      <c r="C239" s="86"/>
      <c r="D239" s="85"/>
      <c r="E239" s="85"/>
      <c r="F239" s="85"/>
      <c r="G239" s="85"/>
      <c r="H239" s="85"/>
      <c r="I239" s="85"/>
      <c r="J239" s="85"/>
    </row>
    <row r="240" spans="1:11" ht="18.75" x14ac:dyDescent="0.25">
      <c r="A240" s="84"/>
      <c r="B240" s="85"/>
      <c r="C240" s="86"/>
      <c r="D240" s="85"/>
      <c r="E240" s="85"/>
      <c r="F240" s="85"/>
      <c r="G240" s="85"/>
      <c r="H240" s="85"/>
      <c r="I240" s="85"/>
      <c r="J240" s="85"/>
    </row>
    <row r="241" spans="1:11" ht="45" x14ac:dyDescent="0.25">
      <c r="A241" s="58" t="s">
        <v>141</v>
      </c>
      <c r="B241" s="9" t="s">
        <v>8</v>
      </c>
      <c r="C241" s="9" t="s">
        <v>16</v>
      </c>
      <c r="D241" s="36" t="s">
        <v>12</v>
      </c>
      <c r="E241" s="9" t="s">
        <v>10</v>
      </c>
      <c r="F241" s="37" t="s">
        <v>11</v>
      </c>
      <c r="G241" s="9" t="s">
        <v>18</v>
      </c>
      <c r="H241" s="9" t="s">
        <v>9</v>
      </c>
      <c r="I241" s="9" t="s">
        <v>17</v>
      </c>
      <c r="J241" s="11"/>
    </row>
    <row r="242" spans="1:11" ht="15.75" x14ac:dyDescent="0.25">
      <c r="A242" s="12" t="s">
        <v>2</v>
      </c>
      <c r="B242" s="13" t="s">
        <v>34</v>
      </c>
      <c r="C242" s="14" t="s">
        <v>15</v>
      </c>
      <c r="D242" s="15" t="s">
        <v>3</v>
      </c>
      <c r="E242" s="15" t="s">
        <v>4</v>
      </c>
      <c r="F242" s="15" t="s">
        <v>5</v>
      </c>
      <c r="G242" s="15" t="s">
        <v>14</v>
      </c>
      <c r="H242" s="73" t="s">
        <v>35</v>
      </c>
      <c r="I242" s="73" t="s">
        <v>13</v>
      </c>
      <c r="J242" s="16" t="s">
        <v>6</v>
      </c>
      <c r="K242" s="104" t="s">
        <v>154</v>
      </c>
    </row>
    <row r="243" spans="1:11" ht="19.5" thickBot="1" x14ac:dyDescent="0.3">
      <c r="A243" s="49" t="s">
        <v>142</v>
      </c>
      <c r="B243" s="39" t="s">
        <v>148</v>
      </c>
      <c r="C243" s="39" t="s">
        <v>148</v>
      </c>
      <c r="D243" s="39" t="s">
        <v>148</v>
      </c>
      <c r="E243" s="39" t="s">
        <v>148</v>
      </c>
      <c r="F243" s="39" t="s">
        <v>148</v>
      </c>
      <c r="G243" s="39" t="s">
        <v>148</v>
      </c>
      <c r="H243" s="75">
        <v>141</v>
      </c>
      <c r="I243" s="75">
        <v>168</v>
      </c>
      <c r="J243" s="40">
        <f t="shared" ref="J243" si="18">SUM(B243:I243)</f>
        <v>309</v>
      </c>
      <c r="K243" s="50"/>
    </row>
    <row r="244" spans="1:11" ht="19.5" thickBot="1" x14ac:dyDescent="0.35">
      <c r="A244" s="87" t="s">
        <v>7</v>
      </c>
      <c r="B244" s="43"/>
      <c r="C244" s="43"/>
      <c r="D244" s="43"/>
      <c r="E244" s="43"/>
      <c r="F244" s="43"/>
      <c r="G244" s="43"/>
      <c r="H244" s="83">
        <f>SUBTOTAL(109,Table13457101117212227434446[BOX 1 &amp; 8])</f>
        <v>141</v>
      </c>
      <c r="I244" s="83">
        <f>SUBTOTAL(109,Table13457101117212227434446[BOX 7])</f>
        <v>168</v>
      </c>
      <c r="J244" s="44">
        <f>SUBTOTAL(109,Table13457101117212227434446[TOTAL])</f>
        <v>309</v>
      </c>
      <c r="K244" s="117"/>
    </row>
    <row r="245" spans="1:11" ht="18.75" x14ac:dyDescent="0.25">
      <c r="A245" s="56" t="s">
        <v>1</v>
      </c>
      <c r="B245" s="45" t="s">
        <v>148</v>
      </c>
      <c r="C245" s="45" t="s">
        <v>148</v>
      </c>
      <c r="D245" s="45" t="s">
        <v>148</v>
      </c>
      <c r="E245" s="45" t="s">
        <v>148</v>
      </c>
      <c r="F245" s="45" t="s">
        <v>148</v>
      </c>
      <c r="G245" s="45" t="s">
        <v>148</v>
      </c>
      <c r="H245" s="81">
        <v>0</v>
      </c>
      <c r="I245" s="81">
        <v>0</v>
      </c>
      <c r="J245" s="82">
        <f>SUM(B245:I245)</f>
        <v>0</v>
      </c>
    </row>
    <row r="246" spans="1:11" ht="18.75" x14ac:dyDescent="0.25">
      <c r="A246" s="32" t="s">
        <v>0</v>
      </c>
      <c r="B246" s="30" t="s">
        <v>148</v>
      </c>
      <c r="C246" s="30" t="s">
        <v>148</v>
      </c>
      <c r="D246" s="30" t="s">
        <v>148</v>
      </c>
      <c r="E246" s="30" t="s">
        <v>148</v>
      </c>
      <c r="F246" s="30" t="s">
        <v>148</v>
      </c>
      <c r="G246" s="30" t="s">
        <v>148</v>
      </c>
      <c r="H246" s="75">
        <v>120</v>
      </c>
      <c r="I246" s="75">
        <v>129</v>
      </c>
      <c r="J246" s="3">
        <f>SUM(B246:I246)</f>
        <v>249</v>
      </c>
    </row>
    <row r="247" spans="1:11" ht="18.75" x14ac:dyDescent="0.25">
      <c r="A247" s="32"/>
      <c r="B247" s="2"/>
      <c r="C247" s="30"/>
      <c r="D247" s="2"/>
      <c r="E247" s="1"/>
      <c r="F247" s="1"/>
      <c r="G247" s="1"/>
      <c r="H247" s="75"/>
      <c r="I247" s="75"/>
      <c r="J247" s="3"/>
    </row>
    <row r="248" spans="1:11" ht="45" x14ac:dyDescent="0.25">
      <c r="A248" s="58" t="s">
        <v>145</v>
      </c>
      <c r="B248" s="9" t="s">
        <v>8</v>
      </c>
      <c r="C248" s="9" t="s">
        <v>16</v>
      </c>
      <c r="D248" s="36" t="s">
        <v>12</v>
      </c>
      <c r="E248" s="9" t="s">
        <v>10</v>
      </c>
      <c r="F248" s="37" t="s">
        <v>11</v>
      </c>
      <c r="G248" s="9" t="s">
        <v>18</v>
      </c>
      <c r="H248" s="9" t="s">
        <v>9</v>
      </c>
      <c r="I248" s="9" t="s">
        <v>17</v>
      </c>
      <c r="J248" s="11"/>
    </row>
    <row r="249" spans="1:11" ht="15.75" x14ac:dyDescent="0.25">
      <c r="A249" s="12" t="s">
        <v>2</v>
      </c>
      <c r="B249" s="13" t="s">
        <v>34</v>
      </c>
      <c r="C249" s="14" t="s">
        <v>15</v>
      </c>
      <c r="D249" s="15" t="s">
        <v>3</v>
      </c>
      <c r="E249" s="15" t="s">
        <v>4</v>
      </c>
      <c r="F249" s="15" t="s">
        <v>5</v>
      </c>
      <c r="G249" s="15" t="s">
        <v>14</v>
      </c>
      <c r="H249" s="15" t="s">
        <v>35</v>
      </c>
      <c r="I249" s="15" t="s">
        <v>13</v>
      </c>
      <c r="J249" s="16" t="s">
        <v>6</v>
      </c>
      <c r="K249" s="104" t="s">
        <v>154</v>
      </c>
    </row>
    <row r="250" spans="1:11" ht="18.75" x14ac:dyDescent="0.25">
      <c r="A250" s="49" t="s">
        <v>146</v>
      </c>
      <c r="B250" s="19" t="s">
        <v>148</v>
      </c>
      <c r="C250" s="19" t="s">
        <v>148</v>
      </c>
      <c r="D250" s="19" t="s">
        <v>148</v>
      </c>
      <c r="E250" s="19" t="s">
        <v>148</v>
      </c>
      <c r="F250" s="19" t="s">
        <v>148</v>
      </c>
      <c r="G250" s="19" t="s">
        <v>148</v>
      </c>
      <c r="H250" s="64">
        <v>123</v>
      </c>
      <c r="I250" s="64">
        <v>123</v>
      </c>
      <c r="J250" s="20">
        <f>SUM(Table1345710111721222648[[#This Row],[BOX 1 &amp; 8]:[BOX 7]])</f>
        <v>246</v>
      </c>
      <c r="K250" s="50"/>
    </row>
    <row r="251" spans="1:11" ht="19.5" thickBot="1" x14ac:dyDescent="0.3">
      <c r="A251" s="60" t="s">
        <v>147</v>
      </c>
      <c r="B251" s="61" t="s">
        <v>148</v>
      </c>
      <c r="C251" s="61" t="s">
        <v>148</v>
      </c>
      <c r="D251" s="61" t="s">
        <v>148</v>
      </c>
      <c r="E251" s="61" t="s">
        <v>148</v>
      </c>
      <c r="F251" s="61" t="s">
        <v>148</v>
      </c>
      <c r="G251" s="61" t="s">
        <v>148</v>
      </c>
      <c r="H251" s="75">
        <v>103</v>
      </c>
      <c r="I251" s="75">
        <v>144</v>
      </c>
      <c r="J251" s="40">
        <f>SUM(Table1345710111721222648[[#This Row],[BOX 1 &amp; 8]:[BOX 7]])</f>
        <v>247</v>
      </c>
      <c r="K251" s="50"/>
    </row>
    <row r="252" spans="1:11" ht="19.5" thickBot="1" x14ac:dyDescent="0.3">
      <c r="A252" s="41" t="s">
        <v>7</v>
      </c>
      <c r="B252" s="42"/>
      <c r="C252" s="43"/>
      <c r="D252" s="43"/>
      <c r="E252" s="43"/>
      <c r="F252" s="43"/>
      <c r="G252" s="43"/>
      <c r="H252" s="83">
        <f>SUBTOTAL(109,Table1345710111721222648[BOX 1 &amp; 8])</f>
        <v>226</v>
      </c>
      <c r="I252" s="83">
        <f>SUBTOTAL(109,Table1345710111721222648[BOX 7])</f>
        <v>267</v>
      </c>
      <c r="J252" s="44">
        <f>SUBTOTAL(109,Table1345710111721222648[TOTAL])</f>
        <v>493</v>
      </c>
      <c r="K252" s="114"/>
    </row>
    <row r="253" spans="1:11" ht="18.75" x14ac:dyDescent="0.25">
      <c r="A253" s="29" t="s">
        <v>1</v>
      </c>
      <c r="B253" s="45" t="s">
        <v>148</v>
      </c>
      <c r="C253" s="45" t="s">
        <v>148</v>
      </c>
      <c r="D253" s="45" t="s">
        <v>148</v>
      </c>
      <c r="E253" s="45" t="s">
        <v>148</v>
      </c>
      <c r="F253" s="45" t="s">
        <v>148</v>
      </c>
      <c r="G253" s="45" t="s">
        <v>148</v>
      </c>
      <c r="H253" s="81">
        <v>0</v>
      </c>
      <c r="I253" s="81">
        <v>0</v>
      </c>
      <c r="J253" s="82">
        <f>SUM(B253:I253)</f>
        <v>0</v>
      </c>
    </row>
    <row r="254" spans="1:11" ht="18.75" x14ac:dyDescent="0.25">
      <c r="A254" s="32" t="s">
        <v>0</v>
      </c>
      <c r="B254" s="30" t="s">
        <v>148</v>
      </c>
      <c r="C254" s="30" t="s">
        <v>148</v>
      </c>
      <c r="D254" s="30" t="s">
        <v>148</v>
      </c>
      <c r="E254" s="30" t="s">
        <v>148</v>
      </c>
      <c r="F254" s="30" t="s">
        <v>148</v>
      </c>
      <c r="G254" s="30" t="s">
        <v>148</v>
      </c>
      <c r="H254" s="75">
        <v>35</v>
      </c>
      <c r="I254" s="75">
        <v>30</v>
      </c>
      <c r="J254" s="3">
        <f>SUM(B254:I254)</f>
        <v>65</v>
      </c>
    </row>
    <row r="255" spans="1:11" x14ac:dyDescent="0.25">
      <c r="A255" s="7"/>
      <c r="B255" s="7"/>
      <c r="C255" s="7"/>
      <c r="D255" s="7"/>
      <c r="E255" s="7"/>
      <c r="F255" s="7"/>
      <c r="G255" s="7"/>
    </row>
    <row r="256" spans="1:11" ht="45" x14ac:dyDescent="0.25">
      <c r="A256" s="58" t="s">
        <v>149</v>
      </c>
      <c r="B256" s="9" t="s">
        <v>8</v>
      </c>
      <c r="C256" s="9" t="s">
        <v>16</v>
      </c>
      <c r="D256" s="36" t="s">
        <v>12</v>
      </c>
      <c r="E256" s="9" t="s">
        <v>10</v>
      </c>
      <c r="F256" s="37" t="s">
        <v>11</v>
      </c>
      <c r="G256" s="9" t="s">
        <v>18</v>
      </c>
      <c r="H256" s="9" t="s">
        <v>9</v>
      </c>
      <c r="I256" s="9" t="s">
        <v>17</v>
      </c>
      <c r="J256" s="11"/>
    </row>
    <row r="257" spans="1:11" ht="15.75" x14ac:dyDescent="0.25">
      <c r="A257" s="12" t="s">
        <v>2</v>
      </c>
      <c r="B257" s="13" t="s">
        <v>34</v>
      </c>
      <c r="C257" s="14" t="s">
        <v>15</v>
      </c>
      <c r="D257" s="15" t="s">
        <v>3</v>
      </c>
      <c r="E257" s="15" t="s">
        <v>4</v>
      </c>
      <c r="F257" s="15" t="s">
        <v>5</v>
      </c>
      <c r="G257" s="15" t="s">
        <v>14</v>
      </c>
      <c r="H257" s="15" t="s">
        <v>35</v>
      </c>
      <c r="I257" s="15" t="s">
        <v>13</v>
      </c>
      <c r="J257" s="16" t="s">
        <v>6</v>
      </c>
      <c r="K257" s="104" t="s">
        <v>154</v>
      </c>
    </row>
    <row r="258" spans="1:11" ht="19.5" thickBot="1" x14ac:dyDescent="0.3">
      <c r="A258" s="49" t="s">
        <v>150</v>
      </c>
      <c r="B258" s="39">
        <v>351</v>
      </c>
      <c r="C258" s="1">
        <v>416</v>
      </c>
      <c r="D258" s="39">
        <v>10</v>
      </c>
      <c r="E258" s="39">
        <v>67</v>
      </c>
      <c r="F258" s="39">
        <v>15</v>
      </c>
      <c r="G258" s="39">
        <v>173</v>
      </c>
      <c r="H258" s="39">
        <v>156</v>
      </c>
      <c r="I258" s="39">
        <v>173</v>
      </c>
      <c r="J258" s="40">
        <f>SUM(Table1345710111721226[[#This Row],[BOX 2 &amp; 11]:[BOX 7]])</f>
        <v>1361</v>
      </c>
      <c r="K258" s="110">
        <v>3</v>
      </c>
    </row>
    <row r="259" spans="1:11" ht="19.5" thickBot="1" x14ac:dyDescent="0.3">
      <c r="A259" s="41" t="s">
        <v>7</v>
      </c>
      <c r="B259" s="42">
        <f>SUBTOTAL(109,Table1345710111721226[BOX 2 &amp; 11])</f>
        <v>351</v>
      </c>
      <c r="C259" s="43">
        <f>SUBTOTAL(109,Table1345710111721226[BOX 3 &amp; 12])</f>
        <v>416</v>
      </c>
      <c r="D259" s="43">
        <f>SUBTOTAL(109,Table1345710111721226[BOX 4])</f>
        <v>10</v>
      </c>
      <c r="E259" s="43">
        <f>SUBTOTAL(109,Table1345710111721226[BOX 5])</f>
        <v>67</v>
      </c>
      <c r="F259" s="43">
        <f>SUBTOTAL(109,Table1345710111721226[BOX 6])</f>
        <v>15</v>
      </c>
      <c r="G259" s="43">
        <f>SUBTOTAL(109,Table1345710111721226[BOX 10])</f>
        <v>173</v>
      </c>
      <c r="H259" s="43">
        <f>SUBTOTAL(109,Table1345710111721226[BOX 1 &amp; 8])</f>
        <v>156</v>
      </c>
      <c r="I259" s="43">
        <f>SUBTOTAL(109,Table1345710111721226[BOX 7])</f>
        <v>173</v>
      </c>
      <c r="J259" s="44">
        <f>SUBTOTAL(109,Table1345710111721226[TOTAL])</f>
        <v>1361</v>
      </c>
      <c r="K259" s="105"/>
    </row>
    <row r="260" spans="1:11" ht="15.75" x14ac:dyDescent="0.25">
      <c r="A260" s="29" t="s">
        <v>1</v>
      </c>
      <c r="B260" s="45">
        <v>0</v>
      </c>
      <c r="C260" s="45">
        <v>0</v>
      </c>
      <c r="D260" s="45">
        <v>0</v>
      </c>
      <c r="E260" s="45">
        <v>0</v>
      </c>
      <c r="F260" s="45">
        <v>0</v>
      </c>
      <c r="G260" s="45">
        <v>0</v>
      </c>
      <c r="H260" s="45">
        <v>0</v>
      </c>
      <c r="I260" s="45">
        <v>0</v>
      </c>
      <c r="J260" s="46">
        <f>SUM(B260:I260)</f>
        <v>0</v>
      </c>
    </row>
    <row r="261" spans="1:11" ht="15.75" x14ac:dyDescent="0.25">
      <c r="A261" s="32" t="s">
        <v>0</v>
      </c>
      <c r="B261" s="30">
        <v>256</v>
      </c>
      <c r="C261" s="30">
        <v>282</v>
      </c>
      <c r="D261" s="30">
        <v>16</v>
      </c>
      <c r="E261" s="33">
        <v>85</v>
      </c>
      <c r="F261" s="33">
        <v>20</v>
      </c>
      <c r="G261" s="33">
        <v>126</v>
      </c>
      <c r="H261" s="33">
        <v>105</v>
      </c>
      <c r="I261" s="33">
        <v>124</v>
      </c>
      <c r="J261" s="34">
        <f>SUM(B261:I261)</f>
        <v>1014</v>
      </c>
      <c r="K261" s="62">
        <v>3</v>
      </c>
    </row>
    <row r="263" spans="1:11" ht="45" x14ac:dyDescent="0.25">
      <c r="A263" s="88" t="s">
        <v>113</v>
      </c>
      <c r="B263" s="9" t="s">
        <v>8</v>
      </c>
      <c r="C263" s="9" t="s">
        <v>16</v>
      </c>
      <c r="D263" s="36" t="s">
        <v>12</v>
      </c>
      <c r="E263" s="9" t="s">
        <v>10</v>
      </c>
      <c r="F263" s="37" t="s">
        <v>11</v>
      </c>
      <c r="G263" s="9" t="s">
        <v>18</v>
      </c>
      <c r="H263" s="9" t="s">
        <v>9</v>
      </c>
      <c r="I263" s="9" t="s">
        <v>17</v>
      </c>
      <c r="J263" s="11"/>
    </row>
    <row r="264" spans="1:11" ht="15.75" x14ac:dyDescent="0.25">
      <c r="A264" s="89" t="s">
        <v>112</v>
      </c>
      <c r="B264" s="13" t="s">
        <v>34</v>
      </c>
      <c r="C264" s="14" t="s">
        <v>15</v>
      </c>
      <c r="D264" s="15" t="s">
        <v>3</v>
      </c>
      <c r="E264" s="15" t="s">
        <v>4</v>
      </c>
      <c r="F264" s="15" t="s">
        <v>5</v>
      </c>
      <c r="G264" s="15" t="s">
        <v>14</v>
      </c>
      <c r="H264" s="15" t="s">
        <v>35</v>
      </c>
      <c r="I264" s="15" t="s">
        <v>13</v>
      </c>
      <c r="J264" s="16" t="s">
        <v>6</v>
      </c>
      <c r="K264" s="104" t="s">
        <v>154</v>
      </c>
    </row>
    <row r="265" spans="1:11" ht="18.75" x14ac:dyDescent="0.25">
      <c r="A265" s="49" t="s">
        <v>114</v>
      </c>
      <c r="B265" s="19">
        <v>398</v>
      </c>
      <c r="C265" s="2">
        <v>407</v>
      </c>
      <c r="D265" s="19">
        <v>8</v>
      </c>
      <c r="E265" s="19">
        <v>92</v>
      </c>
      <c r="F265" s="19">
        <v>20</v>
      </c>
      <c r="G265" s="19">
        <v>185</v>
      </c>
      <c r="H265" s="19">
        <v>161</v>
      </c>
      <c r="I265" s="19">
        <v>193</v>
      </c>
      <c r="J265" s="20">
        <f>SUM(Table13457101117212229[[#This Row],[BOX 2 &amp; 11]:[BOX 7]])</f>
        <v>1464</v>
      </c>
      <c r="K265" s="103">
        <v>3</v>
      </c>
    </row>
    <row r="266" spans="1:11" ht="19.5" thickBot="1" x14ac:dyDescent="0.3">
      <c r="A266" s="60" t="s">
        <v>115</v>
      </c>
      <c r="B266" s="61">
        <v>59</v>
      </c>
      <c r="C266" s="1">
        <v>118</v>
      </c>
      <c r="D266" s="39">
        <v>7</v>
      </c>
      <c r="E266" s="39">
        <v>11</v>
      </c>
      <c r="F266" s="39">
        <v>5</v>
      </c>
      <c r="G266" s="39">
        <v>38</v>
      </c>
      <c r="H266" s="39">
        <v>25</v>
      </c>
      <c r="I266" s="39">
        <v>40</v>
      </c>
      <c r="J266" s="40">
        <f>SUM(Table13457101117212229[[#This Row],[BOX 2 &amp; 11]:[BOX 7]])</f>
        <v>303</v>
      </c>
      <c r="K266" s="1">
        <v>2</v>
      </c>
    </row>
    <row r="267" spans="1:11" ht="19.5" thickBot="1" x14ac:dyDescent="0.3">
      <c r="A267" s="41" t="s">
        <v>7</v>
      </c>
      <c r="B267" s="42">
        <f>SUBTOTAL(109,B265)</f>
        <v>398</v>
      </c>
      <c r="C267" s="43">
        <f>SUBTOTAL(109,C265)</f>
        <v>407</v>
      </c>
      <c r="D267" s="43">
        <f>SUBTOTAL(109,Table13457101117212229[BOX 4])</f>
        <v>15</v>
      </c>
      <c r="E267" s="43">
        <f>SUBTOTAL(109,Table13457101117212229[BOX 5])</f>
        <v>103</v>
      </c>
      <c r="F267" s="43">
        <f>SUBTOTAL(109,Table13457101117212229[BOX 6])</f>
        <v>25</v>
      </c>
      <c r="G267" s="43">
        <f>SUBTOTAL(109,Table13457101117212229[BOX 10])</f>
        <v>223</v>
      </c>
      <c r="H267" s="43">
        <f>SUBTOTAL(109,Table13457101117212229[BOX 1 &amp; 8])</f>
        <v>186</v>
      </c>
      <c r="I267" s="93">
        <f>SUBTOTAL(109,Table13457101117212229[BOX 7])</f>
        <v>233</v>
      </c>
      <c r="J267" s="44">
        <f>SUBTOTAL(109,J265)</f>
        <v>1464</v>
      </c>
      <c r="K267" s="105"/>
    </row>
    <row r="268" spans="1:11" ht="15.75" x14ac:dyDescent="0.25">
      <c r="A268" s="29" t="s">
        <v>1</v>
      </c>
      <c r="B268" s="45">
        <v>0</v>
      </c>
      <c r="C268" s="45">
        <v>0</v>
      </c>
      <c r="D268" s="45">
        <v>0</v>
      </c>
      <c r="E268" s="45">
        <v>0</v>
      </c>
      <c r="F268" s="45">
        <v>0</v>
      </c>
      <c r="G268" s="45">
        <v>0</v>
      </c>
      <c r="H268" s="45">
        <v>0</v>
      </c>
      <c r="I268" s="45">
        <v>0</v>
      </c>
      <c r="J268" s="46">
        <f>SUM(B268:I268)</f>
        <v>0</v>
      </c>
    </row>
    <row r="269" spans="1:11" ht="15.75" x14ac:dyDescent="0.25">
      <c r="A269" s="32" t="s">
        <v>0</v>
      </c>
      <c r="B269" s="30">
        <v>150</v>
      </c>
      <c r="C269" s="30">
        <v>174</v>
      </c>
      <c r="D269" s="30">
        <v>3</v>
      </c>
      <c r="E269" s="33">
        <v>49</v>
      </c>
      <c r="F269" s="33">
        <v>10</v>
      </c>
      <c r="G269" s="33">
        <v>76</v>
      </c>
      <c r="H269" s="33">
        <v>75</v>
      </c>
      <c r="I269" s="33">
        <v>64</v>
      </c>
      <c r="J269" s="34">
        <f>SUM(B269:I269)</f>
        <v>601</v>
      </c>
      <c r="K269" s="62">
        <v>1</v>
      </c>
    </row>
    <row r="271" spans="1:11" ht="45" x14ac:dyDescent="0.25">
      <c r="A271" s="88" t="s">
        <v>116</v>
      </c>
      <c r="B271" s="9" t="s">
        <v>8</v>
      </c>
      <c r="C271" s="9" t="s">
        <v>16</v>
      </c>
      <c r="D271" s="36" t="s">
        <v>12</v>
      </c>
      <c r="E271" s="9" t="s">
        <v>10</v>
      </c>
      <c r="F271" s="37" t="s">
        <v>11</v>
      </c>
      <c r="G271" s="9" t="s">
        <v>18</v>
      </c>
      <c r="H271" s="9" t="s">
        <v>9</v>
      </c>
      <c r="I271" s="9" t="s">
        <v>17</v>
      </c>
      <c r="J271" s="11"/>
    </row>
    <row r="272" spans="1:11" ht="15.75" x14ac:dyDescent="0.25">
      <c r="A272" s="89" t="s">
        <v>117</v>
      </c>
      <c r="B272" s="13" t="s">
        <v>34</v>
      </c>
      <c r="C272" s="14" t="s">
        <v>15</v>
      </c>
      <c r="D272" s="15" t="s">
        <v>3</v>
      </c>
      <c r="E272" s="15" t="s">
        <v>4</v>
      </c>
      <c r="F272" s="15" t="s">
        <v>5</v>
      </c>
      <c r="G272" s="15" t="s">
        <v>14</v>
      </c>
      <c r="H272" s="15" t="s">
        <v>35</v>
      </c>
      <c r="I272" s="15" t="s">
        <v>13</v>
      </c>
      <c r="J272" s="16" t="s">
        <v>6</v>
      </c>
      <c r="K272" s="104" t="s">
        <v>154</v>
      </c>
    </row>
    <row r="273" spans="1:11" ht="18.75" x14ac:dyDescent="0.25">
      <c r="A273" s="49" t="s">
        <v>114</v>
      </c>
      <c r="B273" s="19">
        <v>396</v>
      </c>
      <c r="C273" s="2">
        <v>421</v>
      </c>
      <c r="D273" s="19">
        <v>10</v>
      </c>
      <c r="E273" s="19">
        <v>87</v>
      </c>
      <c r="F273" s="19">
        <v>20</v>
      </c>
      <c r="G273" s="19">
        <v>197</v>
      </c>
      <c r="H273" s="19">
        <v>169</v>
      </c>
      <c r="I273" s="19">
        <v>195</v>
      </c>
      <c r="J273" s="20">
        <f>SUM(Table13457101117212230[[#This Row],[BOX 2 &amp; 11]:[BOX 7]])</f>
        <v>1495</v>
      </c>
      <c r="K273" s="103">
        <v>5</v>
      </c>
    </row>
    <row r="274" spans="1:11" ht="19.5" thickBot="1" x14ac:dyDescent="0.3">
      <c r="A274" s="60" t="s">
        <v>115</v>
      </c>
      <c r="B274" s="61">
        <v>51</v>
      </c>
      <c r="C274" s="1">
        <v>113</v>
      </c>
      <c r="D274" s="39">
        <v>5</v>
      </c>
      <c r="E274" s="39">
        <v>14</v>
      </c>
      <c r="F274" s="39">
        <v>5</v>
      </c>
      <c r="G274" s="39">
        <v>28</v>
      </c>
      <c r="H274" s="39">
        <v>18</v>
      </c>
      <c r="I274" s="39">
        <v>35</v>
      </c>
      <c r="J274" s="40">
        <f>SUM(Table13457101117212230[[#This Row],[BOX 2 &amp; 11]:[BOX 7]])</f>
        <v>269</v>
      </c>
      <c r="K274" s="1"/>
    </row>
    <row r="275" spans="1:11" ht="19.5" thickBot="1" x14ac:dyDescent="0.3">
      <c r="A275" s="41" t="s">
        <v>7</v>
      </c>
      <c r="B275" s="76">
        <f>SUBTOTAL(109,Table13457101117212230[BOX 2 &amp; 11])</f>
        <v>447</v>
      </c>
      <c r="C275" s="69">
        <f>SUBTOTAL(109,Table13457101117212230[BOX 3 &amp; 12])</f>
        <v>534</v>
      </c>
      <c r="D275" s="69">
        <f>SUBTOTAL(109,Table13457101117212230[BOX 4])</f>
        <v>15</v>
      </c>
      <c r="E275" s="69">
        <f>SUBTOTAL(109,Table13457101117212230[BOX 5])</f>
        <v>101</v>
      </c>
      <c r="F275" s="69">
        <f>SUBTOTAL(109,Table13457101117212230[BOX 6])</f>
        <v>25</v>
      </c>
      <c r="G275" s="69">
        <f>SUBTOTAL(109,Table13457101117212230[BOX 10])</f>
        <v>225</v>
      </c>
      <c r="H275" s="69">
        <f>SUBTOTAL(109,Table13457101117212230[BOX 1 &amp; 8])</f>
        <v>187</v>
      </c>
      <c r="I275" s="99">
        <f>SUBTOTAL(109,Table13457101117212230[BOX 7])</f>
        <v>230</v>
      </c>
      <c r="J275" s="70">
        <f>SUBTOTAL(109,Table13457101117212230[TOTAL])</f>
        <v>1764</v>
      </c>
      <c r="K275" s="113"/>
    </row>
    <row r="276" spans="1:11" ht="15.75" x14ac:dyDescent="0.25">
      <c r="A276" s="29" t="s">
        <v>1</v>
      </c>
      <c r="B276" s="45">
        <v>0</v>
      </c>
      <c r="C276" s="45">
        <v>0</v>
      </c>
      <c r="D276" s="45">
        <v>0</v>
      </c>
      <c r="E276" s="45">
        <v>0</v>
      </c>
      <c r="F276" s="45">
        <v>0</v>
      </c>
      <c r="G276" s="45">
        <v>0</v>
      </c>
      <c r="H276" s="45">
        <v>0</v>
      </c>
      <c r="I276" s="45">
        <v>0</v>
      </c>
      <c r="J276" s="46">
        <f>SUM(B276:I276)</f>
        <v>0</v>
      </c>
    </row>
    <row r="277" spans="1:11" ht="15.75" x14ac:dyDescent="0.25">
      <c r="A277" s="32" t="s">
        <v>0</v>
      </c>
      <c r="B277" s="30">
        <v>160</v>
      </c>
      <c r="C277" s="30">
        <v>165</v>
      </c>
      <c r="D277" s="30">
        <v>3</v>
      </c>
      <c r="E277" s="33">
        <v>51</v>
      </c>
      <c r="F277" s="33">
        <v>10</v>
      </c>
      <c r="G277" s="33">
        <v>74</v>
      </c>
      <c r="H277" s="33">
        <v>74</v>
      </c>
      <c r="I277" s="33">
        <v>67</v>
      </c>
      <c r="J277" s="34">
        <f>SUM(B277:I277)</f>
        <v>604</v>
      </c>
      <c r="K277" s="62">
        <v>1</v>
      </c>
    </row>
    <row r="278" spans="1:11" ht="47.25" x14ac:dyDescent="0.25">
      <c r="A278" s="88" t="s">
        <v>127</v>
      </c>
      <c r="B278" s="9" t="s">
        <v>8</v>
      </c>
      <c r="C278" s="9" t="s">
        <v>16</v>
      </c>
      <c r="D278" s="36" t="s">
        <v>12</v>
      </c>
      <c r="E278" s="9" t="s">
        <v>10</v>
      </c>
      <c r="F278" s="37" t="s">
        <v>11</v>
      </c>
      <c r="G278" s="9" t="s">
        <v>18</v>
      </c>
      <c r="H278" s="9" t="s">
        <v>9</v>
      </c>
      <c r="I278" s="9" t="s">
        <v>17</v>
      </c>
      <c r="J278" s="11"/>
    </row>
    <row r="279" spans="1:11" ht="15.75" x14ac:dyDescent="0.25">
      <c r="A279" s="89" t="s">
        <v>118</v>
      </c>
      <c r="B279" s="13" t="s">
        <v>34</v>
      </c>
      <c r="C279" s="14" t="s">
        <v>15</v>
      </c>
      <c r="D279" s="15" t="s">
        <v>3</v>
      </c>
      <c r="E279" s="15" t="s">
        <v>4</v>
      </c>
      <c r="F279" s="15" t="s">
        <v>5</v>
      </c>
      <c r="G279" s="15" t="s">
        <v>14</v>
      </c>
      <c r="H279" s="15" t="s">
        <v>35</v>
      </c>
      <c r="I279" s="15" t="s">
        <v>13</v>
      </c>
      <c r="J279" s="16" t="s">
        <v>6</v>
      </c>
      <c r="K279" s="104" t="s">
        <v>154</v>
      </c>
    </row>
    <row r="280" spans="1:11" ht="18.75" x14ac:dyDescent="0.25">
      <c r="A280" s="49" t="s">
        <v>114</v>
      </c>
      <c r="B280" s="19">
        <v>403</v>
      </c>
      <c r="C280" s="2">
        <v>436</v>
      </c>
      <c r="D280" s="19">
        <v>10</v>
      </c>
      <c r="E280" s="19">
        <v>93</v>
      </c>
      <c r="F280" s="19">
        <v>22</v>
      </c>
      <c r="G280" s="19">
        <v>198</v>
      </c>
      <c r="H280" s="19">
        <v>164</v>
      </c>
      <c r="I280" s="19">
        <v>192</v>
      </c>
      <c r="J280" s="20">
        <f t="shared" ref="J280:J281" si="19">SUM(B280:I280)</f>
        <v>1518</v>
      </c>
      <c r="K280" s="103">
        <v>4</v>
      </c>
    </row>
    <row r="281" spans="1:11" ht="19.5" thickBot="1" x14ac:dyDescent="0.3">
      <c r="A281" s="60" t="s">
        <v>115</v>
      </c>
      <c r="B281" s="61">
        <v>45</v>
      </c>
      <c r="C281" s="1">
        <v>90</v>
      </c>
      <c r="D281" s="39">
        <v>3</v>
      </c>
      <c r="E281" s="39">
        <v>12</v>
      </c>
      <c r="F281" s="39">
        <v>3</v>
      </c>
      <c r="G281" s="39">
        <v>32</v>
      </c>
      <c r="H281" s="39">
        <v>19</v>
      </c>
      <c r="I281" s="39">
        <v>31</v>
      </c>
      <c r="J281" s="40">
        <f t="shared" si="19"/>
        <v>235</v>
      </c>
      <c r="K281" s="1">
        <v>1</v>
      </c>
    </row>
    <row r="282" spans="1:11" ht="19.5" thickBot="1" x14ac:dyDescent="0.3">
      <c r="A282" s="41" t="s">
        <v>7</v>
      </c>
      <c r="B282" s="42">
        <f>SUBTOTAL(109,Table1345710111721223031[BOX 2 &amp; 11])</f>
        <v>448</v>
      </c>
      <c r="C282" s="43">
        <f>SUBTOTAL(109,Table1345710111721223031[BOX 3 &amp; 12])</f>
        <v>526</v>
      </c>
      <c r="D282" s="43">
        <f>SUBTOTAL(109,Table1345710111721223031[BOX 4])</f>
        <v>13</v>
      </c>
      <c r="E282" s="43">
        <f>SUBTOTAL(109,Table1345710111721223031[BOX 5])</f>
        <v>105</v>
      </c>
      <c r="F282" s="43">
        <f>SUBTOTAL(109,Table1345710111721223031[BOX 6])</f>
        <v>25</v>
      </c>
      <c r="G282" s="43">
        <f>SUBTOTAL(109,Table1345710111721223031[BOX 10])</f>
        <v>230</v>
      </c>
      <c r="H282" s="43">
        <f>SUBTOTAL(109,Table1345710111721223031[BOX 1 &amp; 8])</f>
        <v>183</v>
      </c>
      <c r="I282" s="93">
        <f>SUBTOTAL(109,Table1345710111721223031[BOX 7])</f>
        <v>223</v>
      </c>
      <c r="J282" s="44">
        <f>SUBTOTAL(109,Table1345710111721223031[TOTAL])</f>
        <v>1753</v>
      </c>
      <c r="K282" s="105"/>
    </row>
    <row r="283" spans="1:11" ht="15.75" x14ac:dyDescent="0.25">
      <c r="A283" s="29" t="s">
        <v>1</v>
      </c>
      <c r="B283" s="45">
        <v>0</v>
      </c>
      <c r="C283" s="45">
        <v>1</v>
      </c>
      <c r="D283" s="45">
        <v>0</v>
      </c>
      <c r="E283" s="45">
        <v>0</v>
      </c>
      <c r="F283" s="45">
        <v>0</v>
      </c>
      <c r="G283" s="45">
        <v>0</v>
      </c>
      <c r="H283" s="45">
        <v>0</v>
      </c>
      <c r="I283" s="45">
        <v>0</v>
      </c>
      <c r="J283" s="46">
        <f>SUM(B283:I283)</f>
        <v>1</v>
      </c>
    </row>
    <row r="284" spans="1:11" ht="15.75" x14ac:dyDescent="0.25">
      <c r="A284" s="32" t="s">
        <v>0</v>
      </c>
      <c r="B284" s="30">
        <v>159</v>
      </c>
      <c r="C284" s="30">
        <v>172</v>
      </c>
      <c r="D284" s="30">
        <v>5</v>
      </c>
      <c r="E284" s="33">
        <v>47</v>
      </c>
      <c r="F284" s="33">
        <v>10</v>
      </c>
      <c r="G284" s="33">
        <v>69</v>
      </c>
      <c r="H284" s="33">
        <v>78</v>
      </c>
      <c r="I284" s="33">
        <v>74</v>
      </c>
      <c r="J284" s="34">
        <f>SUM(B284:I284)</f>
        <v>614</v>
      </c>
      <c r="K284" s="62">
        <v>1</v>
      </c>
    </row>
    <row r="286" spans="1:11" ht="45" x14ac:dyDescent="0.25">
      <c r="A286" s="88" t="s">
        <v>128</v>
      </c>
      <c r="B286" s="9" t="s">
        <v>8</v>
      </c>
      <c r="C286" s="9" t="s">
        <v>16</v>
      </c>
      <c r="D286" s="36" t="s">
        <v>12</v>
      </c>
      <c r="E286" s="9" t="s">
        <v>10</v>
      </c>
      <c r="F286" s="37" t="s">
        <v>11</v>
      </c>
      <c r="G286" s="9" t="s">
        <v>18</v>
      </c>
      <c r="H286" s="9" t="s">
        <v>9</v>
      </c>
      <c r="I286" s="9" t="s">
        <v>17</v>
      </c>
      <c r="J286" s="11"/>
    </row>
    <row r="287" spans="1:11" ht="15.75" x14ac:dyDescent="0.25">
      <c r="A287" s="89" t="s">
        <v>119</v>
      </c>
      <c r="B287" s="13" t="s">
        <v>34</v>
      </c>
      <c r="C287" s="14" t="s">
        <v>15</v>
      </c>
      <c r="D287" s="15" t="s">
        <v>3</v>
      </c>
      <c r="E287" s="15" t="s">
        <v>4</v>
      </c>
      <c r="F287" s="15" t="s">
        <v>5</v>
      </c>
      <c r="G287" s="15" t="s">
        <v>14</v>
      </c>
      <c r="H287" s="15" t="s">
        <v>35</v>
      </c>
      <c r="I287" s="15" t="s">
        <v>13</v>
      </c>
      <c r="J287" s="16" t="s">
        <v>6</v>
      </c>
      <c r="K287" s="104" t="s">
        <v>154</v>
      </c>
    </row>
    <row r="288" spans="1:11" ht="18.75" x14ac:dyDescent="0.25">
      <c r="A288" s="49" t="s">
        <v>114</v>
      </c>
      <c r="B288" s="19">
        <v>404</v>
      </c>
      <c r="C288" s="2">
        <v>433</v>
      </c>
      <c r="D288" s="19">
        <v>11</v>
      </c>
      <c r="E288" s="19">
        <v>87</v>
      </c>
      <c r="F288" s="19">
        <v>22</v>
      </c>
      <c r="G288" s="19">
        <v>197</v>
      </c>
      <c r="H288" s="19">
        <v>160</v>
      </c>
      <c r="I288" s="19">
        <v>186</v>
      </c>
      <c r="J288" s="20">
        <f t="shared" ref="J288:J289" si="20">SUM(B288:I288)</f>
        <v>1500</v>
      </c>
      <c r="K288" s="103">
        <v>5</v>
      </c>
    </row>
    <row r="289" spans="1:11" ht="19.5" thickBot="1" x14ac:dyDescent="0.3">
      <c r="A289" s="60" t="s">
        <v>115</v>
      </c>
      <c r="B289" s="61">
        <v>40</v>
      </c>
      <c r="C289" s="1">
        <v>86</v>
      </c>
      <c r="D289" s="39">
        <v>5</v>
      </c>
      <c r="E289" s="39">
        <v>13</v>
      </c>
      <c r="F289" s="39">
        <v>3</v>
      </c>
      <c r="G289" s="39">
        <v>28</v>
      </c>
      <c r="H289" s="39">
        <v>18</v>
      </c>
      <c r="I289" s="39">
        <v>36</v>
      </c>
      <c r="J289" s="40">
        <f t="shared" si="20"/>
        <v>229</v>
      </c>
      <c r="K289" s="1"/>
    </row>
    <row r="290" spans="1:11" ht="19.5" thickBot="1" x14ac:dyDescent="0.3">
      <c r="A290" s="41" t="s">
        <v>7</v>
      </c>
      <c r="B290" s="42">
        <f>SUBTOTAL(109,Table1345710111721223032[BOX 2 &amp; 11])</f>
        <v>444</v>
      </c>
      <c r="C290" s="43">
        <f>SUBTOTAL(109,Table1345710111721223032[BOX 3 &amp; 12])</f>
        <v>519</v>
      </c>
      <c r="D290" s="43">
        <f>SUBTOTAL(109,Table1345710111721223032[BOX 4])</f>
        <v>16</v>
      </c>
      <c r="E290" s="43">
        <f>SUBTOTAL(109,Table1345710111721223032[BOX 5])</f>
        <v>100</v>
      </c>
      <c r="F290" s="43">
        <f>SUBTOTAL(109,Table1345710111721223032[BOX 6])</f>
        <v>25</v>
      </c>
      <c r="G290" s="43">
        <f>SUBTOTAL(109,Table1345710111721223032[BOX 10])</f>
        <v>225</v>
      </c>
      <c r="H290" s="43">
        <f>SUBTOTAL(109,Table1345710111721223032[BOX 1 &amp; 8])</f>
        <v>178</v>
      </c>
      <c r="I290" s="93">
        <f>SUBTOTAL(109,Table1345710111721223032[BOX 7])</f>
        <v>222</v>
      </c>
      <c r="J290" s="44">
        <f>SUBTOTAL(109,Table1345710111721223032[TOTAL])</f>
        <v>1729</v>
      </c>
      <c r="K290" s="105"/>
    </row>
    <row r="291" spans="1:11" ht="15.75" x14ac:dyDescent="0.25">
      <c r="A291" s="29" t="s">
        <v>1</v>
      </c>
      <c r="B291" s="45">
        <v>0</v>
      </c>
      <c r="C291" s="45">
        <v>1</v>
      </c>
      <c r="D291" s="45">
        <v>0</v>
      </c>
      <c r="E291" s="50">
        <v>0</v>
      </c>
      <c r="F291" s="45">
        <v>0</v>
      </c>
      <c r="G291" s="45">
        <v>0</v>
      </c>
      <c r="H291" s="45">
        <v>0</v>
      </c>
      <c r="I291" s="45">
        <v>0</v>
      </c>
      <c r="J291" s="46">
        <f>SUM(B291:I291)</f>
        <v>1</v>
      </c>
    </row>
    <row r="292" spans="1:11" ht="15.75" x14ac:dyDescent="0.25">
      <c r="A292" s="32" t="s">
        <v>0</v>
      </c>
      <c r="B292" s="30">
        <v>163</v>
      </c>
      <c r="C292" s="30">
        <v>179</v>
      </c>
      <c r="D292" s="30">
        <v>2</v>
      </c>
      <c r="E292" s="45">
        <v>52</v>
      </c>
      <c r="F292" s="33">
        <v>10</v>
      </c>
      <c r="G292" s="33">
        <v>74</v>
      </c>
      <c r="H292" s="33">
        <v>83</v>
      </c>
      <c r="I292" s="33">
        <v>75</v>
      </c>
      <c r="J292" s="34">
        <f>SUM(B292:I292)</f>
        <v>638</v>
      </c>
      <c r="K292" s="62">
        <v>1</v>
      </c>
    </row>
    <row r="294" spans="1:11" ht="45" x14ac:dyDescent="0.25">
      <c r="A294" s="88" t="s">
        <v>129</v>
      </c>
      <c r="B294" s="9" t="s">
        <v>8</v>
      </c>
      <c r="C294" s="9" t="s">
        <v>16</v>
      </c>
      <c r="D294" s="36" t="s">
        <v>12</v>
      </c>
      <c r="E294" s="9" t="s">
        <v>10</v>
      </c>
      <c r="F294" s="37" t="s">
        <v>11</v>
      </c>
      <c r="G294" s="9" t="s">
        <v>18</v>
      </c>
      <c r="H294" s="9" t="s">
        <v>9</v>
      </c>
      <c r="I294" s="9" t="s">
        <v>17</v>
      </c>
      <c r="J294" s="11"/>
    </row>
    <row r="295" spans="1:11" ht="15.75" x14ac:dyDescent="0.25">
      <c r="A295" s="89" t="s">
        <v>120</v>
      </c>
      <c r="B295" s="13" t="s">
        <v>34</v>
      </c>
      <c r="C295" s="14" t="s">
        <v>15</v>
      </c>
      <c r="D295" s="15" t="s">
        <v>3</v>
      </c>
      <c r="E295" s="15" t="s">
        <v>4</v>
      </c>
      <c r="F295" s="15" t="s">
        <v>5</v>
      </c>
      <c r="G295" s="15" t="s">
        <v>14</v>
      </c>
      <c r="H295" s="15" t="s">
        <v>35</v>
      </c>
      <c r="I295" s="15" t="s">
        <v>13</v>
      </c>
      <c r="J295" s="16" t="s">
        <v>6</v>
      </c>
      <c r="K295" s="104" t="s">
        <v>154</v>
      </c>
    </row>
    <row r="296" spans="1:11" ht="18.75" x14ac:dyDescent="0.25">
      <c r="A296" s="49" t="s">
        <v>114</v>
      </c>
      <c r="B296" s="19">
        <v>400</v>
      </c>
      <c r="C296" s="2">
        <v>439</v>
      </c>
      <c r="D296" s="19">
        <v>10</v>
      </c>
      <c r="E296" s="19">
        <v>96</v>
      </c>
      <c r="F296" s="19">
        <v>23</v>
      </c>
      <c r="G296" s="19">
        <v>196</v>
      </c>
      <c r="H296" s="19">
        <v>163</v>
      </c>
      <c r="I296" s="19">
        <v>184</v>
      </c>
      <c r="J296" s="20">
        <f t="shared" ref="J296:J297" si="21">SUM(B296:I296)</f>
        <v>1511</v>
      </c>
      <c r="K296" s="103">
        <v>5</v>
      </c>
    </row>
    <row r="297" spans="1:11" ht="19.5" thickBot="1" x14ac:dyDescent="0.3">
      <c r="A297" s="60" t="s">
        <v>115</v>
      </c>
      <c r="B297" s="61">
        <v>37</v>
      </c>
      <c r="C297" s="1">
        <v>72</v>
      </c>
      <c r="D297" s="39">
        <v>5</v>
      </c>
      <c r="E297" s="39">
        <v>11</v>
      </c>
      <c r="F297" s="39">
        <v>3</v>
      </c>
      <c r="G297" s="39">
        <v>23</v>
      </c>
      <c r="H297" s="39">
        <v>13</v>
      </c>
      <c r="I297" s="39">
        <v>32</v>
      </c>
      <c r="J297" s="40">
        <f t="shared" si="21"/>
        <v>196</v>
      </c>
      <c r="K297" s="1"/>
    </row>
    <row r="298" spans="1:11" ht="19.5" thickBot="1" x14ac:dyDescent="0.3">
      <c r="A298" s="41" t="s">
        <v>7</v>
      </c>
      <c r="B298" s="42">
        <f>SUBTOTAL(109,Table134571011172122303542[BOX 2 &amp; 11])</f>
        <v>437</v>
      </c>
      <c r="C298" s="43">
        <f>SUBTOTAL(109,Table134571011172122303542[BOX 3 &amp; 12])</f>
        <v>511</v>
      </c>
      <c r="D298" s="43">
        <f>SUBTOTAL(109,Table134571011172122303542[BOX 4])</f>
        <v>15</v>
      </c>
      <c r="E298" s="43">
        <f>SUBTOTAL(109,Table134571011172122303542[BOX 5])</f>
        <v>107</v>
      </c>
      <c r="F298" s="43">
        <f>SUBTOTAL(109,Table134571011172122303542[BOX 6])</f>
        <v>26</v>
      </c>
      <c r="G298" s="43">
        <f>SUBTOTAL(109,Table134571011172122303542[BOX 10])</f>
        <v>219</v>
      </c>
      <c r="H298" s="43">
        <f>SUBTOTAL(109,Table134571011172122303542[BOX 1 &amp; 8])</f>
        <v>176</v>
      </c>
      <c r="I298" s="93">
        <f>SUBTOTAL(109,Table134571011172122303542[BOX 7])</f>
        <v>216</v>
      </c>
      <c r="J298" s="44">
        <f>SUBTOTAL(109,Table134571011172122303542[TOTAL])</f>
        <v>1707</v>
      </c>
      <c r="K298" s="105"/>
    </row>
    <row r="299" spans="1:11" ht="15.75" x14ac:dyDescent="0.25">
      <c r="A299" s="29" t="s">
        <v>1</v>
      </c>
      <c r="B299" s="45">
        <v>0</v>
      </c>
      <c r="C299" s="45">
        <v>0</v>
      </c>
      <c r="D299" s="45">
        <v>0</v>
      </c>
      <c r="E299" s="45">
        <v>0</v>
      </c>
      <c r="F299" s="45">
        <v>0</v>
      </c>
      <c r="G299" s="45">
        <v>1</v>
      </c>
      <c r="H299" s="45">
        <v>0</v>
      </c>
      <c r="I299" s="45">
        <v>0</v>
      </c>
      <c r="J299" s="46">
        <f>SUM(B299:I299)</f>
        <v>1</v>
      </c>
    </row>
    <row r="300" spans="1:11" ht="15.75" x14ac:dyDescent="0.25">
      <c r="A300" s="32" t="s">
        <v>0</v>
      </c>
      <c r="B300" s="30">
        <v>170</v>
      </c>
      <c r="C300" s="30">
        <v>188</v>
      </c>
      <c r="D300" s="30">
        <v>3</v>
      </c>
      <c r="E300" s="33">
        <v>45</v>
      </c>
      <c r="F300" s="33">
        <v>9</v>
      </c>
      <c r="G300" s="33">
        <v>79</v>
      </c>
      <c r="H300" s="33">
        <v>85</v>
      </c>
      <c r="I300" s="33">
        <v>81</v>
      </c>
      <c r="J300" s="34">
        <f>SUM(B300:I300)</f>
        <v>660</v>
      </c>
      <c r="K300" s="62">
        <v>1</v>
      </c>
    </row>
    <row r="301" spans="1:11" ht="45" x14ac:dyDescent="0.25">
      <c r="A301" s="88" t="s">
        <v>130</v>
      </c>
      <c r="B301" s="9" t="s">
        <v>8</v>
      </c>
      <c r="C301" s="9" t="s">
        <v>16</v>
      </c>
      <c r="D301" s="36" t="s">
        <v>12</v>
      </c>
      <c r="E301" s="9" t="s">
        <v>10</v>
      </c>
      <c r="F301" s="37" t="s">
        <v>11</v>
      </c>
      <c r="G301" s="9" t="s">
        <v>18</v>
      </c>
      <c r="H301" s="9" t="s">
        <v>9</v>
      </c>
      <c r="I301" s="9" t="s">
        <v>17</v>
      </c>
      <c r="J301" s="11"/>
    </row>
    <row r="302" spans="1:11" ht="15.75" x14ac:dyDescent="0.25">
      <c r="A302" s="89" t="s">
        <v>121</v>
      </c>
      <c r="B302" s="13" t="s">
        <v>34</v>
      </c>
      <c r="C302" s="14" t="s">
        <v>15</v>
      </c>
      <c r="D302" s="15" t="s">
        <v>3</v>
      </c>
      <c r="E302" s="15" t="s">
        <v>4</v>
      </c>
      <c r="F302" s="15" t="s">
        <v>5</v>
      </c>
      <c r="G302" s="15" t="s">
        <v>14</v>
      </c>
      <c r="H302" s="15" t="s">
        <v>35</v>
      </c>
      <c r="I302" s="15" t="s">
        <v>13</v>
      </c>
      <c r="J302" s="16" t="s">
        <v>6</v>
      </c>
      <c r="K302" s="104" t="s">
        <v>154</v>
      </c>
    </row>
    <row r="303" spans="1:11" ht="18.75" x14ac:dyDescent="0.25">
      <c r="A303" s="49" t="s">
        <v>114</v>
      </c>
      <c r="B303" s="19">
        <v>408</v>
      </c>
      <c r="C303" s="2">
        <v>437</v>
      </c>
      <c r="D303" s="19">
        <v>11</v>
      </c>
      <c r="E303" s="19">
        <v>92</v>
      </c>
      <c r="F303" s="19">
        <v>22</v>
      </c>
      <c r="G303" s="19">
        <v>197</v>
      </c>
      <c r="H303" s="19">
        <v>166</v>
      </c>
      <c r="I303" s="19">
        <v>194</v>
      </c>
      <c r="J303" s="20">
        <f t="shared" ref="J303:J304" si="22">SUM(B303:I303)</f>
        <v>1527</v>
      </c>
      <c r="K303" s="103">
        <v>5</v>
      </c>
    </row>
    <row r="304" spans="1:11" ht="19.5" thickBot="1" x14ac:dyDescent="0.3">
      <c r="A304" s="60" t="s">
        <v>115</v>
      </c>
      <c r="B304" s="61">
        <v>36</v>
      </c>
      <c r="C304" s="1">
        <v>70</v>
      </c>
      <c r="D304" s="39">
        <v>2</v>
      </c>
      <c r="E304" s="39">
        <v>12</v>
      </c>
      <c r="F304" s="39">
        <v>2</v>
      </c>
      <c r="G304" s="39">
        <v>25</v>
      </c>
      <c r="H304" s="39">
        <v>16</v>
      </c>
      <c r="I304" s="39">
        <v>28</v>
      </c>
      <c r="J304" s="40">
        <f t="shared" si="22"/>
        <v>191</v>
      </c>
      <c r="K304" s="1"/>
    </row>
    <row r="305" spans="1:11" ht="19.5" thickBot="1" x14ac:dyDescent="0.3">
      <c r="A305" s="41" t="s">
        <v>7</v>
      </c>
      <c r="B305" s="42">
        <f>SUBTOTAL(109,Table1345710111721223035[BOX 2 &amp; 11])</f>
        <v>444</v>
      </c>
      <c r="C305" s="43">
        <f>SUBTOTAL(109,Table1345710111721223035[BOX 3 &amp; 12])</f>
        <v>507</v>
      </c>
      <c r="D305" s="43">
        <f>SUBTOTAL(109,Table1345710111721223035[BOX 4])</f>
        <v>13</v>
      </c>
      <c r="E305" s="43">
        <f>SUBTOTAL(109,Table1345710111721223035[BOX 5])</f>
        <v>104</v>
      </c>
      <c r="F305" s="43">
        <f>SUBTOTAL(109,Table1345710111721223035[BOX 6])</f>
        <v>24</v>
      </c>
      <c r="G305" s="43">
        <f>SUBTOTAL(109,Table1345710111721223035[BOX 10])</f>
        <v>222</v>
      </c>
      <c r="H305" s="43">
        <f>SUBTOTAL(109,Table1345710111721223035[BOX 1 &amp; 8])</f>
        <v>182</v>
      </c>
      <c r="I305" s="43">
        <f>SUBTOTAL(109,Table1345710111721223035[BOX 7])</f>
        <v>222</v>
      </c>
      <c r="J305" s="44">
        <f>SUBTOTAL(109,Table1345710111721223035[TOTAL])</f>
        <v>1718</v>
      </c>
      <c r="K305" s="105"/>
    </row>
    <row r="306" spans="1:11" ht="15.75" x14ac:dyDescent="0.25">
      <c r="A306" s="29" t="s">
        <v>1</v>
      </c>
      <c r="B306" s="45">
        <v>0</v>
      </c>
      <c r="C306" s="45">
        <v>1</v>
      </c>
      <c r="D306" s="45">
        <v>0</v>
      </c>
      <c r="E306" s="45">
        <v>0</v>
      </c>
      <c r="F306" s="45">
        <v>0</v>
      </c>
      <c r="G306" s="45">
        <v>0</v>
      </c>
      <c r="H306" s="45">
        <v>0</v>
      </c>
      <c r="I306" s="45">
        <v>0</v>
      </c>
      <c r="J306" s="46">
        <f>SUM(B306:I306)</f>
        <v>1</v>
      </c>
    </row>
    <row r="307" spans="1:11" ht="15.75" x14ac:dyDescent="0.25">
      <c r="A307" s="32" t="s">
        <v>0</v>
      </c>
      <c r="B307" s="30">
        <v>163</v>
      </c>
      <c r="C307" s="30">
        <v>191</v>
      </c>
      <c r="D307" s="30">
        <v>5</v>
      </c>
      <c r="E307" s="33">
        <v>48</v>
      </c>
      <c r="F307" s="33">
        <v>11</v>
      </c>
      <c r="G307" s="33">
        <v>77</v>
      </c>
      <c r="H307" s="33">
        <v>79</v>
      </c>
      <c r="I307" s="33">
        <v>75</v>
      </c>
      <c r="J307" s="34">
        <f>SUM(B307:I307)</f>
        <v>649</v>
      </c>
      <c r="K307" s="62">
        <v>1</v>
      </c>
    </row>
    <row r="308" spans="1:11" ht="45" x14ac:dyDescent="0.25">
      <c r="A308" s="88" t="s">
        <v>131</v>
      </c>
      <c r="B308" s="9" t="s">
        <v>8</v>
      </c>
      <c r="C308" s="9" t="s">
        <v>16</v>
      </c>
      <c r="D308" s="36" t="s">
        <v>12</v>
      </c>
      <c r="E308" s="9" t="s">
        <v>10</v>
      </c>
      <c r="F308" s="37" t="s">
        <v>11</v>
      </c>
      <c r="G308" s="9" t="s">
        <v>18</v>
      </c>
      <c r="H308" s="9" t="s">
        <v>9</v>
      </c>
      <c r="I308" s="9" t="s">
        <v>17</v>
      </c>
      <c r="J308" s="11"/>
    </row>
    <row r="309" spans="1:11" ht="15.75" x14ac:dyDescent="0.25">
      <c r="A309" s="89" t="s">
        <v>122</v>
      </c>
      <c r="B309" s="13" t="s">
        <v>34</v>
      </c>
      <c r="C309" s="14" t="s">
        <v>15</v>
      </c>
      <c r="D309" s="15" t="s">
        <v>3</v>
      </c>
      <c r="E309" s="15" t="s">
        <v>4</v>
      </c>
      <c r="F309" s="15" t="s">
        <v>5</v>
      </c>
      <c r="G309" s="15" t="s">
        <v>14</v>
      </c>
      <c r="H309" s="15" t="s">
        <v>35</v>
      </c>
      <c r="I309" s="15" t="s">
        <v>13</v>
      </c>
      <c r="J309" s="16" t="s">
        <v>6</v>
      </c>
      <c r="K309" s="104" t="s">
        <v>154</v>
      </c>
    </row>
    <row r="310" spans="1:11" ht="18.75" x14ac:dyDescent="0.25">
      <c r="A310" s="49" t="s">
        <v>114</v>
      </c>
      <c r="B310" s="19">
        <v>397</v>
      </c>
      <c r="C310" s="2">
        <v>417</v>
      </c>
      <c r="D310" s="19">
        <v>9</v>
      </c>
      <c r="E310" s="19">
        <v>87</v>
      </c>
      <c r="F310" s="19">
        <v>21</v>
      </c>
      <c r="G310" s="19">
        <v>196</v>
      </c>
      <c r="H310" s="19">
        <v>157</v>
      </c>
      <c r="I310" s="19">
        <v>189</v>
      </c>
      <c r="J310" s="20">
        <f t="shared" ref="J310:J311" si="23">SUM(B310:I310)</f>
        <v>1473</v>
      </c>
      <c r="K310" s="103">
        <v>5</v>
      </c>
    </row>
    <row r="311" spans="1:11" ht="19.5" thickBot="1" x14ac:dyDescent="0.3">
      <c r="A311" s="60" t="s">
        <v>115</v>
      </c>
      <c r="B311" s="61">
        <v>45</v>
      </c>
      <c r="C311" s="1">
        <v>90</v>
      </c>
      <c r="D311" s="39">
        <v>5</v>
      </c>
      <c r="E311" s="39">
        <v>18</v>
      </c>
      <c r="F311" s="39">
        <v>3</v>
      </c>
      <c r="G311" s="39">
        <v>29</v>
      </c>
      <c r="H311" s="39">
        <v>22</v>
      </c>
      <c r="I311" s="39">
        <v>36</v>
      </c>
      <c r="J311" s="40">
        <f t="shared" si="23"/>
        <v>248</v>
      </c>
      <c r="K311" s="1"/>
    </row>
    <row r="312" spans="1:11" ht="19.5" thickBot="1" x14ac:dyDescent="0.3">
      <c r="A312" s="41" t="s">
        <v>7</v>
      </c>
      <c r="B312" s="42">
        <f>SUBTOTAL(109,Table1345710111721223036[BOX 2 &amp; 11])</f>
        <v>442</v>
      </c>
      <c r="C312" s="43">
        <f>SUBTOTAL(109,Table1345710111721223036[BOX 3 &amp; 12])</f>
        <v>507</v>
      </c>
      <c r="D312" s="43">
        <f>SUBTOTAL(109,Table1345710111721223036[BOX 4])</f>
        <v>14</v>
      </c>
      <c r="E312" s="43">
        <f>SUBTOTAL(109,Table1345710111721223036[BOX 5])</f>
        <v>105</v>
      </c>
      <c r="F312" s="43">
        <f>SUBTOTAL(109,Table1345710111721223036[BOX 6])</f>
        <v>24</v>
      </c>
      <c r="G312" s="43">
        <f>SUBTOTAL(109,Table1345710111721223036[BOX 10])</f>
        <v>225</v>
      </c>
      <c r="H312" s="43">
        <f>SUBTOTAL(109,Table1345710111721223036[BOX 1 &amp; 8])</f>
        <v>179</v>
      </c>
      <c r="I312" s="93">
        <f>SUBTOTAL(109,Table1345710111721223036[BOX 7])</f>
        <v>225</v>
      </c>
      <c r="J312" s="44">
        <f>SUBTOTAL(109,Table1345710111721223036[TOTAL])</f>
        <v>1721</v>
      </c>
      <c r="K312" s="105"/>
    </row>
    <row r="313" spans="1:11" ht="15.75" x14ac:dyDescent="0.25">
      <c r="A313" s="29" t="s">
        <v>1</v>
      </c>
      <c r="B313" s="45">
        <v>1</v>
      </c>
      <c r="C313" s="45">
        <v>0</v>
      </c>
      <c r="D313" s="45">
        <v>0</v>
      </c>
      <c r="E313" s="45">
        <v>0</v>
      </c>
      <c r="F313" s="45">
        <v>0</v>
      </c>
      <c r="G313" s="45">
        <v>0</v>
      </c>
      <c r="H313" s="45">
        <v>0</v>
      </c>
      <c r="I313" s="45">
        <v>0</v>
      </c>
      <c r="J313" s="46">
        <f>SUM(B313:I313)</f>
        <v>1</v>
      </c>
    </row>
    <row r="314" spans="1:11" ht="15.75" x14ac:dyDescent="0.25">
      <c r="A314" s="32" t="s">
        <v>0</v>
      </c>
      <c r="B314" s="30">
        <v>164</v>
      </c>
      <c r="C314" s="30">
        <v>192</v>
      </c>
      <c r="D314" s="30">
        <v>4</v>
      </c>
      <c r="E314" s="33"/>
      <c r="F314" s="33">
        <v>11</v>
      </c>
      <c r="G314" s="33">
        <v>74</v>
      </c>
      <c r="H314" s="33">
        <v>82</v>
      </c>
      <c r="I314" s="33">
        <v>72</v>
      </c>
      <c r="J314" s="34">
        <f>SUM(B314:I314)</f>
        <v>599</v>
      </c>
      <c r="K314" s="62">
        <v>1</v>
      </c>
    </row>
    <row r="316" spans="1:11" ht="45" x14ac:dyDescent="0.25">
      <c r="A316" s="88" t="s">
        <v>132</v>
      </c>
      <c r="B316" s="9" t="s">
        <v>8</v>
      </c>
      <c r="C316" s="9" t="s">
        <v>16</v>
      </c>
      <c r="D316" s="36" t="s">
        <v>12</v>
      </c>
      <c r="E316" s="9" t="s">
        <v>10</v>
      </c>
      <c r="F316" s="37" t="s">
        <v>11</v>
      </c>
      <c r="G316" s="9" t="s">
        <v>18</v>
      </c>
      <c r="H316" s="9" t="s">
        <v>9</v>
      </c>
      <c r="I316" s="9" t="s">
        <v>17</v>
      </c>
      <c r="J316" s="11"/>
    </row>
    <row r="317" spans="1:11" ht="15.75" x14ac:dyDescent="0.25">
      <c r="A317" s="89" t="s">
        <v>123</v>
      </c>
      <c r="B317" s="13" t="s">
        <v>34</v>
      </c>
      <c r="C317" s="14" t="s">
        <v>15</v>
      </c>
      <c r="D317" s="15" t="s">
        <v>3</v>
      </c>
      <c r="E317" s="15" t="s">
        <v>4</v>
      </c>
      <c r="F317" s="15" t="s">
        <v>5</v>
      </c>
      <c r="G317" s="15" t="s">
        <v>14</v>
      </c>
      <c r="H317" s="15" t="s">
        <v>35</v>
      </c>
      <c r="I317" s="15" t="s">
        <v>13</v>
      </c>
      <c r="J317" s="16" t="s">
        <v>6</v>
      </c>
      <c r="K317" s="104" t="s">
        <v>154</v>
      </c>
    </row>
    <row r="318" spans="1:11" ht="18.75" x14ac:dyDescent="0.25">
      <c r="A318" s="49" t="s">
        <v>114</v>
      </c>
      <c r="B318" s="19">
        <v>360</v>
      </c>
      <c r="C318" s="2">
        <v>419</v>
      </c>
      <c r="D318" s="19">
        <v>11</v>
      </c>
      <c r="E318" s="19">
        <v>82</v>
      </c>
      <c r="F318" s="19">
        <v>24</v>
      </c>
      <c r="G318" s="19">
        <v>184</v>
      </c>
      <c r="H318" s="19">
        <v>155</v>
      </c>
      <c r="I318" s="19">
        <v>186</v>
      </c>
      <c r="J318" s="20">
        <f t="shared" ref="J318:J319" si="24">SUM(B318:I318)</f>
        <v>1421</v>
      </c>
      <c r="K318" s="103">
        <v>5</v>
      </c>
    </row>
    <row r="319" spans="1:11" ht="19.5" thickBot="1" x14ac:dyDescent="0.3">
      <c r="A319" s="60" t="s">
        <v>115</v>
      </c>
      <c r="B319" s="61">
        <v>71</v>
      </c>
      <c r="C319" s="1">
        <v>99</v>
      </c>
      <c r="D319" s="39">
        <v>3</v>
      </c>
      <c r="E319" s="39">
        <v>18</v>
      </c>
      <c r="F319" s="39">
        <v>1</v>
      </c>
      <c r="G319" s="39">
        <v>37</v>
      </c>
      <c r="H319" s="39">
        <v>24</v>
      </c>
      <c r="I319" s="39">
        <v>35</v>
      </c>
      <c r="J319" s="40">
        <f t="shared" si="24"/>
        <v>288</v>
      </c>
      <c r="K319" s="1"/>
    </row>
    <row r="320" spans="1:11" ht="19.5" thickBot="1" x14ac:dyDescent="0.3">
      <c r="A320" s="41" t="s">
        <v>7</v>
      </c>
      <c r="B320" s="42">
        <f>SUBTOTAL(109,Table1345710111721223037[BOX 2 &amp; 11])</f>
        <v>431</v>
      </c>
      <c r="C320" s="43">
        <f>SUBTOTAL(109,Table1345710111721223037[BOX 3 &amp; 12])</f>
        <v>518</v>
      </c>
      <c r="D320" s="43">
        <f>SUBTOTAL(109,Table1345710111721223037[BOX 4])</f>
        <v>14</v>
      </c>
      <c r="E320" s="43">
        <f>SUBTOTAL(109,Table1345710111721223037[BOX 5])</f>
        <v>100</v>
      </c>
      <c r="F320" s="43">
        <f>SUBTOTAL(109,Table1345710111721223037[BOX 6])</f>
        <v>25</v>
      </c>
      <c r="G320" s="43">
        <f>SUBTOTAL(109,Table1345710111721223037[BOX 10])</f>
        <v>221</v>
      </c>
      <c r="H320" s="43">
        <f>SUBTOTAL(109,Table1345710111721223037[BOX 1 &amp; 8])</f>
        <v>179</v>
      </c>
      <c r="I320" s="93">
        <f>SUBTOTAL(109,Table1345710111721223037[BOX 7])</f>
        <v>221</v>
      </c>
      <c r="J320" s="44">
        <f>SUBTOTAL(109,Table1345710111721223037[TOTAL])</f>
        <v>1709</v>
      </c>
      <c r="K320" s="105"/>
    </row>
    <row r="321" spans="1:11" ht="15.75" x14ac:dyDescent="0.25">
      <c r="A321" s="29" t="s">
        <v>1</v>
      </c>
      <c r="B321" s="45">
        <v>1</v>
      </c>
      <c r="C321" s="45">
        <v>0</v>
      </c>
      <c r="D321" s="45">
        <v>0</v>
      </c>
      <c r="E321" s="45">
        <v>0</v>
      </c>
      <c r="F321" s="45">
        <v>0</v>
      </c>
      <c r="G321" s="45">
        <v>0</v>
      </c>
      <c r="H321" s="45">
        <v>1</v>
      </c>
      <c r="I321" s="45">
        <v>0</v>
      </c>
      <c r="J321" s="46">
        <f>SUM(B321:I321)</f>
        <v>2</v>
      </c>
      <c r="K321" s="62">
        <v>1</v>
      </c>
    </row>
    <row r="322" spans="1:11" ht="15.75" x14ac:dyDescent="0.25">
      <c r="A322" s="32" t="s">
        <v>0</v>
      </c>
      <c r="B322" s="30">
        <v>175</v>
      </c>
      <c r="C322" s="30">
        <v>181</v>
      </c>
      <c r="D322" s="30">
        <v>4</v>
      </c>
      <c r="E322" s="33"/>
      <c r="F322" s="33">
        <v>10</v>
      </c>
      <c r="G322" s="33">
        <v>78</v>
      </c>
      <c r="H322" s="33">
        <v>81</v>
      </c>
      <c r="I322" s="33">
        <v>76</v>
      </c>
      <c r="J322" s="34">
        <f>SUM(B322:I322)</f>
        <v>605</v>
      </c>
    </row>
    <row r="323" spans="1:11" ht="45" x14ac:dyDescent="0.25">
      <c r="A323" s="88" t="s">
        <v>133</v>
      </c>
      <c r="B323" s="9" t="s">
        <v>8</v>
      </c>
      <c r="C323" s="9" t="s">
        <v>16</v>
      </c>
      <c r="D323" s="36" t="s">
        <v>12</v>
      </c>
      <c r="E323" s="9" t="s">
        <v>10</v>
      </c>
      <c r="F323" s="37" t="s">
        <v>11</v>
      </c>
      <c r="G323" s="9" t="s">
        <v>18</v>
      </c>
      <c r="H323" s="9" t="s">
        <v>9</v>
      </c>
      <c r="I323" s="9" t="s">
        <v>17</v>
      </c>
      <c r="J323" s="11"/>
    </row>
    <row r="324" spans="1:11" ht="15.75" x14ac:dyDescent="0.25">
      <c r="A324" s="89" t="s">
        <v>124</v>
      </c>
      <c r="B324" s="13" t="s">
        <v>34</v>
      </c>
      <c r="C324" s="14" t="s">
        <v>15</v>
      </c>
      <c r="D324" s="15" t="s">
        <v>3</v>
      </c>
      <c r="E324" s="15" t="s">
        <v>4</v>
      </c>
      <c r="F324" s="15" t="s">
        <v>5</v>
      </c>
      <c r="G324" s="15" t="s">
        <v>14</v>
      </c>
      <c r="H324" s="15" t="s">
        <v>35</v>
      </c>
      <c r="I324" s="15" t="s">
        <v>13</v>
      </c>
      <c r="J324" s="16" t="s">
        <v>6</v>
      </c>
      <c r="K324" s="104" t="s">
        <v>154</v>
      </c>
    </row>
    <row r="325" spans="1:11" ht="18.75" x14ac:dyDescent="0.25">
      <c r="A325" s="49" t="s">
        <v>114</v>
      </c>
      <c r="B325" s="19">
        <v>380</v>
      </c>
      <c r="C325" s="2">
        <v>426</v>
      </c>
      <c r="D325" s="19">
        <v>11</v>
      </c>
      <c r="E325" s="19">
        <v>87</v>
      </c>
      <c r="F325" s="19">
        <v>21</v>
      </c>
      <c r="G325" s="19">
        <v>193</v>
      </c>
      <c r="H325" s="19">
        <v>160</v>
      </c>
      <c r="I325" s="19">
        <v>191</v>
      </c>
      <c r="J325" s="20">
        <f t="shared" ref="J325:J326" si="25">SUM(B325:I325)</f>
        <v>1469</v>
      </c>
      <c r="K325" s="103">
        <v>5</v>
      </c>
    </row>
    <row r="326" spans="1:11" ht="19.5" thickBot="1" x14ac:dyDescent="0.3">
      <c r="A326" s="60" t="s">
        <v>115</v>
      </c>
      <c r="B326" s="61">
        <v>54</v>
      </c>
      <c r="C326" s="1">
        <v>73</v>
      </c>
      <c r="D326" s="39">
        <v>2</v>
      </c>
      <c r="E326" s="39">
        <v>11</v>
      </c>
      <c r="F326" s="39">
        <v>2</v>
      </c>
      <c r="G326" s="39">
        <v>29</v>
      </c>
      <c r="H326" s="39">
        <v>15</v>
      </c>
      <c r="I326" s="39">
        <v>25</v>
      </c>
      <c r="J326" s="40">
        <f t="shared" si="25"/>
        <v>211</v>
      </c>
      <c r="K326" s="1"/>
    </row>
    <row r="327" spans="1:11" ht="19.5" thickBot="1" x14ac:dyDescent="0.3">
      <c r="A327" s="41" t="s">
        <v>7</v>
      </c>
      <c r="B327" s="42">
        <f>SUBTOTAL(109,Table1345710111721223038[BOX 2 &amp; 11])</f>
        <v>434</v>
      </c>
      <c r="C327" s="43">
        <f>SUBTOTAL(109,Table1345710111721223038[BOX 3 &amp; 12])</f>
        <v>499</v>
      </c>
      <c r="D327" s="43">
        <f>SUBTOTAL(109,Table1345710111721223038[BOX 4])</f>
        <v>13</v>
      </c>
      <c r="E327" s="43">
        <f>SUBTOTAL(109,Table1345710111721223038[BOX 5])</f>
        <v>98</v>
      </c>
      <c r="F327" s="43">
        <f>SUBTOTAL(109,Table1345710111721223038[BOX 6])</f>
        <v>23</v>
      </c>
      <c r="G327" s="43">
        <f>SUBTOTAL(109,Table1345710111721223038[BOX 10])</f>
        <v>222</v>
      </c>
      <c r="H327" s="43">
        <f>SUBTOTAL(109,Table1345710111721223038[BOX 1 &amp; 8])</f>
        <v>175</v>
      </c>
      <c r="I327" s="93">
        <f>SUBTOTAL(109,Table1345710111721223038[BOX 7])</f>
        <v>216</v>
      </c>
      <c r="J327" s="44">
        <f>SUBTOTAL(109,Table1345710111721223038[TOTAL])</f>
        <v>1680</v>
      </c>
      <c r="K327" s="105"/>
    </row>
    <row r="328" spans="1:11" ht="15.75" x14ac:dyDescent="0.25">
      <c r="A328" s="29" t="s">
        <v>1</v>
      </c>
      <c r="B328" s="45">
        <v>1</v>
      </c>
      <c r="C328" s="45">
        <v>0</v>
      </c>
      <c r="D328" s="45">
        <v>0</v>
      </c>
      <c r="E328" s="45"/>
      <c r="F328" s="45">
        <v>0</v>
      </c>
      <c r="G328" s="45">
        <v>0</v>
      </c>
      <c r="H328" s="45">
        <v>1</v>
      </c>
      <c r="I328" s="45">
        <v>0</v>
      </c>
      <c r="J328" s="46">
        <f>SUM(B328:I328)</f>
        <v>2</v>
      </c>
    </row>
    <row r="329" spans="1:11" ht="15.75" x14ac:dyDescent="0.25">
      <c r="A329" s="32" t="s">
        <v>0</v>
      </c>
      <c r="B329" s="30">
        <v>172</v>
      </c>
      <c r="C329" s="30">
        <v>200</v>
      </c>
      <c r="D329" s="30">
        <v>5</v>
      </c>
      <c r="E329" s="33"/>
      <c r="F329" s="33">
        <v>12</v>
      </c>
      <c r="G329" s="33">
        <v>77</v>
      </c>
      <c r="H329" s="33">
        <v>85</v>
      </c>
      <c r="I329" s="33">
        <v>81</v>
      </c>
      <c r="J329" s="34">
        <f>SUM(B329:I329)</f>
        <v>632</v>
      </c>
      <c r="K329" s="62">
        <v>1</v>
      </c>
    </row>
    <row r="330" spans="1:11" x14ac:dyDescent="0.25">
      <c r="A330" s="7"/>
      <c r="B330" s="7"/>
      <c r="C330" s="7"/>
      <c r="D330" s="7"/>
      <c r="E330" s="7"/>
      <c r="F330" s="7"/>
      <c r="G330" s="7"/>
    </row>
    <row r="331" spans="1:11" ht="45" x14ac:dyDescent="0.25">
      <c r="A331" s="88" t="s">
        <v>134</v>
      </c>
      <c r="B331" s="9" t="s">
        <v>8</v>
      </c>
      <c r="C331" s="9" t="s">
        <v>16</v>
      </c>
      <c r="D331" s="36" t="s">
        <v>12</v>
      </c>
      <c r="E331" s="9" t="s">
        <v>10</v>
      </c>
      <c r="F331" s="37" t="s">
        <v>11</v>
      </c>
      <c r="G331" s="9" t="s">
        <v>18</v>
      </c>
      <c r="H331" s="9" t="s">
        <v>9</v>
      </c>
      <c r="I331" s="9" t="s">
        <v>17</v>
      </c>
      <c r="J331" s="11"/>
    </row>
    <row r="332" spans="1:11" ht="15.75" x14ac:dyDescent="0.25">
      <c r="A332" s="89" t="s">
        <v>125</v>
      </c>
      <c r="B332" s="13" t="s">
        <v>34</v>
      </c>
      <c r="C332" s="14" t="s">
        <v>15</v>
      </c>
      <c r="D332" s="15" t="s">
        <v>3</v>
      </c>
      <c r="E332" s="15" t="s">
        <v>4</v>
      </c>
      <c r="F332" s="15" t="s">
        <v>5</v>
      </c>
      <c r="G332" s="15" t="s">
        <v>14</v>
      </c>
      <c r="H332" s="15" t="s">
        <v>35</v>
      </c>
      <c r="I332" s="15" t="s">
        <v>13</v>
      </c>
      <c r="J332" s="16" t="s">
        <v>6</v>
      </c>
      <c r="K332" s="104" t="s">
        <v>154</v>
      </c>
    </row>
    <row r="333" spans="1:11" ht="18.75" x14ac:dyDescent="0.25">
      <c r="A333" s="49" t="s">
        <v>114</v>
      </c>
      <c r="B333" s="19">
        <v>364</v>
      </c>
      <c r="C333" s="2">
        <v>379</v>
      </c>
      <c r="D333" s="19">
        <v>6</v>
      </c>
      <c r="E333" s="19">
        <v>86</v>
      </c>
      <c r="F333" s="19">
        <v>19</v>
      </c>
      <c r="G333" s="19">
        <v>178</v>
      </c>
      <c r="H333" s="19">
        <v>150</v>
      </c>
      <c r="I333" s="19">
        <v>185</v>
      </c>
      <c r="J333" s="20">
        <f t="shared" ref="J333:J334" si="26">SUM(B333:I333)</f>
        <v>1367</v>
      </c>
      <c r="K333" s="103">
        <v>4</v>
      </c>
    </row>
    <row r="334" spans="1:11" ht="19.5" thickBot="1" x14ac:dyDescent="0.3">
      <c r="A334" s="60" t="s">
        <v>115</v>
      </c>
      <c r="B334" s="61">
        <v>64</v>
      </c>
      <c r="C334" s="1">
        <v>117</v>
      </c>
      <c r="D334" s="39">
        <v>7</v>
      </c>
      <c r="E334" s="39">
        <v>14</v>
      </c>
      <c r="F334" s="39">
        <v>6</v>
      </c>
      <c r="G334" s="39">
        <v>38</v>
      </c>
      <c r="H334" s="39">
        <v>28</v>
      </c>
      <c r="I334" s="39">
        <v>31</v>
      </c>
      <c r="J334" s="40">
        <f t="shared" si="26"/>
        <v>305</v>
      </c>
      <c r="K334" s="1">
        <v>1</v>
      </c>
    </row>
    <row r="335" spans="1:11" ht="19.5" thickBot="1" x14ac:dyDescent="0.3">
      <c r="A335" s="41" t="s">
        <v>7</v>
      </c>
      <c r="B335" s="42">
        <f>SUBTOTAL(109,Table134571011172122303839[BOX 2 &amp; 11])</f>
        <v>428</v>
      </c>
      <c r="C335" s="43">
        <f>SUBTOTAL(109,Table134571011172122303839[BOX 3 &amp; 12])</f>
        <v>496</v>
      </c>
      <c r="D335" s="43">
        <f>SUBTOTAL(109,Table134571011172122303839[BOX 4])</f>
        <v>13</v>
      </c>
      <c r="E335" s="43">
        <f>SUBTOTAL(109,Table134571011172122303839[BOX 5])</f>
        <v>100</v>
      </c>
      <c r="F335" s="43">
        <f>SUBTOTAL(109,Table134571011172122303839[BOX 6])</f>
        <v>25</v>
      </c>
      <c r="G335" s="43">
        <f>SUBTOTAL(109,Table134571011172122303839[BOX 10])</f>
        <v>216</v>
      </c>
      <c r="H335" s="43">
        <f>SUBTOTAL(109,Table134571011172122303839[BOX 1 &amp; 8])</f>
        <v>178</v>
      </c>
      <c r="I335" s="93">
        <f>SUBTOTAL(109,Table134571011172122303839[BOX 7])</f>
        <v>216</v>
      </c>
      <c r="J335" s="44">
        <f>SUBTOTAL(109,Table134571011172122303839[TOTAL])</f>
        <v>1672</v>
      </c>
      <c r="K335" s="105"/>
    </row>
    <row r="336" spans="1:11" ht="15.75" x14ac:dyDescent="0.25">
      <c r="A336" s="29" t="s">
        <v>1</v>
      </c>
      <c r="B336" s="45">
        <v>0</v>
      </c>
      <c r="C336" s="45">
        <v>0</v>
      </c>
      <c r="D336" s="45">
        <v>0</v>
      </c>
      <c r="E336" s="45"/>
      <c r="F336" s="45">
        <v>0</v>
      </c>
      <c r="G336" s="45">
        <v>0</v>
      </c>
      <c r="H336" s="45">
        <v>0</v>
      </c>
      <c r="I336" s="45">
        <v>0</v>
      </c>
      <c r="J336" s="46">
        <f>SUM(B336:I336)</f>
        <v>0</v>
      </c>
    </row>
    <row r="337" spans="1:11" ht="15.75" x14ac:dyDescent="0.25">
      <c r="A337" s="32" t="s">
        <v>0</v>
      </c>
      <c r="B337" s="30">
        <v>179</v>
      </c>
      <c r="C337" s="30">
        <v>203</v>
      </c>
      <c r="D337" s="30">
        <v>5</v>
      </c>
      <c r="E337" s="33"/>
      <c r="F337" s="33">
        <v>10</v>
      </c>
      <c r="G337" s="33">
        <v>83</v>
      </c>
      <c r="H337" s="33">
        <v>83</v>
      </c>
      <c r="I337" s="33">
        <v>81</v>
      </c>
      <c r="J337" s="34">
        <f>SUM(B337:I337)</f>
        <v>644</v>
      </c>
      <c r="K337" s="62">
        <v>1</v>
      </c>
    </row>
    <row r="338" spans="1:11" ht="45" x14ac:dyDescent="0.25">
      <c r="A338" s="88" t="s">
        <v>135</v>
      </c>
      <c r="B338" s="9" t="s">
        <v>8</v>
      </c>
      <c r="C338" s="9" t="s">
        <v>16</v>
      </c>
      <c r="D338" s="36" t="s">
        <v>12</v>
      </c>
      <c r="E338" s="9" t="s">
        <v>10</v>
      </c>
      <c r="F338" s="37" t="s">
        <v>11</v>
      </c>
      <c r="G338" s="9" t="s">
        <v>18</v>
      </c>
      <c r="H338" s="9" t="s">
        <v>9</v>
      </c>
      <c r="I338" s="9" t="s">
        <v>17</v>
      </c>
      <c r="J338" s="11"/>
    </row>
    <row r="339" spans="1:11" ht="15.75" x14ac:dyDescent="0.25">
      <c r="A339" s="89" t="s">
        <v>126</v>
      </c>
      <c r="B339" s="13" t="s">
        <v>34</v>
      </c>
      <c r="C339" s="14" t="s">
        <v>15</v>
      </c>
      <c r="D339" s="15" t="s">
        <v>3</v>
      </c>
      <c r="E339" s="15" t="s">
        <v>4</v>
      </c>
      <c r="F339" s="15" t="s">
        <v>5</v>
      </c>
      <c r="G339" s="15" t="s">
        <v>14</v>
      </c>
      <c r="H339" s="15" t="s">
        <v>35</v>
      </c>
      <c r="I339" s="15" t="s">
        <v>13</v>
      </c>
      <c r="J339" s="16" t="s">
        <v>6</v>
      </c>
      <c r="K339" s="104" t="s">
        <v>154</v>
      </c>
    </row>
    <row r="340" spans="1:11" ht="18.75" x14ac:dyDescent="0.25">
      <c r="A340" s="49" t="s">
        <v>114</v>
      </c>
      <c r="B340" s="19">
        <v>342</v>
      </c>
      <c r="C340" s="2">
        <v>377</v>
      </c>
      <c r="D340" s="19">
        <v>7</v>
      </c>
      <c r="E340" s="19">
        <v>82</v>
      </c>
      <c r="F340" s="19">
        <v>21</v>
      </c>
      <c r="G340" s="19">
        <v>170</v>
      </c>
      <c r="H340" s="19">
        <v>136</v>
      </c>
      <c r="I340" s="19">
        <v>176</v>
      </c>
      <c r="J340" s="20">
        <f t="shared" ref="J340:J341" si="27">SUM(B340:I340)</f>
        <v>1311</v>
      </c>
      <c r="K340" s="103">
        <v>5</v>
      </c>
    </row>
    <row r="341" spans="1:11" ht="19.5" thickBot="1" x14ac:dyDescent="0.3">
      <c r="A341" s="60" t="s">
        <v>115</v>
      </c>
      <c r="B341" s="61">
        <v>75</v>
      </c>
      <c r="C341" s="1">
        <v>114</v>
      </c>
      <c r="D341" s="39">
        <v>5</v>
      </c>
      <c r="E341" s="39">
        <v>17</v>
      </c>
      <c r="F341" s="39">
        <v>3</v>
      </c>
      <c r="G341" s="39">
        <v>45</v>
      </c>
      <c r="H341" s="39">
        <v>31</v>
      </c>
      <c r="I341" s="39">
        <v>38</v>
      </c>
      <c r="J341" s="40">
        <f t="shared" si="27"/>
        <v>328</v>
      </c>
      <c r="K341" s="1"/>
    </row>
    <row r="342" spans="1:11" ht="19.5" thickBot="1" x14ac:dyDescent="0.3">
      <c r="A342" s="41" t="s">
        <v>7</v>
      </c>
      <c r="B342" s="42">
        <f>SUBTOTAL(109,Table13457101117212230383940[BOX 2 &amp; 11])</f>
        <v>417</v>
      </c>
      <c r="C342" s="43">
        <f>SUBTOTAL(109,Table13457101117212230383940[BOX 3 &amp; 12])</f>
        <v>491</v>
      </c>
      <c r="D342" s="43">
        <f>SUBTOTAL(109,Table13457101117212230383940[BOX 4])</f>
        <v>12</v>
      </c>
      <c r="E342" s="43">
        <f>SUBTOTAL(109,Table13457101117212230383940[BOX 5])</f>
        <v>99</v>
      </c>
      <c r="F342" s="43">
        <f>SUBTOTAL(109,Table13457101117212230383940[BOX 6])</f>
        <v>24</v>
      </c>
      <c r="G342" s="43">
        <f>SUBTOTAL(109,Table13457101117212230383940[BOX 10])</f>
        <v>215</v>
      </c>
      <c r="H342" s="43">
        <f>SUBTOTAL(109,Table13457101117212230383940[BOX 1 &amp; 8])</f>
        <v>167</v>
      </c>
      <c r="I342" s="93">
        <f>SUBTOTAL(109,Table13457101117212230383940[BOX 7])</f>
        <v>214</v>
      </c>
      <c r="J342" s="44">
        <f>SUBTOTAL(109,Table13457101117212230383940[TOTAL])</f>
        <v>1639</v>
      </c>
      <c r="K342" s="105"/>
    </row>
    <row r="343" spans="1:11" ht="15.75" x14ac:dyDescent="0.25">
      <c r="A343" s="29" t="s">
        <v>1</v>
      </c>
      <c r="B343" s="45">
        <v>2</v>
      </c>
      <c r="C343" s="45">
        <v>0</v>
      </c>
      <c r="D343" s="45">
        <v>0</v>
      </c>
      <c r="E343" s="45"/>
      <c r="F343" s="45">
        <v>0</v>
      </c>
      <c r="G343" s="45">
        <v>1</v>
      </c>
      <c r="H343" s="45">
        <v>1</v>
      </c>
      <c r="I343" s="45">
        <v>0</v>
      </c>
      <c r="J343" s="46">
        <f>SUM(B343:I343)</f>
        <v>4</v>
      </c>
    </row>
    <row r="344" spans="1:11" ht="15.75" x14ac:dyDescent="0.25">
      <c r="A344" s="32" t="s">
        <v>0</v>
      </c>
      <c r="B344" s="30">
        <v>188</v>
      </c>
      <c r="C344" s="30">
        <v>208</v>
      </c>
      <c r="D344" s="30">
        <v>6</v>
      </c>
      <c r="E344" s="33"/>
      <c r="F344" s="33">
        <v>11</v>
      </c>
      <c r="G344" s="33">
        <v>83</v>
      </c>
      <c r="H344" s="33">
        <v>93</v>
      </c>
      <c r="I344" s="33">
        <v>83</v>
      </c>
      <c r="J344" s="34">
        <f>SUM(B344:I344)</f>
        <v>672</v>
      </c>
      <c r="K344" s="62">
        <v>1</v>
      </c>
    </row>
    <row r="346" spans="1:11" x14ac:dyDescent="0.25">
      <c r="A346" s="50" t="s">
        <v>152</v>
      </c>
      <c r="B346" s="90">
        <v>607</v>
      </c>
      <c r="C346" s="90">
        <v>699</v>
      </c>
      <c r="D346" s="90">
        <v>18</v>
      </c>
      <c r="E346" s="90">
        <v>152</v>
      </c>
      <c r="F346" s="90">
        <v>35</v>
      </c>
      <c r="G346" s="90">
        <v>299</v>
      </c>
      <c r="H346" s="91">
        <v>261</v>
      </c>
      <c r="I346" s="91">
        <v>297</v>
      </c>
      <c r="J346" s="7">
        <f>SUM(B346:I346)</f>
        <v>2368</v>
      </c>
      <c r="K346" s="62">
        <f>SUM(K340:K344)</f>
        <v>6</v>
      </c>
    </row>
  </sheetData>
  <mergeCells count="5">
    <mergeCell ref="A1:K1"/>
    <mergeCell ref="A3:J3"/>
    <mergeCell ref="A2:E2"/>
    <mergeCell ref="F2:G2"/>
    <mergeCell ref="H2:I2"/>
  </mergeCells>
  <phoneticPr fontId="1" type="noConversion"/>
  <printOptions horizontalCentered="1" verticalCentered="1"/>
  <pageMargins left="0.25" right="0.25" top="0.75" bottom="0.75" header="0.3" footer="0.3"/>
  <pageSetup scale="81" fitToHeight="0" orientation="landscape" r:id="rId1"/>
  <headerFooter>
    <oddHeader>&amp;L&amp;"Times New Roman,Bold"&amp;14&amp;K000000MARCH 3, 2020 
REEVES COUNTY TEXAS&amp;C&amp;"Times New Roman,Bold"&amp;14&amp;K000000DEMOCRATIC PRIMARY ELECTION&amp;R&amp;"Times New Roman,Bold"&amp;14&amp;K000000COMBINED- BY PRICINCT TOTALS</oddHeader>
  </headerFooter>
  <ignoredErrors>
    <ignoredError sqref="D190:G191 H191 H190" calculatedColumn="1"/>
  </ignoredErrors>
  <tableParts count="3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REEVES COUNTY DEM 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cp:lastPrinted>2019-11-18T21:03:50Z</cp:lastPrinted>
  <dcterms:created xsi:type="dcterms:W3CDTF">2019-05-06T16:24:36Z</dcterms:created>
  <dcterms:modified xsi:type="dcterms:W3CDTF">2020-03-19T16:32:05Z</dcterms:modified>
</cp:coreProperties>
</file>