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Instrutor\Desktop\"/>
    </mc:Choice>
  </mc:AlternateContent>
  <xr:revisionPtr revIDLastSave="0" documentId="13_ncr:1_{ABAE0784-639F-4F0B-BB66-C688F4E7832C}" xr6:coauthVersionLast="36" xr6:coauthVersionMax="36" xr10:uidLastSave="{00000000-0000-0000-0000-000000000000}"/>
  <bookViews>
    <workbookView xWindow="0" yWindow="0" windowWidth="28800" windowHeight="12225" tabRatio="834" xr2:uid="{00000000-000D-0000-FFFF-FFFF00000000}"/>
  </bookViews>
  <sheets>
    <sheet name=" Salário x Cargo" sheetId="4" r:id="rId1"/>
    <sheet name="ANALISTA" sheetId="11" r:id="rId2"/>
    <sheet name="ASSISTENTE" sheetId="10" r:id="rId3"/>
    <sheet name="DESENVOLVEDOR" sheetId="9" r:id="rId4"/>
    <sheet name="GERENTE" sheetId="8" r:id="rId5"/>
    <sheet name="TÉCNICO" sheetId="7" r:id="rId6"/>
    <sheet name=" Salário x Departamento" sheetId="5" r:id="rId7"/>
    <sheet name="salário x depa x cargo x func" sheetId="6" r:id="rId8"/>
    <sheet name="CADASTRO" sheetId="1" r:id="rId9"/>
    <sheet name="RELATÓRIO" sheetId="2" r:id="rId10"/>
    <sheet name="CRITÉRIOS" sheetId="3" r:id="rId11"/>
  </sheets>
  <definedNames>
    <definedName name="_xlnm._FilterDatabase" localSheetId="8" hidden="1">CADASTRO!$A$2:$F$23</definedName>
    <definedName name="ADMIN">CRITÉRIOS!$A$1:$A$2</definedName>
    <definedName name="ANALISTA">CRITÉRIOS!$G$1:$G$2</definedName>
    <definedName name="ASSISTENTE">CRITÉRIOS!$G$4:$G$5</definedName>
    <definedName name="CARGO">CADASTRO!$C$2</definedName>
    <definedName name="CARGO_AN">CRITÉRIOS!$G$1:$H$2</definedName>
    <definedName name="CARGO_AN2">CRITÉRIOS!$J$1:$K$2</definedName>
    <definedName name="CARGO_ASS">CRITÉRIOS!$G$4:$H$5</definedName>
    <definedName name="CARGO_ASS2">CRITÉRIOS!$J$4:$K$5</definedName>
    <definedName name="CARGO_DEV">CRITÉRIOS!$G$10:$H$11</definedName>
    <definedName name="CARGO_DEV2">CRITÉRIOS!$J$10:$K$11</definedName>
    <definedName name="CARGO_GE2">CRITÉRIOS!$J$7:$K$8</definedName>
    <definedName name="CARGO_GER">CRITÉRIOS!$G$7:$H$8</definedName>
    <definedName name="DADOS">CADASTRO!$A$2:$F$23</definedName>
    <definedName name="DEPARTAMENTO">CADASTRO!$B$2</definedName>
    <definedName name="DEV">CRITÉRIOS!$G$10:$G$11</definedName>
    <definedName name="FINANC">CRITÉRIOS!$A$4:$A$5</definedName>
    <definedName name="FUNC_ADM">CRITÉRIOS!$A$1:$B$2</definedName>
    <definedName name="FUNC_ADM2">CRITÉRIOS!$D$1:$E$2</definedName>
    <definedName name="FUNC_FIN">CRITÉRIOS!$A$4:$B$5</definedName>
    <definedName name="FUNC_FIN2">CRITÉRIOS!$D$4:$E$5</definedName>
    <definedName name="FUNC_INFO">CRITÉRIOS!$A$10:$B$11</definedName>
    <definedName name="FUNC_INFO2">CRITÉRIOS!$D$10:$E$11</definedName>
    <definedName name="FUNC_REC">CRITÉRIOS!$A$7:$B$8</definedName>
    <definedName name="FUNC_REC2">CRITÉRIOS!$D$7:$E$8</definedName>
    <definedName name="FUNCIONARIOS">CADASTRO!$A$2</definedName>
    <definedName name="GERENTE">CRITÉRIOS!$G$7:$G$8</definedName>
    <definedName name="IA">CRITÉRIOS!$G$13:$H$14</definedName>
    <definedName name="IADM1">CRITÉRIOS!$A$13:$B$14</definedName>
    <definedName name="IADM2">CRITÉRIOS!$D$13:$E$14</definedName>
    <definedName name="IAN">CRITÉRIOS!$J$13:$K$14</definedName>
    <definedName name="IASS">CRITÉRIOS!$G$16:$H$17</definedName>
    <definedName name="IASS2">CRITÉRIOS!$J$16:$K$17</definedName>
    <definedName name="ID">CRITÉRIOS!$G$22:$H$23</definedName>
    <definedName name="IDADE">CADASTRO!$F$2</definedName>
    <definedName name="IDEV2">CRITÉRIOS!$J$22:$K$23</definedName>
    <definedName name="IFIN1">CRITÉRIOS!$A$16:$B$17</definedName>
    <definedName name="IFIN2">CRITÉRIOS!$D$16:$E$17</definedName>
    <definedName name="IG">CRITÉRIOS!$G$19:$H$20</definedName>
    <definedName name="IGER2">CRITÉRIOS!$J$19:$K$20</definedName>
    <definedName name="IINF2">CRITÉRIOS!$D$22:$E$23</definedName>
    <definedName name="IINFO1">CRITÉRIOS!$A$22:$B$23</definedName>
    <definedName name="INFOR">CRITÉRIOS!$A$10:$A$11</definedName>
    <definedName name="IREC1">CRITÉRIOS!$A$19:$B$20</definedName>
    <definedName name="IREC2">CRITÉRIOS!$D$19:$E$20</definedName>
    <definedName name="RECHUM">CRITÉRIOS!$A$7:$A$8</definedName>
    <definedName name="SegmentaçãodeDados_FUNCIONÁRIO">#N/A</definedName>
    <definedName name="VALSALARIO">CADASTRO!$D$2</definedName>
  </definedNames>
  <calcPr calcId="191029"/>
  <pivotCaches>
    <pivotCache cacheId="8" r:id="rId12"/>
  </pivotCaches>
  <extLs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H13" i="2"/>
  <c r="H12" i="2"/>
  <c r="H11" i="2"/>
  <c r="H6" i="2"/>
  <c r="H5" i="2"/>
  <c r="H4" i="2"/>
  <c r="H3" i="2"/>
  <c r="F14" i="2"/>
  <c r="K11" i="3" s="1"/>
  <c r="G14" i="2" s="1"/>
  <c r="F13" i="2"/>
  <c r="K8" i="3" s="1"/>
  <c r="G13" i="2" s="1"/>
  <c r="F12" i="2"/>
  <c r="K5" i="3" s="1"/>
  <c r="G12" i="2" s="1"/>
  <c r="F11" i="2"/>
  <c r="K2" i="3" s="1"/>
  <c r="G11" i="2" s="1"/>
  <c r="D14" i="2"/>
  <c r="H11" i="3" s="1"/>
  <c r="E14" i="2" s="1"/>
  <c r="D13" i="2"/>
  <c r="H8" i="3" s="1"/>
  <c r="E13" i="2" s="1"/>
  <c r="D12" i="2"/>
  <c r="H5" i="3" s="1"/>
  <c r="E12" i="2" s="1"/>
  <c r="D11" i="2"/>
  <c r="H2" i="3" s="1"/>
  <c r="E11" i="2" s="1"/>
  <c r="C14" i="2"/>
  <c r="C13" i="2"/>
  <c r="C12" i="2"/>
  <c r="C11" i="2"/>
  <c r="B14" i="2"/>
  <c r="B13" i="2"/>
  <c r="B12" i="2"/>
  <c r="B11" i="2"/>
  <c r="F3" i="2" l="1"/>
  <c r="E2" i="3" s="1"/>
  <c r="G3" i="2" s="1"/>
  <c r="F6" i="2"/>
  <c r="E8" i="3" s="1"/>
  <c r="G6" i="2" s="1"/>
  <c r="F5" i="2"/>
  <c r="E11" i="3" s="1"/>
  <c r="G5" i="2" s="1"/>
  <c r="F4" i="2"/>
  <c r="E5" i="3" s="1"/>
  <c r="G4" i="2" s="1"/>
  <c r="D6" i="2"/>
  <c r="B8" i="3" s="1"/>
  <c r="E6" i="2" s="1"/>
  <c r="D5" i="2"/>
  <c r="B11" i="3" s="1"/>
  <c r="E5" i="2" s="1"/>
  <c r="D4" i="2"/>
  <c r="B5" i="3" s="1"/>
  <c r="E4" i="2" s="1"/>
  <c r="D3" i="2"/>
  <c r="B2" i="3" s="1"/>
  <c r="E3" i="2" s="1"/>
  <c r="C6" i="2"/>
  <c r="C5" i="2"/>
  <c r="C4" i="2"/>
  <c r="C3" i="2"/>
  <c r="B6" i="2"/>
  <c r="B5" i="2"/>
  <c r="B4" i="2"/>
  <c r="B3" i="2"/>
  <c r="I1" i="1"/>
  <c r="F3" i="1" l="1"/>
  <c r="F10" i="1"/>
  <c r="F16" i="1"/>
  <c r="F11" i="1"/>
  <c r="F22" i="1"/>
  <c r="F8" i="1"/>
  <c r="F4" i="1"/>
  <c r="F14" i="1"/>
  <c r="F12" i="1"/>
  <c r="F7" i="1"/>
  <c r="F15" i="1"/>
  <c r="F13" i="1"/>
  <c r="F23" i="1"/>
  <c r="F21" i="1"/>
  <c r="F6" i="1"/>
  <c r="F9" i="1"/>
  <c r="F20" i="1"/>
  <c r="F19" i="1"/>
  <c r="F18" i="1"/>
  <c r="F17" i="1"/>
  <c r="F5" i="1"/>
  <c r="K14" i="2" l="1"/>
  <c r="K23" i="3" s="1"/>
  <c r="L14" i="2" s="1"/>
  <c r="I14" i="2"/>
  <c r="H23" i="3" s="1"/>
  <c r="J14" i="2" s="1"/>
  <c r="I13" i="2"/>
  <c r="H20" i="3" s="1"/>
  <c r="J13" i="2" s="1"/>
  <c r="K13" i="2"/>
  <c r="K20" i="3" s="1"/>
  <c r="L13" i="2" s="1"/>
  <c r="I12" i="2"/>
  <c r="H17" i="3" s="1"/>
  <c r="J12" i="2" s="1"/>
  <c r="K12" i="2"/>
  <c r="K17" i="3" s="1"/>
  <c r="L12" i="2" s="1"/>
  <c r="K11" i="2"/>
  <c r="K14" i="3" s="1"/>
  <c r="L11" i="2" s="1"/>
  <c r="I11" i="2"/>
  <c r="H14" i="3" s="1"/>
  <c r="K5" i="2"/>
  <c r="E23" i="3" s="1"/>
  <c r="L5" i="2" s="1"/>
  <c r="I5" i="2"/>
  <c r="B23" i="3" s="1"/>
  <c r="J5" i="2" s="1"/>
  <c r="I6" i="2"/>
  <c r="B20" i="3" s="1"/>
  <c r="K6" i="2"/>
  <c r="E20" i="3" s="1"/>
  <c r="L6" i="2" s="1"/>
  <c r="I4" i="2"/>
  <c r="B17" i="3" s="1"/>
  <c r="J4" i="2" s="1"/>
  <c r="K4" i="2"/>
  <c r="E17" i="3" s="1"/>
  <c r="L4" i="2" s="1"/>
  <c r="K3" i="2"/>
  <c r="E14" i="3" s="1"/>
  <c r="L3" i="2" s="1"/>
  <c r="I3" i="2"/>
  <c r="B14" i="3" s="1"/>
  <c r="J11" i="2" l="1"/>
  <c r="J6" i="2"/>
  <c r="J3" i="2"/>
</calcChain>
</file>

<file path=xl/sharedStrings.xml><?xml version="1.0" encoding="utf-8"?>
<sst xmlns="http://schemas.openxmlformats.org/spreadsheetml/2006/main" count="304" uniqueCount="62">
  <si>
    <t>BRUNO'S GAMES DESENVOLVIMENTO DE JOGOS</t>
  </si>
  <si>
    <t>FUNCIONÁRIO</t>
  </si>
  <si>
    <t>DEPARTAMENTO</t>
  </si>
  <si>
    <t>CARGO</t>
  </si>
  <si>
    <t>SALÁRIO</t>
  </si>
  <si>
    <t>DATA NASCIMENTO</t>
  </si>
  <si>
    <t>IDADE</t>
  </si>
  <si>
    <t>BRUNO MORAES</t>
  </si>
  <si>
    <t>INFORMÁTICA</t>
  </si>
  <si>
    <t>GERENTE</t>
  </si>
  <si>
    <t>HENRIQUE ENRICO</t>
  </si>
  <si>
    <t>FINANCEIRO</t>
  </si>
  <si>
    <t>ASSISTENTE</t>
  </si>
  <si>
    <t>HELENA ZANETTI</t>
  </si>
  <si>
    <t>ADMINISTRATIVO</t>
  </si>
  <si>
    <t>ANALISTA</t>
  </si>
  <si>
    <t>CARLA ANDREOLLI</t>
  </si>
  <si>
    <t>GOMES PEREIRA</t>
  </si>
  <si>
    <t>TÉCNICO</t>
  </si>
  <si>
    <t>ALAN GOLDEN</t>
  </si>
  <si>
    <t>RECURSOS HUMANOS</t>
  </si>
  <si>
    <t>BEATRIZ SARACENA</t>
  </si>
  <si>
    <t>FERNANDA MARIONI</t>
  </si>
  <si>
    <t>Financeiro</t>
  </si>
  <si>
    <t>Analista</t>
  </si>
  <si>
    <t>Informática</t>
  </si>
  <si>
    <t>Recursos Humanos</t>
  </si>
  <si>
    <t>Assistente</t>
  </si>
  <si>
    <t>Administrativo</t>
  </si>
  <si>
    <t>ANA MARIA BERNARDES</t>
  </si>
  <si>
    <t>ANGÉLICA BUENO</t>
  </si>
  <si>
    <t>FERNANDO PAS</t>
  </si>
  <si>
    <t>GEORGINA NYTHE</t>
  </si>
  <si>
    <t>JADE VINILITTI</t>
  </si>
  <si>
    <t>KAREN RODRIGUES</t>
  </si>
  <si>
    <t>LUCY ALMEIDA</t>
  </si>
  <si>
    <t>LUCIANA MEIRELLES</t>
  </si>
  <si>
    <t>JOÃO ALVES</t>
  </si>
  <si>
    <t>DESENVOLVEDOR</t>
  </si>
  <si>
    <t>KATRINA FEIJÓ</t>
  </si>
  <si>
    <t>LUDMILLA VACARI</t>
  </si>
  <si>
    <t>POR DEPARTAMENTO</t>
  </si>
  <si>
    <t>Departamento</t>
  </si>
  <si>
    <t>Soma Salários</t>
  </si>
  <si>
    <t>Média Salários</t>
  </si>
  <si>
    <t>Maior Salário</t>
  </si>
  <si>
    <t>Funcionário</t>
  </si>
  <si>
    <t>Menor Salário</t>
  </si>
  <si>
    <t>Qtd. Funcionários</t>
  </si>
  <si>
    <t>Maior Idade</t>
  </si>
  <si>
    <t>Menor Idade</t>
  </si>
  <si>
    <t>POR CARGO</t>
  </si>
  <si>
    <t>Cargo</t>
  </si>
  <si>
    <t>Gerente</t>
  </si>
  <si>
    <t>Desenvolvedor</t>
  </si>
  <si>
    <t>UTILIZAR FÓRMULA ANO E HOJE - ANO DATA NASCIMENTO</t>
  </si>
  <si>
    <t>REGIANI GONÇALVES</t>
  </si>
  <si>
    <t>Rótulos de Linha</t>
  </si>
  <si>
    <t>Total Geral</t>
  </si>
  <si>
    <t>Soma de SALÁRIO</t>
  </si>
  <si>
    <t>(Tudo)</t>
  </si>
  <si>
    <t>Salário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</si>
</sst>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41">
    <xf numFmtId="0" fontId="0" fillId="0" borderId="0" xfId="0"/>
    <xf numFmtId="14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44" fontId="2" fillId="3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0" fillId="0" borderId="0" xfId="1" applyFont="1"/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1" fontId="0" fillId="0" borderId="0" xfId="1" applyNumberFormat="1" applyFont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64" fontId="0" fillId="0" borderId="0" xfId="0" applyNumberFormat="1"/>
    <xf numFmtId="44" fontId="0" fillId="0" borderId="1" xfId="0" applyNumberFormat="1" applyBorder="1" applyAlignment="1">
      <alignment horizontal="center" vertical="center"/>
    </xf>
    <xf numFmtId="0" fontId="0" fillId="0" borderId="0" xfId="1" applyNumberFormat="1" applyFont="1"/>
    <xf numFmtId="44" fontId="0" fillId="0" borderId="0" xfId="1" applyFont="1" applyAlignment="1">
      <alignment horizontal="center" vertical="center"/>
    </xf>
    <xf numFmtId="44" fontId="0" fillId="0" borderId="1" xfId="1" applyNumberFormat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0" xfId="0" applyNumberFormat="1"/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indent="1"/>
    </xf>
  </cellXfs>
  <cellStyles count="3">
    <cellStyle name="Moeda" xfId="1" builtinId="4"/>
    <cellStyle name="Normal" xfId="0" builtinId="0"/>
    <cellStyle name="Normal 2" xfId="2" xr:uid="{00000000-0005-0000-0000-000002000000}"/>
  </cellStyles>
  <dxfs count="1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6A - ATIVIDADE 1 - BRUNO'S GAMES.xlsx] Salário x Cargo!Tabela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flip="none" rotWithShape="1">
            <a:gsLst>
              <a:gs pos="7000">
                <a:schemeClr val="accent1"/>
              </a:gs>
              <a:gs pos="100000">
                <a:schemeClr val="accent5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 Salário x Cargo'!$B$3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7000">
                  <a:schemeClr val="accent1"/>
                </a:gs>
                <a:gs pos="100000">
                  <a:schemeClr val="accent5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  <a:sp3d/>
          </c:spPr>
          <c:invertIfNegative val="0"/>
          <c:cat>
            <c:multiLvlStrRef>
              <c:f>' Salário x Cargo'!$A$4:$A$20</c:f>
              <c:multiLvlStrCache>
                <c:ptCount val="11"/>
                <c:lvl>
                  <c:pt idx="0">
                    <c:v>FINANCEIRO</c:v>
                  </c:pt>
                  <c:pt idx="1">
                    <c:v>ADMINISTRATIVO</c:v>
                  </c:pt>
                  <c:pt idx="2">
                    <c:v>FINANCEIRO</c:v>
                  </c:pt>
                  <c:pt idx="3">
                    <c:v>RECURSOS HUMANOS</c:v>
                  </c:pt>
                  <c:pt idx="4">
                    <c:v>INFORMÁTICA</c:v>
                  </c:pt>
                  <c:pt idx="5">
                    <c:v>ADMINISTRATIVO</c:v>
                  </c:pt>
                  <c:pt idx="6">
                    <c:v>FINANCEIRO</c:v>
                  </c:pt>
                  <c:pt idx="7">
                    <c:v>INFORMÁTICA</c:v>
                  </c:pt>
                  <c:pt idx="8">
                    <c:v>RECURSOS HUMANOS</c:v>
                  </c:pt>
                  <c:pt idx="9">
                    <c:v>ADMINISTRATIVO</c:v>
                  </c:pt>
                  <c:pt idx="10">
                    <c:v>RECURSOS HUMANOS</c:v>
                  </c:pt>
                </c:lvl>
                <c:lvl>
                  <c:pt idx="0">
                    <c:v>ANALISTA</c:v>
                  </c:pt>
                  <c:pt idx="1">
                    <c:v>ASSISTENTE</c:v>
                  </c:pt>
                  <c:pt idx="4">
                    <c:v>DESENVOLVEDOR</c:v>
                  </c:pt>
                  <c:pt idx="5">
                    <c:v>GERENTE</c:v>
                  </c:pt>
                  <c:pt idx="9">
                    <c:v>TÉCNICO</c:v>
                  </c:pt>
                </c:lvl>
              </c:multiLvlStrCache>
            </c:multiLvlStrRef>
          </c:cat>
          <c:val>
            <c:numRef>
              <c:f>' Salário x Cargo'!$B$4:$B$20</c:f>
              <c:numCache>
                <c:formatCode>"R$"\ #,##0.00</c:formatCode>
                <c:ptCount val="11"/>
                <c:pt idx="0">
                  <c:v>11100</c:v>
                </c:pt>
                <c:pt idx="1">
                  <c:v>2100</c:v>
                </c:pt>
                <c:pt idx="2">
                  <c:v>2500</c:v>
                </c:pt>
                <c:pt idx="3">
                  <c:v>2300</c:v>
                </c:pt>
                <c:pt idx="4">
                  <c:v>10000</c:v>
                </c:pt>
                <c:pt idx="5">
                  <c:v>9000</c:v>
                </c:pt>
                <c:pt idx="6">
                  <c:v>4780</c:v>
                </c:pt>
                <c:pt idx="7">
                  <c:v>10200</c:v>
                </c:pt>
                <c:pt idx="8">
                  <c:v>4200</c:v>
                </c:pt>
                <c:pt idx="9">
                  <c:v>3560</c:v>
                </c:pt>
                <c:pt idx="10">
                  <c:v>2890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9-4101-89B1-38615EDDF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0514272"/>
        <c:axId val="530511320"/>
        <c:axId val="530572592"/>
      </c:bar3DChart>
      <c:catAx>
        <c:axId val="53051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511320"/>
        <c:crosses val="autoZero"/>
        <c:auto val="1"/>
        <c:lblAlgn val="ctr"/>
        <c:lblOffset val="100"/>
        <c:noMultiLvlLbl val="0"/>
      </c:catAx>
      <c:valAx>
        <c:axId val="5305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514272"/>
        <c:crosses val="autoZero"/>
        <c:crossBetween val="between"/>
      </c:valAx>
      <c:serAx>
        <c:axId val="53057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51132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6A - ATIVIDADE 1 - BRUNO'S GAMES.xlsx] Salário x Departamento!Tabela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SALÁRIO</a:t>
            </a:r>
            <a:r>
              <a:rPr lang="en-US" baseline="0"/>
              <a:t> X DEPARTAMENTO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flip="none" rotWithShape="1">
            <a:gsLst>
              <a:gs pos="3000">
                <a:schemeClr val="accent1"/>
              </a:gs>
              <a:gs pos="97000">
                <a:schemeClr val="accent5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0"/>
        <c:ser>
          <c:idx val="0"/>
          <c:order val="0"/>
          <c:tx>
            <c:strRef>
              <c:f>' Salário x Departamento'!$B$3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3000">
                  <a:schemeClr val="accent1"/>
                </a:gs>
                <a:gs pos="97000">
                  <a:schemeClr val="accent5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' Salário x Departamento'!$A$4:$A$8</c:f>
              <c:strCache>
                <c:ptCount val="4"/>
                <c:pt idx="0">
                  <c:v>ADMINISTRATIVO</c:v>
                </c:pt>
                <c:pt idx="1">
                  <c:v>FINANCEIRO</c:v>
                </c:pt>
                <c:pt idx="2">
                  <c:v>INFORMÁTICA</c:v>
                </c:pt>
                <c:pt idx="3">
                  <c:v>RECURSOS HUMANOS</c:v>
                </c:pt>
              </c:strCache>
            </c:strRef>
          </c:cat>
          <c:val>
            <c:numRef>
              <c:f>' Salário x Departamento'!$B$4:$B$8</c:f>
              <c:numCache>
                <c:formatCode>"R$"\ #,##0.00</c:formatCode>
                <c:ptCount val="4"/>
                <c:pt idx="0">
                  <c:v>14660</c:v>
                </c:pt>
                <c:pt idx="1">
                  <c:v>18380</c:v>
                </c:pt>
                <c:pt idx="2">
                  <c:v>20200</c:v>
                </c:pt>
                <c:pt idx="3">
                  <c:v>9390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D-4BB7-AFBF-299A9D1A4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306999</xdr:colOff>
      <xdr:row>1</xdr:row>
      <xdr:rowOff>177312</xdr:rowOff>
    </xdr:from>
    <xdr:to>
      <xdr:col>5</xdr:col>
      <xdr:colOff>311395</xdr:colOff>
      <xdr:row>15</xdr:row>
      <xdr:rowOff>34437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FUNCIONÁRIO">
              <a:extLst>
                <a:ext uri="{FF2B5EF4-FFF2-40B4-BE49-F238E27FC236}">
                  <a16:creationId xmlns:a16="http://schemas.microsoft.com/office/drawing/2014/main" id="{DCFA814A-76FF-4210-BABF-1598491047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NCIONÁR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6076" y="367812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421297</xdr:colOff>
      <xdr:row>2</xdr:row>
      <xdr:rowOff>93783</xdr:rowOff>
    </xdr:from>
    <xdr:to>
      <xdr:col>22</xdr:col>
      <xdr:colOff>51288</xdr:colOff>
      <xdr:row>24</xdr:row>
      <xdr:rowOff>65940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075C12-AB84-45F9-BC87-77C3FCA53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283707</xdr:colOff>
      <xdr:row>3</xdr:row>
      <xdr:rowOff>29255</xdr:rowOff>
    </xdr:from>
    <xdr:to>
      <xdr:col>10</xdr:col>
      <xdr:colOff>591229</xdr:colOff>
      <xdr:row>17</xdr:row>
      <xdr:rowOff>105455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49288D-EFC9-4670-BEBE-CF8BE2EFE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strutor" refreshedDate="45150.55624085648" createdVersion="6" refreshedVersion="6" minRefreshableVersion="3" recordCount="21" xr:uid="{88A42808-E075-4792-AE4D-68EE5D76A03C}">
  <cacheSource type="worksheet">
    <worksheetSource ref="A2:F23" sheet="CADASTRO"/>
  </cacheSource>
  <cacheFields count="6">
    <cacheField name="FUNCIONÁRIO" numFmtId="0">
      <sharedItems count="20">
        <s v="BRUNO MORAES"/>
        <s v="HENRIQUE ENRICO"/>
        <s v="HELENA ZANETTI"/>
        <s v="CARLA ANDREOLLI"/>
        <s v="GOMES PEREIRA"/>
        <s v="REGIANI GONÇALVES"/>
        <s v="ALAN GOLDEN"/>
        <s v="BEATRIZ SARACENA"/>
        <s v="FERNANDA MARIONI"/>
        <s v="ANA MARIA BERNARDES"/>
        <s v="ANGÉLICA BUENO"/>
        <s v="FERNANDO PAS"/>
        <s v="GEORGINA NYTHE"/>
        <s v="JADE VINILITTI"/>
        <s v="KAREN RODRIGUES"/>
        <s v="LUCY ALMEIDA"/>
        <s v="LUCIANA MEIRELLES"/>
        <s v="JOÃO ALVES"/>
        <s v="KATRINA FEIJÓ"/>
        <s v="LUDMILLA VACARI"/>
      </sharedItems>
    </cacheField>
    <cacheField name="DEPARTAMENTO" numFmtId="0">
      <sharedItems count="4">
        <s v="INFORMÁTICA"/>
        <s v="FINANCEIRO"/>
        <s v="ADMINISTRATIVO"/>
        <s v="RECURSOS HUMANOS"/>
      </sharedItems>
    </cacheField>
    <cacheField name="CARGO" numFmtId="0">
      <sharedItems count="5">
        <s v="GERENTE"/>
        <s v="ASSISTENTE"/>
        <s v="ANALISTA"/>
        <s v="DESENVOLVEDOR"/>
        <s v="TÉCNICO"/>
      </sharedItems>
    </cacheField>
    <cacheField name="SALÁRIO" numFmtId="0">
      <sharedItems containsSemiMixedTypes="0" containsString="0" containsNumber="1" containsInteger="1" minValue="1000" maxValue="7500"/>
    </cacheField>
    <cacheField name="DATA NASCIMENTO" numFmtId="14">
      <sharedItems containsSemiMixedTypes="0" containsNonDate="0" containsDate="1" containsString="0" minDate="1960-01-21T00:00:00" maxDate="1998-05-17T00:00:00"/>
    </cacheField>
    <cacheField name="IDADE" numFmtId="1">
      <sharedItems containsSemiMixedTypes="0" containsString="0" containsNumber="1" containsInteger="1" minValue="25" maxValue="63"/>
    </cacheField>
  </cacheFields>
  <extLst>
    <ext xmlns:x14="http://schemas.microsoft.com/office/spreadsheetml/2009/9/main" uri="{725AE2AE-9491-48be-B2B4-4EB974FC3084}">
      <x14:pivotCacheDefinition pivotCacheId="1691188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n v="7500"/>
    <d v="1976-10-23T00:00:00"/>
    <n v="47"/>
  </r>
  <r>
    <x v="1"/>
    <x v="1"/>
    <x v="1"/>
    <n v="2500"/>
    <d v="1980-12-12T00:00:00"/>
    <n v="43"/>
  </r>
  <r>
    <x v="2"/>
    <x v="2"/>
    <x v="0"/>
    <n v="3500"/>
    <d v="1988-07-01T00:00:00"/>
    <n v="35"/>
  </r>
  <r>
    <x v="3"/>
    <x v="1"/>
    <x v="2"/>
    <n v="2600"/>
    <d v="1990-08-25T00:00:00"/>
    <n v="33"/>
  </r>
  <r>
    <x v="4"/>
    <x v="0"/>
    <x v="3"/>
    <n v="2300"/>
    <d v="1997-01-13T00:00:00"/>
    <n v="26"/>
  </r>
  <r>
    <x v="5"/>
    <x v="2"/>
    <x v="4"/>
    <n v="2000"/>
    <d v="1981-03-15T00:00:00"/>
    <n v="42"/>
  </r>
  <r>
    <x v="6"/>
    <x v="3"/>
    <x v="1"/>
    <n v="2300"/>
    <d v="1992-01-02T00:00:00"/>
    <n v="31"/>
  </r>
  <r>
    <x v="7"/>
    <x v="1"/>
    <x v="2"/>
    <n v="2790"/>
    <d v="1991-06-29T00:00:00"/>
    <n v="32"/>
  </r>
  <r>
    <x v="8"/>
    <x v="1"/>
    <x v="0"/>
    <n v="4780"/>
    <d v="1960-01-21T00:00:00"/>
    <n v="63"/>
  </r>
  <r>
    <x v="0"/>
    <x v="2"/>
    <x v="0"/>
    <n v="5500"/>
    <d v="1976-10-23T00:00:00"/>
    <n v="47"/>
  </r>
  <r>
    <x v="9"/>
    <x v="1"/>
    <x v="2"/>
    <n v="2700"/>
    <d v="1989-11-15T00:00:00"/>
    <n v="34"/>
  </r>
  <r>
    <x v="10"/>
    <x v="0"/>
    <x v="3"/>
    <n v="1800"/>
    <d v="1977-06-26T00:00:00"/>
    <n v="46"/>
  </r>
  <r>
    <x v="11"/>
    <x v="2"/>
    <x v="4"/>
    <n v="1560"/>
    <d v="1990-11-22T00:00:00"/>
    <n v="33"/>
  </r>
  <r>
    <x v="12"/>
    <x v="3"/>
    <x v="0"/>
    <n v="4200"/>
    <d v="1987-05-15T00:00:00"/>
    <n v="36"/>
  </r>
  <r>
    <x v="13"/>
    <x v="3"/>
    <x v="4"/>
    <n v="1890"/>
    <d v="1981-06-01T00:00:00"/>
    <n v="42"/>
  </r>
  <r>
    <x v="14"/>
    <x v="3"/>
    <x v="4"/>
    <n v="1000"/>
    <d v="1974-05-17T00:00:00"/>
    <n v="49"/>
  </r>
  <r>
    <x v="15"/>
    <x v="2"/>
    <x v="1"/>
    <n v="2100"/>
    <d v="1988-10-26T00:00:00"/>
    <n v="35"/>
  </r>
  <r>
    <x v="16"/>
    <x v="1"/>
    <x v="2"/>
    <n v="3010"/>
    <d v="1977-03-31T00:00:00"/>
    <n v="46"/>
  </r>
  <r>
    <x v="17"/>
    <x v="0"/>
    <x v="3"/>
    <n v="3100"/>
    <d v="1975-04-29T00:00:00"/>
    <n v="48"/>
  </r>
  <r>
    <x v="18"/>
    <x v="0"/>
    <x v="3"/>
    <n v="2800"/>
    <d v="1998-05-16T00:00:00"/>
    <n v="25"/>
  </r>
  <r>
    <x v="19"/>
    <x v="0"/>
    <x v="0"/>
    <n v="2700"/>
    <d v="1989-01-05T00:00:00"/>
    <n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E4539-078B-4143-8011-34109B21BDAB}" name="Tabela dinâ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Cargo">
  <location ref="A3:B20" firstHeaderRow="1" firstDataRow="1" firstDataCol="1"/>
  <pivotFields count="6">
    <pivotField showAll="0">
      <items count="21">
        <item x="6"/>
        <item x="9"/>
        <item x="10"/>
        <item x="7"/>
        <item x="0"/>
        <item x="3"/>
        <item x="8"/>
        <item x="11"/>
        <item x="12"/>
        <item x="4"/>
        <item x="2"/>
        <item x="1"/>
        <item x="13"/>
        <item x="17"/>
        <item x="14"/>
        <item x="18"/>
        <item x="16"/>
        <item x="15"/>
        <item x="19"/>
        <item x="5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axis="axisRow" showAll="0">
      <items count="6">
        <item x="2"/>
        <item x="1"/>
        <item x="3"/>
        <item x="0"/>
        <item x="4"/>
        <item t="default"/>
      </items>
    </pivotField>
    <pivotField dataField="1" showAll="0"/>
    <pivotField numFmtId="14" showAll="0"/>
    <pivotField numFmtId="1" showAll="0"/>
  </pivotFields>
  <rowFields count="2">
    <field x="2"/>
    <field x="1"/>
  </rowFields>
  <rowItems count="17">
    <i>
      <x/>
    </i>
    <i r="1">
      <x v="1"/>
    </i>
    <i>
      <x v="1"/>
    </i>
    <i r="1">
      <x/>
    </i>
    <i r="1">
      <x v="1"/>
    </i>
    <i r="1">
      <x v="3"/>
    </i>
    <i>
      <x v="2"/>
    </i>
    <i r="1">
      <x v="2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3"/>
    </i>
    <i t="grand">
      <x/>
    </i>
  </rowItems>
  <colItems count="1">
    <i/>
  </colItems>
  <dataFields count="1">
    <dataField name="Salário valor" fld="3" baseField="2" baseItem="2" numFmtId="164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ED55E-6E19-40DB-B0D9-99D365B8EC92}" name="Tabela dinâmica9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Departamento">
  <location ref="A3:B5" firstHeaderRow="1" firstDataRow="1" firstDataCol="1" rowPageCount="1" colPageCount="1"/>
  <pivotFields count="6">
    <pivotField showAll="0"/>
    <pivotField axis="axisRow" showAll="0">
      <items count="5">
        <item x="2"/>
        <item x="1"/>
        <item x="0"/>
        <item x="3"/>
        <item t="default"/>
      </items>
    </pivotField>
    <pivotField axis="axisPage" showAll="0">
      <items count="6">
        <item x="2"/>
        <item x="1"/>
        <item x="3"/>
        <item x="0"/>
        <item x="4"/>
        <item t="default"/>
      </items>
    </pivotField>
    <pivotField dataField="1" showAll="0"/>
    <pivotField numFmtId="14" showAll="0"/>
    <pivotField numFmtId="1" showAll="0"/>
  </pivotFields>
  <rowFields count="1">
    <field x="1"/>
  </rowFields>
  <rowItems count="2">
    <i>
      <x v="1"/>
    </i>
    <i t="grand">
      <x/>
    </i>
  </rowItems>
  <colItems count="1">
    <i/>
  </colItems>
  <pageFields count="1">
    <pageField fld="2" item="0" hier="-1"/>
  </pageFields>
  <dataFields count="1">
    <dataField name="Soma de SALÁRIO" fld="3" baseField="1" baseItem="3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ED55E-6E19-40DB-B0D9-99D365B8EC92}" name="Tabela dinâmica8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Departamento">
  <location ref="A3:B7" firstHeaderRow="1" firstDataRow="1" firstDataCol="1" rowPageCount="1" colPageCount="1"/>
  <pivotFields count="6">
    <pivotField showAll="0"/>
    <pivotField axis="axisRow" showAll="0">
      <items count="5">
        <item x="2"/>
        <item x="1"/>
        <item x="0"/>
        <item x="3"/>
        <item t="default"/>
      </items>
    </pivotField>
    <pivotField axis="axisPage" showAll="0">
      <items count="6">
        <item x="2"/>
        <item x="1"/>
        <item x="3"/>
        <item x="0"/>
        <item x="4"/>
        <item t="default"/>
      </items>
    </pivotField>
    <pivotField dataField="1" showAll="0"/>
    <pivotField numFmtId="14" showAll="0"/>
    <pivotField numFmtId="1" showAll="0"/>
  </pivotFields>
  <rowFields count="1">
    <field x="1"/>
  </rowFields>
  <rowItems count="4">
    <i>
      <x/>
    </i>
    <i>
      <x v="1"/>
    </i>
    <i>
      <x v="3"/>
    </i>
    <i t="grand">
      <x/>
    </i>
  </rowItems>
  <colItems count="1">
    <i/>
  </colItems>
  <pageFields count="1">
    <pageField fld="2" item="1" hier="-1"/>
  </pageFields>
  <dataFields count="1">
    <dataField name="Soma de SALÁRIO" fld="3" baseField="1" baseItem="3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ED55E-6E19-40DB-B0D9-99D365B8EC92}" name="Tabela dinâmica7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Departamento">
  <location ref="A3:B5" firstHeaderRow="1" firstDataRow="1" firstDataCol="1" rowPageCount="1" colPageCount="1"/>
  <pivotFields count="6">
    <pivotField showAll="0"/>
    <pivotField axis="axisRow" showAll="0">
      <items count="5">
        <item x="2"/>
        <item x="1"/>
        <item x="0"/>
        <item x="3"/>
        <item t="default"/>
      </items>
    </pivotField>
    <pivotField axis="axisPage" showAll="0">
      <items count="6">
        <item x="2"/>
        <item x="1"/>
        <item x="3"/>
        <item x="0"/>
        <item x="4"/>
        <item t="default"/>
      </items>
    </pivotField>
    <pivotField dataField="1" showAll="0"/>
    <pivotField numFmtId="14" showAll="0"/>
    <pivotField numFmtId="1" showAl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2" item="2" hier="-1"/>
  </pageFields>
  <dataFields count="1">
    <dataField name="Soma de SALÁRIO" fld="3" baseField="1" baseItem="3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ED55E-6E19-40DB-B0D9-99D365B8EC92}" name="Tabela dinâmica6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Departamento">
  <location ref="A3:B8" firstHeaderRow="1" firstDataRow="1" firstDataCol="1" rowPageCount="1" colPageCount="1"/>
  <pivotFields count="6">
    <pivotField showAll="0"/>
    <pivotField axis="axisRow" showAll="0">
      <items count="5">
        <item x="2"/>
        <item x="1"/>
        <item x="0"/>
        <item x="3"/>
        <item t="default"/>
      </items>
    </pivotField>
    <pivotField axis="axisPage" showAll="0">
      <items count="6">
        <item x="2"/>
        <item x="1"/>
        <item x="3"/>
        <item x="0"/>
        <item x="4"/>
        <item t="default"/>
      </items>
    </pivotField>
    <pivotField dataField="1" showAll="0"/>
    <pivotField numFmtId="14" showAll="0"/>
    <pivotField numFmtI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item="3" hier="-1"/>
  </pageFields>
  <dataFields count="1">
    <dataField name="Soma de SALÁRIO" fld="3" baseField="1" baseItem="3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ED55E-6E19-40DB-B0D9-99D365B8EC92}" name="Tabela dinâmica5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Departamento">
  <location ref="A3:B6" firstHeaderRow="1" firstDataRow="1" firstDataCol="1" rowPageCount="1" colPageCount="1"/>
  <pivotFields count="6">
    <pivotField showAll="0"/>
    <pivotField axis="axisRow" showAll="0">
      <items count="5">
        <item x="2"/>
        <item x="1"/>
        <item x="0"/>
        <item x="3"/>
        <item t="default"/>
      </items>
    </pivotField>
    <pivotField axis="axisPage" showAll="0">
      <items count="6">
        <item x="2"/>
        <item x="1"/>
        <item x="3"/>
        <item x="0"/>
        <item x="4"/>
        <item t="default"/>
      </items>
    </pivotField>
    <pivotField dataField="1" showAll="0"/>
    <pivotField numFmtId="14" showAll="0"/>
    <pivotField numFmtId="1" showAll="0"/>
  </pivotFields>
  <rowFields count="1">
    <field x="1"/>
  </rowFields>
  <rowItems count="3">
    <i>
      <x/>
    </i>
    <i>
      <x v="3"/>
    </i>
    <i t="grand">
      <x/>
    </i>
  </rowItems>
  <colItems count="1">
    <i/>
  </colItems>
  <pageFields count="1">
    <pageField fld="2" item="4" hier="-1"/>
  </pageFields>
  <dataFields count="1">
    <dataField name="Soma de SALÁRIO" fld="3" baseField="1" baseItem="3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ED55E-6E19-40DB-B0D9-99D365B8EC92}" name="Tabela dinâ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Departamento">
  <location ref="A3:B8" firstHeaderRow="1" firstDataRow="1" firstDataCol="1" rowPageCount="1" colPageCount="1"/>
  <pivotFields count="6">
    <pivotField showAll="0"/>
    <pivotField axis="axisRow" showAll="0">
      <items count="5">
        <item x="2"/>
        <item x="1"/>
        <item x="0"/>
        <item x="3"/>
        <item t="default"/>
      </items>
    </pivotField>
    <pivotField axis="axisPage" showAll="0">
      <items count="6">
        <item x="2"/>
        <item x="1"/>
        <item x="3"/>
        <item x="0"/>
        <item x="4"/>
        <item t="default"/>
      </items>
    </pivotField>
    <pivotField dataField="1" showAll="0"/>
    <pivotField numFmtId="14" showAll="0"/>
    <pivotField numFmtI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-1"/>
  </pageFields>
  <dataFields count="1">
    <dataField name="Soma de SALÁRIO" fld="3" baseField="1" baseItem="3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F02BF-B710-4DE6-AAEB-A3826046029C}" name="Tabela dinâmica4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40" firstHeaderRow="1" firstDataRow="1" firstDataCol="1"/>
  <pivotFields count="6">
    <pivotField axis="axisRow" showAll="0">
      <items count="21">
        <item x="6"/>
        <item x="9"/>
        <item x="10"/>
        <item x="7"/>
        <item x="0"/>
        <item x="3"/>
        <item x="8"/>
        <item x="11"/>
        <item x="12"/>
        <item x="4"/>
        <item x="2"/>
        <item x="1"/>
        <item x="13"/>
        <item x="17"/>
        <item x="14"/>
        <item x="18"/>
        <item x="16"/>
        <item x="15"/>
        <item x="19"/>
        <item x="5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axis="axisRow" showAll="0">
      <items count="6">
        <item x="2"/>
        <item x="1"/>
        <item x="3"/>
        <item x="0"/>
        <item x="4"/>
        <item t="default"/>
      </items>
    </pivotField>
    <pivotField dataField="1" showAll="0"/>
    <pivotField numFmtId="14" showAll="0"/>
    <pivotField numFmtId="1" showAll="0"/>
  </pivotFields>
  <rowFields count="3">
    <field x="1"/>
    <field x="2"/>
    <field x="0"/>
  </rowFields>
  <rowItems count="37">
    <i>
      <x/>
    </i>
    <i r="1">
      <x v="1"/>
    </i>
    <i r="2">
      <x v="17"/>
    </i>
    <i r="1">
      <x v="3"/>
    </i>
    <i r="2">
      <x v="4"/>
    </i>
    <i r="2">
      <x v="10"/>
    </i>
    <i r="1">
      <x v="4"/>
    </i>
    <i r="2">
      <x v="7"/>
    </i>
    <i r="2">
      <x v="19"/>
    </i>
    <i>
      <x v="1"/>
    </i>
    <i r="1">
      <x/>
    </i>
    <i r="2">
      <x v="1"/>
    </i>
    <i r="2">
      <x v="3"/>
    </i>
    <i r="2">
      <x v="5"/>
    </i>
    <i r="2">
      <x v="16"/>
    </i>
    <i r="1">
      <x v="1"/>
    </i>
    <i r="2">
      <x v="11"/>
    </i>
    <i r="1">
      <x v="3"/>
    </i>
    <i r="2">
      <x v="6"/>
    </i>
    <i>
      <x v="2"/>
    </i>
    <i r="1">
      <x v="2"/>
    </i>
    <i r="2">
      <x v="2"/>
    </i>
    <i r="2">
      <x v="9"/>
    </i>
    <i r="2">
      <x v="13"/>
    </i>
    <i r="2">
      <x v="15"/>
    </i>
    <i r="1">
      <x v="3"/>
    </i>
    <i r="2">
      <x v="4"/>
    </i>
    <i r="2">
      <x v="18"/>
    </i>
    <i>
      <x v="3"/>
    </i>
    <i r="1">
      <x v="1"/>
    </i>
    <i r="2">
      <x/>
    </i>
    <i r="1">
      <x v="3"/>
    </i>
    <i r="2">
      <x v="8"/>
    </i>
    <i r="1">
      <x v="4"/>
    </i>
    <i r="2">
      <x v="12"/>
    </i>
    <i r="2">
      <x v="14"/>
    </i>
    <i t="grand">
      <x/>
    </i>
  </rowItems>
  <colItems count="1">
    <i/>
  </colItems>
  <dataFields count="1">
    <dataField name="Soma de SALÁRIO" fld="3" baseField="0" baseItem="1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UNCIONÁRIO" xr10:uid="{DCB59CF9-3587-4B60-AAE1-80C7EBD37246}" sourceName="FUNCIONÁRIO">
  <pivotTables>
    <pivotTable tabId="4" name="Tabela dinâmica1"/>
  </pivotTables>
  <data>
    <tabular pivotCacheId="169118837">
      <items count="20">
        <i x="6" s="1"/>
        <i x="9" s="1"/>
        <i x="10" s="1"/>
        <i x="7" s="1"/>
        <i x="0" s="1"/>
        <i x="3" s="1"/>
        <i x="8" s="1"/>
        <i x="11" s="1"/>
        <i x="12" s="1"/>
        <i x="4" s="1"/>
        <i x="2" s="1"/>
        <i x="1" s="1"/>
        <i x="13" s="1"/>
        <i x="17" s="1"/>
        <i x="14" s="1"/>
        <i x="18" s="1"/>
        <i x="16" s="1"/>
        <i x="15" s="1"/>
        <i x="19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NCIONÁRIO" xr10:uid="{C43513F0-C15B-40DB-9853-ACB33C8EB9AD}" cache="SegmentaçãodeDados_FUNCIONÁRIO" caption="FUNCIONÁRIO" rowHeight="241300"/>
</slicer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19A6-95AB-4262-9091-F9F125ECDA30}">
  <dimension ref="A3:B20"/>
  <sheetViews>
    <sheetView tabSelected="1" topLeftCell="B1" zoomScale="130" zoomScaleNormal="130" workbookViewId="0">
      <selection activeCell="H16" sqref="H16"/>
    </sheetView>
  </sheetViews>
  <sheetFormatPr defaultRowHeight="15" x14ac:dyDescent="0.25"/>
  <cols>
    <col min="1" max="1" width="26.140625" bestFit="1" customWidth="1"/>
    <col min="2" max="2" width="12.5703125" bestFit="1" customWidth="1"/>
  </cols>
  <sheetData>
    <row r="3" spans="1:2" x14ac:dyDescent="0.25">
      <c r="A3" s="37" t="s">
        <v>52</v>
      </c>
      <c r="B3" s="38" t="s">
        <v>61</v>
      </c>
    </row>
    <row r="4" spans="1:2" x14ac:dyDescent="0.25">
      <c r="A4" s="38" t="s">
        <v>15</v>
      </c>
      <c r="B4" s="39">
        <v>11100</v>
      </c>
    </row>
    <row r="5" spans="1:2" x14ac:dyDescent="0.25">
      <c r="A5" s="40" t="s">
        <v>11</v>
      </c>
      <c r="B5" s="39">
        <v>11100</v>
      </c>
    </row>
    <row r="6" spans="1:2" x14ac:dyDescent="0.25">
      <c r="A6" s="38" t="s">
        <v>12</v>
      </c>
      <c r="B6" s="39">
        <v>6900</v>
      </c>
    </row>
    <row r="7" spans="1:2" x14ac:dyDescent="0.25">
      <c r="A7" s="40" t="s">
        <v>14</v>
      </c>
      <c r="B7" s="39">
        <v>2100</v>
      </c>
    </row>
    <row r="8" spans="1:2" x14ac:dyDescent="0.25">
      <c r="A8" s="40" t="s">
        <v>11</v>
      </c>
      <c r="B8" s="39">
        <v>2500</v>
      </c>
    </row>
    <row r="9" spans="1:2" x14ac:dyDescent="0.25">
      <c r="A9" s="40" t="s">
        <v>20</v>
      </c>
      <c r="B9" s="39">
        <v>2300</v>
      </c>
    </row>
    <row r="10" spans="1:2" x14ac:dyDescent="0.25">
      <c r="A10" s="38" t="s">
        <v>38</v>
      </c>
      <c r="B10" s="39">
        <v>10000</v>
      </c>
    </row>
    <row r="11" spans="1:2" x14ac:dyDescent="0.25">
      <c r="A11" s="40" t="s">
        <v>8</v>
      </c>
      <c r="B11" s="39">
        <v>10000</v>
      </c>
    </row>
    <row r="12" spans="1:2" x14ac:dyDescent="0.25">
      <c r="A12" s="38" t="s">
        <v>9</v>
      </c>
      <c r="B12" s="39">
        <v>28180</v>
      </c>
    </row>
    <row r="13" spans="1:2" x14ac:dyDescent="0.25">
      <c r="A13" s="40" t="s">
        <v>14</v>
      </c>
      <c r="B13" s="39">
        <v>9000</v>
      </c>
    </row>
    <row r="14" spans="1:2" x14ac:dyDescent="0.25">
      <c r="A14" s="40" t="s">
        <v>11</v>
      </c>
      <c r="B14" s="39">
        <v>4780</v>
      </c>
    </row>
    <row r="15" spans="1:2" x14ac:dyDescent="0.25">
      <c r="A15" s="40" t="s">
        <v>8</v>
      </c>
      <c r="B15" s="39">
        <v>10200</v>
      </c>
    </row>
    <row r="16" spans="1:2" x14ac:dyDescent="0.25">
      <c r="A16" s="40" t="s">
        <v>20</v>
      </c>
      <c r="B16" s="39">
        <v>4200</v>
      </c>
    </row>
    <row r="17" spans="1:2" x14ac:dyDescent="0.25">
      <c r="A17" s="38" t="s">
        <v>18</v>
      </c>
      <c r="B17" s="39">
        <v>6450</v>
      </c>
    </row>
    <row r="18" spans="1:2" x14ac:dyDescent="0.25">
      <c r="A18" s="40" t="s">
        <v>14</v>
      </c>
      <c r="B18" s="39">
        <v>3560</v>
      </c>
    </row>
    <row r="19" spans="1:2" x14ac:dyDescent="0.25">
      <c r="A19" s="40" t="s">
        <v>20</v>
      </c>
      <c r="B19" s="39">
        <v>2890</v>
      </c>
    </row>
    <row r="20" spans="1:2" x14ac:dyDescent="0.25">
      <c r="A20" s="38" t="s">
        <v>58</v>
      </c>
      <c r="B20" s="39">
        <v>62630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zoomScale="140" zoomScaleNormal="140" workbookViewId="0">
      <selection activeCell="D4" sqref="D4"/>
    </sheetView>
  </sheetViews>
  <sheetFormatPr defaultRowHeight="15" x14ac:dyDescent="0.25"/>
  <cols>
    <col min="1" max="1" width="17.85546875" bestFit="1" customWidth="1"/>
    <col min="2" max="2" width="13.5703125" customWidth="1"/>
    <col min="3" max="4" width="12.7109375" bestFit="1" customWidth="1"/>
    <col min="5" max="5" width="19.7109375" bestFit="1" customWidth="1"/>
    <col min="6" max="6" width="12.7109375" bestFit="1" customWidth="1"/>
    <col min="7" max="7" width="17.85546875" bestFit="1" customWidth="1"/>
    <col min="8" max="8" width="15.5703125" customWidth="1"/>
    <col min="10" max="10" width="18.85546875" customWidth="1"/>
    <col min="12" max="12" width="20.42578125" bestFit="1" customWidth="1"/>
  </cols>
  <sheetData>
    <row r="1" spans="1:12" ht="18.75" x14ac:dyDescent="0.3">
      <c r="A1" s="30" t="s">
        <v>41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</row>
    <row r="2" spans="1:12" ht="30" x14ac:dyDescent="0.25">
      <c r="A2" s="2" t="s">
        <v>42</v>
      </c>
      <c r="B2" s="3" t="s">
        <v>43</v>
      </c>
      <c r="C2" s="3" t="s">
        <v>44</v>
      </c>
      <c r="D2" s="3" t="s">
        <v>45</v>
      </c>
      <c r="E2" s="4" t="s">
        <v>46</v>
      </c>
      <c r="F2" s="3" t="s">
        <v>47</v>
      </c>
      <c r="G2" s="4" t="s">
        <v>46</v>
      </c>
      <c r="H2" s="4" t="s">
        <v>48</v>
      </c>
      <c r="I2" s="4" t="s">
        <v>49</v>
      </c>
      <c r="J2" s="4" t="s">
        <v>46</v>
      </c>
      <c r="K2" s="4" t="s">
        <v>50</v>
      </c>
      <c r="L2" s="4" t="s">
        <v>46</v>
      </c>
    </row>
    <row r="3" spans="1:12" x14ac:dyDescent="0.25">
      <c r="A3" s="12" t="s">
        <v>28</v>
      </c>
      <c r="B3" s="23">
        <f>DSUM(DADOS,VALSALARIO,ADMIN)</f>
        <v>14660</v>
      </c>
      <c r="C3" s="23">
        <f>DAVERAGE(DADOS,VALSALARIO,ADMIN)</f>
        <v>2932</v>
      </c>
      <c r="D3" s="24">
        <f>DMAX(DADOS,VALSALARIO,ADMIN)</f>
        <v>5500</v>
      </c>
      <c r="E3" s="12" t="str">
        <f>DGET(DADOS,FUNCIONARIOS,FUNC_ADM)</f>
        <v>BRUNO MORAES</v>
      </c>
      <c r="F3" s="25">
        <f>DMIN(DADOS,VALSALARIO,ADMIN)</f>
        <v>1560</v>
      </c>
      <c r="G3" s="12" t="str">
        <f>DGET(DADOS,FUNCIONARIOS,FUNC_ADM2)</f>
        <v>FERNANDO PAS</v>
      </c>
      <c r="H3" s="12">
        <f>DCOUNTA(DADOS,FUNCIONARIOS,ADMIN)</f>
        <v>5</v>
      </c>
      <c r="I3" s="12">
        <f ca="1">DMAX(DADOS,"idade",ADMIN)</f>
        <v>47</v>
      </c>
      <c r="J3" s="12" t="str">
        <f ca="1">DGET(DADOS,FUNCIONARIOS,IADM1)</f>
        <v>BRUNO MORAES</v>
      </c>
      <c r="K3" s="12">
        <f ca="1">DMIN(DADOS,"idade",ADMIN)</f>
        <v>33</v>
      </c>
      <c r="L3" s="12" t="str">
        <f ca="1">DGET(DADOS,FUNCIONARIOS,IADM2)</f>
        <v>FERNANDO PAS</v>
      </c>
    </row>
    <row r="4" spans="1:12" x14ac:dyDescent="0.25">
      <c r="A4" s="12" t="s">
        <v>23</v>
      </c>
      <c r="B4" s="25">
        <f>DSUM(DADOS,VALSALARIO,FINANC)</f>
        <v>18380</v>
      </c>
      <c r="C4" s="25">
        <f>DAVERAGE(DADOS,VALSALARIO,FINANC)</f>
        <v>3063.3333333333335</v>
      </c>
      <c r="D4" s="25">
        <f>DMAX(DADOS,VALSALARIO,FINANC)</f>
        <v>4780</v>
      </c>
      <c r="E4" s="12" t="str">
        <f>DGET(DADOS,FUNCIONARIOS,FUNC_FIN)</f>
        <v>FERNANDA MARIONI</v>
      </c>
      <c r="F4" s="25">
        <f>DMIN(DADOS,VALSALARIO,FINANC)</f>
        <v>2500</v>
      </c>
      <c r="G4" s="12" t="str">
        <f>DGET(DADOS,FUNCIONARIOS,FUNC_FIN2)</f>
        <v>HENRIQUE ENRICO</v>
      </c>
      <c r="H4" s="12">
        <f>DCOUNTA(DADOS,FUNCIONARIOS,FINANC)</f>
        <v>6</v>
      </c>
      <c r="I4" s="12">
        <f ca="1">DMAX(DADOS,"idade",FINANC)</f>
        <v>63</v>
      </c>
      <c r="J4" s="12" t="str">
        <f ca="1">DGET(DADOS,FUNCIONARIOS,IFIN1)</f>
        <v>FERNANDA MARIONI</v>
      </c>
      <c r="K4" s="12">
        <f ca="1">DMIN(DADOS,"idade",FINANC)</f>
        <v>32</v>
      </c>
      <c r="L4" s="12" t="str">
        <f ca="1">DGET(DADOS,FUNCIONARIOS,IFIN2)</f>
        <v>BEATRIZ SARACENA</v>
      </c>
    </row>
    <row r="5" spans="1:12" x14ac:dyDescent="0.25">
      <c r="A5" s="12" t="s">
        <v>25</v>
      </c>
      <c r="B5" s="25">
        <f>DSUM(DADOS,VALSALARIO,INFOR)</f>
        <v>20200</v>
      </c>
      <c r="C5" s="25">
        <f>DAVERAGE(DADOS,VALSALARIO,INFOR)</f>
        <v>3366.6666666666665</v>
      </c>
      <c r="D5" s="25">
        <f>DMAX(DADOS,VALSALARIO,INFOR)</f>
        <v>7500</v>
      </c>
      <c r="E5" s="12" t="str">
        <f>DGET(DADOS,FUNCIONARIOS,FUNC_INFO)</f>
        <v>BRUNO MORAES</v>
      </c>
      <c r="F5" s="25">
        <f>DMIN(DADOS,VALSALARIO,INFOR)</f>
        <v>1800</v>
      </c>
      <c r="G5" s="12" t="str">
        <f>DGET(DADOS,FUNCIONARIOS,FUNC_INFO2)</f>
        <v>ANGÉLICA BUENO</v>
      </c>
      <c r="H5" s="12">
        <f>DCOUNTA(DADOS,FUNCIONARIOS,INFOR)</f>
        <v>6</v>
      </c>
      <c r="I5" s="12">
        <f ca="1">DMAX(DADOS,"idade",INFOR)</f>
        <v>48</v>
      </c>
      <c r="J5" s="12" t="str">
        <f ca="1">DGET(DADOS,FUNCIONARIOS,IINFO1)</f>
        <v>JOÃO ALVES</v>
      </c>
      <c r="K5" s="12">
        <f ca="1">DMIN(DADOS,"idade",INFOR)</f>
        <v>25</v>
      </c>
      <c r="L5" s="12" t="str">
        <f ca="1">DGET(DADOS,FUNCIONARIOS,IINF2)</f>
        <v>KATRINA FEIJÓ</v>
      </c>
    </row>
    <row r="6" spans="1:12" x14ac:dyDescent="0.25">
      <c r="A6" s="12" t="s">
        <v>26</v>
      </c>
      <c r="B6" s="25">
        <f>DSUM(DADOS,VALSALARIO,RECHUM)</f>
        <v>9390</v>
      </c>
      <c r="C6" s="25">
        <f>DAVERAGE(DADOS,VALSALARIO,RECHUM)</f>
        <v>2347.5</v>
      </c>
      <c r="D6" s="25">
        <f>DMAX(DADOS,VALSALARIO,RECHUM)</f>
        <v>4200</v>
      </c>
      <c r="E6" s="12" t="str">
        <f>DGET(DADOS,FUNCIONARIOS,FUNC_REC)</f>
        <v>GEORGINA NYTHE</v>
      </c>
      <c r="F6" s="25">
        <f>DMIN(DADOS,VALSALARIO,RECHUM)</f>
        <v>1000</v>
      </c>
      <c r="G6" s="12" t="str">
        <f>DGET(DADOS,FUNCIONARIOS,FUNC_REC2)</f>
        <v>KAREN RODRIGUES</v>
      </c>
      <c r="H6" s="12">
        <f>DCOUNTA(DADOS,FUNCIONARIOS,RECHUM)</f>
        <v>4</v>
      </c>
      <c r="I6" s="12">
        <f ca="1">DMAX(DADOS,"idade",RECHUM)</f>
        <v>49</v>
      </c>
      <c r="J6" s="12" t="str">
        <f ca="1">DGET(DADOS,FUNCIONARIOS,IREC1)</f>
        <v>KAREN RODRIGUES</v>
      </c>
      <c r="K6" s="12">
        <f ca="1">DMIN(DADOS,"idade",RECHUM)</f>
        <v>31</v>
      </c>
      <c r="L6" s="12" t="str">
        <f ca="1">DGET(DADOS,FUNCIONARIOS,IREC2)</f>
        <v>ALAN GOLDEN</v>
      </c>
    </row>
    <row r="7" spans="1:12" x14ac:dyDescent="0.25">
      <c r="B7" s="5"/>
      <c r="C7" s="5"/>
      <c r="D7" s="5"/>
      <c r="F7" s="5"/>
    </row>
    <row r="8" spans="1:12" x14ac:dyDescent="0.25">
      <c r="B8" s="5"/>
      <c r="C8" s="5"/>
      <c r="D8" s="5"/>
      <c r="F8" s="5"/>
    </row>
    <row r="9" spans="1:12" ht="18.75" x14ac:dyDescent="0.3">
      <c r="A9" s="30" t="s">
        <v>51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2"/>
    </row>
    <row r="10" spans="1:12" ht="30" x14ac:dyDescent="0.25">
      <c r="A10" s="4" t="s">
        <v>52</v>
      </c>
      <c r="B10" s="3" t="s">
        <v>43</v>
      </c>
      <c r="C10" s="3" t="s">
        <v>44</v>
      </c>
      <c r="D10" s="3" t="s">
        <v>45</v>
      </c>
      <c r="E10" s="4" t="s">
        <v>42</v>
      </c>
      <c r="F10" s="3" t="s">
        <v>47</v>
      </c>
      <c r="G10" s="4" t="s">
        <v>42</v>
      </c>
      <c r="H10" s="4" t="s">
        <v>48</v>
      </c>
      <c r="I10" s="4" t="s">
        <v>49</v>
      </c>
      <c r="J10" s="4" t="s">
        <v>42</v>
      </c>
      <c r="K10" s="4" t="s">
        <v>50</v>
      </c>
      <c r="L10" s="4" t="s">
        <v>42</v>
      </c>
    </row>
    <row r="11" spans="1:12" x14ac:dyDescent="0.25">
      <c r="A11" s="12" t="s">
        <v>24</v>
      </c>
      <c r="B11" s="25">
        <f>DSUM(DADOS,VALSALARIO,ANALISTA)</f>
        <v>11100</v>
      </c>
      <c r="C11" s="25">
        <f>DAVERAGE(DADOS,VALSALARIO,ANALISTA)</f>
        <v>2775</v>
      </c>
      <c r="D11" s="25">
        <f>DMAX(DADOS,VALSALARIO,ANALISTA)</f>
        <v>3010</v>
      </c>
      <c r="E11" s="12" t="str">
        <f>DGET(DADOS,DEPARTAMENTO,CARGO_AN)</f>
        <v>FINANCEIRO</v>
      </c>
      <c r="F11" s="25">
        <f>DMIN(DADOS,VALSALARIO,ANALISTA)</f>
        <v>2600</v>
      </c>
      <c r="G11" s="12" t="str">
        <f>DGET(DADOS,DEPARTAMENTO,CARGO_AN2)</f>
        <v>FINANCEIRO</v>
      </c>
      <c r="H11" s="12">
        <f>DCOUNTA(DADOS,DEPARTAMENTO,ANALISTA)</f>
        <v>4</v>
      </c>
      <c r="I11" s="12">
        <f ca="1">DMAX(DADOS,"idade",ANALISTA)</f>
        <v>46</v>
      </c>
      <c r="J11" s="12" t="str">
        <f ca="1">DGET(DADOS,DEPARTAMENTO,IA)</f>
        <v>FINANCEIRO</v>
      </c>
      <c r="K11" s="12">
        <f ca="1">DMIN(DADOS,"idade",ANALISTA)</f>
        <v>32</v>
      </c>
      <c r="L11" s="12" t="str">
        <f ca="1">DGET(DADOS,DEPARTAMENTO,IAN)</f>
        <v>FINANCEIRO</v>
      </c>
    </row>
    <row r="12" spans="1:12" x14ac:dyDescent="0.25">
      <c r="A12" s="12" t="s">
        <v>27</v>
      </c>
      <c r="B12" s="25">
        <f>DSUM(DADOS,VALSALARIO,ASSISTENTE)</f>
        <v>6900</v>
      </c>
      <c r="C12" s="25">
        <f>DAVERAGE(DADOS,VALSALARIO,ASSISTENTE)</f>
        <v>2300</v>
      </c>
      <c r="D12" s="25">
        <f>DMAX(DADOS,VALSALARIO,ASSISTENTE)</f>
        <v>2500</v>
      </c>
      <c r="E12" s="12" t="str">
        <f>DGET(DADOS,DEPARTAMENTO,CARGO_ASS)</f>
        <v>FINANCEIRO</v>
      </c>
      <c r="F12" s="25">
        <f>DMIN(DADOS,VALSALARIO,ASSISTENTE)</f>
        <v>2100</v>
      </c>
      <c r="G12" s="12" t="str">
        <f>DGET(DADOS,DEPARTAMENTO,CARGO_ASS2)</f>
        <v>ADMINISTRATIVO</v>
      </c>
      <c r="H12" s="12">
        <f>DCOUNTA(DADOS,DEPARTAMENTO,ASSISTENTE)</f>
        <v>3</v>
      </c>
      <c r="I12" s="12">
        <f ca="1">DMAX(DADOS,"idade",ASSISTENTE)</f>
        <v>43</v>
      </c>
      <c r="J12" s="12" t="str">
        <f ca="1">DGET(DADOS,DEPARTAMENTO,IASS)</f>
        <v>FINANCEIRO</v>
      </c>
      <c r="K12" s="12">
        <f ca="1">DMIN(DADOS,"idade",ASSISTENTE)</f>
        <v>31</v>
      </c>
      <c r="L12" s="12" t="str">
        <f ca="1">DGET(DADOS,DEPARTAMENTO,IASS2)</f>
        <v>RECURSOS HUMANOS</v>
      </c>
    </row>
    <row r="13" spans="1:12" x14ac:dyDescent="0.25">
      <c r="A13" s="12" t="s">
        <v>53</v>
      </c>
      <c r="B13" s="25">
        <f>DSUM(DADOS,VALSALARIO,GERENTE)</f>
        <v>28180</v>
      </c>
      <c r="C13" s="25">
        <f>DAVERAGE(DADOS,VALSALARIO,GERENTE)</f>
        <v>4696.666666666667</v>
      </c>
      <c r="D13" s="25">
        <f>DMAX(DADOS,VALSALARIO,GERENTE)</f>
        <v>7500</v>
      </c>
      <c r="E13" s="12" t="str">
        <f>DGET(DADOS,DEPARTAMENTO,CARGO_GER)</f>
        <v>INFORMÁTICA</v>
      </c>
      <c r="F13" s="25">
        <f>DMIN(DADOS,VALSALARIO,GERENTE)</f>
        <v>2700</v>
      </c>
      <c r="G13" s="12" t="str">
        <f>DGET(DADOS,DEPARTAMENTO,CARGO_GE2)</f>
        <v>INFORMÁTICA</v>
      </c>
      <c r="H13" s="12">
        <f>DCOUNTA(DADOS,DEPARTAMENTO,GERENTE)</f>
        <v>6</v>
      </c>
      <c r="I13" s="12">
        <f ca="1">DMAX(DADOS,"idade",GERENTE)</f>
        <v>63</v>
      </c>
      <c r="J13" s="12" t="str">
        <f ca="1">DGET(DADOS,DEPARTAMENTO,IG)</f>
        <v>FINANCEIRO</v>
      </c>
      <c r="K13" s="12">
        <f ca="1">DMIN(DADOS,"idade",GERENTE)</f>
        <v>34</v>
      </c>
      <c r="L13" s="12" t="str">
        <f ca="1">DGET(DADOS,DEPARTAMENTO,IGER2)</f>
        <v>INFORMÁTICA</v>
      </c>
    </row>
    <row r="14" spans="1:12" x14ac:dyDescent="0.25">
      <c r="A14" s="12" t="s">
        <v>54</v>
      </c>
      <c r="B14" s="25">
        <f>DSUM(DADOS,VALSALARIO,DEV)</f>
        <v>10000</v>
      </c>
      <c r="C14" s="25">
        <f>DAVERAGE(DADOS,VALSALARIO,DEV)</f>
        <v>2500</v>
      </c>
      <c r="D14" s="25">
        <f>DMAX(DADOS,VALSALARIO,DEV)</f>
        <v>3100</v>
      </c>
      <c r="E14" s="12" t="str">
        <f>DGET(DADOS,DEPARTAMENTO,CARGO_DEV)</f>
        <v>INFORMÁTICA</v>
      </c>
      <c r="F14" s="25">
        <f>DMIN(DADOS,VALSALARIO,DEV)</f>
        <v>1800</v>
      </c>
      <c r="G14" s="12" t="str">
        <f>DGET(DADOS,DEPARTAMENTO,CARGO_DEV2)</f>
        <v>INFORMÁTICA</v>
      </c>
      <c r="H14" s="12">
        <f>DCOUNTA(DADOS,DEPARTAMENTO,DEV)</f>
        <v>4</v>
      </c>
      <c r="I14" s="12">
        <f ca="1">DMAX(DADOS,"idade",DEV)</f>
        <v>48</v>
      </c>
      <c r="J14" s="12" t="str">
        <f ca="1">DGET(DADOS,DEPARTAMENTO,ID)</f>
        <v>INFORMÁTICA</v>
      </c>
      <c r="K14" s="12">
        <f ca="1">DMIN(DADOS,"idade",DEV)</f>
        <v>25</v>
      </c>
      <c r="L14" s="12" t="str">
        <f ca="1">DGET(DADOS,DEPARTAMENTO,IDEV2)</f>
        <v>INFORMÁTICA</v>
      </c>
    </row>
    <row r="17" spans="3:3" x14ac:dyDescent="0.25">
      <c r="C17" s="20"/>
    </row>
  </sheetData>
  <mergeCells count="2">
    <mergeCell ref="A1:L1"/>
    <mergeCell ref="A9:L9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zoomScale="140" zoomScaleNormal="140" workbookViewId="0">
      <selection activeCell="J22" sqref="J22:K23"/>
    </sheetView>
  </sheetViews>
  <sheetFormatPr defaultRowHeight="15" x14ac:dyDescent="0.25"/>
  <cols>
    <col min="1" max="1" width="17.85546875" bestFit="1" customWidth="1"/>
    <col min="2" max="2" width="13.28515625" bestFit="1" customWidth="1"/>
    <col min="4" max="4" width="17.85546875" bestFit="1" customWidth="1"/>
    <col min="5" max="5" width="12.7109375" customWidth="1"/>
    <col min="7" max="7" width="14.5703125" bestFit="1" customWidth="1"/>
    <col min="8" max="8" width="12.7109375" bestFit="1" customWidth="1"/>
    <col min="10" max="10" width="14.5703125" bestFit="1" customWidth="1"/>
    <col min="11" max="11" width="12.7109375" bestFit="1" customWidth="1"/>
  </cols>
  <sheetData>
    <row r="1" spans="1:11" x14ac:dyDescent="0.25">
      <c r="A1" t="s">
        <v>2</v>
      </c>
      <c r="B1" t="s">
        <v>4</v>
      </c>
      <c r="D1" t="s">
        <v>2</v>
      </c>
      <c r="E1" t="s">
        <v>4</v>
      </c>
      <c r="G1" t="s">
        <v>3</v>
      </c>
      <c r="H1" t="s">
        <v>4</v>
      </c>
      <c r="J1" t="s">
        <v>3</v>
      </c>
      <c r="K1" t="s">
        <v>4</v>
      </c>
    </row>
    <row r="2" spans="1:11" x14ac:dyDescent="0.25">
      <c r="A2" t="s">
        <v>28</v>
      </c>
      <c r="B2" s="5">
        <f>RELATÓRIO!D3</f>
        <v>5500</v>
      </c>
      <c r="D2" t="s">
        <v>28</v>
      </c>
      <c r="E2" s="5">
        <f>RELATÓRIO!F3</f>
        <v>1560</v>
      </c>
      <c r="G2" t="s">
        <v>24</v>
      </c>
      <c r="H2" s="26">
        <f>RELATÓRIO!D11</f>
        <v>3010</v>
      </c>
      <c r="J2" t="s">
        <v>24</v>
      </c>
      <c r="K2" s="26">
        <f>RELATÓRIO!F11</f>
        <v>2600</v>
      </c>
    </row>
    <row r="4" spans="1:11" x14ac:dyDescent="0.25">
      <c r="A4" t="s">
        <v>2</v>
      </c>
      <c r="B4" t="s">
        <v>4</v>
      </c>
      <c r="D4" t="s">
        <v>2</v>
      </c>
      <c r="E4" t="s">
        <v>4</v>
      </c>
      <c r="G4" t="s">
        <v>3</v>
      </c>
      <c r="H4" t="s">
        <v>4</v>
      </c>
      <c r="J4" t="s">
        <v>3</v>
      </c>
      <c r="K4" t="s">
        <v>4</v>
      </c>
    </row>
    <row r="5" spans="1:11" x14ac:dyDescent="0.25">
      <c r="A5" t="s">
        <v>23</v>
      </c>
      <c r="B5" s="5">
        <f>RELATÓRIO!D4</f>
        <v>4780</v>
      </c>
      <c r="D5" t="s">
        <v>23</v>
      </c>
      <c r="E5" s="5">
        <f>RELATÓRIO!F4</f>
        <v>2500</v>
      </c>
      <c r="G5" t="s">
        <v>27</v>
      </c>
      <c r="H5" s="26">
        <f>RELATÓRIO!D12</f>
        <v>2500</v>
      </c>
      <c r="J5" t="s">
        <v>27</v>
      </c>
      <c r="K5" s="26">
        <f>RELATÓRIO!F12</f>
        <v>2100</v>
      </c>
    </row>
    <row r="7" spans="1:11" x14ac:dyDescent="0.25">
      <c r="A7" t="s">
        <v>2</v>
      </c>
      <c r="B7" t="s">
        <v>4</v>
      </c>
      <c r="D7" t="s">
        <v>2</v>
      </c>
      <c r="E7" t="s">
        <v>4</v>
      </c>
      <c r="G7" t="s">
        <v>3</v>
      </c>
      <c r="H7" t="s">
        <v>4</v>
      </c>
      <c r="J7" t="s">
        <v>3</v>
      </c>
      <c r="K7" t="s">
        <v>4</v>
      </c>
    </row>
    <row r="8" spans="1:11" x14ac:dyDescent="0.25">
      <c r="A8" t="s">
        <v>26</v>
      </c>
      <c r="B8" s="5">
        <f>RELATÓRIO!D6</f>
        <v>4200</v>
      </c>
      <c r="D8" t="s">
        <v>26</v>
      </c>
      <c r="E8" s="5">
        <f>RELATÓRIO!F6</f>
        <v>1000</v>
      </c>
      <c r="G8" t="s">
        <v>53</v>
      </c>
      <c r="H8" s="26">
        <f>RELATÓRIO!D13</f>
        <v>7500</v>
      </c>
      <c r="J8" t="s">
        <v>53</v>
      </c>
      <c r="K8" s="26">
        <f>RELATÓRIO!F13</f>
        <v>2700</v>
      </c>
    </row>
    <row r="10" spans="1:11" x14ac:dyDescent="0.25">
      <c r="A10" t="s">
        <v>2</v>
      </c>
      <c r="B10" t="s">
        <v>4</v>
      </c>
      <c r="D10" t="s">
        <v>2</v>
      </c>
      <c r="E10" t="s">
        <v>4</v>
      </c>
      <c r="G10" t="s">
        <v>3</v>
      </c>
      <c r="H10" t="s">
        <v>4</v>
      </c>
      <c r="J10" t="s">
        <v>3</v>
      </c>
      <c r="K10" t="s">
        <v>4</v>
      </c>
    </row>
    <row r="11" spans="1:11" x14ac:dyDescent="0.25">
      <c r="A11" t="s">
        <v>25</v>
      </c>
      <c r="B11" s="5">
        <f>RELATÓRIO!D5</f>
        <v>7500</v>
      </c>
      <c r="D11" t="s">
        <v>25</v>
      </c>
      <c r="E11" s="5">
        <f>RELATÓRIO!F5</f>
        <v>1800</v>
      </c>
      <c r="G11" t="s">
        <v>54</v>
      </c>
      <c r="H11" s="26">
        <f>RELATÓRIO!D14</f>
        <v>3100</v>
      </c>
      <c r="J11" t="s">
        <v>54</v>
      </c>
      <c r="K11" s="26">
        <f>RELATÓRIO!F14</f>
        <v>1800</v>
      </c>
    </row>
    <row r="13" spans="1:11" x14ac:dyDescent="0.25">
      <c r="A13" t="s">
        <v>2</v>
      </c>
      <c r="B13" t="s">
        <v>6</v>
      </c>
      <c r="D13" t="s">
        <v>2</v>
      </c>
      <c r="E13" t="s">
        <v>6</v>
      </c>
      <c r="G13" t="s">
        <v>3</v>
      </c>
      <c r="H13" t="s">
        <v>6</v>
      </c>
      <c r="J13" t="s">
        <v>3</v>
      </c>
      <c r="K13" t="s">
        <v>6</v>
      </c>
    </row>
    <row r="14" spans="1:11" x14ac:dyDescent="0.25">
      <c r="A14" t="s">
        <v>28</v>
      </c>
      <c r="B14" s="10">
        <f ca="1">RELATÓRIO!I3</f>
        <v>47</v>
      </c>
      <c r="D14" t="s">
        <v>28</v>
      </c>
      <c r="E14" s="10">
        <f ca="1">RELATÓRIO!K3</f>
        <v>33</v>
      </c>
      <c r="G14" t="s">
        <v>24</v>
      </c>
      <c r="H14">
        <f ca="1">RELATÓRIO!I11</f>
        <v>46</v>
      </c>
      <c r="J14" t="s">
        <v>24</v>
      </c>
      <c r="K14">
        <f ca="1">RELATÓRIO!K11</f>
        <v>32</v>
      </c>
    </row>
    <row r="16" spans="1:11" x14ac:dyDescent="0.25">
      <c r="A16" t="s">
        <v>2</v>
      </c>
      <c r="B16" t="s">
        <v>6</v>
      </c>
      <c r="D16" t="s">
        <v>2</v>
      </c>
      <c r="E16" t="s">
        <v>6</v>
      </c>
      <c r="G16" t="s">
        <v>3</v>
      </c>
      <c r="H16" t="s">
        <v>6</v>
      </c>
      <c r="J16" t="s">
        <v>3</v>
      </c>
      <c r="K16" t="s">
        <v>6</v>
      </c>
    </row>
    <row r="17" spans="1:11" x14ac:dyDescent="0.25">
      <c r="A17" t="s">
        <v>23</v>
      </c>
      <c r="B17" s="22">
        <f ca="1">RELATÓRIO!I4</f>
        <v>63</v>
      </c>
      <c r="D17" t="s">
        <v>23</v>
      </c>
      <c r="E17" s="22">
        <f ca="1">RELATÓRIO!K4</f>
        <v>32</v>
      </c>
      <c r="G17" t="s">
        <v>27</v>
      </c>
      <c r="H17">
        <f ca="1">RELATÓRIO!I12</f>
        <v>43</v>
      </c>
      <c r="J17" t="s">
        <v>27</v>
      </c>
      <c r="K17">
        <f ca="1">RELATÓRIO!K12</f>
        <v>31</v>
      </c>
    </row>
    <row r="19" spans="1:11" x14ac:dyDescent="0.25">
      <c r="A19" t="s">
        <v>2</v>
      </c>
      <c r="B19" t="s">
        <v>6</v>
      </c>
      <c r="D19" t="s">
        <v>2</v>
      </c>
      <c r="E19" t="s">
        <v>6</v>
      </c>
      <c r="G19" t="s">
        <v>3</v>
      </c>
      <c r="H19" t="s">
        <v>6</v>
      </c>
      <c r="J19" t="s">
        <v>3</v>
      </c>
      <c r="K19" t="s">
        <v>6</v>
      </c>
    </row>
    <row r="20" spans="1:11" x14ac:dyDescent="0.25">
      <c r="A20" t="s">
        <v>26</v>
      </c>
      <c r="B20" s="22">
        <f ca="1">RELATÓRIO!I6</f>
        <v>49</v>
      </c>
      <c r="D20" t="s">
        <v>26</v>
      </c>
      <c r="E20" s="22">
        <f ca="1">RELATÓRIO!K6</f>
        <v>31</v>
      </c>
      <c r="G20" t="s">
        <v>53</v>
      </c>
      <c r="H20">
        <f ca="1">RELATÓRIO!I13</f>
        <v>63</v>
      </c>
      <c r="J20" t="s">
        <v>53</v>
      </c>
      <c r="K20">
        <f ca="1">RELATÓRIO!K13</f>
        <v>34</v>
      </c>
    </row>
    <row r="22" spans="1:11" x14ac:dyDescent="0.25">
      <c r="A22" t="s">
        <v>2</v>
      </c>
      <c r="B22" t="s">
        <v>6</v>
      </c>
      <c r="D22" t="s">
        <v>2</v>
      </c>
      <c r="E22" t="s">
        <v>6</v>
      </c>
      <c r="G22" t="s">
        <v>3</v>
      </c>
      <c r="H22" t="s">
        <v>6</v>
      </c>
      <c r="J22" t="s">
        <v>3</v>
      </c>
      <c r="K22" t="s">
        <v>6</v>
      </c>
    </row>
    <row r="23" spans="1:11" x14ac:dyDescent="0.25">
      <c r="A23" t="s">
        <v>25</v>
      </c>
      <c r="B23" s="22">
        <f ca="1">RELATÓRIO!I5</f>
        <v>48</v>
      </c>
      <c r="D23" t="s">
        <v>25</v>
      </c>
      <c r="E23" s="22">
        <f ca="1">RELATÓRIO!K5</f>
        <v>25</v>
      </c>
      <c r="G23" t="s">
        <v>54</v>
      </c>
      <c r="H23">
        <f ca="1">RELATÓRIO!I14</f>
        <v>48</v>
      </c>
      <c r="J23" t="s">
        <v>54</v>
      </c>
      <c r="K23">
        <f ca="1">RELATÓRIO!K14</f>
        <v>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CBB66-659C-4BEE-A833-27053507043F}">
  <dimension ref="A1:B5"/>
  <sheetViews>
    <sheetView workbookViewId="0"/>
  </sheetViews>
  <sheetFormatPr defaultRowHeight="15" x14ac:dyDescent="0.25"/>
  <cols>
    <col min="1" max="1" width="16.28515625" bestFit="1" customWidth="1"/>
    <col min="2" max="2" width="16.7109375" bestFit="1" customWidth="1"/>
  </cols>
  <sheetData>
    <row r="1" spans="1:2" x14ac:dyDescent="0.25">
      <c r="A1" s="33" t="s">
        <v>3</v>
      </c>
      <c r="B1" t="s">
        <v>15</v>
      </c>
    </row>
    <row r="3" spans="1:2" x14ac:dyDescent="0.25">
      <c r="A3" s="33" t="s">
        <v>42</v>
      </c>
      <c r="B3" t="s">
        <v>59</v>
      </c>
    </row>
    <row r="4" spans="1:2" x14ac:dyDescent="0.25">
      <c r="A4" s="34" t="s">
        <v>11</v>
      </c>
      <c r="B4" s="20">
        <v>11100</v>
      </c>
    </row>
    <row r="5" spans="1:2" x14ac:dyDescent="0.25">
      <c r="A5" s="34" t="s">
        <v>58</v>
      </c>
      <c r="B5" s="20">
        <v>11100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8AAF-5DCC-4437-87EA-1B598D339E59}">
  <dimension ref="A1:B7"/>
  <sheetViews>
    <sheetView workbookViewId="0"/>
  </sheetViews>
  <sheetFormatPr defaultRowHeight="15" x14ac:dyDescent="0.25"/>
  <cols>
    <col min="1" max="1" width="20.28515625" bestFit="1" customWidth="1"/>
    <col min="2" max="2" width="16.7109375" bestFit="1" customWidth="1"/>
  </cols>
  <sheetData>
    <row r="1" spans="1:2" x14ac:dyDescent="0.25">
      <c r="A1" s="33" t="s">
        <v>3</v>
      </c>
      <c r="B1" t="s">
        <v>12</v>
      </c>
    </row>
    <row r="3" spans="1:2" x14ac:dyDescent="0.25">
      <c r="A3" s="33" t="s">
        <v>42</v>
      </c>
      <c r="B3" t="s">
        <v>59</v>
      </c>
    </row>
    <row r="4" spans="1:2" x14ac:dyDescent="0.25">
      <c r="A4" s="34" t="s">
        <v>14</v>
      </c>
      <c r="B4" s="20">
        <v>2100</v>
      </c>
    </row>
    <row r="5" spans="1:2" x14ac:dyDescent="0.25">
      <c r="A5" s="34" t="s">
        <v>11</v>
      </c>
      <c r="B5" s="20">
        <v>2500</v>
      </c>
    </row>
    <row r="6" spans="1:2" x14ac:dyDescent="0.25">
      <c r="A6" s="34" t="s">
        <v>20</v>
      </c>
      <c r="B6" s="20">
        <v>2300</v>
      </c>
    </row>
    <row r="7" spans="1:2" x14ac:dyDescent="0.25">
      <c r="A7" s="34" t="s">
        <v>58</v>
      </c>
      <c r="B7" s="20">
        <v>6900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F3D7F-A406-4583-8C46-CD770C604639}">
  <dimension ref="A1:B5"/>
  <sheetViews>
    <sheetView workbookViewId="0"/>
  </sheetViews>
  <sheetFormatPr defaultRowHeight="15" x14ac:dyDescent="0.25"/>
  <cols>
    <col min="1" max="1" width="16.28515625" bestFit="1" customWidth="1"/>
    <col min="2" max="2" width="18.85546875" bestFit="1" customWidth="1"/>
  </cols>
  <sheetData>
    <row r="1" spans="1:2" x14ac:dyDescent="0.25">
      <c r="A1" s="33" t="s">
        <v>3</v>
      </c>
      <c r="B1" t="s">
        <v>38</v>
      </c>
    </row>
    <row r="3" spans="1:2" x14ac:dyDescent="0.25">
      <c r="A3" s="33" t="s">
        <v>42</v>
      </c>
      <c r="B3" t="s">
        <v>59</v>
      </c>
    </row>
    <row r="4" spans="1:2" x14ac:dyDescent="0.25">
      <c r="A4" s="34" t="s">
        <v>8</v>
      </c>
      <c r="B4" s="20">
        <v>10000</v>
      </c>
    </row>
    <row r="5" spans="1:2" x14ac:dyDescent="0.25">
      <c r="A5" s="34" t="s">
        <v>58</v>
      </c>
      <c r="B5" s="20">
        <v>10000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0B557-126A-48D0-91C1-0B8DD42F1703}">
  <dimension ref="A1:B8"/>
  <sheetViews>
    <sheetView workbookViewId="0"/>
  </sheetViews>
  <sheetFormatPr defaultRowHeight="15" x14ac:dyDescent="0.25"/>
  <cols>
    <col min="1" max="1" width="20.28515625" bestFit="1" customWidth="1"/>
    <col min="2" max="2" width="16.7109375" bestFit="1" customWidth="1"/>
  </cols>
  <sheetData>
    <row r="1" spans="1:2" x14ac:dyDescent="0.25">
      <c r="A1" s="33" t="s">
        <v>3</v>
      </c>
      <c r="B1" t="s">
        <v>9</v>
      </c>
    </row>
    <row r="3" spans="1:2" x14ac:dyDescent="0.25">
      <c r="A3" s="33" t="s">
        <v>42</v>
      </c>
      <c r="B3" t="s">
        <v>59</v>
      </c>
    </row>
    <row r="4" spans="1:2" x14ac:dyDescent="0.25">
      <c r="A4" s="34" t="s">
        <v>14</v>
      </c>
      <c r="B4" s="20">
        <v>9000</v>
      </c>
    </row>
    <row r="5" spans="1:2" x14ac:dyDescent="0.25">
      <c r="A5" s="34" t="s">
        <v>11</v>
      </c>
      <c r="B5" s="20">
        <v>4780</v>
      </c>
    </row>
    <row r="6" spans="1:2" x14ac:dyDescent="0.25">
      <c r="A6" s="34" t="s">
        <v>8</v>
      </c>
      <c r="B6" s="20">
        <v>10200</v>
      </c>
    </row>
    <row r="7" spans="1:2" x14ac:dyDescent="0.25">
      <c r="A7" s="34" t="s">
        <v>20</v>
      </c>
      <c r="B7" s="20">
        <v>4200</v>
      </c>
    </row>
    <row r="8" spans="1:2" x14ac:dyDescent="0.25">
      <c r="A8" s="34" t="s">
        <v>58</v>
      </c>
      <c r="B8" s="20">
        <v>28180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6AB2-69EB-41C3-885D-5378B06F0D1D}">
  <dimension ref="A1:B6"/>
  <sheetViews>
    <sheetView workbookViewId="0"/>
  </sheetViews>
  <sheetFormatPr defaultRowHeight="15" x14ac:dyDescent="0.25"/>
  <cols>
    <col min="1" max="1" width="20.28515625" bestFit="1" customWidth="1"/>
    <col min="2" max="2" width="16.7109375" bestFit="1" customWidth="1"/>
  </cols>
  <sheetData>
    <row r="1" spans="1:2" x14ac:dyDescent="0.25">
      <c r="A1" s="33" t="s">
        <v>3</v>
      </c>
      <c r="B1" t="s">
        <v>18</v>
      </c>
    </row>
    <row r="3" spans="1:2" x14ac:dyDescent="0.25">
      <c r="A3" s="33" t="s">
        <v>42</v>
      </c>
      <c r="B3" t="s">
        <v>59</v>
      </c>
    </row>
    <row r="4" spans="1:2" x14ac:dyDescent="0.25">
      <c r="A4" s="34" t="s">
        <v>14</v>
      </c>
      <c r="B4" s="20">
        <v>3560</v>
      </c>
    </row>
    <row r="5" spans="1:2" x14ac:dyDescent="0.25">
      <c r="A5" s="34" t="s">
        <v>20</v>
      </c>
      <c r="B5" s="20">
        <v>2890</v>
      </c>
    </row>
    <row r="6" spans="1:2" x14ac:dyDescent="0.25">
      <c r="A6" s="34" t="s">
        <v>58</v>
      </c>
      <c r="B6" s="20">
        <v>6450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B688B-E223-4C83-ACBC-8B501511826B}">
  <dimension ref="A1:B8"/>
  <sheetViews>
    <sheetView zoomScale="140" zoomScaleNormal="140" workbookViewId="0">
      <selection activeCell="M10" sqref="M10"/>
    </sheetView>
  </sheetViews>
  <sheetFormatPr defaultRowHeight="15" x14ac:dyDescent="0.25"/>
  <cols>
    <col min="1" max="1" width="20.28515625" bestFit="1" customWidth="1"/>
    <col min="2" max="2" width="16.7109375" bestFit="1" customWidth="1"/>
  </cols>
  <sheetData>
    <row r="1" spans="1:2" x14ac:dyDescent="0.25">
      <c r="A1" s="33" t="s">
        <v>3</v>
      </c>
      <c r="B1" t="s">
        <v>60</v>
      </c>
    </row>
    <row r="3" spans="1:2" x14ac:dyDescent="0.25">
      <c r="A3" s="33" t="s">
        <v>42</v>
      </c>
      <c r="B3" t="s">
        <v>59</v>
      </c>
    </row>
    <row r="4" spans="1:2" x14ac:dyDescent="0.25">
      <c r="A4" s="34" t="s">
        <v>14</v>
      </c>
      <c r="B4" s="20">
        <v>14660</v>
      </c>
    </row>
    <row r="5" spans="1:2" x14ac:dyDescent="0.25">
      <c r="A5" s="34" t="s">
        <v>11</v>
      </c>
      <c r="B5" s="20">
        <v>18380</v>
      </c>
    </row>
    <row r="6" spans="1:2" x14ac:dyDescent="0.25">
      <c r="A6" s="34" t="s">
        <v>8</v>
      </c>
      <c r="B6" s="20">
        <v>20200</v>
      </c>
    </row>
    <row r="7" spans="1:2" x14ac:dyDescent="0.25">
      <c r="A7" s="34" t="s">
        <v>20</v>
      </c>
      <c r="B7" s="20">
        <v>9390</v>
      </c>
    </row>
    <row r="8" spans="1:2" x14ac:dyDescent="0.25">
      <c r="A8" s="34" t="s">
        <v>58</v>
      </c>
      <c r="B8" s="20">
        <v>62630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9D46C-17F2-4685-8B34-FFA3D74B1FF0}">
  <dimension ref="A3:B40"/>
  <sheetViews>
    <sheetView topLeftCell="A10" workbookViewId="0">
      <selection activeCell="J33" sqref="J33"/>
    </sheetView>
  </sheetViews>
  <sheetFormatPr defaultRowHeight="15" x14ac:dyDescent="0.25"/>
  <cols>
    <col min="1" max="1" width="28.28515625" bestFit="1" customWidth="1"/>
    <col min="2" max="2" width="16.7109375" bestFit="1" customWidth="1"/>
  </cols>
  <sheetData>
    <row r="3" spans="1:2" x14ac:dyDescent="0.25">
      <c r="A3" s="33" t="s">
        <v>57</v>
      </c>
      <c r="B3" t="s">
        <v>59</v>
      </c>
    </row>
    <row r="4" spans="1:2" x14ac:dyDescent="0.25">
      <c r="A4" s="34" t="s">
        <v>14</v>
      </c>
      <c r="B4" s="20">
        <v>14660</v>
      </c>
    </row>
    <row r="5" spans="1:2" x14ac:dyDescent="0.25">
      <c r="A5" s="35" t="s">
        <v>12</v>
      </c>
      <c r="B5" s="20">
        <v>2100</v>
      </c>
    </row>
    <row r="6" spans="1:2" x14ac:dyDescent="0.25">
      <c r="A6" s="36" t="s">
        <v>35</v>
      </c>
      <c r="B6" s="20">
        <v>2100</v>
      </c>
    </row>
    <row r="7" spans="1:2" x14ac:dyDescent="0.25">
      <c r="A7" s="35" t="s">
        <v>9</v>
      </c>
      <c r="B7" s="20">
        <v>9000</v>
      </c>
    </row>
    <row r="8" spans="1:2" x14ac:dyDescent="0.25">
      <c r="A8" s="36" t="s">
        <v>7</v>
      </c>
      <c r="B8" s="20">
        <v>5500</v>
      </c>
    </row>
    <row r="9" spans="1:2" x14ac:dyDescent="0.25">
      <c r="A9" s="36" t="s">
        <v>13</v>
      </c>
      <c r="B9" s="20">
        <v>3500</v>
      </c>
    </row>
    <row r="10" spans="1:2" x14ac:dyDescent="0.25">
      <c r="A10" s="35" t="s">
        <v>18</v>
      </c>
      <c r="B10" s="20">
        <v>3560</v>
      </c>
    </row>
    <row r="11" spans="1:2" x14ac:dyDescent="0.25">
      <c r="A11" s="36" t="s">
        <v>31</v>
      </c>
      <c r="B11" s="20">
        <v>1560</v>
      </c>
    </row>
    <row r="12" spans="1:2" x14ac:dyDescent="0.25">
      <c r="A12" s="36" t="s">
        <v>56</v>
      </c>
      <c r="B12" s="20">
        <v>2000</v>
      </c>
    </row>
    <row r="13" spans="1:2" x14ac:dyDescent="0.25">
      <c r="A13" s="34" t="s">
        <v>11</v>
      </c>
      <c r="B13" s="20">
        <v>18380</v>
      </c>
    </row>
    <row r="14" spans="1:2" x14ac:dyDescent="0.25">
      <c r="A14" s="35" t="s">
        <v>15</v>
      </c>
      <c r="B14" s="20">
        <v>11100</v>
      </c>
    </row>
    <row r="15" spans="1:2" x14ac:dyDescent="0.25">
      <c r="A15" s="36" t="s">
        <v>29</v>
      </c>
      <c r="B15" s="20">
        <v>2700</v>
      </c>
    </row>
    <row r="16" spans="1:2" x14ac:dyDescent="0.25">
      <c r="A16" s="36" t="s">
        <v>21</v>
      </c>
      <c r="B16" s="20">
        <v>2790</v>
      </c>
    </row>
    <row r="17" spans="1:2" x14ac:dyDescent="0.25">
      <c r="A17" s="36" t="s">
        <v>16</v>
      </c>
      <c r="B17" s="20">
        <v>2600</v>
      </c>
    </row>
    <row r="18" spans="1:2" x14ac:dyDescent="0.25">
      <c r="A18" s="36" t="s">
        <v>36</v>
      </c>
      <c r="B18" s="20">
        <v>3010</v>
      </c>
    </row>
    <row r="19" spans="1:2" x14ac:dyDescent="0.25">
      <c r="A19" s="35" t="s">
        <v>12</v>
      </c>
      <c r="B19" s="20">
        <v>2500</v>
      </c>
    </row>
    <row r="20" spans="1:2" x14ac:dyDescent="0.25">
      <c r="A20" s="36" t="s">
        <v>10</v>
      </c>
      <c r="B20" s="20">
        <v>2500</v>
      </c>
    </row>
    <row r="21" spans="1:2" x14ac:dyDescent="0.25">
      <c r="A21" s="35" t="s">
        <v>9</v>
      </c>
      <c r="B21" s="20">
        <v>4780</v>
      </c>
    </row>
    <row r="22" spans="1:2" x14ac:dyDescent="0.25">
      <c r="A22" s="36" t="s">
        <v>22</v>
      </c>
      <c r="B22" s="20">
        <v>4780</v>
      </c>
    </row>
    <row r="23" spans="1:2" x14ac:dyDescent="0.25">
      <c r="A23" s="34" t="s">
        <v>8</v>
      </c>
      <c r="B23" s="20">
        <v>20200</v>
      </c>
    </row>
    <row r="24" spans="1:2" x14ac:dyDescent="0.25">
      <c r="A24" s="35" t="s">
        <v>38</v>
      </c>
      <c r="B24" s="20">
        <v>10000</v>
      </c>
    </row>
    <row r="25" spans="1:2" x14ac:dyDescent="0.25">
      <c r="A25" s="36" t="s">
        <v>30</v>
      </c>
      <c r="B25" s="20">
        <v>1800</v>
      </c>
    </row>
    <row r="26" spans="1:2" x14ac:dyDescent="0.25">
      <c r="A26" s="36" t="s">
        <v>17</v>
      </c>
      <c r="B26" s="20">
        <v>2300</v>
      </c>
    </row>
    <row r="27" spans="1:2" x14ac:dyDescent="0.25">
      <c r="A27" s="36" t="s">
        <v>37</v>
      </c>
      <c r="B27" s="20">
        <v>3100</v>
      </c>
    </row>
    <row r="28" spans="1:2" x14ac:dyDescent="0.25">
      <c r="A28" s="36" t="s">
        <v>39</v>
      </c>
      <c r="B28" s="20">
        <v>2800</v>
      </c>
    </row>
    <row r="29" spans="1:2" x14ac:dyDescent="0.25">
      <c r="A29" s="35" t="s">
        <v>9</v>
      </c>
      <c r="B29" s="20">
        <v>10200</v>
      </c>
    </row>
    <row r="30" spans="1:2" x14ac:dyDescent="0.25">
      <c r="A30" s="36" t="s">
        <v>7</v>
      </c>
      <c r="B30" s="20">
        <v>7500</v>
      </c>
    </row>
    <row r="31" spans="1:2" x14ac:dyDescent="0.25">
      <c r="A31" s="36" t="s">
        <v>40</v>
      </c>
      <c r="B31" s="20">
        <v>2700</v>
      </c>
    </row>
    <row r="32" spans="1:2" x14ac:dyDescent="0.25">
      <c r="A32" s="34" t="s">
        <v>20</v>
      </c>
      <c r="B32" s="20">
        <v>9390</v>
      </c>
    </row>
    <row r="33" spans="1:2" x14ac:dyDescent="0.25">
      <c r="A33" s="35" t="s">
        <v>12</v>
      </c>
      <c r="B33" s="20">
        <v>2300</v>
      </c>
    </row>
    <row r="34" spans="1:2" x14ac:dyDescent="0.25">
      <c r="A34" s="36" t="s">
        <v>19</v>
      </c>
      <c r="B34" s="20">
        <v>2300</v>
      </c>
    </row>
    <row r="35" spans="1:2" x14ac:dyDescent="0.25">
      <c r="A35" s="35" t="s">
        <v>9</v>
      </c>
      <c r="B35" s="20">
        <v>4200</v>
      </c>
    </row>
    <row r="36" spans="1:2" x14ac:dyDescent="0.25">
      <c r="A36" s="36" t="s">
        <v>32</v>
      </c>
      <c r="B36" s="20">
        <v>4200</v>
      </c>
    </row>
    <row r="37" spans="1:2" x14ac:dyDescent="0.25">
      <c r="A37" s="35" t="s">
        <v>18</v>
      </c>
      <c r="B37" s="20">
        <v>2890</v>
      </c>
    </row>
    <row r="38" spans="1:2" x14ac:dyDescent="0.25">
      <c r="A38" s="36" t="s">
        <v>33</v>
      </c>
      <c r="B38" s="20">
        <v>1890</v>
      </c>
    </row>
    <row r="39" spans="1:2" x14ac:dyDescent="0.25">
      <c r="A39" s="36" t="s">
        <v>34</v>
      </c>
      <c r="B39" s="20">
        <v>1000</v>
      </c>
    </row>
    <row r="40" spans="1:2" x14ac:dyDescent="0.25">
      <c r="A40" s="34" t="s">
        <v>58</v>
      </c>
      <c r="B40" s="20">
        <v>62630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zoomScale="140" zoomScaleNormal="140" workbookViewId="0">
      <selection activeCell="C18" sqref="C18"/>
    </sheetView>
  </sheetViews>
  <sheetFormatPr defaultRowHeight="15" x14ac:dyDescent="0.25"/>
  <cols>
    <col min="1" max="1" width="22.7109375" bestFit="1" customWidth="1"/>
    <col min="2" max="2" width="20.28515625" bestFit="1" customWidth="1"/>
    <col min="3" max="3" width="18.28515625" customWidth="1"/>
    <col min="4" max="4" width="12.7109375" bestFit="1" customWidth="1"/>
    <col min="5" max="5" width="13.5703125" customWidth="1"/>
    <col min="6" max="6" width="10" customWidth="1"/>
    <col min="8" max="8" width="10.7109375" bestFit="1" customWidth="1"/>
    <col min="9" max="9" width="11.5703125" bestFit="1" customWidth="1"/>
  </cols>
  <sheetData>
    <row r="1" spans="1:9" ht="18.75" x14ac:dyDescent="0.3">
      <c r="A1" s="27" t="s">
        <v>0</v>
      </c>
      <c r="B1" s="28"/>
      <c r="C1" s="28"/>
      <c r="D1" s="28"/>
      <c r="E1" s="28"/>
      <c r="F1" s="29"/>
      <c r="I1" s="1">
        <f ca="1">TODAY()</f>
        <v>45150</v>
      </c>
    </row>
    <row r="2" spans="1:9" ht="30" x14ac:dyDescent="0.25">
      <c r="A2" s="6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9" t="s">
        <v>6</v>
      </c>
    </row>
    <row r="3" spans="1:9" x14ac:dyDescent="0.25">
      <c r="A3" s="11" t="s">
        <v>7</v>
      </c>
      <c r="B3" s="12" t="s">
        <v>8</v>
      </c>
      <c r="C3" s="12" t="s">
        <v>9</v>
      </c>
      <c r="D3" s="13">
        <v>7500</v>
      </c>
      <c r="E3" s="14">
        <v>28056</v>
      </c>
      <c r="F3" s="15">
        <f ca="1">YEAR($I$1)-YEAR(E3)</f>
        <v>47</v>
      </c>
      <c r="G3" t="s">
        <v>55</v>
      </c>
    </row>
    <row r="4" spans="1:9" x14ac:dyDescent="0.25">
      <c r="A4" s="11" t="s">
        <v>10</v>
      </c>
      <c r="B4" s="12" t="s">
        <v>11</v>
      </c>
      <c r="C4" s="12" t="s">
        <v>12</v>
      </c>
      <c r="D4" s="13">
        <v>2500</v>
      </c>
      <c r="E4" s="14">
        <v>29567</v>
      </c>
      <c r="F4" s="15">
        <f t="shared" ref="F4:F23" ca="1" si="0">YEAR($I$1)-YEAR(E4)</f>
        <v>43</v>
      </c>
    </row>
    <row r="5" spans="1:9" x14ac:dyDescent="0.25">
      <c r="A5" s="11" t="s">
        <v>13</v>
      </c>
      <c r="B5" s="12" t="s">
        <v>14</v>
      </c>
      <c r="C5" s="12" t="s">
        <v>9</v>
      </c>
      <c r="D5" s="13">
        <v>3500</v>
      </c>
      <c r="E5" s="14">
        <v>32325</v>
      </c>
      <c r="F5" s="15">
        <f t="shared" ca="1" si="0"/>
        <v>35</v>
      </c>
    </row>
    <row r="6" spans="1:9" x14ac:dyDescent="0.25">
      <c r="A6" s="11" t="s">
        <v>16</v>
      </c>
      <c r="B6" s="12" t="s">
        <v>11</v>
      </c>
      <c r="C6" s="12" t="s">
        <v>15</v>
      </c>
      <c r="D6" s="13">
        <v>2600</v>
      </c>
      <c r="E6" s="14">
        <v>33110</v>
      </c>
      <c r="F6" s="15">
        <f t="shared" ca="1" si="0"/>
        <v>33</v>
      </c>
      <c r="H6" s="1"/>
    </row>
    <row r="7" spans="1:9" x14ac:dyDescent="0.25">
      <c r="A7" s="11" t="s">
        <v>17</v>
      </c>
      <c r="B7" s="12" t="s">
        <v>8</v>
      </c>
      <c r="C7" s="12" t="s">
        <v>38</v>
      </c>
      <c r="D7" s="13">
        <v>2300</v>
      </c>
      <c r="E7" s="14">
        <v>35443</v>
      </c>
      <c r="F7" s="15">
        <f t="shared" ca="1" si="0"/>
        <v>26</v>
      </c>
    </row>
    <row r="8" spans="1:9" x14ac:dyDescent="0.25">
      <c r="A8" s="11" t="s">
        <v>56</v>
      </c>
      <c r="B8" s="12" t="s">
        <v>14</v>
      </c>
      <c r="C8" s="12" t="s">
        <v>18</v>
      </c>
      <c r="D8" s="13">
        <v>2000</v>
      </c>
      <c r="E8" s="14">
        <v>29660</v>
      </c>
      <c r="F8" s="15">
        <f t="shared" ca="1" si="0"/>
        <v>42</v>
      </c>
    </row>
    <row r="9" spans="1:9" x14ac:dyDescent="0.25">
      <c r="A9" s="11" t="s">
        <v>19</v>
      </c>
      <c r="B9" s="12" t="s">
        <v>20</v>
      </c>
      <c r="C9" s="12" t="s">
        <v>12</v>
      </c>
      <c r="D9" s="13">
        <v>2300</v>
      </c>
      <c r="E9" s="14">
        <v>33605</v>
      </c>
      <c r="F9" s="15">
        <f t="shared" ca="1" si="0"/>
        <v>31</v>
      </c>
    </row>
    <row r="10" spans="1:9" x14ac:dyDescent="0.25">
      <c r="A10" s="11" t="s">
        <v>21</v>
      </c>
      <c r="B10" s="12" t="s">
        <v>11</v>
      </c>
      <c r="C10" s="12" t="s">
        <v>15</v>
      </c>
      <c r="D10" s="13">
        <v>2790</v>
      </c>
      <c r="E10" s="14">
        <v>33418</v>
      </c>
      <c r="F10" s="15">
        <f t="shared" ca="1" si="0"/>
        <v>32</v>
      </c>
    </row>
    <row r="11" spans="1:9" x14ac:dyDescent="0.25">
      <c r="A11" s="11" t="s">
        <v>22</v>
      </c>
      <c r="B11" s="12" t="s">
        <v>11</v>
      </c>
      <c r="C11" s="12" t="s">
        <v>9</v>
      </c>
      <c r="D11" s="13">
        <v>4780</v>
      </c>
      <c r="E11" s="14">
        <v>21936</v>
      </c>
      <c r="F11" s="15">
        <f t="shared" ca="1" si="0"/>
        <v>63</v>
      </c>
    </row>
    <row r="12" spans="1:9" x14ac:dyDescent="0.25">
      <c r="A12" s="11" t="s">
        <v>7</v>
      </c>
      <c r="B12" s="12" t="s">
        <v>14</v>
      </c>
      <c r="C12" s="12" t="s">
        <v>9</v>
      </c>
      <c r="D12" s="21">
        <v>5500</v>
      </c>
      <c r="E12" s="14">
        <v>28056</v>
      </c>
      <c r="F12" s="15">
        <f t="shared" ca="1" si="0"/>
        <v>47</v>
      </c>
    </row>
    <row r="13" spans="1:9" x14ac:dyDescent="0.25">
      <c r="A13" s="11" t="s">
        <v>29</v>
      </c>
      <c r="B13" s="12" t="s">
        <v>11</v>
      </c>
      <c r="C13" s="12" t="s">
        <v>15</v>
      </c>
      <c r="D13" s="13">
        <v>2700</v>
      </c>
      <c r="E13" s="14">
        <v>32827</v>
      </c>
      <c r="F13" s="15">
        <f t="shared" ca="1" si="0"/>
        <v>34</v>
      </c>
    </row>
    <row r="14" spans="1:9" x14ac:dyDescent="0.25">
      <c r="A14" s="11" t="s">
        <v>30</v>
      </c>
      <c r="B14" s="12" t="s">
        <v>8</v>
      </c>
      <c r="C14" s="12" t="s">
        <v>38</v>
      </c>
      <c r="D14" s="13">
        <v>1800</v>
      </c>
      <c r="E14" s="14">
        <v>28302</v>
      </c>
      <c r="F14" s="15">
        <f t="shared" ca="1" si="0"/>
        <v>46</v>
      </c>
    </row>
    <row r="15" spans="1:9" x14ac:dyDescent="0.25">
      <c r="A15" s="11" t="s">
        <v>31</v>
      </c>
      <c r="B15" s="12" t="s">
        <v>14</v>
      </c>
      <c r="C15" s="12" t="s">
        <v>18</v>
      </c>
      <c r="D15" s="13">
        <v>1560</v>
      </c>
      <c r="E15" s="14">
        <v>33199</v>
      </c>
      <c r="F15" s="15">
        <f t="shared" ca="1" si="0"/>
        <v>33</v>
      </c>
    </row>
    <row r="16" spans="1:9" x14ac:dyDescent="0.25">
      <c r="A16" s="11" t="s">
        <v>32</v>
      </c>
      <c r="B16" s="12" t="s">
        <v>20</v>
      </c>
      <c r="C16" s="12" t="s">
        <v>9</v>
      </c>
      <c r="D16" s="13">
        <v>4200</v>
      </c>
      <c r="E16" s="14">
        <v>31912</v>
      </c>
      <c r="F16" s="15">
        <f t="shared" ca="1" si="0"/>
        <v>36</v>
      </c>
    </row>
    <row r="17" spans="1:6" x14ac:dyDescent="0.25">
      <c r="A17" s="11" t="s">
        <v>33</v>
      </c>
      <c r="B17" s="12" t="s">
        <v>20</v>
      </c>
      <c r="C17" s="12" t="s">
        <v>18</v>
      </c>
      <c r="D17" s="13">
        <v>1890</v>
      </c>
      <c r="E17" s="14">
        <v>29738</v>
      </c>
      <c r="F17" s="15">
        <f t="shared" ca="1" si="0"/>
        <v>42</v>
      </c>
    </row>
    <row r="18" spans="1:6" x14ac:dyDescent="0.25">
      <c r="A18" s="11" t="s">
        <v>34</v>
      </c>
      <c r="B18" s="12" t="s">
        <v>20</v>
      </c>
      <c r="C18" s="12" t="s">
        <v>18</v>
      </c>
      <c r="D18" s="13">
        <v>1000</v>
      </c>
      <c r="E18" s="14">
        <v>27166</v>
      </c>
      <c r="F18" s="15">
        <f t="shared" ca="1" si="0"/>
        <v>49</v>
      </c>
    </row>
    <row r="19" spans="1:6" x14ac:dyDescent="0.25">
      <c r="A19" s="11" t="s">
        <v>35</v>
      </c>
      <c r="B19" s="12" t="s">
        <v>14</v>
      </c>
      <c r="C19" s="12" t="s">
        <v>12</v>
      </c>
      <c r="D19" s="13">
        <v>2100</v>
      </c>
      <c r="E19" s="14">
        <v>32442</v>
      </c>
      <c r="F19" s="15">
        <f t="shared" ca="1" si="0"/>
        <v>35</v>
      </c>
    </row>
    <row r="20" spans="1:6" x14ac:dyDescent="0.25">
      <c r="A20" s="11" t="s">
        <v>36</v>
      </c>
      <c r="B20" s="12" t="s">
        <v>11</v>
      </c>
      <c r="C20" s="12" t="s">
        <v>15</v>
      </c>
      <c r="D20" s="13">
        <v>3010</v>
      </c>
      <c r="E20" s="14">
        <v>28215</v>
      </c>
      <c r="F20" s="15">
        <f t="shared" ca="1" si="0"/>
        <v>46</v>
      </c>
    </row>
    <row r="21" spans="1:6" x14ac:dyDescent="0.25">
      <c r="A21" s="11" t="s">
        <v>37</v>
      </c>
      <c r="B21" s="12" t="s">
        <v>8</v>
      </c>
      <c r="C21" s="12" t="s">
        <v>38</v>
      </c>
      <c r="D21" s="13">
        <v>3100</v>
      </c>
      <c r="E21" s="14">
        <v>27513</v>
      </c>
      <c r="F21" s="15">
        <f t="shared" ca="1" si="0"/>
        <v>48</v>
      </c>
    </row>
    <row r="22" spans="1:6" x14ac:dyDescent="0.25">
      <c r="A22" s="11" t="s">
        <v>39</v>
      </c>
      <c r="B22" s="12" t="s">
        <v>8</v>
      </c>
      <c r="C22" s="12" t="s">
        <v>38</v>
      </c>
      <c r="D22" s="13">
        <v>2800</v>
      </c>
      <c r="E22" s="14">
        <v>35931</v>
      </c>
      <c r="F22" s="15">
        <f t="shared" ca="1" si="0"/>
        <v>25</v>
      </c>
    </row>
    <row r="23" spans="1:6" ht="15.75" thickBot="1" x14ac:dyDescent="0.3">
      <c r="A23" s="16" t="s">
        <v>40</v>
      </c>
      <c r="B23" s="17" t="s">
        <v>8</v>
      </c>
      <c r="C23" s="17" t="s">
        <v>9</v>
      </c>
      <c r="D23" s="18">
        <v>2700</v>
      </c>
      <c r="E23" s="19">
        <v>32513</v>
      </c>
      <c r="F23" s="15">
        <f t="shared" ca="1" si="0"/>
        <v>34</v>
      </c>
    </row>
  </sheetData>
  <autoFilter ref="A2:F23" xr:uid="{BEA6F8A7-C758-47C1-9CB9-C33BE4F8734F}"/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46</vt:i4>
      </vt:variant>
    </vt:vector>
  </HeadingPairs>
  <TitlesOfParts>
    <vt:vector size="57" baseType="lpstr">
      <vt:lpstr> Salário x Cargo</vt:lpstr>
      <vt:lpstr>ANALISTA</vt:lpstr>
      <vt:lpstr>ASSISTENTE</vt:lpstr>
      <vt:lpstr>DESENVOLVEDOR</vt:lpstr>
      <vt:lpstr>GERENTE</vt:lpstr>
      <vt:lpstr>TÉCNICO</vt:lpstr>
      <vt:lpstr> Salário x Departamento</vt:lpstr>
      <vt:lpstr>salário x depa x cargo x func</vt:lpstr>
      <vt:lpstr>CADASTRO</vt:lpstr>
      <vt:lpstr>RELATÓRIO</vt:lpstr>
      <vt:lpstr>CRITÉRIOS</vt:lpstr>
      <vt:lpstr>ADMIN</vt:lpstr>
      <vt:lpstr>ANALISTA</vt:lpstr>
      <vt:lpstr>ASSISTENTE</vt:lpstr>
      <vt:lpstr>CARGO</vt:lpstr>
      <vt:lpstr>CARGO_AN</vt:lpstr>
      <vt:lpstr>CARGO_AN2</vt:lpstr>
      <vt:lpstr>CARGO_ASS</vt:lpstr>
      <vt:lpstr>CARGO_ASS2</vt:lpstr>
      <vt:lpstr>CARGO_DEV</vt:lpstr>
      <vt:lpstr>CARGO_DEV2</vt:lpstr>
      <vt:lpstr>CARGO_GE2</vt:lpstr>
      <vt:lpstr>CARGO_GER</vt:lpstr>
      <vt:lpstr>DADOS</vt:lpstr>
      <vt:lpstr>DEPARTAMENTO</vt:lpstr>
      <vt:lpstr>DEV</vt:lpstr>
      <vt:lpstr>FINANC</vt:lpstr>
      <vt:lpstr>FUNC_ADM</vt:lpstr>
      <vt:lpstr>FUNC_ADM2</vt:lpstr>
      <vt:lpstr>FUNC_FIN</vt:lpstr>
      <vt:lpstr>FUNC_FIN2</vt:lpstr>
      <vt:lpstr>FUNC_INFO</vt:lpstr>
      <vt:lpstr>FUNC_INFO2</vt:lpstr>
      <vt:lpstr>FUNC_REC</vt:lpstr>
      <vt:lpstr>FUNC_REC2</vt:lpstr>
      <vt:lpstr>FUNCIONARIOS</vt:lpstr>
      <vt:lpstr>GERENTE</vt:lpstr>
      <vt:lpstr>IA</vt:lpstr>
      <vt:lpstr>IADM1</vt:lpstr>
      <vt:lpstr>IADM2</vt:lpstr>
      <vt:lpstr>IAN</vt:lpstr>
      <vt:lpstr>IASS</vt:lpstr>
      <vt:lpstr>IASS2</vt:lpstr>
      <vt:lpstr>ID</vt:lpstr>
      <vt:lpstr>IDADE</vt:lpstr>
      <vt:lpstr>IDEV2</vt:lpstr>
      <vt:lpstr>IFIN1</vt:lpstr>
      <vt:lpstr>IFIN2</vt:lpstr>
      <vt:lpstr>IG</vt:lpstr>
      <vt:lpstr>IGER2</vt:lpstr>
      <vt:lpstr>IINF2</vt:lpstr>
      <vt:lpstr>IINFO1</vt:lpstr>
      <vt:lpstr>INFOR</vt:lpstr>
      <vt:lpstr>IREC1</vt:lpstr>
      <vt:lpstr>IREC2</vt:lpstr>
      <vt:lpstr>RECHUM</vt:lpstr>
      <vt:lpstr>VALSALARIO</vt:lpstr>
    </vt:vector>
  </TitlesOfParts>
  <Company>senac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Augusto de Moraes</dc:creator>
  <cp:lastModifiedBy>Instrutor</cp:lastModifiedBy>
  <dcterms:created xsi:type="dcterms:W3CDTF">2016-02-25T17:10:47Z</dcterms:created>
  <dcterms:modified xsi:type="dcterms:W3CDTF">2023-08-12T16:36:58Z</dcterms:modified>
</cp:coreProperties>
</file>