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46A63CE5-1A2C-4E75-9940-BC0DD246986F}" xr6:coauthVersionLast="47" xr6:coauthVersionMax="47" xr10:uidLastSave="{00000000-0000-0000-0000-000000000000}"/>
  <bookViews>
    <workbookView xWindow="20370" yWindow="-120" windowWidth="21840" windowHeight="13140" activeTab="5" xr2:uid="{00000000-000D-0000-FFFF-FFFF00000000}"/>
  </bookViews>
  <sheets>
    <sheet name="Impostos" sheetId="1" r:id="rId1"/>
    <sheet name="prova" sheetId="2" r:id="rId2"/>
    <sheet name="aula 1" sheetId="3" r:id="rId3"/>
    <sheet name="aula 2" sheetId="4" r:id="rId4"/>
    <sheet name="aula29-4" sheetId="6" r:id="rId5"/>
    <sheet name="aula29-44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7" l="1"/>
  <c r="A12" i="7"/>
  <c r="D9" i="7" s="1"/>
  <c r="B12" i="7"/>
  <c r="D8" i="6"/>
  <c r="K4" i="6" s="1"/>
  <c r="A11" i="6"/>
  <c r="J3" i="6" s="1"/>
  <c r="J2" i="7" l="1"/>
  <c r="J4" i="7"/>
  <c r="J6" i="7"/>
  <c r="K3" i="7"/>
  <c r="K5" i="7"/>
  <c r="K2" i="7"/>
  <c r="K4" i="7"/>
  <c r="K6" i="7"/>
  <c r="J3" i="7"/>
  <c r="J5" i="7"/>
  <c r="K2" i="6"/>
  <c r="J2" i="6"/>
  <c r="K3" i="6"/>
  <c r="J6" i="6"/>
  <c r="J4" i="6"/>
  <c r="J5" i="6"/>
  <c r="F3" i="1"/>
  <c r="E3" i="1"/>
  <c r="D3" i="1"/>
  <c r="C3" i="1"/>
  <c r="B3" i="1"/>
  <c r="K8" i="7" l="1"/>
  <c r="J8" i="7"/>
  <c r="J8" i="6"/>
  <c r="D2" i="1"/>
  <c r="E2" i="1"/>
  <c r="B2" i="1"/>
  <c r="C2" i="1"/>
  <c r="F2" i="1" l="1"/>
  <c r="C2" i="4"/>
  <c r="D2" i="4" s="1"/>
  <c r="E2" i="4" s="1"/>
  <c r="F2" i="4" s="1"/>
  <c r="G3" i="4"/>
  <c r="H3" i="4"/>
  <c r="I3" i="4"/>
  <c r="D6" i="4"/>
  <c r="XFD2" i="3"/>
  <c r="C3" i="3"/>
  <c r="B5" i="3"/>
  <c r="C2" i="3" s="1"/>
  <c r="G5" i="3"/>
  <c r="H5" i="3"/>
  <c r="I5" i="3"/>
  <c r="B6" i="2"/>
  <c r="C5" i="2" s="1"/>
  <c r="G6" i="2"/>
  <c r="C4" i="3" l="1"/>
  <c r="D4" i="3" s="1"/>
  <c r="G2" i="4"/>
  <c r="H2" i="4" s="1"/>
  <c r="I2" i="4" s="1"/>
  <c r="C4" i="2"/>
  <c r="D5" i="2"/>
  <c r="E5" i="2" s="1"/>
  <c r="F5" i="2" s="1"/>
  <c r="I16" i="2" s="1"/>
  <c r="E4" i="3" l="1"/>
  <c r="F4" i="3" s="1"/>
  <c r="G5" i="2"/>
  <c r="I14" i="2" s="1"/>
  <c r="D3" i="3"/>
  <c r="K5" i="2"/>
  <c r="C3" i="2"/>
  <c r="D4" i="2"/>
  <c r="E4" i="2" s="1"/>
  <c r="F4" i="2" s="1"/>
  <c r="H16" i="2" s="1"/>
  <c r="G4" i="3" l="1"/>
  <c r="H4" i="3" s="1"/>
  <c r="I4" i="3" s="1"/>
  <c r="E3" i="3"/>
  <c r="F3" i="3" s="1"/>
  <c r="D2" i="3"/>
  <c r="I11" i="2"/>
  <c r="H5" i="2"/>
  <c r="I12" i="2" s="1"/>
  <c r="I5" i="2"/>
  <c r="I17" i="2" s="1"/>
  <c r="G4" i="2"/>
  <c r="C2" i="2"/>
  <c r="G3" i="2"/>
  <c r="D3" i="2"/>
  <c r="E3" i="2" s="1"/>
  <c r="F3" i="2" s="1"/>
  <c r="G16" i="2" s="1"/>
  <c r="E2" i="3" l="1"/>
  <c r="F2" i="3" s="1"/>
  <c r="G3" i="3"/>
  <c r="H3" i="3" s="1"/>
  <c r="I3" i="3" s="1"/>
  <c r="K3" i="2"/>
  <c r="G14" i="2"/>
  <c r="D2" i="2"/>
  <c r="E2" i="2" s="1"/>
  <c r="F2" i="2" s="1"/>
  <c r="F16" i="2" s="1"/>
  <c r="J16" i="2" s="1"/>
  <c r="I13" i="2"/>
  <c r="I15" i="2" s="1"/>
  <c r="K4" i="2"/>
  <c r="H14" i="2"/>
  <c r="G2" i="3" l="1"/>
  <c r="H2" i="3" s="1"/>
  <c r="I2" i="3" s="1"/>
  <c r="G2" i="2"/>
  <c r="K2" i="2" s="1"/>
  <c r="H4" i="2"/>
  <c r="H12" i="2" s="1"/>
  <c r="H11" i="2"/>
  <c r="I4" i="2"/>
  <c r="H17" i="2" s="1"/>
  <c r="G11" i="2"/>
  <c r="H3" i="2"/>
  <c r="G12" i="2" s="1"/>
  <c r="I3" i="2"/>
  <c r="G17" i="2" s="1"/>
  <c r="F14" i="2"/>
  <c r="J14" i="2" s="1"/>
  <c r="H2" i="2" l="1"/>
  <c r="F12" i="2" s="1"/>
  <c r="J12" i="2" s="1"/>
  <c r="F11" i="2"/>
  <c r="I2" i="2"/>
  <c r="F17" i="2" s="1"/>
  <c r="J17" i="2" s="1"/>
  <c r="K6" i="2"/>
  <c r="G13" i="2"/>
  <c r="G15" i="2" s="1"/>
  <c r="H13" i="2"/>
  <c r="H15" i="2" s="1"/>
  <c r="J11" i="2" l="1"/>
  <c r="F13" i="2"/>
  <c r="F15" i="2" l="1"/>
  <c r="J15" i="2" s="1"/>
  <c r="J13" i="2"/>
</calcChain>
</file>

<file path=xl/sharedStrings.xml><?xml version="1.0" encoding="utf-8"?>
<sst xmlns="http://schemas.openxmlformats.org/spreadsheetml/2006/main" count="168" uniqueCount="81">
  <si>
    <t>IRPJ</t>
  </si>
  <si>
    <t>CSLL</t>
  </si>
  <si>
    <t>PIS</t>
  </si>
  <si>
    <t>Cofins</t>
  </si>
  <si>
    <t>tributos federais</t>
  </si>
  <si>
    <t>regimes tributário</t>
  </si>
  <si>
    <t>formas de cálculo</t>
  </si>
  <si>
    <t>Regimes</t>
  </si>
  <si>
    <t>Real</t>
  </si>
  <si>
    <t>Vendas liquidas</t>
  </si>
  <si>
    <t>VL</t>
  </si>
  <si>
    <t>Imposto sobre valor</t>
  </si>
  <si>
    <t>Is.V</t>
  </si>
  <si>
    <t>Rateio</t>
  </si>
  <si>
    <t>%</t>
  </si>
  <si>
    <t>Preço venda</t>
  </si>
  <si>
    <t>PV</t>
  </si>
  <si>
    <t>LO</t>
  </si>
  <si>
    <t>Custo total</t>
  </si>
  <si>
    <t>CT</t>
  </si>
  <si>
    <t>DO</t>
  </si>
  <si>
    <t>Lucro</t>
  </si>
  <si>
    <t>LB</t>
  </si>
  <si>
    <t>Despesa operacional</t>
  </si>
  <si>
    <t>Mão de obra direta</t>
  </si>
  <si>
    <t>MOD</t>
  </si>
  <si>
    <t>Gastos gerais de produção</t>
  </si>
  <si>
    <t>GGP</t>
  </si>
  <si>
    <t>Materia Prima</t>
  </si>
  <si>
    <t>MP</t>
  </si>
  <si>
    <t>Quantidade</t>
  </si>
  <si>
    <t>Q</t>
  </si>
  <si>
    <t>Soma</t>
  </si>
  <si>
    <t>D</t>
  </si>
  <si>
    <t>C</t>
  </si>
  <si>
    <t>B</t>
  </si>
  <si>
    <t>A</t>
  </si>
  <si>
    <t>Produto</t>
  </si>
  <si>
    <t>P</t>
  </si>
  <si>
    <t>Legenda</t>
  </si>
  <si>
    <t>Sigla</t>
  </si>
  <si>
    <t>T</t>
  </si>
  <si>
    <t>PV%</t>
  </si>
  <si>
    <t xml:space="preserve">Imposto </t>
  </si>
  <si>
    <t>Despesas operacionais</t>
  </si>
  <si>
    <t>CT+Despesa</t>
  </si>
  <si>
    <t xml:space="preserve">Custo total </t>
  </si>
  <si>
    <t>]</t>
  </si>
  <si>
    <t>&amp;</t>
  </si>
  <si>
    <t>Faturamento</t>
  </si>
  <si>
    <t>Custo</t>
  </si>
  <si>
    <t>Presumido</t>
  </si>
  <si>
    <t>q</t>
  </si>
  <si>
    <t>dados coletados</t>
  </si>
  <si>
    <t>a</t>
  </si>
  <si>
    <t>b</t>
  </si>
  <si>
    <t>c</t>
  </si>
  <si>
    <t>d</t>
  </si>
  <si>
    <t>impostos</t>
  </si>
  <si>
    <t>icms</t>
  </si>
  <si>
    <t>cofins</t>
  </si>
  <si>
    <t>pis</t>
  </si>
  <si>
    <t>irpj</t>
  </si>
  <si>
    <t>VALOR DE VENDAS 100%</t>
  </si>
  <si>
    <t>vendas</t>
  </si>
  <si>
    <t>tributo</t>
  </si>
  <si>
    <t>real</t>
  </si>
  <si>
    <t>estimado</t>
  </si>
  <si>
    <t>csll</t>
  </si>
  <si>
    <t>soma</t>
  </si>
  <si>
    <t>SOMA</t>
  </si>
  <si>
    <t>Is.v</t>
  </si>
  <si>
    <t>ICMS</t>
  </si>
  <si>
    <t>COFINS</t>
  </si>
  <si>
    <t>VENDAS</t>
  </si>
  <si>
    <t>IMPOSTOS</t>
  </si>
  <si>
    <t>DADOS COLETADOS</t>
  </si>
  <si>
    <t>PRESUMIDO</t>
  </si>
  <si>
    <t>REAL</t>
  </si>
  <si>
    <t>TRIBUTO</t>
  </si>
  <si>
    <t>TAREFA PARA O DIA 29/04/2024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</si>
</sst>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1" xfId="0" applyNumberFormat="1" applyBorder="1"/>
    <xf numFmtId="0" fontId="0" fillId="0" borderId="1" xfId="0" applyBorder="1"/>
    <xf numFmtId="44" fontId="0" fillId="0" borderId="0" xfId="0" applyNumberFormat="1"/>
    <xf numFmtId="44" fontId="1" fillId="0" borderId="1" xfId="1" applyFont="1" applyBorder="1"/>
    <xf numFmtId="9" fontId="1" fillId="0" borderId="1" xfId="2" applyFont="1" applyBorder="1"/>
    <xf numFmtId="9" fontId="0" fillId="0" borderId="1" xfId="1" applyNumberFormat="1" applyFont="1" applyBorder="1"/>
    <xf numFmtId="9" fontId="0" fillId="0" borderId="2" xfId="1" applyNumberFormat="1" applyFont="1" applyBorder="1"/>
    <xf numFmtId="9" fontId="1" fillId="0" borderId="1" xfId="1" applyNumberFormat="1" applyFont="1" applyBorder="1"/>
    <xf numFmtId="44" fontId="0" fillId="0" borderId="1" xfId="1" applyFont="1" applyBorder="1"/>
    <xf numFmtId="9" fontId="0" fillId="0" borderId="1" xfId="2" applyFont="1" applyBorder="1"/>
    <xf numFmtId="9" fontId="0" fillId="0" borderId="0" xfId="0" applyNumberFormat="1"/>
    <xf numFmtId="9" fontId="0" fillId="0" borderId="0" xfId="2" applyFont="1" applyFill="1" applyBorder="1"/>
    <xf numFmtId="44" fontId="0" fillId="0" borderId="0" xfId="1" applyFont="1" applyFill="1" applyBorder="1"/>
    <xf numFmtId="44" fontId="0" fillId="0" borderId="0" xfId="1" applyFont="1"/>
    <xf numFmtId="44" fontId="1" fillId="0" borderId="2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0" fontId="0" fillId="0" borderId="6" xfId="0" applyBorder="1"/>
    <xf numFmtId="0" fontId="2" fillId="2" borderId="7" xfId="0" applyFont="1" applyFill="1" applyBorder="1"/>
    <xf numFmtId="0" fontId="2" fillId="2" borderId="8" xfId="0" applyFont="1" applyFill="1" applyBorder="1"/>
    <xf numFmtId="44" fontId="0" fillId="3" borderId="8" xfId="1" applyFont="1" applyFill="1" applyBorder="1"/>
    <xf numFmtId="10" fontId="0" fillId="3" borderId="7" xfId="0" applyNumberFormat="1" applyFill="1" applyBorder="1"/>
    <xf numFmtId="164" fontId="0" fillId="0" borderId="0" xfId="2" applyNumberFormat="1" applyFont="1"/>
    <xf numFmtId="9" fontId="0" fillId="3" borderId="7" xfId="0" applyNumberFormat="1" applyFill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0" borderId="0" xfId="2" applyFont="1"/>
    <xf numFmtId="44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R$&quot;\ * #,##0.00_-;\-&quot;R$&quot;\ * #,##0.00_-;_-&quot;R$&quot;\ * &quot;-&quot;??_-;_-@_-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3"/>
      <tableStyleElement type="headerRow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a4" displayName="Tabela4" ref="A1:F3" totalsRowShown="0">
  <autoFilter ref="A1:F3" xr:uid="{00000000-0009-0000-0100-000004000000}"/>
  <tableColumns count="6">
    <tableColumn id="6" xr3:uid="{00000000-0010-0000-0000-000006000000}" name="Regimes"/>
    <tableColumn id="7" xr3:uid="{00000000-0010-0000-0000-000007000000}" name="PIS" dataDxfId="41" totalsRowDxfId="40" dataCellStyle="Porcentagem">
      <calculatedColumnFormula>I2*J2</calculatedColumnFormula>
    </tableColumn>
    <tableColumn id="8" xr3:uid="{00000000-0010-0000-0000-000008000000}" name="Cofins" dataDxfId="39" totalsRowDxfId="38">
      <calculatedColumnFormula>I2*K2</calculatedColumnFormula>
    </tableColumn>
    <tableColumn id="9" xr3:uid="{00000000-0010-0000-0000-000009000000}" name="IRPJ" dataDxfId="37" totalsRowDxfId="36"/>
    <tableColumn id="10" xr3:uid="{00000000-0010-0000-0000-00000A000000}" name="CSLL"/>
    <tableColumn id="11" xr3:uid="{00000000-0010-0000-0000-00000B000000}" name="&amp;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1" displayName="Tabela1" ref="A1:K6" totalsRowShown="0" dataDxfId="35" dataCellStyle="Moeda">
  <autoFilter ref="A1:K6" xr:uid="{00000000-0009-0000-0100-000001000000}"/>
  <tableColumns count="11">
    <tableColumn id="1" xr3:uid="{00000000-0010-0000-0100-000001000000}" name="P" dataDxfId="34"/>
    <tableColumn id="2" xr3:uid="{00000000-0010-0000-0100-000002000000}" name="Q" dataDxfId="33"/>
    <tableColumn id="4" xr3:uid="{00000000-0010-0000-0100-000004000000}" name="MP" dataDxfId="32" dataCellStyle="Moeda"/>
    <tableColumn id="5" xr3:uid="{00000000-0010-0000-0100-000005000000}" name="GGP" dataDxfId="31" dataCellStyle="Moeda"/>
    <tableColumn id="6" xr3:uid="{00000000-0010-0000-0100-000006000000}" name="MOD" dataDxfId="30" dataCellStyle="Moeda"/>
    <tableColumn id="7" xr3:uid="{00000000-0010-0000-0100-000007000000}" name="DO" dataDxfId="29" dataCellStyle="Moeda">
      <calculatedColumnFormula>C2+D2+E2</calculatedColumnFormula>
    </tableColumn>
    <tableColumn id="12" xr3:uid="{00000000-0010-0000-0100-00000C000000}" name="CT" dataDxfId="28" dataCellStyle="Moeda">
      <calculatedColumnFormula>SUM(Tabela1[[#This Row],[MP]:[MOD]])</calculatedColumnFormula>
    </tableColumn>
    <tableColumn id="11" xr3:uid="{00000000-0010-0000-0100-00000B000000}" name="Is.V" dataDxfId="27" dataCellStyle="Moeda"/>
    <tableColumn id="13" xr3:uid="{00000000-0010-0000-0100-00000D000000}" name="LO" dataDxfId="26" dataCellStyle="Moeda"/>
    <tableColumn id="3" xr3:uid="{00000000-0010-0000-0100-000003000000}" name="%" dataDxfId="25" dataCellStyle="Moeda"/>
    <tableColumn id="10" xr3:uid="{00000000-0010-0000-0100-00000A000000}" name="PV" dataDxfId="24" dataCellStyle="Moeda">
      <calculatedColumnFormula>(#REF!+Tabela1[[#This Row],[DO]])/(100%-$H$6-$I$6)*Tabela1[[#This Row],[%]]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a13" displayName="Tabela13" ref="A1:I5" totalsRowShown="0" dataDxfId="23" dataCellStyle="Moeda">
  <autoFilter ref="A1:I5" xr:uid="{00000000-0009-0000-0100-000002000000}"/>
  <tableColumns count="9">
    <tableColumn id="1" xr3:uid="{00000000-0010-0000-0200-000001000000}" name="Produto" dataDxfId="22"/>
    <tableColumn id="2" xr3:uid="{00000000-0010-0000-0200-000002000000}" name="Quantidade" dataDxfId="21"/>
    <tableColumn id="3" xr3:uid="{00000000-0010-0000-0200-000003000000}" name="%" dataDxfId="20" dataCellStyle="Porcentagem"/>
    <tableColumn id="4" xr3:uid="{00000000-0010-0000-0200-000004000000}" name="MP" dataDxfId="19" dataCellStyle="Moeda"/>
    <tableColumn id="5" xr3:uid="{00000000-0010-0000-0200-000005000000}" name="GGP" dataDxfId="18" dataCellStyle="Moeda"/>
    <tableColumn id="6" xr3:uid="{00000000-0010-0000-0200-000006000000}" name="MOD" dataDxfId="17" dataCellStyle="Moeda"/>
    <tableColumn id="7" xr3:uid="{00000000-0010-0000-0200-000007000000}" name="Custo total " dataDxfId="16" dataCellStyle="Moeda">
      <calculatedColumnFormula>D2+E2+F2</calculatedColumnFormula>
    </tableColumn>
    <tableColumn id="8" xr3:uid="{00000000-0010-0000-0200-000008000000}" name="CT+Despesa" dataDxfId="15" dataCellStyle="Moeda">
      <calculatedColumnFormula>Tabela13[[#This Row],[Custo total ]]+1100000</calculatedColumnFormula>
    </tableColumn>
    <tableColumn id="13" xr3:uid="{00000000-0010-0000-0200-00000D000000}" name="PV" dataDxfId="14" dataCellStyle="Moeda">
      <calculatedColumnFormula>Tabela13[[#This Row],[CT+Despesa]]/$XFD$2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ela14" displayName="Tabela14" ref="A1:I3" totalsRowShown="0" headerRowDxfId="13" dataDxfId="11" headerRowBorderDxfId="12" tableBorderDxfId="10" totalsRowBorderDxfId="9" dataCellStyle="Moeda">
  <autoFilter ref="A1:I3" xr:uid="{00000000-0009-0000-0100-000003000000}"/>
  <tableColumns count="9">
    <tableColumn id="1" xr3:uid="{00000000-0010-0000-0300-000001000000}" name="Produto" dataDxfId="8"/>
    <tableColumn id="2" xr3:uid="{00000000-0010-0000-0300-000002000000}" name="Quantidade" dataDxfId="7"/>
    <tableColumn id="3" xr3:uid="{00000000-0010-0000-0300-000003000000}" name="%" dataDxfId="6" dataCellStyle="Porcentagem"/>
    <tableColumn id="4" xr3:uid="{00000000-0010-0000-0300-000004000000}" name="MP" dataDxfId="5" dataCellStyle="Moeda"/>
    <tableColumn id="5" xr3:uid="{00000000-0010-0000-0300-000005000000}" name="GGP" dataDxfId="4" dataCellStyle="Moeda"/>
    <tableColumn id="6" xr3:uid="{00000000-0010-0000-0300-000006000000}" name="MOD" dataDxfId="3" dataCellStyle="Moeda"/>
    <tableColumn id="7" xr3:uid="{00000000-0010-0000-0300-000007000000}" name="Custo total " dataDxfId="2" dataCellStyle="Moeda">
      <calculatedColumnFormula>D2+E2+F2</calculatedColumnFormula>
    </tableColumn>
    <tableColumn id="8" xr3:uid="{00000000-0010-0000-0300-000008000000}" name="CT+Despesa" dataDxfId="1" dataCellStyle="Moeda">
      <calculatedColumnFormula>Tabela14[[#This Row],[Custo total ]]+$A$6</calculatedColumnFormula>
    </tableColumn>
    <tableColumn id="13" xr3:uid="{00000000-0010-0000-0300-00000D000000}" name="PV" dataDxfId="0" dataCellStyle="Moeda">
      <calculatedColumnFormula>Tabela14[[#This Row],[CT+Despesa]]/$D$6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A3" sqref="A3"/>
    </sheetView>
  </sheetViews>
  <sheetFormatPr defaultRowHeight="15" x14ac:dyDescent="0.25"/>
  <cols>
    <col min="1" max="1" width="10.28515625" customWidth="1"/>
    <col min="2" max="2" width="19.5703125" bestFit="1" customWidth="1"/>
    <col min="3" max="3" width="14.28515625" bestFit="1" customWidth="1"/>
    <col min="4" max="4" width="19.5703125" bestFit="1" customWidth="1"/>
    <col min="5" max="5" width="15.85546875" bestFit="1" customWidth="1"/>
    <col min="6" max="6" width="14.28515625" bestFit="1" customWidth="1"/>
    <col min="8" max="8" width="16.85546875" bestFit="1" customWidth="1"/>
    <col min="9" max="9" width="18" bestFit="1" customWidth="1"/>
  </cols>
  <sheetData>
    <row r="1" spans="1:15" x14ac:dyDescent="0.25">
      <c r="A1" t="s">
        <v>7</v>
      </c>
      <c r="B1" t="s">
        <v>2</v>
      </c>
      <c r="C1" t="s">
        <v>3</v>
      </c>
      <c r="D1" t="s">
        <v>0</v>
      </c>
      <c r="E1" t="s">
        <v>1</v>
      </c>
      <c r="F1" t="s">
        <v>48</v>
      </c>
      <c r="H1" s="22" t="s">
        <v>50</v>
      </c>
      <c r="I1" s="22" t="s">
        <v>49</v>
      </c>
      <c r="J1" s="21" t="s">
        <v>2</v>
      </c>
      <c r="K1" s="21" t="s">
        <v>3</v>
      </c>
      <c r="L1" s="21" t="s">
        <v>0</v>
      </c>
      <c r="M1" s="21" t="s">
        <v>1</v>
      </c>
      <c r="O1" t="s">
        <v>5</v>
      </c>
    </row>
    <row r="2" spans="1:15" x14ac:dyDescent="0.25">
      <c r="A2" t="s">
        <v>51</v>
      </c>
      <c r="B2" s="14">
        <f t="shared" ref="B2" si="0">I2*J2</f>
        <v>19500</v>
      </c>
      <c r="C2" s="14">
        <f t="shared" ref="C2" si="1">I2*K2</f>
        <v>90000</v>
      </c>
      <c r="D2" s="3">
        <f>IF(I2*L2&gt;=60000,((I2*L2)-60000)*10%,0)+(I2*L2)*15%</f>
        <v>54000</v>
      </c>
      <c r="E2" s="3">
        <f>I2*M2*9%</f>
        <v>32400</v>
      </c>
      <c r="F2" s="14">
        <f>SUM(Tabela4[[#This Row],[PIS]:[CSLL]])</f>
        <v>195900</v>
      </c>
      <c r="G2" s="3"/>
      <c r="H2" s="23">
        <v>1800000</v>
      </c>
      <c r="I2" s="23">
        <v>3000000</v>
      </c>
      <c r="J2" s="24">
        <v>6.4999999999999997E-3</v>
      </c>
      <c r="K2" s="26">
        <v>0.03</v>
      </c>
      <c r="L2" s="26">
        <v>0.08</v>
      </c>
      <c r="M2" s="26">
        <v>0.12</v>
      </c>
      <c r="O2" t="s">
        <v>4</v>
      </c>
    </row>
    <row r="3" spans="1:15" x14ac:dyDescent="0.25">
      <c r="A3" t="s">
        <v>8</v>
      </c>
      <c r="B3" s="3">
        <f>(I2*(J2+0.01))-(H2*(J2+0.01))</f>
        <v>19800</v>
      </c>
      <c r="C3" s="3">
        <f>(I2*7.6%)-(H2*7.6%)</f>
        <v>91200</v>
      </c>
      <c r="D3" s="3">
        <f>(I2*10%)*15%+IF(I2*10%&gt;=60000,(I2*10%-60000)*10%,0)</f>
        <v>69000</v>
      </c>
      <c r="E3" s="3">
        <f>(I2*10%)*9%</f>
        <v>27000</v>
      </c>
      <c r="F3" s="14">
        <f>SUM(Tabela4[[#This Row],[PIS]:[CSLL]])</f>
        <v>207000</v>
      </c>
      <c r="G3" s="3"/>
      <c r="I3" s="3"/>
      <c r="K3" s="25"/>
      <c r="L3" s="11"/>
      <c r="M3" s="11"/>
      <c r="O3" t="s">
        <v>6</v>
      </c>
    </row>
    <row r="4" spans="1:15" x14ac:dyDescent="0.25">
      <c r="D4" s="3"/>
      <c r="K4" s="25"/>
    </row>
    <row r="5" spans="1:15" x14ac:dyDescent="0.25">
      <c r="H5" s="3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B3:C3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workbookViewId="0">
      <selection activeCell="D30" sqref="D30"/>
    </sheetView>
  </sheetViews>
  <sheetFormatPr defaultRowHeight="15" x14ac:dyDescent="0.25"/>
  <cols>
    <col min="1" max="1" width="10.42578125" bestFit="1" customWidth="1"/>
    <col min="2" max="2" width="13.7109375" bestFit="1" customWidth="1"/>
    <col min="3" max="4" width="15.85546875" bestFit="1" customWidth="1"/>
    <col min="5" max="5" width="14.28515625" bestFit="1" customWidth="1"/>
    <col min="6" max="6" width="15.85546875" bestFit="1" customWidth="1"/>
    <col min="7" max="8" width="15.85546875" customWidth="1"/>
    <col min="9" max="10" width="15.85546875" bestFit="1" customWidth="1"/>
    <col min="11" max="11" width="16.85546875" bestFit="1" customWidth="1"/>
    <col min="12" max="12" width="12.5703125" bestFit="1" customWidth="1"/>
    <col min="13" max="13" width="13.7109375" bestFit="1" customWidth="1"/>
    <col min="14" max="14" width="12" bestFit="1" customWidth="1"/>
    <col min="16382" max="16382" width="21.42578125" bestFit="1" customWidth="1"/>
    <col min="16383" max="16383" width="8.7109375" bestFit="1" customWidth="1"/>
    <col min="16384" max="16384" width="8.7109375" customWidth="1"/>
  </cols>
  <sheetData>
    <row r="1" spans="1:11" x14ac:dyDescent="0.25">
      <c r="A1" t="s">
        <v>38</v>
      </c>
      <c r="B1" t="s">
        <v>31</v>
      </c>
      <c r="C1" t="s">
        <v>29</v>
      </c>
      <c r="D1" t="s">
        <v>27</v>
      </c>
      <c r="E1" t="s">
        <v>25</v>
      </c>
      <c r="F1" t="s">
        <v>20</v>
      </c>
      <c r="G1" t="s">
        <v>19</v>
      </c>
      <c r="H1" t="s">
        <v>12</v>
      </c>
      <c r="I1" s="2" t="s">
        <v>17</v>
      </c>
      <c r="J1" s="2" t="s">
        <v>14</v>
      </c>
      <c r="K1" s="2" t="s">
        <v>16</v>
      </c>
    </row>
    <row r="2" spans="1:11" x14ac:dyDescent="0.25">
      <c r="A2" s="2" t="s">
        <v>36</v>
      </c>
      <c r="B2" s="2">
        <v>150</v>
      </c>
      <c r="C2" s="4">
        <f t="shared" ref="C2:F5" si="0">B2*C3/B3</f>
        <v>210000</v>
      </c>
      <c r="D2" s="4">
        <f t="shared" si="0"/>
        <v>127500</v>
      </c>
      <c r="E2" s="9">
        <f t="shared" si="0"/>
        <v>112500</v>
      </c>
      <c r="F2" s="9">
        <f t="shared" si="0"/>
        <v>90000</v>
      </c>
      <c r="G2" s="9">
        <f>SUM(Tabela1[[#This Row],[MP]:[MOD]])</f>
        <v>450000</v>
      </c>
      <c r="H2" s="4">
        <f>Tabela1[[#This Row],[PV]]*$H$6</f>
        <v>108000</v>
      </c>
      <c r="I2" s="4">
        <f>Tabela1[[#This Row],[PV]]*$I$6</f>
        <v>36000</v>
      </c>
      <c r="J2" s="8">
        <v>0.4</v>
      </c>
      <c r="K2" s="4">
        <f>(Tabela1[[#This Row],[CT]]+Tabela1[[#This Row],[DO]])/(100%-$H$6-$I$6)*Tabela1[[#This Row],[%]]</f>
        <v>360000</v>
      </c>
    </row>
    <row r="3" spans="1:11" x14ac:dyDescent="0.25">
      <c r="A3" s="2" t="s">
        <v>35</v>
      </c>
      <c r="B3" s="2">
        <v>350</v>
      </c>
      <c r="C3" s="4">
        <f t="shared" si="0"/>
        <v>490000</v>
      </c>
      <c r="D3" s="4">
        <f t="shared" si="0"/>
        <v>297500</v>
      </c>
      <c r="E3" s="9">
        <f t="shared" si="0"/>
        <v>262500</v>
      </c>
      <c r="F3" s="9">
        <f t="shared" si="0"/>
        <v>210000</v>
      </c>
      <c r="G3" s="9">
        <f>SUM(Tabela1[[#This Row],[MP]:[MOD]])</f>
        <v>1050000</v>
      </c>
      <c r="H3" s="4">
        <f>Tabela1[[#This Row],[PV]]*$H$6</f>
        <v>189000</v>
      </c>
      <c r="I3" s="4">
        <f>Tabela1[[#This Row],[PV]]*$I$6</f>
        <v>63000</v>
      </c>
      <c r="J3" s="8">
        <v>0.3</v>
      </c>
      <c r="K3" s="4">
        <f>(Tabela1[[#This Row],[CT]]+Tabela1[[#This Row],[DO]])/(100%-$H$6-$I$6)*Tabela1[[#This Row],[%]]</f>
        <v>630000</v>
      </c>
    </row>
    <row r="4" spans="1:11" x14ac:dyDescent="0.25">
      <c r="A4" s="2" t="s">
        <v>34</v>
      </c>
      <c r="B4" s="2">
        <v>200</v>
      </c>
      <c r="C4" s="4">
        <f t="shared" si="0"/>
        <v>280000</v>
      </c>
      <c r="D4" s="4">
        <f t="shared" si="0"/>
        <v>170000</v>
      </c>
      <c r="E4" s="9">
        <f t="shared" si="0"/>
        <v>150000</v>
      </c>
      <c r="F4" s="9">
        <f t="shared" si="0"/>
        <v>120000</v>
      </c>
      <c r="G4" s="9">
        <f>SUM(Tabela1[[#This Row],[MP]:[MOD]])</f>
        <v>600000</v>
      </c>
      <c r="H4" s="4">
        <f>Tabela1[[#This Row],[PV]]*$H$6</f>
        <v>180000</v>
      </c>
      <c r="I4" s="4">
        <f>Tabela1[[#This Row],[PV]]*$I$6</f>
        <v>60000</v>
      </c>
      <c r="J4" s="8">
        <v>0.5</v>
      </c>
      <c r="K4" s="4">
        <f>(Tabela1[[#This Row],[CT]]+Tabela1[[#This Row],[DO]])/(100%-$H$6-$I$6)*Tabela1[[#This Row],[%]]</f>
        <v>600000</v>
      </c>
    </row>
    <row r="5" spans="1:11" x14ac:dyDescent="0.25">
      <c r="A5" s="2" t="s">
        <v>33</v>
      </c>
      <c r="B5" s="2">
        <v>300</v>
      </c>
      <c r="C5" s="4">
        <f t="shared" si="0"/>
        <v>420000</v>
      </c>
      <c r="D5" s="4">
        <f t="shared" si="0"/>
        <v>255000</v>
      </c>
      <c r="E5" s="9">
        <f t="shared" si="0"/>
        <v>225000</v>
      </c>
      <c r="F5" s="9">
        <f t="shared" si="0"/>
        <v>180000</v>
      </c>
      <c r="G5" s="9">
        <f>SUM(Tabela1[[#This Row],[MP]:[MOD]])</f>
        <v>900000</v>
      </c>
      <c r="H5" s="4">
        <f>Tabela1[[#This Row],[PV]]*$H$6</f>
        <v>378000</v>
      </c>
      <c r="I5" s="4">
        <f>Tabela1[[#This Row],[PV]]*$I$6</f>
        <v>126000</v>
      </c>
      <c r="J5" s="8">
        <v>0.7</v>
      </c>
      <c r="K5" s="4">
        <f>(Tabela1[[#This Row],[CT]]+Tabela1[[#This Row],[DO]])/(100%-$H$6-$I$6)*Tabela1[[#This Row],[%]]</f>
        <v>1260000</v>
      </c>
    </row>
    <row r="6" spans="1:11" x14ac:dyDescent="0.25">
      <c r="A6" s="2" t="s">
        <v>41</v>
      </c>
      <c r="B6" s="2">
        <f>SUM(B2:B5)</f>
        <v>1000</v>
      </c>
      <c r="C6" s="1">
        <v>1400000</v>
      </c>
      <c r="D6" s="1">
        <v>850000</v>
      </c>
      <c r="E6" s="2">
        <v>750000</v>
      </c>
      <c r="F6" s="2">
        <v>600000</v>
      </c>
      <c r="G6" s="1">
        <f>SUM(Tabela1[[#This Row],[MP]:[MOD]])</f>
        <v>3000000</v>
      </c>
      <c r="H6" s="7">
        <v>0.3</v>
      </c>
      <c r="I6" s="6">
        <v>0.1</v>
      </c>
      <c r="J6" s="5">
        <v>1</v>
      </c>
      <c r="K6" s="4">
        <f>SUM(K2:K5)</f>
        <v>2850000</v>
      </c>
    </row>
    <row r="9" spans="1:11" x14ac:dyDescent="0.25">
      <c r="A9" t="s">
        <v>40</v>
      </c>
      <c r="B9" t="s">
        <v>39</v>
      </c>
    </row>
    <row r="10" spans="1:11" x14ac:dyDescent="0.25">
      <c r="A10" t="s">
        <v>38</v>
      </c>
      <c r="B10" t="s">
        <v>37</v>
      </c>
      <c r="E10" s="2"/>
      <c r="F10" s="2" t="s">
        <v>36</v>
      </c>
      <c r="G10" s="2" t="s">
        <v>35</v>
      </c>
      <c r="H10" s="2" t="s">
        <v>34</v>
      </c>
      <c r="I10" s="2" t="s">
        <v>33</v>
      </c>
      <c r="J10" s="2" t="s">
        <v>32</v>
      </c>
    </row>
    <row r="11" spans="1:11" x14ac:dyDescent="0.25">
      <c r="A11" t="s">
        <v>31</v>
      </c>
      <c r="B11" t="s">
        <v>30</v>
      </c>
      <c r="E11" s="2" t="s">
        <v>16</v>
      </c>
      <c r="F11" s="1">
        <f>K2</f>
        <v>360000</v>
      </c>
      <c r="G11" s="1">
        <f>K3</f>
        <v>630000</v>
      </c>
      <c r="H11" s="1">
        <f>K4</f>
        <v>600000</v>
      </c>
      <c r="I11" s="1">
        <f>K5</f>
        <v>1260000</v>
      </c>
      <c r="J11" s="1">
        <f t="shared" ref="J11:J17" si="1">SUM(F11:I11)</f>
        <v>2850000</v>
      </c>
    </row>
    <row r="12" spans="1:11" x14ac:dyDescent="0.25">
      <c r="A12" t="s">
        <v>29</v>
      </c>
      <c r="B12" t="s">
        <v>28</v>
      </c>
      <c r="E12" s="2" t="s">
        <v>12</v>
      </c>
      <c r="F12" s="1">
        <f>H2</f>
        <v>108000</v>
      </c>
      <c r="G12" s="1">
        <f>H3</f>
        <v>189000</v>
      </c>
      <c r="H12" s="1">
        <f>H4</f>
        <v>180000</v>
      </c>
      <c r="I12" s="1">
        <f>H5</f>
        <v>378000</v>
      </c>
      <c r="J12" s="1">
        <f t="shared" si="1"/>
        <v>855000</v>
      </c>
    </row>
    <row r="13" spans="1:11" x14ac:dyDescent="0.25">
      <c r="A13" t="s">
        <v>27</v>
      </c>
      <c r="B13" t="s">
        <v>26</v>
      </c>
      <c r="E13" s="2" t="s">
        <v>10</v>
      </c>
      <c r="F13" s="1">
        <f>F11-F12</f>
        <v>252000</v>
      </c>
      <c r="G13" s="1">
        <f>G11-G12</f>
        <v>441000</v>
      </c>
      <c r="H13" s="1">
        <f>H11-H12</f>
        <v>420000</v>
      </c>
      <c r="I13" s="1">
        <f>I11-I12</f>
        <v>882000</v>
      </c>
      <c r="J13" s="1">
        <f t="shared" si="1"/>
        <v>1995000</v>
      </c>
    </row>
    <row r="14" spans="1:11" x14ac:dyDescent="0.25">
      <c r="A14" t="s">
        <v>25</v>
      </c>
      <c r="B14" t="s">
        <v>24</v>
      </c>
      <c r="E14" s="2" t="s">
        <v>19</v>
      </c>
      <c r="F14" s="1">
        <f>G2</f>
        <v>450000</v>
      </c>
      <c r="G14" s="1">
        <f>G3</f>
        <v>1050000</v>
      </c>
      <c r="H14" s="1">
        <f>G4</f>
        <v>600000</v>
      </c>
      <c r="I14" s="1">
        <f>G5</f>
        <v>900000</v>
      </c>
      <c r="J14" s="1">
        <f t="shared" si="1"/>
        <v>3000000</v>
      </c>
    </row>
    <row r="15" spans="1:11" x14ac:dyDescent="0.25">
      <c r="A15" t="s">
        <v>20</v>
      </c>
      <c r="B15" t="s">
        <v>23</v>
      </c>
      <c r="E15" s="2" t="s">
        <v>22</v>
      </c>
      <c r="F15" s="1">
        <f>F13-F14</f>
        <v>-198000</v>
      </c>
      <c r="G15" s="1">
        <f>G13-G14</f>
        <v>-609000</v>
      </c>
      <c r="H15" s="1">
        <f>H13-H14</f>
        <v>-180000</v>
      </c>
      <c r="I15" s="1">
        <f>I13-I14</f>
        <v>-18000</v>
      </c>
      <c r="J15" s="1">
        <f t="shared" si="1"/>
        <v>-1005000</v>
      </c>
    </row>
    <row r="16" spans="1:11" x14ac:dyDescent="0.25">
      <c r="A16" t="s">
        <v>17</v>
      </c>
      <c r="B16" t="s">
        <v>21</v>
      </c>
      <c r="E16" s="2" t="s">
        <v>20</v>
      </c>
      <c r="F16" s="1">
        <f>F2</f>
        <v>90000</v>
      </c>
      <c r="G16" s="1">
        <f>F3</f>
        <v>210000</v>
      </c>
      <c r="H16" s="1">
        <f>F4</f>
        <v>120000</v>
      </c>
      <c r="I16" s="1">
        <f>F5</f>
        <v>180000</v>
      </c>
      <c r="J16" s="1">
        <f t="shared" si="1"/>
        <v>600000</v>
      </c>
      <c r="K16" s="3"/>
    </row>
    <row r="17" spans="1:10" x14ac:dyDescent="0.25">
      <c r="A17" t="s">
        <v>19</v>
      </c>
      <c r="B17" t="s">
        <v>18</v>
      </c>
      <c r="E17" s="2" t="s">
        <v>17</v>
      </c>
      <c r="F17" s="1">
        <f>I2</f>
        <v>36000</v>
      </c>
      <c r="G17" s="1">
        <f>I3</f>
        <v>63000</v>
      </c>
      <c r="H17" s="1">
        <f>I4</f>
        <v>60000</v>
      </c>
      <c r="I17" s="1">
        <f>I5</f>
        <v>126000</v>
      </c>
      <c r="J17" s="1">
        <f t="shared" si="1"/>
        <v>285000</v>
      </c>
    </row>
    <row r="18" spans="1:10" x14ac:dyDescent="0.25">
      <c r="A18" t="s">
        <v>16</v>
      </c>
      <c r="B18" t="s">
        <v>15</v>
      </c>
    </row>
    <row r="19" spans="1:10" x14ac:dyDescent="0.25">
      <c r="A19" t="s">
        <v>14</v>
      </c>
      <c r="B19" t="s">
        <v>13</v>
      </c>
    </row>
    <row r="20" spans="1:10" x14ac:dyDescent="0.25">
      <c r="A20" t="s">
        <v>12</v>
      </c>
      <c r="B20" t="s">
        <v>11</v>
      </c>
    </row>
    <row r="21" spans="1:10" x14ac:dyDescent="0.25">
      <c r="A21" t="s">
        <v>10</v>
      </c>
      <c r="B21" t="s"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5"/>
  <sheetViews>
    <sheetView workbookViewId="0">
      <selection activeCell="B11" sqref="B11"/>
    </sheetView>
  </sheetViews>
  <sheetFormatPr defaultRowHeight="15" x14ac:dyDescent="0.25"/>
  <cols>
    <col min="1" max="1" width="10.42578125" bestFit="1" customWidth="1"/>
    <col min="2" max="2" width="13.7109375" bestFit="1" customWidth="1"/>
    <col min="3" max="3" width="5.5703125" bestFit="1" customWidth="1"/>
    <col min="4" max="4" width="15.85546875" bestFit="1" customWidth="1"/>
    <col min="5" max="6" width="14.28515625" bestFit="1" customWidth="1"/>
    <col min="7" max="9" width="15.85546875" bestFit="1" customWidth="1"/>
    <col min="10" max="10" width="12" bestFit="1" customWidth="1"/>
    <col min="11" max="11" width="12.5703125" bestFit="1" customWidth="1"/>
    <col min="12" max="12" width="13.7109375" bestFit="1" customWidth="1"/>
    <col min="13" max="13" width="12" bestFit="1" customWidth="1"/>
    <col min="16381" max="16381" width="21.42578125" bestFit="1" customWidth="1"/>
    <col min="16382" max="16382" width="8.7109375" bestFit="1" customWidth="1"/>
    <col min="16383" max="16383" width="5.7109375" bestFit="1" customWidth="1"/>
    <col min="16384" max="16384" width="5" bestFit="1" customWidth="1"/>
  </cols>
  <sheetData>
    <row r="1" spans="1:9 16381:16384" x14ac:dyDescent="0.25">
      <c r="A1" t="s">
        <v>37</v>
      </c>
      <c r="B1" t="s">
        <v>30</v>
      </c>
      <c r="C1" t="s">
        <v>14</v>
      </c>
      <c r="D1" t="s">
        <v>29</v>
      </c>
      <c r="E1" t="s">
        <v>27</v>
      </c>
      <c r="F1" t="s">
        <v>25</v>
      </c>
      <c r="G1" t="s">
        <v>46</v>
      </c>
      <c r="H1" t="s">
        <v>45</v>
      </c>
      <c r="I1" t="s">
        <v>16</v>
      </c>
      <c r="XFA1" t="s">
        <v>44</v>
      </c>
      <c r="XFB1" t="s">
        <v>43</v>
      </c>
      <c r="XFC1" t="s">
        <v>21</v>
      </c>
      <c r="XFD1" t="s">
        <v>42</v>
      </c>
    </row>
    <row r="2" spans="1:9 16381:16384" x14ac:dyDescent="0.25">
      <c r="A2" s="2" t="s">
        <v>36</v>
      </c>
      <c r="B2" s="2">
        <v>350</v>
      </c>
      <c r="C2" s="5">
        <f>B2*C5/B5</f>
        <v>0.41176470588235292</v>
      </c>
      <c r="D2" s="4">
        <f t="shared" ref="D2:F4" si="0">C2*D3/C3</f>
        <v>576470.5882352941</v>
      </c>
      <c r="E2" s="4">
        <f t="shared" si="0"/>
        <v>288235.29411764705</v>
      </c>
      <c r="F2" s="9">
        <f t="shared" si="0"/>
        <v>164705.88235294117</v>
      </c>
      <c r="G2" s="9">
        <f>D2+E2+F2</f>
        <v>1029411.7647058824</v>
      </c>
      <c r="H2" s="9">
        <f>Tabela13[[#This Row],[Custo total ]]+1100000</f>
        <v>2129411.7647058824</v>
      </c>
      <c r="I2" s="4">
        <f>Tabela13[[#This Row],[CT+Despesa]]/$XFD$2</f>
        <v>3549019.6078431373</v>
      </c>
      <c r="XFA2" s="13">
        <v>1100000</v>
      </c>
      <c r="XFB2" s="12">
        <v>0.3</v>
      </c>
      <c r="XFC2" s="12">
        <v>0.1</v>
      </c>
      <c r="XFD2" s="11">
        <f>C5-(XFC2+XFB2)</f>
        <v>0.6</v>
      </c>
    </row>
    <row r="3" spans="1:9 16381:16384" x14ac:dyDescent="0.25">
      <c r="A3" s="2" t="s">
        <v>35</v>
      </c>
      <c r="B3" s="2">
        <v>140</v>
      </c>
      <c r="C3" s="5">
        <f>B3*C5/B5</f>
        <v>0.16470588235294117</v>
      </c>
      <c r="D3" s="4">
        <f t="shared" si="0"/>
        <v>230588.23529411762</v>
      </c>
      <c r="E3" s="4">
        <f t="shared" si="0"/>
        <v>115294.11764705881</v>
      </c>
      <c r="F3" s="9">
        <f t="shared" si="0"/>
        <v>65882.352941176461</v>
      </c>
      <c r="G3" s="9">
        <f>D3+E3+F3</f>
        <v>411764.70588235289</v>
      </c>
      <c r="H3" s="9">
        <f>Tabela13[[#This Row],[Custo total ]]+1100000</f>
        <v>1511764.7058823528</v>
      </c>
      <c r="I3" s="4">
        <f>Tabela13[[#This Row],[CT+Despesa]]/$XFD$2</f>
        <v>2519607.8431372549</v>
      </c>
    </row>
    <row r="4" spans="1:9 16381:16384" x14ac:dyDescent="0.25">
      <c r="A4" s="2" t="s">
        <v>34</v>
      </c>
      <c r="B4" s="2">
        <v>360</v>
      </c>
      <c r="C4" s="5">
        <f>B4*C5/B5</f>
        <v>0.42352941176470588</v>
      </c>
      <c r="D4" s="4">
        <f t="shared" si="0"/>
        <v>592941.17647058819</v>
      </c>
      <c r="E4" s="4">
        <f t="shared" si="0"/>
        <v>296470.5882352941</v>
      </c>
      <c r="F4" s="9">
        <f t="shared" si="0"/>
        <v>169411.76470588235</v>
      </c>
      <c r="G4" s="9">
        <f>D4+E4+F4</f>
        <v>1058823.5294117646</v>
      </c>
      <c r="H4" s="9">
        <f>Tabela13[[#This Row],[Custo total ]]+1100000</f>
        <v>2158823.5294117648</v>
      </c>
      <c r="I4" s="4">
        <f>Tabela13[[#This Row],[CT+Despesa]]/$XFD$2</f>
        <v>3598039.2156862747</v>
      </c>
    </row>
    <row r="5" spans="1:9 16381:16384" x14ac:dyDescent="0.25">
      <c r="A5" s="2" t="s">
        <v>41</v>
      </c>
      <c r="B5" s="2">
        <f>SUM(B2:B4)</f>
        <v>850</v>
      </c>
      <c r="C5" s="10">
        <v>1</v>
      </c>
      <c r="D5" s="9">
        <v>1400000</v>
      </c>
      <c r="E5" s="9">
        <v>700000</v>
      </c>
      <c r="F5" s="9">
        <v>400000</v>
      </c>
      <c r="G5" s="9">
        <f>D5+E5+F5</f>
        <v>2500000</v>
      </c>
      <c r="H5" s="9">
        <f>Tabela13[[#This Row],[Custo total ]]+1100000</f>
        <v>3600000</v>
      </c>
      <c r="I5" s="9">
        <f>Tabela13[[#This Row],[CT+Despesa]]/$XFD$2</f>
        <v>6000000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workbookViewId="0">
      <selection activeCell="A30" sqref="A30"/>
    </sheetView>
  </sheetViews>
  <sheetFormatPr defaultRowHeight="15" x14ac:dyDescent="0.25"/>
  <cols>
    <col min="1" max="1" width="15.85546875" bestFit="1" customWidth="1"/>
    <col min="2" max="2" width="13.7109375" bestFit="1" customWidth="1"/>
    <col min="3" max="3" width="7.7109375" bestFit="1" customWidth="1"/>
    <col min="4" max="5" width="15.85546875" style="14" bestFit="1" customWidth="1"/>
    <col min="6" max="6" width="14.28515625" style="14" bestFit="1" customWidth="1"/>
    <col min="7" max="7" width="15.85546875" style="14" bestFit="1" customWidth="1"/>
    <col min="8" max="8" width="15.85546875" bestFit="1" customWidth="1"/>
    <col min="9" max="9" width="16.85546875" bestFit="1" customWidth="1"/>
    <col min="10" max="10" width="12" bestFit="1" customWidth="1"/>
    <col min="11" max="11" width="12.5703125" bestFit="1" customWidth="1"/>
    <col min="12" max="12" width="13.7109375" bestFit="1" customWidth="1"/>
    <col min="13" max="13" width="12" bestFit="1" customWidth="1"/>
    <col min="16381" max="16381" width="21.42578125" bestFit="1" customWidth="1"/>
    <col min="16382" max="16382" width="8.7109375" bestFit="1" customWidth="1"/>
    <col min="16383" max="16383" width="5.7109375" bestFit="1" customWidth="1"/>
    <col min="16384" max="16384" width="5.28515625" bestFit="1" customWidth="1"/>
  </cols>
  <sheetData>
    <row r="1" spans="1:9" x14ac:dyDescent="0.25">
      <c r="A1" s="20" t="s">
        <v>37</v>
      </c>
      <c r="B1" s="18" t="s">
        <v>30</v>
      </c>
      <c r="C1" s="18" t="s">
        <v>14</v>
      </c>
      <c r="D1" s="19" t="s">
        <v>29</v>
      </c>
      <c r="E1" s="19" t="s">
        <v>27</v>
      </c>
      <c r="F1" s="19" t="s">
        <v>25</v>
      </c>
      <c r="G1" s="19" t="s">
        <v>46</v>
      </c>
      <c r="H1" s="18" t="s">
        <v>45</v>
      </c>
      <c r="I1" s="17" t="s">
        <v>16</v>
      </c>
    </row>
    <row r="2" spans="1:9" x14ac:dyDescent="0.25">
      <c r="A2" s="16" t="s">
        <v>36</v>
      </c>
      <c r="B2" s="2">
        <v>320</v>
      </c>
      <c r="C2" s="5">
        <f>B2*C3/B3</f>
        <v>0.66666666666666663</v>
      </c>
      <c r="D2" s="4">
        <f>C2*D3/C3</f>
        <v>1333333.3333333333</v>
      </c>
      <c r="E2" s="4">
        <f>D2*E3/D3</f>
        <v>533333.33333333326</v>
      </c>
      <c r="F2" s="4">
        <f>E2*F3/E3</f>
        <v>133333.33333333331</v>
      </c>
      <c r="G2" s="9">
        <f>D2+E2+F2</f>
        <v>1999999.9999999998</v>
      </c>
      <c r="H2" s="9">
        <f>Tabela14[[#This Row],[Custo total ]]+$A$6</f>
        <v>3200000</v>
      </c>
      <c r="I2" s="15">
        <f>Tabela14[[#This Row],[CT+Despesa]]/$D$6</f>
        <v>5333333.333333334</v>
      </c>
    </row>
    <row r="3" spans="1:9" x14ac:dyDescent="0.25">
      <c r="A3" s="16" t="s">
        <v>35</v>
      </c>
      <c r="B3" s="2">
        <v>480</v>
      </c>
      <c r="C3" s="5">
        <v>1</v>
      </c>
      <c r="D3" s="4">
        <v>2000000</v>
      </c>
      <c r="E3" s="4">
        <v>800000</v>
      </c>
      <c r="F3" s="9">
        <v>200000</v>
      </c>
      <c r="G3" s="9">
        <f>D3+E3+F3</f>
        <v>3000000</v>
      </c>
      <c r="H3" s="9">
        <f>Tabela14[[#This Row],[Custo total ]]+$A$6</f>
        <v>4200000</v>
      </c>
      <c r="I3" s="15">
        <f>Tabela14[[#This Row],[CT+Despesa]]/$D$6</f>
        <v>7000000</v>
      </c>
    </row>
    <row r="5" spans="1:9" x14ac:dyDescent="0.25">
      <c r="A5" t="s">
        <v>20</v>
      </c>
      <c r="B5" t="s">
        <v>43</v>
      </c>
      <c r="C5" t="s">
        <v>21</v>
      </c>
      <c r="D5" t="s">
        <v>42</v>
      </c>
    </row>
    <row r="6" spans="1:9" x14ac:dyDescent="0.25">
      <c r="A6" s="13">
        <v>1200000</v>
      </c>
      <c r="B6" s="12">
        <v>0.3</v>
      </c>
      <c r="C6" s="12">
        <v>0.1</v>
      </c>
      <c r="D6" s="11">
        <f>C3-(B6+C6)</f>
        <v>0.6</v>
      </c>
    </row>
    <row r="11" spans="1:9" x14ac:dyDescent="0.25">
      <c r="F11" s="14" t="s">
        <v>47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workbookViewId="0">
      <selection activeCell="K4" sqref="K4"/>
    </sheetView>
  </sheetViews>
  <sheetFormatPr defaultRowHeight="15" x14ac:dyDescent="0.25"/>
  <cols>
    <col min="1" max="1" width="22.85546875" bestFit="1" customWidth="1"/>
    <col min="2" max="2" width="12.28515625" bestFit="1" customWidth="1"/>
    <col min="4" max="4" width="15.85546875" bestFit="1" customWidth="1"/>
    <col min="5" max="5" width="13.28515625" bestFit="1" customWidth="1"/>
    <col min="8" max="8" width="15.85546875" bestFit="1" customWidth="1"/>
    <col min="9" max="9" width="12.28515625" bestFit="1" customWidth="1"/>
    <col min="10" max="10" width="15.85546875" bestFit="1" customWidth="1"/>
    <col min="11" max="11" width="14.28515625" bestFit="1" customWidth="1"/>
  </cols>
  <sheetData>
    <row r="1" spans="1:11" x14ac:dyDescent="0.25">
      <c r="A1" s="2" t="s">
        <v>38</v>
      </c>
      <c r="B1" s="2" t="s">
        <v>52</v>
      </c>
      <c r="C1" s="29" t="s">
        <v>53</v>
      </c>
      <c r="D1" s="29"/>
      <c r="E1" s="29"/>
      <c r="F1" s="29"/>
      <c r="G1" s="29"/>
      <c r="I1" s="2" t="s">
        <v>65</v>
      </c>
      <c r="J1" s="2" t="s">
        <v>66</v>
      </c>
      <c r="K1" s="2" t="s">
        <v>67</v>
      </c>
    </row>
    <row r="2" spans="1:11" x14ac:dyDescent="0.25">
      <c r="A2" s="2" t="s">
        <v>54</v>
      </c>
      <c r="B2" s="2">
        <v>180</v>
      </c>
      <c r="C2" s="2" t="s">
        <v>29</v>
      </c>
      <c r="D2" s="9">
        <v>2000000</v>
      </c>
      <c r="E2" s="29" t="s">
        <v>58</v>
      </c>
      <c r="F2" s="29"/>
      <c r="G2" s="2" t="s">
        <v>64</v>
      </c>
      <c r="I2" s="2" t="s">
        <v>61</v>
      </c>
      <c r="J2" s="9">
        <f>(D8*F5)-(A11*F5)</f>
        <v>45161.354581673295</v>
      </c>
      <c r="K2" s="9">
        <f>D8*G5</f>
        <v>37290.836653386446</v>
      </c>
    </row>
    <row r="3" spans="1:11" x14ac:dyDescent="0.25">
      <c r="A3" s="2" t="s">
        <v>55</v>
      </c>
      <c r="B3" s="2">
        <v>420</v>
      </c>
      <c r="C3" s="2" t="s">
        <v>27</v>
      </c>
      <c r="D3" s="9">
        <v>600000</v>
      </c>
      <c r="E3" s="2" t="s">
        <v>59</v>
      </c>
      <c r="F3" s="27">
        <v>0.18</v>
      </c>
      <c r="G3" s="2"/>
      <c r="I3" s="2" t="s">
        <v>60</v>
      </c>
      <c r="J3" s="9">
        <f>(D8*F4)-(A11*F4)</f>
        <v>208015.93625498004</v>
      </c>
      <c r="K3" s="9">
        <f>D8*3%</f>
        <v>172111.55378486053</v>
      </c>
    </row>
    <row r="4" spans="1:11" x14ac:dyDescent="0.25">
      <c r="A4" s="2" t="s">
        <v>56</v>
      </c>
      <c r="B4" s="2">
        <v>250</v>
      </c>
      <c r="C4" s="2" t="s">
        <v>25</v>
      </c>
      <c r="D4" s="9">
        <v>400000</v>
      </c>
      <c r="E4" s="2" t="s">
        <v>60</v>
      </c>
      <c r="F4" s="28">
        <v>7.5999999999999998E-2</v>
      </c>
      <c r="G4" s="27">
        <v>0.03</v>
      </c>
      <c r="I4" s="2" t="s">
        <v>62</v>
      </c>
      <c r="J4" s="9">
        <f>(D8*D7)*15%+(D8*D7-60000)*D7</f>
        <v>137426.29482071713</v>
      </c>
      <c r="K4" s="9">
        <f>(D8*F6)*15%+(D8*F6-E8)*G7</f>
        <v>467808.76494023902</v>
      </c>
    </row>
    <row r="5" spans="1:11" x14ac:dyDescent="0.25">
      <c r="A5" s="2" t="s">
        <v>57</v>
      </c>
      <c r="B5" s="2">
        <v>350</v>
      </c>
      <c r="C5" s="2" t="s">
        <v>20</v>
      </c>
      <c r="D5" s="9">
        <v>600000</v>
      </c>
      <c r="E5" s="2" t="s">
        <v>61</v>
      </c>
      <c r="F5" s="28">
        <v>1.6500000000000001E-2</v>
      </c>
      <c r="G5" s="28">
        <v>6.4999999999999997E-3</v>
      </c>
      <c r="I5" s="2" t="s">
        <v>68</v>
      </c>
      <c r="J5" s="9">
        <f>D8*D7*9%</f>
        <v>51633.466135458162</v>
      </c>
      <c r="K5" s="9"/>
    </row>
    <row r="6" spans="1:11" x14ac:dyDescent="0.25">
      <c r="A6" s="2"/>
      <c r="B6" s="2"/>
      <c r="C6" s="2" t="s">
        <v>12</v>
      </c>
      <c r="D6" s="28">
        <v>0.27250000000000002</v>
      </c>
      <c r="E6" s="2" t="s">
        <v>62</v>
      </c>
      <c r="F6" s="27">
        <v>0.08</v>
      </c>
      <c r="G6" s="2"/>
      <c r="I6" s="2" t="s">
        <v>59</v>
      </c>
      <c r="J6" s="9">
        <f>(D8*F3)-(D2+D3+D4)*F3</f>
        <v>492669.32270916319</v>
      </c>
      <c r="K6" s="9"/>
    </row>
    <row r="7" spans="1:11" x14ac:dyDescent="0.25">
      <c r="A7" s="2"/>
      <c r="B7" s="2"/>
      <c r="C7" s="2" t="s">
        <v>17</v>
      </c>
      <c r="D7" s="27">
        <v>0.1</v>
      </c>
      <c r="E7" s="2" t="s">
        <v>1</v>
      </c>
      <c r="F7" s="27">
        <v>0.12</v>
      </c>
      <c r="G7" s="27">
        <v>1</v>
      </c>
      <c r="I7" s="2"/>
      <c r="J7" s="9"/>
      <c r="K7" s="9"/>
    </row>
    <row r="8" spans="1:11" x14ac:dyDescent="0.25">
      <c r="A8" s="2" t="s">
        <v>63</v>
      </c>
      <c r="B8" s="2"/>
      <c r="C8" s="2"/>
      <c r="D8" s="9">
        <f>(D2+D3+D4+D5)/(G7-D6-D7)</f>
        <v>5737051.7928286847</v>
      </c>
      <c r="E8" s="9">
        <v>60000</v>
      </c>
      <c r="F8" s="2"/>
      <c r="G8" s="2"/>
      <c r="I8" s="2" t="s">
        <v>69</v>
      </c>
      <c r="J8" s="9">
        <f>SUM(J2:J6)</f>
        <v>934906.37450199178</v>
      </c>
      <c r="K8" s="9"/>
    </row>
    <row r="10" spans="1:11" x14ac:dyDescent="0.25">
      <c r="A10" s="2" t="s">
        <v>19</v>
      </c>
    </row>
    <row r="11" spans="1:11" x14ac:dyDescent="0.25">
      <c r="A11" s="1">
        <f>SUM(D2:D4)</f>
        <v>3000000</v>
      </c>
    </row>
  </sheetData>
  <mergeCells count="2">
    <mergeCell ref="E2:F2"/>
    <mergeCell ref="C1:G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C06F-8A03-443E-92A2-C95086EC69B3}">
  <dimension ref="A1:K12"/>
  <sheetViews>
    <sheetView tabSelected="1" zoomScale="115" zoomScaleNormal="115" zoomScaleSheetLayoutView="110" workbookViewId="0">
      <selection activeCell="K8" sqref="K8"/>
    </sheetView>
  </sheetViews>
  <sheetFormatPr defaultRowHeight="15" x14ac:dyDescent="0.25"/>
  <cols>
    <col min="1" max="1" width="16.85546875" bestFit="1" customWidth="1"/>
    <col min="2" max="2" width="10.140625" bestFit="1" customWidth="1"/>
    <col min="4" max="4" width="16.85546875" bestFit="1" customWidth="1"/>
    <col min="5" max="5" width="14" bestFit="1" customWidth="1"/>
    <col min="8" max="9" width="15.85546875" bestFit="1" customWidth="1"/>
    <col min="10" max="11" width="15.140625" bestFit="1" customWidth="1"/>
  </cols>
  <sheetData>
    <row r="1" spans="1:11" x14ac:dyDescent="0.25">
      <c r="A1" s="39" t="s">
        <v>80</v>
      </c>
      <c r="B1" s="39"/>
      <c r="C1" s="39"/>
      <c r="D1" s="39"/>
      <c r="E1" s="39"/>
      <c r="F1" s="39"/>
      <c r="G1" s="39"/>
      <c r="I1" s="32" t="s">
        <v>79</v>
      </c>
      <c r="J1" s="32" t="s">
        <v>78</v>
      </c>
      <c r="K1" s="32" t="s">
        <v>77</v>
      </c>
    </row>
    <row r="2" spans="1:11" x14ac:dyDescent="0.25">
      <c r="A2" s="32" t="s">
        <v>38</v>
      </c>
      <c r="B2" s="32" t="s">
        <v>31</v>
      </c>
      <c r="C2" s="38" t="s">
        <v>76</v>
      </c>
      <c r="D2" s="38"/>
      <c r="E2" s="38"/>
      <c r="F2" s="38"/>
      <c r="G2" s="38"/>
      <c r="I2" s="32" t="s">
        <v>2</v>
      </c>
      <c r="J2" s="37">
        <f>(D9*F6)-(A12*F6)</f>
        <v>45161.354581673295</v>
      </c>
      <c r="K2" s="33">
        <f>D9*G6</f>
        <v>37290.836653386446</v>
      </c>
    </row>
    <row r="3" spans="1:11" x14ac:dyDescent="0.25">
      <c r="A3" s="32" t="s">
        <v>36</v>
      </c>
      <c r="B3" s="32">
        <v>180</v>
      </c>
      <c r="C3" s="32" t="s">
        <v>29</v>
      </c>
      <c r="D3" s="31">
        <v>2000000</v>
      </c>
      <c r="E3" s="32" t="s">
        <v>75</v>
      </c>
      <c r="F3" s="32"/>
      <c r="G3" s="32" t="s">
        <v>74</v>
      </c>
      <c r="I3" s="32" t="s">
        <v>73</v>
      </c>
      <c r="J3" s="33">
        <f>(D9*F5)-(A12*F5)</f>
        <v>208015.93625498004</v>
      </c>
      <c r="K3" s="33">
        <f>D9*3%</f>
        <v>172111.55378486053</v>
      </c>
    </row>
    <row r="4" spans="1:11" x14ac:dyDescent="0.25">
      <c r="A4" s="32" t="s">
        <v>35</v>
      </c>
      <c r="B4" s="32">
        <v>420</v>
      </c>
      <c r="C4" s="32" t="s">
        <v>27</v>
      </c>
      <c r="D4" s="31">
        <v>600000</v>
      </c>
      <c r="E4" s="32" t="s">
        <v>59</v>
      </c>
      <c r="F4" s="34">
        <v>0.18</v>
      </c>
      <c r="G4" s="34"/>
      <c r="H4" s="11">
        <v>0.15</v>
      </c>
      <c r="I4" s="32" t="s">
        <v>0</v>
      </c>
      <c r="J4" s="33">
        <f>(D9*D8)*H4+(D9*D8-E9)*D8</f>
        <v>137426.29482071713</v>
      </c>
      <c r="K4" s="33">
        <f>(D9*F7)*H4+(D9*F7-E9)*D8</f>
        <v>108741.0358565737</v>
      </c>
    </row>
    <row r="5" spans="1:11" x14ac:dyDescent="0.25">
      <c r="A5" s="32" t="s">
        <v>34</v>
      </c>
      <c r="B5" s="32">
        <v>250</v>
      </c>
      <c r="C5" s="32" t="s">
        <v>25</v>
      </c>
      <c r="D5" s="31">
        <v>400000</v>
      </c>
      <c r="E5" s="32" t="s">
        <v>60</v>
      </c>
      <c r="F5" s="34">
        <v>7.5999999999999998E-2</v>
      </c>
      <c r="G5" s="34">
        <v>0.03</v>
      </c>
      <c r="H5" s="11">
        <v>0.09</v>
      </c>
      <c r="I5" s="32" t="s">
        <v>1</v>
      </c>
      <c r="J5" s="33">
        <f>D9*D8*H5</f>
        <v>51633.466135458162</v>
      </c>
      <c r="K5" s="33">
        <f>(D9*12%)*H5</f>
        <v>61960.159362549792</v>
      </c>
    </row>
    <row r="6" spans="1:11" x14ac:dyDescent="0.25">
      <c r="A6" s="32" t="s">
        <v>33</v>
      </c>
      <c r="B6" s="32">
        <v>350</v>
      </c>
      <c r="C6" s="32" t="s">
        <v>20</v>
      </c>
      <c r="D6" s="31">
        <v>600000</v>
      </c>
      <c r="E6" s="32" t="s">
        <v>61</v>
      </c>
      <c r="F6" s="34">
        <v>1.6500000000000001E-2</v>
      </c>
      <c r="G6" s="34">
        <v>6.4999999999999997E-3</v>
      </c>
      <c r="H6" s="36">
        <v>0.18</v>
      </c>
      <c r="I6" s="32" t="s">
        <v>72</v>
      </c>
      <c r="J6" s="33">
        <f>(D9*F4)-(A12)*F4</f>
        <v>492669.32270916319</v>
      </c>
      <c r="K6" s="33">
        <f>(D9*F4)-(A12)*F4</f>
        <v>492669.32270916319</v>
      </c>
    </row>
    <row r="7" spans="1:11" x14ac:dyDescent="0.25">
      <c r="A7" s="32"/>
      <c r="B7" s="32"/>
      <c r="C7" s="32" t="s">
        <v>71</v>
      </c>
      <c r="D7" s="35">
        <f>SUM(F4:F6)</f>
        <v>0.27250000000000002</v>
      </c>
      <c r="E7" s="32" t="s">
        <v>0</v>
      </c>
      <c r="F7" s="34">
        <v>0.08</v>
      </c>
      <c r="G7" s="34"/>
      <c r="I7" s="32"/>
      <c r="J7" s="32"/>
      <c r="K7" s="32"/>
    </row>
    <row r="8" spans="1:11" x14ac:dyDescent="0.25">
      <c r="A8" s="32"/>
      <c r="B8" s="32"/>
      <c r="C8" s="32" t="s">
        <v>17</v>
      </c>
      <c r="D8" s="35">
        <v>0.1</v>
      </c>
      <c r="E8" s="32" t="s">
        <v>1</v>
      </c>
      <c r="F8" s="34">
        <v>0.12</v>
      </c>
      <c r="G8" s="34">
        <v>1</v>
      </c>
      <c r="I8" s="32" t="s">
        <v>70</v>
      </c>
      <c r="J8" s="33">
        <f>SUM(J2:J6)</f>
        <v>934906.37450199178</v>
      </c>
      <c r="K8" s="33">
        <f>SUM(K2:K6)</f>
        <v>872772.90836653369</v>
      </c>
    </row>
    <row r="9" spans="1:11" x14ac:dyDescent="0.25">
      <c r="A9" s="29" t="s">
        <v>63</v>
      </c>
      <c r="B9" s="29"/>
      <c r="C9" s="29"/>
      <c r="D9" s="9">
        <f>(A12+D6)/B12</f>
        <v>5737051.7928286847</v>
      </c>
      <c r="E9" s="9">
        <v>60000</v>
      </c>
      <c r="F9" s="2"/>
      <c r="G9" s="2"/>
    </row>
    <row r="11" spans="1:11" x14ac:dyDescent="0.25">
      <c r="A11" s="32" t="s">
        <v>19</v>
      </c>
      <c r="B11" s="32" t="s">
        <v>14</v>
      </c>
    </row>
    <row r="12" spans="1:11" x14ac:dyDescent="0.25">
      <c r="A12" s="31">
        <f>SUM(D3:D5)</f>
        <v>3000000</v>
      </c>
      <c r="B12" s="30">
        <f>SUM(100%-D7-D8)</f>
        <v>0.62750000000000006</v>
      </c>
    </row>
  </sheetData>
  <mergeCells count="3">
    <mergeCell ref="C2:G2"/>
    <mergeCell ref="A1:G1"/>
    <mergeCell ref="A9:C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Impostos</vt:lpstr>
      <vt:lpstr>prova</vt:lpstr>
      <vt:lpstr>aula 1</vt:lpstr>
      <vt:lpstr>aula 2</vt:lpstr>
      <vt:lpstr>aula29-4</vt:lpstr>
      <vt:lpstr>aula29-44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EtecMorato</dc:creator>
  <cp:lastModifiedBy>Mateus</cp:lastModifiedBy>
  <dcterms:created xsi:type="dcterms:W3CDTF">2024-04-22T22:49:18Z</dcterms:created>
  <dcterms:modified xsi:type="dcterms:W3CDTF">2024-05-04T11:12:20Z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00609d91-c929-475a-80c1-c2f3ea44e2e4</vt:lpwstr>
  </property>
</Properties>
</file>