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emplates\FundamentalAnalysis\"/>
    </mc:Choice>
  </mc:AlternateContent>
  <xr:revisionPtr revIDLastSave="0" documentId="13_ncr:1_{D68317E3-7A47-4939-8B6B-B78FD5B410B2}" xr6:coauthVersionLast="45" xr6:coauthVersionMax="45" xr10:uidLastSave="{00000000-0000-0000-0000-000000000000}"/>
  <bookViews>
    <workbookView xWindow="-120" yWindow="-120" windowWidth="20730" windowHeight="11160" tabRatio="445" firstSheet="9" activeTab="11" xr2:uid="{3F203581-F550-4F2C-AFC3-7BF77DBA290E}"/>
  </bookViews>
  <sheets>
    <sheet name="Balance Sheet" sheetId="1" r:id="rId1"/>
    <sheet name="Income" sheetId="2" r:id="rId2"/>
    <sheet name="Dividend Sheet" sheetId="5" r:id="rId3"/>
    <sheet name="WACC - 1" sheetId="3" r:id="rId4"/>
    <sheet name="RROE - Gordon method" sheetId="4" r:id="rId5"/>
    <sheet name="COD - Gordon Method" sheetId="6" r:id="rId6"/>
    <sheet name="Marginal Tax Rate - Gordon Met." sheetId="7" r:id="rId7"/>
    <sheet name="WACC - Gordon Method" sheetId="8" r:id="rId8"/>
    <sheet name="Risk Free Return" sheetId="10" r:id="rId9"/>
    <sheet name="Expected Return Market" sheetId="11" r:id="rId10"/>
    <sheet name="WACC - CAPM" sheetId="9" r:id="rId11"/>
    <sheet name="DCF" sheetId="14" r:id="rId12"/>
  </sheets>
  <definedNames>
    <definedName name="_xlnm._FilterDatabase" localSheetId="2" hidden="1">'Dividend Sheet'!$D$1:$E$24</definedName>
    <definedName name="ExternalData_1" localSheetId="0" hidden="1">'Balance Sheet'!$A$1:$G$55</definedName>
    <definedName name="ExternalData_1" localSheetId="2" hidden="1">'Dividend Sheet'!$A$1:$B$22</definedName>
    <definedName name="ExternalData_1" localSheetId="1" hidden="1">Income!$A$1:$G$39</definedName>
    <definedName name="ExternalData_1" localSheetId="8" hidden="1">'Risk Free Return'!#REF!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4" l="1"/>
  <c r="B17" i="14"/>
  <c r="B16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B10" i="14"/>
  <c r="P9" i="14"/>
  <c r="P10" i="14" s="1"/>
  <c r="O9" i="14"/>
  <c r="N9" i="14"/>
  <c r="M9" i="14"/>
  <c r="L9" i="14"/>
  <c r="L8" i="14"/>
  <c r="K9" i="14"/>
  <c r="J9" i="14"/>
  <c r="I9" i="14"/>
  <c r="H9" i="14"/>
  <c r="H8" i="14"/>
  <c r="G9" i="14"/>
  <c r="F9" i="14"/>
  <c r="E9" i="14"/>
  <c r="D9" i="14"/>
  <c r="C9" i="14"/>
  <c r="B9" i="14"/>
  <c r="C8" i="14"/>
  <c r="D8" i="14"/>
  <c r="E8" i="14" s="1"/>
  <c r="F8" i="14" s="1"/>
  <c r="G8" i="14" s="1"/>
  <c r="B5" i="14"/>
  <c r="D3" i="14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C3" i="14"/>
  <c r="C20" i="14"/>
  <c r="C17" i="14"/>
  <c r="C15" i="14"/>
  <c r="Q9" i="14"/>
  <c r="C22" i="14"/>
  <c r="C18" i="14"/>
  <c r="C16" i="14"/>
  <c r="C24" i="14"/>
  <c r="B15" i="14" l="1"/>
  <c r="B18" i="14" s="1"/>
  <c r="B20" i="14" s="1"/>
  <c r="B22" i="14" s="1"/>
  <c r="B24" i="14" s="1"/>
  <c r="D4" i="10"/>
  <c r="E4" i="10"/>
  <c r="F11" i="9" l="1"/>
  <c r="F9" i="9"/>
  <c r="F8" i="9"/>
  <c r="F5" i="9"/>
  <c r="K8" i="11"/>
  <c r="K7" i="11"/>
  <c r="K6" i="11"/>
  <c r="K5" i="11"/>
  <c r="H226" i="11"/>
  <c r="C226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4" i="11"/>
  <c r="K4" i="11" s="1"/>
  <c r="L6" i="11"/>
  <c r="C17" i="9"/>
  <c r="C20" i="9"/>
  <c r="G17" i="9"/>
  <c r="G5" i="9"/>
  <c r="C19" i="9"/>
  <c r="L5" i="11"/>
  <c r="D4" i="11"/>
  <c r="L4" i="11"/>
  <c r="F4" i="11"/>
  <c r="G11" i="9"/>
  <c r="B4" i="9" l="1"/>
  <c r="B3" i="9"/>
  <c r="B14" i="9"/>
  <c r="B13" i="9"/>
  <c r="B15" i="9" s="1"/>
  <c r="B7" i="9"/>
  <c r="C3" i="9"/>
  <c r="B5" i="9" l="1"/>
  <c r="B11" i="8"/>
  <c r="B9" i="8"/>
  <c r="B2" i="8"/>
  <c r="B3" i="7"/>
  <c r="B2" i="7"/>
  <c r="C7" i="6"/>
  <c r="D7" i="6"/>
  <c r="E7" i="6"/>
  <c r="F7" i="6"/>
  <c r="B7" i="6"/>
  <c r="C4" i="6"/>
  <c r="D4" i="6"/>
  <c r="E4" i="6"/>
  <c r="F4" i="6"/>
  <c r="B4" i="6"/>
  <c r="D3" i="6"/>
  <c r="E3" i="6"/>
  <c r="F3" i="6"/>
  <c r="C3" i="6"/>
  <c r="C5" i="6" s="1"/>
  <c r="B3" i="6"/>
  <c r="B33" i="4"/>
  <c r="C28" i="4"/>
  <c r="C27" i="4"/>
  <c r="C26" i="4"/>
  <c r="C25" i="4"/>
  <c r="D31" i="4"/>
  <c r="D3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6" i="4"/>
  <c r="E24" i="5"/>
  <c r="E22" i="5"/>
  <c r="E21" i="5"/>
  <c r="E20" i="5"/>
  <c r="E19" i="5"/>
  <c r="E18" i="5"/>
  <c r="E17" i="5"/>
  <c r="E16" i="5"/>
  <c r="E15" i="5"/>
  <c r="E14" i="5"/>
  <c r="E13" i="5"/>
  <c r="E12" i="5"/>
  <c r="E11" i="5"/>
  <c r="E8" i="5"/>
  <c r="E7" i="5"/>
  <c r="E6" i="5"/>
  <c r="E5" i="5"/>
  <c r="E4" i="5"/>
  <c r="E3" i="5"/>
  <c r="E2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B5" i="6" l="1"/>
  <c r="B9" i="6" s="1"/>
  <c r="B3" i="8" s="1"/>
  <c r="D5" i="6"/>
  <c r="D9" i="6" s="1"/>
  <c r="B5" i="7"/>
  <c r="C9" i="6"/>
  <c r="F5" i="6"/>
  <c r="F9" i="6" s="1"/>
  <c r="E5" i="6"/>
  <c r="E9" i="6" s="1"/>
  <c r="F17" i="9"/>
  <c r="B17" i="9"/>
  <c r="B9" i="9"/>
  <c r="B5" i="3"/>
  <c r="B4" i="3"/>
  <c r="B3" i="3"/>
  <c r="B12" i="3"/>
  <c r="B11" i="3"/>
  <c r="B10" i="3"/>
  <c r="B9" i="3"/>
  <c r="B13" i="3" l="1"/>
  <c r="B22" i="3" s="1"/>
  <c r="B13" i="8"/>
  <c r="B15" i="8" s="1"/>
  <c r="B17" i="8" s="1"/>
  <c r="B20" i="3"/>
  <c r="B20" i="9"/>
  <c r="B19" i="9"/>
  <c r="B21" i="3"/>
  <c r="B19" i="3"/>
  <c r="B18" i="3"/>
  <c r="I8" i="14"/>
  <c r="J8" i="14"/>
  <c r="K8" i="14"/>
  <c r="M8" i="14" s="1"/>
  <c r="N8" i="14" s="1"/>
  <c r="O8" i="14" s="1"/>
  <c r="B14" i="3" l="1"/>
  <c r="B23" i="3" s="1"/>
  <c r="B24" i="3" s="1"/>
  <c r="B19" i="8"/>
  <c r="B21" i="8" s="1"/>
  <c r="B2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AA30BD-44F1-40A5-B967-D4682F5F8F0E}" keepAlive="1" name="Query - India 3-Month Bond Yield Historical Data" description="Connection to the 'India 3-Month Bond Yield Historical Data' query in the workbook." type="5" refreshedVersion="6" background="1">
    <dbPr connection="Provider=Microsoft.Mashup.OleDb.1;Data Source=$Workbook$;Location=&quot;India 3-Month Bond Yield Historical Data&quot;;Extended Properties=&quot;&quot;" command="SELECT * FROM [India 3-Month Bond Yield Historical Data]"/>
  </connection>
  <connection id="2" xr16:uid="{62B451BB-2EF7-4CCA-AA8C-9EA74C001508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  <connection id="3" xr16:uid="{6F6187D1-C0E0-4E45-87B1-47DAA4E34D01}" keepAlive="1" name="Query - Table 0 (2)" description="Connection to the 'Table 0 (2)' query in the workbook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4" xr16:uid="{908A3447-966D-46E2-94C0-9A5CB579F33C}" keepAlive="1" name="Query - TATAMOTORS NS_dividend" description="Connection to the 'TATAMOTORS NS_dividend' query in the workbook." type="5" refreshedVersion="6" background="1" saveData="1">
    <dbPr connection="Provider=Microsoft.Mashup.OleDb.1;Data Source=$Workbook$;Location=&quot;TATAMOTORS NS_dividend&quot;;Extended Properties=&quot;&quot;" command="SELECT * FROM [TATAMOTORS NS_dividend]"/>
  </connection>
</connections>
</file>

<file path=xl/sharedStrings.xml><?xml version="1.0" encoding="utf-8"?>
<sst xmlns="http://schemas.openxmlformats.org/spreadsheetml/2006/main" count="694" uniqueCount="496">
  <si>
    <t>Column1</t>
  </si>
  <si>
    <t>Column2</t>
  </si>
  <si>
    <t>Column3</t>
  </si>
  <si>
    <t>Column4</t>
  </si>
  <si>
    <t>Column5</t>
  </si>
  <si>
    <t>Column6</t>
  </si>
  <si>
    <t>Column7</t>
  </si>
  <si>
    <t>Balance Sheet of Tata Motors (in Rs. Cr.)</t>
  </si>
  <si>
    <t>Mar 20</t>
  </si>
  <si>
    <t>Mar 19</t>
  </si>
  <si>
    <t>Mar 18</t>
  </si>
  <si>
    <t>Mar 17</t>
  </si>
  <si>
    <t>Mar 16</t>
  </si>
  <si>
    <t/>
  </si>
  <si>
    <t>12 mths</t>
  </si>
  <si>
    <t>EQUITIES AND LIABILITIES</t>
  </si>
  <si>
    <t>SHAREHOLDER'S FUNDS</t>
  </si>
  <si>
    <t>Equity Share Capital</t>
  </si>
  <si>
    <t>719.54</t>
  </si>
  <si>
    <t>679.22</t>
  </si>
  <si>
    <t>679.18</t>
  </si>
  <si>
    <t>Total Share Capital</t>
  </si>
  <si>
    <t>Reserves and Surplus</t>
  </si>
  <si>
    <t>61,491.49</t>
  </si>
  <si>
    <t>59,500.34</t>
  </si>
  <si>
    <t>94,748.69</t>
  </si>
  <si>
    <t>57,382.67</t>
  </si>
  <si>
    <t>78,273.23</t>
  </si>
  <si>
    <t>Total Reserves and Surplus</t>
  </si>
  <si>
    <t>Total Shareholders Funds</t>
  </si>
  <si>
    <t>63,078.53</t>
  </si>
  <si>
    <t>60,179.56</t>
  </si>
  <si>
    <t>95,427.91</t>
  </si>
  <si>
    <t>58,061.89</t>
  </si>
  <si>
    <t>78,952.41</t>
  </si>
  <si>
    <t>Minority Interest</t>
  </si>
  <si>
    <t>813.56</t>
  </si>
  <si>
    <t>523.06</t>
  </si>
  <si>
    <t>525.06</t>
  </si>
  <si>
    <t>453.17</t>
  </si>
  <si>
    <t>432.84</t>
  </si>
  <si>
    <t>NON-CURRENT LIABILITIES</t>
  </si>
  <si>
    <t>Long Term Borrowings</t>
  </si>
  <si>
    <t>83,315.62</t>
  </si>
  <si>
    <t>70,817.50</t>
  </si>
  <si>
    <t>61,199.50</t>
  </si>
  <si>
    <t>60,629.18</t>
  </si>
  <si>
    <t>50,510.39</t>
  </si>
  <si>
    <t>Deferred Tax Liabilities [Net]</t>
  </si>
  <si>
    <t>1,941.87</t>
  </si>
  <si>
    <t>1,491.04</t>
  </si>
  <si>
    <t>6,125.80</t>
  </si>
  <si>
    <t>1,174.00</t>
  </si>
  <si>
    <t>4,474.78</t>
  </si>
  <si>
    <t>Other Long Term Liabilities</t>
  </si>
  <si>
    <t>17,780.94</t>
  </si>
  <si>
    <t>16,871.09</t>
  </si>
  <si>
    <t>13,904.33</t>
  </si>
  <si>
    <t>28,802.14</t>
  </si>
  <si>
    <t>17,830.29</t>
  </si>
  <si>
    <t>Long Term Provisions</t>
  </si>
  <si>
    <t>14,736.69</t>
  </si>
  <si>
    <t>11,854.85</t>
  </si>
  <si>
    <t>10,948.44</t>
  </si>
  <si>
    <t>9,004.46</t>
  </si>
  <si>
    <t>7,891.01</t>
  </si>
  <si>
    <t>Total Non-Current Liabilities</t>
  </si>
  <si>
    <t>117,775.12</t>
  </si>
  <si>
    <t>101,034.48</t>
  </si>
  <si>
    <t>92,178.07</t>
  </si>
  <si>
    <t>99,609.78</t>
  </si>
  <si>
    <t>80,706.47</t>
  </si>
  <si>
    <t>CURRENT LIABILITIES</t>
  </si>
  <si>
    <t>Short Term Borrowings</t>
  </si>
  <si>
    <t>16,362.53</t>
  </si>
  <si>
    <t>20,150.26</t>
  </si>
  <si>
    <t>16,794.85</t>
  </si>
  <si>
    <t>13,859.94</t>
  </si>
  <si>
    <t>11,450.78</t>
  </si>
  <si>
    <t>Trade Payables</t>
  </si>
  <si>
    <t>63,626.88</t>
  </si>
  <si>
    <t>68,513.53</t>
  </si>
  <si>
    <t>76,939.83</t>
  </si>
  <si>
    <t>62,532.57</t>
  </si>
  <si>
    <t>57,580.46</t>
  </si>
  <si>
    <t>Other Current Liabilities</t>
  </si>
  <si>
    <t>50,135.60</t>
  </si>
  <si>
    <t>46,596.89</t>
  </si>
  <si>
    <t>41,531.29</t>
  </si>
  <si>
    <t>33,429.25</t>
  </si>
  <si>
    <t>32,173.68</t>
  </si>
  <si>
    <t>Short Term Provisions</t>
  </si>
  <si>
    <t>10,329.04</t>
  </si>
  <si>
    <t>10,196.75</t>
  </si>
  <si>
    <t>7,953.50</t>
  </si>
  <si>
    <t>5,807.76</t>
  </si>
  <si>
    <t>5,844.51</t>
  </si>
  <si>
    <t>Total Current Liabilities</t>
  </si>
  <si>
    <t>140,454.05</t>
  </si>
  <si>
    <t>145,457.43</t>
  </si>
  <si>
    <t>143,219.47</t>
  </si>
  <si>
    <t>115,629.52</t>
  </si>
  <si>
    <t>107,049.43</t>
  </si>
  <si>
    <t>Total Capital And Liabilities</t>
  </si>
  <si>
    <t>322,121.26</t>
  </si>
  <si>
    <t>307,194.53</t>
  </si>
  <si>
    <t>331,350.51</t>
  </si>
  <si>
    <t>273,754.36</t>
  </si>
  <si>
    <t>267,141.15</t>
  </si>
  <si>
    <t>ASSETS</t>
  </si>
  <si>
    <t>NON-CURRENT ASSETS</t>
  </si>
  <si>
    <t>Tangible Assets</t>
  </si>
  <si>
    <t>84,158.17</t>
  </si>
  <si>
    <t>72,619.86</t>
  </si>
  <si>
    <t>73,867.84</t>
  </si>
  <si>
    <t>59,594.56</t>
  </si>
  <si>
    <t>64,927.07</t>
  </si>
  <si>
    <t>Intangible Assets</t>
  </si>
  <si>
    <t>42,171.91</t>
  </si>
  <si>
    <t>37,866.74</t>
  </si>
  <si>
    <t>47,429.57</t>
  </si>
  <si>
    <t>35,676.20</t>
  </si>
  <si>
    <t>41,544.89</t>
  </si>
  <si>
    <t>Capital Work-In-Progress</t>
  </si>
  <si>
    <t>8,599.56</t>
  </si>
  <si>
    <t>8,538.17</t>
  </si>
  <si>
    <t>16,142.94</t>
  </si>
  <si>
    <t>10,186.83</t>
  </si>
  <si>
    <t>6,550.97</t>
  </si>
  <si>
    <t>Fixed Assets</t>
  </si>
  <si>
    <t>161,952.37</t>
  </si>
  <si>
    <t>142,370.44</t>
  </si>
  <si>
    <t>161,330.91</t>
  </si>
  <si>
    <t>128,969.60</t>
  </si>
  <si>
    <t>132,390.90</t>
  </si>
  <si>
    <t>Non-Current Investments</t>
  </si>
  <si>
    <t>5,446.94</t>
  </si>
  <si>
    <t>6,240.89</t>
  </si>
  <si>
    <t>5,651.65</t>
  </si>
  <si>
    <t>5,296.77</t>
  </si>
  <si>
    <t>4,533.98</t>
  </si>
  <si>
    <t>Deferred Tax Assets [Net]</t>
  </si>
  <si>
    <t>5,457.90</t>
  </si>
  <si>
    <t>5,151.11</t>
  </si>
  <si>
    <t>4,158.70</t>
  </si>
  <si>
    <t>4,457.34</t>
  </si>
  <si>
    <t>3,957.03</t>
  </si>
  <si>
    <t>Long Term Loans And Advances</t>
  </si>
  <si>
    <t>782.78</t>
  </si>
  <si>
    <t>407.42</t>
  </si>
  <si>
    <t>495.41</t>
  </si>
  <si>
    <t>753.66</t>
  </si>
  <si>
    <t>503.88</t>
  </si>
  <si>
    <t>Other Non-Current Assets</t>
  </si>
  <si>
    <t>28,116.96</t>
  </si>
  <si>
    <t>28,845.64</t>
  </si>
  <si>
    <t>23,624.55</t>
  </si>
  <si>
    <t>17,483.92</t>
  </si>
  <si>
    <t>15,071.89</t>
  </si>
  <si>
    <t>Total Non-Current Assets</t>
  </si>
  <si>
    <t>202,534.01</t>
  </si>
  <si>
    <t>183,763.37</t>
  </si>
  <si>
    <t>195,377.67</t>
  </si>
  <si>
    <t>157,634.61</t>
  </si>
  <si>
    <t>157,217.48</t>
  </si>
  <si>
    <t>CURRENT ASSETS</t>
  </si>
  <si>
    <t>Current Investments</t>
  </si>
  <si>
    <t>10,861.54</t>
  </si>
  <si>
    <t>9,529.83</t>
  </si>
  <si>
    <t>15,161.10</t>
  </si>
  <si>
    <t>15,041.15</t>
  </si>
  <si>
    <t>19,233.04</t>
  </si>
  <si>
    <t>Inventories</t>
  </si>
  <si>
    <t>37,456.88</t>
  </si>
  <si>
    <t>39,013.73</t>
  </si>
  <si>
    <t>42,137.63</t>
  </si>
  <si>
    <t>35,085.31</t>
  </si>
  <si>
    <t>32,655.73</t>
  </si>
  <si>
    <t>Trade Receivables</t>
  </si>
  <si>
    <t>11,172.69</t>
  </si>
  <si>
    <t>18,996.17</t>
  </si>
  <si>
    <t>19,893.30</t>
  </si>
  <si>
    <t>14,075.55</t>
  </si>
  <si>
    <t>13,570.91</t>
  </si>
  <si>
    <t>Cash And Cash Equivalents</t>
  </si>
  <si>
    <t>33,726.97</t>
  </si>
  <si>
    <t>32,648.82</t>
  </si>
  <si>
    <t>34,613.91</t>
  </si>
  <si>
    <t>36,077.88</t>
  </si>
  <si>
    <t>30,460.40</t>
  </si>
  <si>
    <t>Short Term Loans And Advances</t>
  </si>
  <si>
    <t>935.25</t>
  </si>
  <si>
    <t>1,268.70</t>
  </si>
  <si>
    <t>2,279.66</t>
  </si>
  <si>
    <t>710.45</t>
  </si>
  <si>
    <t>1,117.10</t>
  </si>
  <si>
    <t>OtherCurrentAssets</t>
  </si>
  <si>
    <t>25,433.92</t>
  </si>
  <si>
    <t>21,973.91</t>
  </si>
  <si>
    <t>21,887.24</t>
  </si>
  <si>
    <t>15,129.41</t>
  </si>
  <si>
    <t>12,886.49</t>
  </si>
  <si>
    <t>Total Current Assets</t>
  </si>
  <si>
    <t>119,587.25</t>
  </si>
  <si>
    <t>123,431.16</t>
  </si>
  <si>
    <t>135,972.84</t>
  </si>
  <si>
    <t>116,119.75</t>
  </si>
  <si>
    <t>109,923.67</t>
  </si>
  <si>
    <t>Total Assets</t>
  </si>
  <si>
    <t>OTHER ADDITIONAL INFORMATION</t>
  </si>
  <si>
    <t>CONTINGENT LIABILITIES, COMMITMENTS</t>
  </si>
  <si>
    <t>Contingent Liabilities</t>
  </si>
  <si>
    <t>15,590.75</t>
  </si>
  <si>
    <t>17,148.64</t>
  </si>
  <si>
    <t>15,431.46</t>
  </si>
  <si>
    <t>24,214.53</t>
  </si>
  <si>
    <t>43,504.88</t>
  </si>
  <si>
    <t>BONUS DETAILS</t>
  </si>
  <si>
    <t>Bonus Equity Share Capital</t>
  </si>
  <si>
    <t>111.29</t>
  </si>
  <si>
    <t>NON-CURRENT INVESTMENTS</t>
  </si>
  <si>
    <t>Non-Current Investments Quoted Market Value</t>
  </si>
  <si>
    <t>316.46</t>
  </si>
  <si>
    <t>726.53</t>
  </si>
  <si>
    <t>36.64</t>
  </si>
  <si>
    <t>285.38</t>
  </si>
  <si>
    <t>210.50</t>
  </si>
  <si>
    <t>Non-Current Investments Unquoted Book Value</t>
  </si>
  <si>
    <t>711.59</t>
  </si>
  <si>
    <t>770.98</t>
  </si>
  <si>
    <t>727.12</t>
  </si>
  <si>
    <t>405.38</t>
  </si>
  <si>
    <t>559.54</t>
  </si>
  <si>
    <t>CURRENT INVESTMENTS</t>
  </si>
  <si>
    <t>Current Investments Quoted Market Value</t>
  </si>
  <si>
    <t>0.00</t>
  </si>
  <si>
    <t>0.92</t>
  </si>
  <si>
    <t>303.28</t>
  </si>
  <si>
    <t>Current Investments Unquoted Book Value</t>
  </si>
  <si>
    <t>8,937.41</t>
  </si>
  <si>
    <t>14,360.47</t>
  </si>
  <si>
    <t>Profit &amp; Loss account of Tata Motors (in Rs. Cr.)</t>
  </si>
  <si>
    <t>INCOME</t>
  </si>
  <si>
    <t>Revenue From Operations [Gross]</t>
  </si>
  <si>
    <t>258,594.36</t>
  </si>
  <si>
    <t>299,190.59</t>
  </si>
  <si>
    <t>289,386.25</t>
  </si>
  <si>
    <t>270,298.08</t>
  </si>
  <si>
    <t>274,175.10</t>
  </si>
  <si>
    <t>Less: Excise/Sevice Tax/Other Levies</t>
  </si>
  <si>
    <t>790.16</t>
  </si>
  <si>
    <t>4,799.61</t>
  </si>
  <si>
    <t>4,614.99</t>
  </si>
  <si>
    <t>Revenue From Operations [Net]</t>
  </si>
  <si>
    <t>288,596.09</t>
  </si>
  <si>
    <t>265,498.47</t>
  </si>
  <si>
    <t>269,560.11</t>
  </si>
  <si>
    <t>Total Operating Revenues</t>
  </si>
  <si>
    <t>261,067.97</t>
  </si>
  <si>
    <t>301,938.40</t>
  </si>
  <si>
    <t>294,619.18</t>
  </si>
  <si>
    <t>269,692.51</t>
  </si>
  <si>
    <t>273,045.60</t>
  </si>
  <si>
    <t>Other Income</t>
  </si>
  <si>
    <t>2,973.15</t>
  </si>
  <si>
    <t>2,965.31</t>
  </si>
  <si>
    <t>888.89</t>
  </si>
  <si>
    <t>754.54</t>
  </si>
  <si>
    <t>885.35</t>
  </si>
  <si>
    <t>Total Revenue</t>
  </si>
  <si>
    <t>264,041.12</t>
  </si>
  <si>
    <t>304,903.71</t>
  </si>
  <si>
    <t>295,508.07</t>
  </si>
  <si>
    <t>270,447.05</t>
  </si>
  <si>
    <t>273,930.95</t>
  </si>
  <si>
    <t>EXPENSES</t>
  </si>
  <si>
    <t>Cost Of Materials Consumed</t>
  </si>
  <si>
    <t>152,671.47</t>
  </si>
  <si>
    <t>181,009.08</t>
  </si>
  <si>
    <t>171,992.59</t>
  </si>
  <si>
    <t>159,369.55</t>
  </si>
  <si>
    <t>153,292.49</t>
  </si>
  <si>
    <t>Operating And Direct Expenses</t>
  </si>
  <si>
    <t>4,188.49</t>
  </si>
  <si>
    <t>4,224.57</t>
  </si>
  <si>
    <t>3,531.87</t>
  </si>
  <si>
    <t>3,413.57</t>
  </si>
  <si>
    <t>3,468.77</t>
  </si>
  <si>
    <t>Employee Benefit Expenses</t>
  </si>
  <si>
    <t>30,438.60</t>
  </si>
  <si>
    <t>33,243.87</t>
  </si>
  <si>
    <t>30,300.09</t>
  </si>
  <si>
    <t>28,332.89</t>
  </si>
  <si>
    <t>28,880.89</t>
  </si>
  <si>
    <t>Finance Costs</t>
  </si>
  <si>
    <t>7,243.33</t>
  </si>
  <si>
    <t>5,758.60</t>
  </si>
  <si>
    <t>4,681.79</t>
  </si>
  <si>
    <t>4,238.01</t>
  </si>
  <si>
    <t>4,889.08</t>
  </si>
  <si>
    <t>Depreciation And Amortisation Expenses</t>
  </si>
  <si>
    <t>21,425.43</t>
  </si>
  <si>
    <t>23,590.63</t>
  </si>
  <si>
    <t>21,553.59</t>
  </si>
  <si>
    <t>17,904.99</t>
  </si>
  <si>
    <t>16,710.78</t>
  </si>
  <si>
    <t>Other Expenses</t>
  </si>
  <si>
    <t>58,826.20</t>
  </si>
  <si>
    <t>63,144.03</t>
  </si>
  <si>
    <t>58,998.93</t>
  </si>
  <si>
    <t>59,340.16</t>
  </si>
  <si>
    <t>57,300.63</t>
  </si>
  <si>
    <t>Total Expenses</t>
  </si>
  <si>
    <t>271,749.66</t>
  </si>
  <si>
    <t>306,623.30</t>
  </si>
  <si>
    <t>286,328.18</t>
  </si>
  <si>
    <t>262,246.82</t>
  </si>
  <si>
    <t>257,954.83</t>
  </si>
  <si>
    <t>Profit/Loss Before Exceptional, ExtraOrdinary Items And Tax</t>
  </si>
  <si>
    <t>-7,708.54</t>
  </si>
  <si>
    <t>-1,719.59</t>
  </si>
  <si>
    <t>9,179.89</t>
  </si>
  <si>
    <t>8,200.23</t>
  </si>
  <si>
    <t>15,976.12</t>
  </si>
  <si>
    <t>Exceptional Items</t>
  </si>
  <si>
    <t>-2,871.44</t>
  </si>
  <si>
    <t>-29,651.56</t>
  </si>
  <si>
    <t>1,975.14</t>
  </si>
  <si>
    <t>1,114.56</t>
  </si>
  <si>
    <t>-1,850.35</t>
  </si>
  <si>
    <t>Profit/Loss Before Tax</t>
  </si>
  <si>
    <t>-10,579.98</t>
  </si>
  <si>
    <t>-31,371.15</t>
  </si>
  <si>
    <t>11,155.03</t>
  </si>
  <si>
    <t>9,314.79</t>
  </si>
  <si>
    <t>14,125.77</t>
  </si>
  <si>
    <t>Tax Expenses-Continued Operations</t>
  </si>
  <si>
    <t>Current Tax</t>
  </si>
  <si>
    <t>1,893.05</t>
  </si>
  <si>
    <t>2,225.23</t>
  </si>
  <si>
    <t>3,303.46</t>
  </si>
  <si>
    <t>3,137.66</t>
  </si>
  <si>
    <t>1,862.05</t>
  </si>
  <si>
    <t>Less: MAT Credit Entitlement</t>
  </si>
  <si>
    <t>Deferred Tax</t>
  </si>
  <si>
    <t>-1,497.80</t>
  </si>
  <si>
    <t>-4,662.68</t>
  </si>
  <si>
    <t>1,038.47</t>
  </si>
  <si>
    <t>113.57</t>
  </si>
  <si>
    <t>1,163.00</t>
  </si>
  <si>
    <t>Other Direct Taxes</t>
  </si>
  <si>
    <t>Total Tax Expenses</t>
  </si>
  <si>
    <t>395.25</t>
  </si>
  <si>
    <t>-2,437.45</t>
  </si>
  <si>
    <t>4,341.93</t>
  </si>
  <si>
    <t>3,251.23</t>
  </si>
  <si>
    <t>3,025.05</t>
  </si>
  <si>
    <t>Profit/Loss After Tax And Before ExtraOrdinary Items</t>
  </si>
  <si>
    <t>-10,975.23</t>
  </si>
  <si>
    <t>-28,933.70</t>
  </si>
  <si>
    <t>6,813.10</t>
  </si>
  <si>
    <t>6,063.56</t>
  </si>
  <si>
    <t>11,100.72</t>
  </si>
  <si>
    <t>Profit/Loss From Continuing Operations</t>
  </si>
  <si>
    <t>Profit/Loss For The Period</t>
  </si>
  <si>
    <t>-95.62</t>
  </si>
  <si>
    <t>-102.03</t>
  </si>
  <si>
    <t>-102.45</t>
  </si>
  <si>
    <t>-102.20</t>
  </si>
  <si>
    <t>-98.88</t>
  </si>
  <si>
    <t>Consolidated Profit/Loss After MI And Associates</t>
  </si>
  <si>
    <t>-12,070.85</t>
  </si>
  <si>
    <t>-28,826.23</t>
  </si>
  <si>
    <t>8,988.91</t>
  </si>
  <si>
    <t>7,454.36</t>
  </si>
  <si>
    <t>11,579.31</t>
  </si>
  <si>
    <t>EARNINGS PER SHARE</t>
  </si>
  <si>
    <t>Basic EPS (Rs.)</t>
  </si>
  <si>
    <t>-35.00</t>
  </si>
  <si>
    <t>-85.00</t>
  </si>
  <si>
    <t>26.00</t>
  </si>
  <si>
    <t>22.00</t>
  </si>
  <si>
    <t>34.00</t>
  </si>
  <si>
    <t>Diluted EPS (Rs.)</t>
  </si>
  <si>
    <t>DIVIDEND AND DIVIDEND PERCENTAGE</t>
  </si>
  <si>
    <t>Equity Share Dividend</t>
  </si>
  <si>
    <t>73.00</t>
  </si>
  <si>
    <t>Tax On Dividend</t>
  </si>
  <si>
    <t>Income Statement</t>
  </si>
  <si>
    <t>Balance Sheet</t>
  </si>
  <si>
    <t>Total Liabilities</t>
  </si>
  <si>
    <t>Common Stocks</t>
  </si>
  <si>
    <t>Total Debt And Equity</t>
  </si>
  <si>
    <t>Net Income for the period (including minority interest)</t>
  </si>
  <si>
    <t>Calculations</t>
  </si>
  <si>
    <t>Tax</t>
  </si>
  <si>
    <t>Income Before Tax</t>
  </si>
  <si>
    <t>Debt/(Debt + Equity)</t>
  </si>
  <si>
    <t>Equity/(Debt + Equity)</t>
  </si>
  <si>
    <t>Total Equity</t>
  </si>
  <si>
    <t>Return/Debt ( required return % on debt)</t>
  </si>
  <si>
    <t>Return/Equity ( required return % on equity )</t>
  </si>
  <si>
    <t>Tax/Income Before Tax ( marginal tax rate )</t>
  </si>
  <si>
    <t>L = D/(D + E)</t>
  </si>
  <si>
    <t>WACC = (1-L)r.e + L(1 - T)r.d</t>
  </si>
  <si>
    <t>Share Price</t>
  </si>
  <si>
    <t xml:space="preserve"> </t>
  </si>
  <si>
    <t>Date</t>
  </si>
  <si>
    <t>Dividends</t>
  </si>
  <si>
    <t>Year</t>
  </si>
  <si>
    <t>Total Dividend</t>
  </si>
  <si>
    <t>Dividend Distribution</t>
  </si>
  <si>
    <t>Dividend</t>
  </si>
  <si>
    <t>Growth Rate (Arithmetic)</t>
  </si>
  <si>
    <t>Growth Rate (Geometric)</t>
  </si>
  <si>
    <t>2017 (proj)</t>
  </si>
  <si>
    <t>2018 (proj)</t>
  </si>
  <si>
    <t>2019 (proj)</t>
  </si>
  <si>
    <t>2020 (proj)</t>
  </si>
  <si>
    <t>Dividend Projection [Using arithmetic growth rate cause geometric seems a bit wooky]</t>
  </si>
  <si>
    <t>Return on Equity (This gives us what should be the minimum rate of return)</t>
  </si>
  <si>
    <t>Current Maturity of long term debt (Current Liabilities section)</t>
  </si>
  <si>
    <t>Long Term Debt ( Non current Liabilities Section)</t>
  </si>
  <si>
    <t>Total Debt (Short term debt + Long Term Debt)</t>
  </si>
  <si>
    <t>Interest Paid (Finance Cost in Income Statement)</t>
  </si>
  <si>
    <t>Average interest rate or required return on debt or cost of debt</t>
  </si>
  <si>
    <t>Income Tax Expense</t>
  </si>
  <si>
    <t>Marginal Tax rate</t>
  </si>
  <si>
    <t>Income Before Tax (income statement)</t>
  </si>
  <si>
    <t xml:space="preserve">As negative, we will take the current tax rate of </t>
  </si>
  <si>
    <t>instead</t>
  </si>
  <si>
    <t xml:space="preserve">Cost of Equity </t>
  </si>
  <si>
    <t>Cost of Debt</t>
  </si>
  <si>
    <t>3.09B</t>
  </si>
  <si>
    <t>309 Crores</t>
  </si>
  <si>
    <t># of shares outstanding (from statistics in yahoo )</t>
  </si>
  <si>
    <t>Current Share Price</t>
  </si>
  <si>
    <t>Market Value of Equity</t>
  </si>
  <si>
    <t>Value of Debt</t>
  </si>
  <si>
    <t>Total (Debt + Equity)</t>
  </si>
  <si>
    <t>Percentage of Equity</t>
  </si>
  <si>
    <t>Percentage of Debt</t>
  </si>
  <si>
    <t>WACC (Considering real marginal rate)</t>
  </si>
  <si>
    <t>WACC (Considering a rate of 30%)</t>
  </si>
  <si>
    <t>Debt</t>
  </si>
  <si>
    <t>Average Long Term Debt</t>
  </si>
  <si>
    <t>Interest Paid (Current Year)</t>
  </si>
  <si>
    <t>Tax Paid (Current Year)</t>
  </si>
  <si>
    <t>Income Before Tax (Current Year)</t>
  </si>
  <si>
    <t>Required Rate of Return Debt</t>
  </si>
  <si>
    <t>Marginal Tax Rate</t>
  </si>
  <si>
    <t>Total Debt (Current Year)</t>
  </si>
  <si>
    <t>Total Debt (Previous Year)</t>
  </si>
  <si>
    <t>Tax Rate</t>
  </si>
  <si>
    <t>Equity</t>
  </si>
  <si>
    <t>Formula</t>
  </si>
  <si>
    <t>Price</t>
  </si>
  <si>
    <t>Risk Free Return</t>
  </si>
  <si>
    <t>Adj Close</t>
  </si>
  <si>
    <t>Nifty 50</t>
  </si>
  <si>
    <t>Tata Motors</t>
  </si>
  <si>
    <t>Percentage Return</t>
  </si>
  <si>
    <t>Continous Return</t>
  </si>
  <si>
    <t>Return of Market</t>
  </si>
  <si>
    <t>Beta</t>
  </si>
  <si>
    <t>Beta of Tata Motors</t>
  </si>
  <si>
    <t>Expected Return of Market (Daily)</t>
  </si>
  <si>
    <t>ERM (annual)</t>
  </si>
  <si>
    <t>E(Return TTM) (Daily)</t>
  </si>
  <si>
    <t>E(Return TTM) (Annual)</t>
  </si>
  <si>
    <t xml:space="preserve">Share Price </t>
  </si>
  <si>
    <t>Shares Outstanding</t>
  </si>
  <si>
    <t>Market Value</t>
  </si>
  <si>
    <t>3.09x100 (Crores)</t>
  </si>
  <si>
    <t>ERM</t>
  </si>
  <si>
    <t>Risk Free Rate</t>
  </si>
  <si>
    <t>Weight of Debt</t>
  </si>
  <si>
    <t>Weight of Equity</t>
  </si>
  <si>
    <t>Required Rate of Return Equity</t>
  </si>
  <si>
    <t>WACC</t>
  </si>
  <si>
    <t>Historic Data</t>
  </si>
  <si>
    <t>Free Cash Flow</t>
  </si>
  <si>
    <t>Average</t>
  </si>
  <si>
    <t>Projection</t>
  </si>
  <si>
    <t xml:space="preserve">Economy Growth Rate </t>
  </si>
  <si>
    <t>Discount Rate or WACC</t>
  </si>
  <si>
    <t>Terminal Value</t>
  </si>
  <si>
    <t>Present Value of FCF</t>
  </si>
  <si>
    <t>Sum of FCF</t>
  </si>
  <si>
    <t>Cash</t>
  </si>
  <si>
    <t xml:space="preserve">Equity Value </t>
  </si>
  <si>
    <t>Share Outstanding</t>
  </si>
  <si>
    <t>Price Per Share</t>
  </si>
  <si>
    <t>Current Price</t>
  </si>
  <si>
    <t>Upside/Downside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</si>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</sst>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2" fillId="2" borderId="0" xfId="2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4" fontId="0" fillId="0" borderId="0" xfId="0" applyNumberFormat="1"/>
    <xf numFmtId="0" fontId="4" fillId="4" borderId="0" xfId="4"/>
    <xf numFmtId="0" fontId="3" fillId="3" borderId="0" xfId="3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5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7" borderId="0" xfId="7"/>
    <xf numFmtId="0" fontId="1" fillId="6" borderId="0" xfId="6"/>
    <xf numFmtId="0" fontId="4" fillId="5" borderId="0" xfId="5"/>
    <xf numFmtId="16" fontId="0" fillId="0" borderId="0" xfId="0" applyNumberFormat="1"/>
    <xf numFmtId="4" fontId="0" fillId="0" borderId="0" xfId="0" applyNumberFormat="1"/>
  </cellXfs>
  <cellStyles count="8">
    <cellStyle name="40% - Accent1" xfId="6" builtinId="31"/>
    <cellStyle name="60% - Accent1" xfId="7" builtinId="32"/>
    <cellStyle name="Accent1" xfId="5" builtinId="29"/>
    <cellStyle name="Accent6" xfId="4" builtinId="49"/>
    <cellStyle name="Good" xfId="2" builtinId="26"/>
    <cellStyle name="Neutral" xfId="3" builtinId="28"/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142875</xdr:rowOff>
    </xdr:from>
    <xdr:to>
      <xdr:col>6</xdr:col>
      <xdr:colOff>219075</xdr:colOff>
      <xdr:row>11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0343FD-4ADC-41CE-9CDA-687887E15821}"/>
            </a:ext>
          </a:extLst>
        </xdr:cNvPr>
        <xdr:cNvSpPr txBox="1"/>
      </xdr:nvSpPr>
      <xdr:spPr>
        <a:xfrm>
          <a:off x="2867025" y="1285875"/>
          <a:ext cx="33623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Risk Free Return </a:t>
          </a:r>
          <a:r>
            <a:rPr lang="en-US" sz="1100" b="0"/>
            <a:t>is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theoretical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attributed to an investment that provides a guaranteed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with zero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risks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</a:p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3 month government bill for Indian Economy.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EFA642-97FF-45CF-B8A8-4F10201CD89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EAB1F96-0B27-4495-B466-D0096FF77CE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47C327B-0C0F-4A9A-AA2F-516A83F94B9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ividend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AB7F8-2BEF-4777-8F77-4C73037061E5}" name="Table_0" displayName="Table_0" ref="A1:G55" tableType="queryTable" totalsRowShown="0">
  <autoFilter ref="A1:G55" xr:uid="{BD713171-31F0-4C7D-A346-5FAC497C87A3}"/>
  <tableColumns count="7">
    <tableColumn id="1" xr3:uid="{9D7DE990-26C3-4CCE-A188-89FB230C4233}" uniqueName="1" name="Column1" queryTableFieldId="1" dataDxfId="6"/>
    <tableColumn id="2" xr3:uid="{E064FD14-4F14-4203-926C-F917BFC33B61}" uniqueName="2" name="Column2" queryTableFieldId="2" dataDxfId="5"/>
    <tableColumn id="3" xr3:uid="{663D0C9A-CA82-4B20-AE48-8545EE27662A}" uniqueName="3" name="Column3" queryTableFieldId="3" dataDxfId="4"/>
    <tableColumn id="4" xr3:uid="{00DF6A80-3214-4430-A027-02D340694814}" uniqueName="4" name="Column4" queryTableFieldId="4" dataDxfId="3"/>
    <tableColumn id="5" xr3:uid="{70A430E5-B603-4152-9553-F2509CB51CCD}" uniqueName="5" name="Column5" queryTableFieldId="5" dataDxfId="2"/>
    <tableColumn id="6" xr3:uid="{2E8792AA-FD3A-4F5C-9EF7-D8B0035FAFA3}" uniqueName="6" name="Column6" queryTableFieldId="6" dataDxfId="1"/>
    <tableColumn id="7" xr3:uid="{E7260993-AE42-4FE7-BBCE-195636391F55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631A0-93A6-4F88-B642-1824C881053C}" name="Table_0__2" displayName="Table_0__2" ref="A1:G39" tableType="queryTable" totalsRowShown="0">
  <autoFilter ref="A1:G39" xr:uid="{8FEE147A-9A53-40B5-9DBB-EFF150F1A20D}"/>
  <tableColumns count="7">
    <tableColumn id="1" xr3:uid="{054036EB-C155-4BBE-9FCE-37FF72ACDFCE}" uniqueName="1" name="Column1" queryTableFieldId="1" dataDxfId="14"/>
    <tableColumn id="2" xr3:uid="{99C67E46-D669-4965-A20A-0EC565468A90}" uniqueName="2" name="Column2" queryTableFieldId="2" dataDxfId="13"/>
    <tableColumn id="3" xr3:uid="{9EFF39B2-C2C6-4F13-B332-8EE0ED5FDDE5}" uniqueName="3" name="Column3" queryTableFieldId="3" dataDxfId="12"/>
    <tableColumn id="4" xr3:uid="{9B605069-C4F3-4771-ABAB-D6D082C83225}" uniqueName="4" name="Column4" queryTableFieldId="4" dataDxfId="11"/>
    <tableColumn id="5" xr3:uid="{552EEDE7-972B-47BD-8193-15578C293360}" uniqueName="5" name="Column5" queryTableFieldId="5" dataDxfId="10"/>
    <tableColumn id="6" xr3:uid="{F1D24BAC-A909-4D0E-BF7E-3CEC145B1FC4}" uniqueName="6" name="Column6" queryTableFieldId="6" dataDxfId="9"/>
    <tableColumn id="7" xr3:uid="{0DE5E2B5-4A71-4BAC-8001-D57E4DCCD70A}" uniqueName="7" name="Column7" queryTableFieldId="7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F4935-C4F6-4FBA-BCF5-E2028AC2904E}" name="TATAMOTORS_NS_dividend" displayName="TATAMOTORS_NS_dividend" ref="A1:B22" tableType="queryTable" totalsRowShown="0">
  <autoFilter ref="A1:B22" xr:uid="{0A1D60E3-969F-4CAE-AC97-96E94760FAD8}"/>
  <sortState xmlns:xlrd2="http://schemas.microsoft.com/office/spreadsheetml/2017/richdata2" ref="A2:B22">
    <sortCondition ref="A1:A22"/>
  </sortState>
  <tableColumns count="2">
    <tableColumn id="1" xr3:uid="{1268544F-A694-47D5-A568-96A1547A1667}" uniqueName="1" name="Date" queryTableFieldId="1" dataDxfId="7"/>
    <tableColumn id="2" xr3:uid="{523B2642-7AA8-4571-AD38-2F7446D340BE}" uniqueName="2" name="Dividen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0A0D-A485-4263-8307-F3289D5C166A}">
  <dimension ref="A1:G55"/>
  <sheetViews>
    <sheetView topLeftCell="A37" workbookViewId="0">
      <selection sqref="A1:G55"/>
    </sheetView>
  </sheetViews>
  <sheetFormatPr defaultRowHeight="15" x14ac:dyDescent="0.25"/>
  <cols>
    <col min="1" max="1" width="44.42578125" bestFit="1" customWidth="1"/>
    <col min="2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1" t="s">
        <v>13</v>
      </c>
    </row>
    <row r="3" spans="1:7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13</v>
      </c>
    </row>
    <row r="4" spans="1:7" x14ac:dyDescent="0.25">
      <c r="A4" s="1" t="s">
        <v>15</v>
      </c>
      <c r="B4" s="1"/>
      <c r="C4" s="1"/>
      <c r="D4" s="1"/>
      <c r="E4" s="1"/>
      <c r="F4" s="1"/>
      <c r="G4" s="1" t="s">
        <v>13</v>
      </c>
    </row>
    <row r="5" spans="1:7" x14ac:dyDescent="0.25">
      <c r="A5" s="1" t="s">
        <v>16</v>
      </c>
      <c r="B5" s="1"/>
      <c r="C5" s="1"/>
      <c r="D5" s="1"/>
      <c r="E5" s="1"/>
      <c r="F5" s="1"/>
      <c r="G5" s="1" t="s">
        <v>13</v>
      </c>
    </row>
    <row r="6" spans="1:7" x14ac:dyDescent="0.25">
      <c r="A6" s="1" t="s">
        <v>17</v>
      </c>
      <c r="B6" s="1" t="s">
        <v>18</v>
      </c>
      <c r="C6" s="1" t="s">
        <v>19</v>
      </c>
      <c r="D6" s="1" t="s">
        <v>19</v>
      </c>
      <c r="E6" s="1" t="s">
        <v>19</v>
      </c>
      <c r="F6" s="1" t="s">
        <v>20</v>
      </c>
      <c r="G6" s="1" t="s">
        <v>13</v>
      </c>
    </row>
    <row r="7" spans="1:7" x14ac:dyDescent="0.25">
      <c r="A7" s="1" t="s">
        <v>21</v>
      </c>
      <c r="B7" s="1" t="s">
        <v>18</v>
      </c>
      <c r="C7" s="1" t="s">
        <v>19</v>
      </c>
      <c r="D7" s="1" t="s">
        <v>19</v>
      </c>
      <c r="E7" s="1" t="s">
        <v>19</v>
      </c>
      <c r="F7" s="1" t="s">
        <v>20</v>
      </c>
      <c r="G7" s="1" t="s">
        <v>13</v>
      </c>
    </row>
    <row r="8" spans="1:7" x14ac:dyDescent="0.25">
      <c r="A8" s="1" t="s">
        <v>22</v>
      </c>
      <c r="B8" s="20" t="s">
        <v>23</v>
      </c>
      <c r="C8" s="20" t="s">
        <v>24</v>
      </c>
      <c r="D8" s="20" t="s">
        <v>25</v>
      </c>
      <c r="E8" s="20" t="s">
        <v>26</v>
      </c>
      <c r="F8" s="20" t="s">
        <v>27</v>
      </c>
      <c r="G8" s="1" t="s">
        <v>13</v>
      </c>
    </row>
    <row r="9" spans="1:7" x14ac:dyDescent="0.25">
      <c r="A9" s="1" t="s">
        <v>28</v>
      </c>
      <c r="B9" s="20" t="s">
        <v>23</v>
      </c>
      <c r="C9" s="20" t="s">
        <v>24</v>
      </c>
      <c r="D9" s="20" t="s">
        <v>25</v>
      </c>
      <c r="E9" s="20" t="s">
        <v>26</v>
      </c>
      <c r="F9" s="20" t="s">
        <v>27</v>
      </c>
      <c r="G9" s="1" t="s">
        <v>13</v>
      </c>
    </row>
    <row r="10" spans="1:7" x14ac:dyDescent="0.25">
      <c r="A10" s="1" t="s">
        <v>29</v>
      </c>
      <c r="B10" s="20" t="s">
        <v>30</v>
      </c>
      <c r="C10" s="20" t="s">
        <v>31</v>
      </c>
      <c r="D10" s="20" t="s">
        <v>32</v>
      </c>
      <c r="E10" s="20" t="s">
        <v>33</v>
      </c>
      <c r="F10" s="20" t="s">
        <v>34</v>
      </c>
      <c r="G10" s="1" t="s">
        <v>13</v>
      </c>
    </row>
    <row r="11" spans="1:7" x14ac:dyDescent="0.25">
      <c r="A11" s="1" t="s">
        <v>35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40</v>
      </c>
      <c r="G11" s="1" t="s">
        <v>13</v>
      </c>
    </row>
    <row r="12" spans="1:7" x14ac:dyDescent="0.25">
      <c r="A12" s="1" t="s">
        <v>41</v>
      </c>
      <c r="B12" s="1"/>
      <c r="C12" s="1"/>
      <c r="D12" s="1"/>
      <c r="E12" s="1"/>
      <c r="F12" s="1"/>
      <c r="G12" s="1" t="s">
        <v>13</v>
      </c>
    </row>
    <row r="13" spans="1:7" x14ac:dyDescent="0.25">
      <c r="A13" s="1" t="s">
        <v>42</v>
      </c>
      <c r="B13" s="20" t="s">
        <v>43</v>
      </c>
      <c r="C13" s="20" t="s">
        <v>44</v>
      </c>
      <c r="D13" s="20" t="s">
        <v>45</v>
      </c>
      <c r="E13" s="20" t="s">
        <v>46</v>
      </c>
      <c r="F13" s="20" t="s">
        <v>47</v>
      </c>
      <c r="G13" s="1" t="s">
        <v>13</v>
      </c>
    </row>
    <row r="14" spans="1:7" x14ac:dyDescent="0.25">
      <c r="A14" s="1" t="s">
        <v>48</v>
      </c>
      <c r="B14" s="20" t="s">
        <v>49</v>
      </c>
      <c r="C14" s="20" t="s">
        <v>50</v>
      </c>
      <c r="D14" s="20" t="s">
        <v>51</v>
      </c>
      <c r="E14" s="20" t="s">
        <v>52</v>
      </c>
      <c r="F14" s="20" t="s">
        <v>53</v>
      </c>
      <c r="G14" s="1" t="s">
        <v>13</v>
      </c>
    </row>
    <row r="15" spans="1:7" x14ac:dyDescent="0.25">
      <c r="A15" s="1" t="s">
        <v>54</v>
      </c>
      <c r="B15" s="20" t="s">
        <v>55</v>
      </c>
      <c r="C15" s="20" t="s">
        <v>56</v>
      </c>
      <c r="D15" s="20" t="s">
        <v>57</v>
      </c>
      <c r="E15" s="20" t="s">
        <v>58</v>
      </c>
      <c r="F15" s="20" t="s">
        <v>59</v>
      </c>
      <c r="G15" s="1" t="s">
        <v>13</v>
      </c>
    </row>
    <row r="16" spans="1:7" x14ac:dyDescent="0.25">
      <c r="A16" s="1" t="s">
        <v>60</v>
      </c>
      <c r="B16" s="20" t="s">
        <v>61</v>
      </c>
      <c r="C16" s="20" t="s">
        <v>62</v>
      </c>
      <c r="D16" s="20" t="s">
        <v>63</v>
      </c>
      <c r="E16" s="20" t="s">
        <v>64</v>
      </c>
      <c r="F16" s="20" t="s">
        <v>65</v>
      </c>
      <c r="G16" s="1" t="s">
        <v>13</v>
      </c>
    </row>
    <row r="17" spans="1:7" x14ac:dyDescent="0.25">
      <c r="A17" s="1" t="s">
        <v>66</v>
      </c>
      <c r="B17" s="20" t="s">
        <v>67</v>
      </c>
      <c r="C17" s="20" t="s">
        <v>68</v>
      </c>
      <c r="D17" s="20" t="s">
        <v>69</v>
      </c>
      <c r="E17" s="20" t="s">
        <v>70</v>
      </c>
      <c r="F17" s="20" t="s">
        <v>71</v>
      </c>
      <c r="G17" s="1" t="s">
        <v>13</v>
      </c>
    </row>
    <row r="18" spans="1:7" x14ac:dyDescent="0.25">
      <c r="A18" s="1" t="s">
        <v>72</v>
      </c>
      <c r="B18" s="1"/>
      <c r="C18" s="1"/>
      <c r="D18" s="1"/>
      <c r="E18" s="1"/>
      <c r="F18" s="1"/>
      <c r="G18" s="1" t="s">
        <v>13</v>
      </c>
    </row>
    <row r="19" spans="1:7" x14ac:dyDescent="0.25">
      <c r="A19" s="1" t="s">
        <v>73</v>
      </c>
      <c r="B19" s="20" t="s">
        <v>74</v>
      </c>
      <c r="C19" s="20" t="s">
        <v>75</v>
      </c>
      <c r="D19" s="20" t="s">
        <v>76</v>
      </c>
      <c r="E19" s="20" t="s">
        <v>77</v>
      </c>
      <c r="F19" s="20" t="s">
        <v>78</v>
      </c>
      <c r="G19" s="1" t="s">
        <v>13</v>
      </c>
    </row>
    <row r="20" spans="1:7" x14ac:dyDescent="0.25">
      <c r="A20" s="1" t="s">
        <v>79</v>
      </c>
      <c r="B20" s="20" t="s">
        <v>80</v>
      </c>
      <c r="C20" s="20" t="s">
        <v>81</v>
      </c>
      <c r="D20" s="20" t="s">
        <v>82</v>
      </c>
      <c r="E20" s="20" t="s">
        <v>83</v>
      </c>
      <c r="F20" s="20" t="s">
        <v>84</v>
      </c>
      <c r="G20" s="1" t="s">
        <v>13</v>
      </c>
    </row>
    <row r="21" spans="1:7" x14ac:dyDescent="0.25">
      <c r="A21" s="1" t="s">
        <v>85</v>
      </c>
      <c r="B21" s="20" t="s">
        <v>86</v>
      </c>
      <c r="C21" s="20" t="s">
        <v>87</v>
      </c>
      <c r="D21" s="20" t="s">
        <v>88</v>
      </c>
      <c r="E21" s="20" t="s">
        <v>89</v>
      </c>
      <c r="F21" s="20" t="s">
        <v>90</v>
      </c>
      <c r="G21" s="1" t="s">
        <v>13</v>
      </c>
    </row>
    <row r="22" spans="1:7" x14ac:dyDescent="0.25">
      <c r="A22" s="1" t="s">
        <v>91</v>
      </c>
      <c r="B22" s="20" t="s">
        <v>92</v>
      </c>
      <c r="C22" s="20" t="s">
        <v>93</v>
      </c>
      <c r="D22" s="20" t="s">
        <v>94</v>
      </c>
      <c r="E22" s="20" t="s">
        <v>95</v>
      </c>
      <c r="F22" s="20" t="s">
        <v>96</v>
      </c>
      <c r="G22" s="1" t="s">
        <v>13</v>
      </c>
    </row>
    <row r="23" spans="1:7" x14ac:dyDescent="0.25">
      <c r="A23" s="1" t="s">
        <v>97</v>
      </c>
      <c r="B23" s="20" t="s">
        <v>98</v>
      </c>
      <c r="C23" s="20" t="s">
        <v>99</v>
      </c>
      <c r="D23" s="20" t="s">
        <v>100</v>
      </c>
      <c r="E23" s="20" t="s">
        <v>101</v>
      </c>
      <c r="F23" s="20" t="s">
        <v>102</v>
      </c>
      <c r="G23" s="1" t="s">
        <v>13</v>
      </c>
    </row>
    <row r="24" spans="1:7" x14ac:dyDescent="0.25">
      <c r="A24" s="1" t="s">
        <v>103</v>
      </c>
      <c r="B24" s="20" t="s">
        <v>104</v>
      </c>
      <c r="C24" s="20" t="s">
        <v>105</v>
      </c>
      <c r="D24" s="20" t="s">
        <v>106</v>
      </c>
      <c r="E24" s="20" t="s">
        <v>107</v>
      </c>
      <c r="F24" s="20" t="s">
        <v>108</v>
      </c>
      <c r="G24" s="1" t="s">
        <v>13</v>
      </c>
    </row>
    <row r="25" spans="1:7" x14ac:dyDescent="0.25">
      <c r="A25" s="1" t="s">
        <v>109</v>
      </c>
      <c r="B25" s="1"/>
      <c r="C25" s="1"/>
      <c r="D25" s="1"/>
      <c r="E25" s="1"/>
      <c r="F25" s="1"/>
      <c r="G25" s="1" t="s">
        <v>13</v>
      </c>
    </row>
    <row r="26" spans="1:7" x14ac:dyDescent="0.25">
      <c r="A26" s="1" t="s">
        <v>110</v>
      </c>
      <c r="B26" s="1"/>
      <c r="C26" s="1"/>
      <c r="D26" s="1"/>
      <c r="E26" s="1"/>
      <c r="F26" s="1"/>
      <c r="G26" s="1" t="s">
        <v>13</v>
      </c>
    </row>
    <row r="27" spans="1:7" x14ac:dyDescent="0.25">
      <c r="A27" s="1" t="s">
        <v>111</v>
      </c>
      <c r="B27" s="20" t="s">
        <v>112</v>
      </c>
      <c r="C27" s="20" t="s">
        <v>113</v>
      </c>
      <c r="D27" s="20" t="s">
        <v>114</v>
      </c>
      <c r="E27" s="20" t="s">
        <v>115</v>
      </c>
      <c r="F27" s="20" t="s">
        <v>116</v>
      </c>
      <c r="G27" s="1" t="s">
        <v>13</v>
      </c>
    </row>
    <row r="28" spans="1:7" x14ac:dyDescent="0.25">
      <c r="A28" s="1" t="s">
        <v>117</v>
      </c>
      <c r="B28" s="20" t="s">
        <v>118</v>
      </c>
      <c r="C28" s="20" t="s">
        <v>119</v>
      </c>
      <c r="D28" s="20" t="s">
        <v>120</v>
      </c>
      <c r="E28" s="20" t="s">
        <v>121</v>
      </c>
      <c r="F28" s="20" t="s">
        <v>122</v>
      </c>
      <c r="G28" s="1" t="s">
        <v>13</v>
      </c>
    </row>
    <row r="29" spans="1:7" x14ac:dyDescent="0.25">
      <c r="A29" s="1" t="s">
        <v>123</v>
      </c>
      <c r="B29" s="20" t="s">
        <v>124</v>
      </c>
      <c r="C29" s="20" t="s">
        <v>125</v>
      </c>
      <c r="D29" s="20" t="s">
        <v>126</v>
      </c>
      <c r="E29" s="20" t="s">
        <v>127</v>
      </c>
      <c r="F29" s="20" t="s">
        <v>128</v>
      </c>
      <c r="G29" s="1" t="s">
        <v>13</v>
      </c>
    </row>
    <row r="30" spans="1:7" x14ac:dyDescent="0.25">
      <c r="A30" s="1" t="s">
        <v>129</v>
      </c>
      <c r="B30" s="20" t="s">
        <v>130</v>
      </c>
      <c r="C30" s="20" t="s">
        <v>131</v>
      </c>
      <c r="D30" s="20" t="s">
        <v>132</v>
      </c>
      <c r="E30" s="20" t="s">
        <v>133</v>
      </c>
      <c r="F30" s="20" t="s">
        <v>134</v>
      </c>
      <c r="G30" s="1" t="s">
        <v>13</v>
      </c>
    </row>
    <row r="31" spans="1:7" x14ac:dyDescent="0.25">
      <c r="A31" s="1" t="s">
        <v>135</v>
      </c>
      <c r="B31" s="20" t="s">
        <v>136</v>
      </c>
      <c r="C31" s="20" t="s">
        <v>137</v>
      </c>
      <c r="D31" s="20" t="s">
        <v>138</v>
      </c>
      <c r="E31" s="20" t="s">
        <v>139</v>
      </c>
      <c r="F31" s="20" t="s">
        <v>140</v>
      </c>
      <c r="G31" s="1" t="s">
        <v>13</v>
      </c>
    </row>
    <row r="32" spans="1:7" x14ac:dyDescent="0.25">
      <c r="A32" s="1" t="s">
        <v>141</v>
      </c>
      <c r="B32" s="20" t="s">
        <v>142</v>
      </c>
      <c r="C32" s="20" t="s">
        <v>143</v>
      </c>
      <c r="D32" s="20" t="s">
        <v>144</v>
      </c>
      <c r="E32" s="20" t="s">
        <v>145</v>
      </c>
      <c r="F32" s="20" t="s">
        <v>146</v>
      </c>
      <c r="G32" s="1" t="s">
        <v>13</v>
      </c>
    </row>
    <row r="33" spans="1:7" x14ac:dyDescent="0.25">
      <c r="A33" s="1" t="s">
        <v>147</v>
      </c>
      <c r="B33" s="1" t="s">
        <v>148</v>
      </c>
      <c r="C33" s="1" t="s">
        <v>149</v>
      </c>
      <c r="D33" s="1" t="s">
        <v>150</v>
      </c>
      <c r="E33" s="1" t="s">
        <v>151</v>
      </c>
      <c r="F33" s="1" t="s">
        <v>152</v>
      </c>
      <c r="G33" s="1" t="s">
        <v>13</v>
      </c>
    </row>
    <row r="34" spans="1:7" x14ac:dyDescent="0.25">
      <c r="A34" s="1" t="s">
        <v>153</v>
      </c>
      <c r="B34" s="20" t="s">
        <v>154</v>
      </c>
      <c r="C34" s="20" t="s">
        <v>155</v>
      </c>
      <c r="D34" s="20" t="s">
        <v>156</v>
      </c>
      <c r="E34" s="20" t="s">
        <v>157</v>
      </c>
      <c r="F34" s="20" t="s">
        <v>158</v>
      </c>
      <c r="G34" s="1" t="s">
        <v>13</v>
      </c>
    </row>
    <row r="35" spans="1:7" x14ac:dyDescent="0.25">
      <c r="A35" s="1" t="s">
        <v>159</v>
      </c>
      <c r="B35" s="20" t="s">
        <v>160</v>
      </c>
      <c r="C35" s="20" t="s">
        <v>161</v>
      </c>
      <c r="D35" s="20" t="s">
        <v>162</v>
      </c>
      <c r="E35" s="20" t="s">
        <v>163</v>
      </c>
      <c r="F35" s="20" t="s">
        <v>164</v>
      </c>
      <c r="G35" s="1" t="s">
        <v>13</v>
      </c>
    </row>
    <row r="36" spans="1:7" x14ac:dyDescent="0.25">
      <c r="A36" s="1" t="s">
        <v>165</v>
      </c>
      <c r="B36" s="1"/>
      <c r="C36" s="1"/>
      <c r="D36" s="1"/>
      <c r="E36" s="1"/>
      <c r="F36" s="1"/>
      <c r="G36" s="1" t="s">
        <v>13</v>
      </c>
    </row>
    <row r="37" spans="1:7" x14ac:dyDescent="0.25">
      <c r="A37" s="1" t="s">
        <v>166</v>
      </c>
      <c r="B37" s="20" t="s">
        <v>167</v>
      </c>
      <c r="C37" s="20" t="s">
        <v>168</v>
      </c>
      <c r="D37" s="20" t="s">
        <v>169</v>
      </c>
      <c r="E37" s="20" t="s">
        <v>170</v>
      </c>
      <c r="F37" s="20" t="s">
        <v>171</v>
      </c>
      <c r="G37" s="1" t="s">
        <v>13</v>
      </c>
    </row>
    <row r="38" spans="1:7" x14ac:dyDescent="0.25">
      <c r="A38" s="1" t="s">
        <v>172</v>
      </c>
      <c r="B38" s="20" t="s">
        <v>173</v>
      </c>
      <c r="C38" s="20" t="s">
        <v>174</v>
      </c>
      <c r="D38" s="20" t="s">
        <v>175</v>
      </c>
      <c r="E38" s="20" t="s">
        <v>176</v>
      </c>
      <c r="F38" s="20" t="s">
        <v>177</v>
      </c>
      <c r="G38" s="1" t="s">
        <v>13</v>
      </c>
    </row>
    <row r="39" spans="1:7" x14ac:dyDescent="0.25">
      <c r="A39" s="1" t="s">
        <v>178</v>
      </c>
      <c r="B39" s="20" t="s">
        <v>179</v>
      </c>
      <c r="C39" s="20" t="s">
        <v>180</v>
      </c>
      <c r="D39" s="20" t="s">
        <v>181</v>
      </c>
      <c r="E39" s="20" t="s">
        <v>182</v>
      </c>
      <c r="F39" s="20" t="s">
        <v>183</v>
      </c>
      <c r="G39" s="1" t="s">
        <v>13</v>
      </c>
    </row>
    <row r="40" spans="1:7" x14ac:dyDescent="0.25">
      <c r="A40" s="1" t="s">
        <v>184</v>
      </c>
      <c r="B40" s="20" t="s">
        <v>185</v>
      </c>
      <c r="C40" s="20" t="s">
        <v>186</v>
      </c>
      <c r="D40" s="20" t="s">
        <v>187</v>
      </c>
      <c r="E40" s="20" t="s">
        <v>188</v>
      </c>
      <c r="F40" s="20" t="s">
        <v>189</v>
      </c>
      <c r="G40" s="1" t="s">
        <v>13</v>
      </c>
    </row>
    <row r="41" spans="1:7" x14ac:dyDescent="0.25">
      <c r="A41" s="1" t="s">
        <v>190</v>
      </c>
      <c r="B41" s="20" t="s">
        <v>191</v>
      </c>
      <c r="C41" s="1" t="s">
        <v>192</v>
      </c>
      <c r="D41" s="20" t="s">
        <v>193</v>
      </c>
      <c r="E41" s="20" t="s">
        <v>194</v>
      </c>
      <c r="F41" s="1" t="s">
        <v>195</v>
      </c>
      <c r="G41" s="1" t="s">
        <v>13</v>
      </c>
    </row>
    <row r="42" spans="1:7" x14ac:dyDescent="0.25">
      <c r="A42" s="1" t="s">
        <v>196</v>
      </c>
      <c r="B42" s="20" t="s">
        <v>197</v>
      </c>
      <c r="C42" s="20" t="s">
        <v>198</v>
      </c>
      <c r="D42" s="20" t="s">
        <v>199</v>
      </c>
      <c r="E42" s="20" t="s">
        <v>200</v>
      </c>
      <c r="F42" s="20" t="s">
        <v>201</v>
      </c>
      <c r="G42" s="1" t="s">
        <v>13</v>
      </c>
    </row>
    <row r="43" spans="1:7" x14ac:dyDescent="0.25">
      <c r="A43" s="1" t="s">
        <v>202</v>
      </c>
      <c r="B43" s="20" t="s">
        <v>203</v>
      </c>
      <c r="C43" s="20" t="s">
        <v>204</v>
      </c>
      <c r="D43" s="20" t="s">
        <v>205</v>
      </c>
      <c r="E43" s="20" t="s">
        <v>206</v>
      </c>
      <c r="F43" s="20" t="s">
        <v>207</v>
      </c>
      <c r="G43" s="1" t="s">
        <v>13</v>
      </c>
    </row>
    <row r="44" spans="1:7" x14ac:dyDescent="0.25">
      <c r="A44" s="1" t="s">
        <v>208</v>
      </c>
      <c r="B44" s="20" t="s">
        <v>104</v>
      </c>
      <c r="C44" s="20" t="s">
        <v>105</v>
      </c>
      <c r="D44" s="20" t="s">
        <v>106</v>
      </c>
      <c r="E44" s="20" t="s">
        <v>107</v>
      </c>
      <c r="F44" s="20" t="s">
        <v>108</v>
      </c>
      <c r="G44" s="1" t="s">
        <v>13</v>
      </c>
    </row>
    <row r="45" spans="1:7" x14ac:dyDescent="0.25">
      <c r="A45" s="1" t="s">
        <v>209</v>
      </c>
      <c r="B45" s="1"/>
      <c r="C45" s="1"/>
      <c r="D45" s="1"/>
      <c r="E45" s="1"/>
      <c r="F45" s="1"/>
      <c r="G45" s="1" t="s">
        <v>13</v>
      </c>
    </row>
    <row r="46" spans="1:7" x14ac:dyDescent="0.25">
      <c r="A46" s="1" t="s">
        <v>210</v>
      </c>
      <c r="B46" s="1"/>
      <c r="C46" s="1"/>
      <c r="D46" s="1"/>
      <c r="E46" s="1"/>
      <c r="F46" s="1"/>
      <c r="G46" s="1" t="s">
        <v>13</v>
      </c>
    </row>
    <row r="47" spans="1:7" x14ac:dyDescent="0.25">
      <c r="A47" s="1" t="s">
        <v>211</v>
      </c>
      <c r="B47" s="20" t="s">
        <v>212</v>
      </c>
      <c r="C47" s="20" t="s">
        <v>213</v>
      </c>
      <c r="D47" s="20" t="s">
        <v>214</v>
      </c>
      <c r="E47" s="20" t="s">
        <v>215</v>
      </c>
      <c r="F47" s="20" t="s">
        <v>216</v>
      </c>
      <c r="G47" s="1" t="s">
        <v>13</v>
      </c>
    </row>
    <row r="48" spans="1:7" x14ac:dyDescent="0.25">
      <c r="A48" s="1" t="s">
        <v>217</v>
      </c>
      <c r="B48" s="1"/>
      <c r="C48" s="1"/>
      <c r="D48" s="1"/>
      <c r="E48" s="1"/>
      <c r="F48" s="1"/>
      <c r="G48" s="1" t="s">
        <v>13</v>
      </c>
    </row>
    <row r="49" spans="1:7" x14ac:dyDescent="0.25">
      <c r="A49" s="1" t="s">
        <v>218</v>
      </c>
      <c r="B49" s="1" t="s">
        <v>219</v>
      </c>
      <c r="C49" s="1" t="s">
        <v>219</v>
      </c>
      <c r="D49" s="1" t="s">
        <v>219</v>
      </c>
      <c r="E49" s="1" t="s">
        <v>219</v>
      </c>
      <c r="F49" s="1" t="s">
        <v>219</v>
      </c>
      <c r="G49" s="1" t="s">
        <v>13</v>
      </c>
    </row>
    <row r="50" spans="1:7" x14ac:dyDescent="0.25">
      <c r="A50" s="1" t="s">
        <v>220</v>
      </c>
      <c r="B50" s="1"/>
      <c r="C50" s="1"/>
      <c r="D50" s="1"/>
      <c r="E50" s="1"/>
      <c r="F50" s="1"/>
      <c r="G50" s="1" t="s">
        <v>13</v>
      </c>
    </row>
    <row r="51" spans="1:7" x14ac:dyDescent="0.25">
      <c r="A51" s="1" t="s">
        <v>221</v>
      </c>
      <c r="B51" s="1" t="s">
        <v>222</v>
      </c>
      <c r="C51" s="1" t="s">
        <v>223</v>
      </c>
      <c r="D51" s="1" t="s">
        <v>224</v>
      </c>
      <c r="E51" s="1" t="s">
        <v>225</v>
      </c>
      <c r="F51" s="1" t="s">
        <v>226</v>
      </c>
      <c r="G51" s="1" t="s">
        <v>13</v>
      </c>
    </row>
    <row r="52" spans="1:7" x14ac:dyDescent="0.25">
      <c r="A52" s="1" t="s">
        <v>227</v>
      </c>
      <c r="B52" s="1" t="s">
        <v>228</v>
      </c>
      <c r="C52" s="1" t="s">
        <v>229</v>
      </c>
      <c r="D52" s="1" t="s">
        <v>230</v>
      </c>
      <c r="E52" s="1" t="s">
        <v>231</v>
      </c>
      <c r="F52" s="1" t="s">
        <v>232</v>
      </c>
      <c r="G52" s="1" t="s">
        <v>13</v>
      </c>
    </row>
    <row r="53" spans="1:7" x14ac:dyDescent="0.25">
      <c r="A53" s="1" t="s">
        <v>233</v>
      </c>
      <c r="B53" s="1"/>
      <c r="C53" s="1"/>
      <c r="D53" s="1"/>
      <c r="E53" s="1"/>
      <c r="F53" s="1"/>
      <c r="G53" s="1" t="s">
        <v>13</v>
      </c>
    </row>
    <row r="54" spans="1:7" x14ac:dyDescent="0.25">
      <c r="A54" s="1" t="s">
        <v>234</v>
      </c>
      <c r="B54" s="1" t="s">
        <v>235</v>
      </c>
      <c r="C54" s="1" t="s">
        <v>236</v>
      </c>
      <c r="D54" s="1" t="s">
        <v>237</v>
      </c>
      <c r="E54" s="1" t="s">
        <v>235</v>
      </c>
      <c r="F54" s="1" t="s">
        <v>235</v>
      </c>
      <c r="G54" s="1" t="s">
        <v>13</v>
      </c>
    </row>
    <row r="55" spans="1:7" x14ac:dyDescent="0.25">
      <c r="A55" s="1" t="s">
        <v>238</v>
      </c>
      <c r="B55" s="20" t="s">
        <v>167</v>
      </c>
      <c r="C55" s="20" t="s">
        <v>239</v>
      </c>
      <c r="D55" s="20" t="s">
        <v>240</v>
      </c>
      <c r="E55" s="20" t="s">
        <v>170</v>
      </c>
      <c r="F55" s="20" t="s">
        <v>171</v>
      </c>
      <c r="G55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08E-4A92-46BF-82A8-CF308969E591}">
  <dimension ref="A1:L252"/>
  <sheetViews>
    <sheetView topLeftCell="B2" workbookViewId="0">
      <selection activeCell="J7" sqref="J7"/>
    </sheetView>
  </sheetViews>
  <sheetFormatPr defaultRowHeight="15" x14ac:dyDescent="0.25"/>
  <cols>
    <col min="1" max="1" width="19.140625" customWidth="1"/>
    <col min="3" max="3" width="17" customWidth="1"/>
    <col min="4" max="4" width="10.85546875" customWidth="1"/>
    <col min="5" max="5" width="7.42578125" customWidth="1"/>
    <col min="6" max="6" width="12" customWidth="1"/>
    <col min="7" max="7" width="17" customWidth="1"/>
    <col min="8" max="8" width="18" customWidth="1"/>
    <col min="10" max="10" width="28.42578125" customWidth="1"/>
    <col min="11" max="11" width="10.5703125" bestFit="1" customWidth="1"/>
    <col min="12" max="12" width="31.7109375" customWidth="1"/>
  </cols>
  <sheetData>
    <row r="1" spans="1:12" x14ac:dyDescent="0.25">
      <c r="B1" t="s">
        <v>459</v>
      </c>
      <c r="C1" t="s">
        <v>463</v>
      </c>
      <c r="G1" t="s">
        <v>460</v>
      </c>
    </row>
    <row r="2" spans="1:12" x14ac:dyDescent="0.25">
      <c r="A2" s="2" t="s">
        <v>407</v>
      </c>
      <c r="B2" s="2" t="s">
        <v>458</v>
      </c>
      <c r="C2" s="2" t="s">
        <v>461</v>
      </c>
      <c r="D2" s="2" t="s">
        <v>455</v>
      </c>
      <c r="E2" s="2" t="s">
        <v>462</v>
      </c>
      <c r="F2" s="2" t="s">
        <v>455</v>
      </c>
      <c r="G2" s="2" t="s">
        <v>458</v>
      </c>
      <c r="H2" s="2" t="s">
        <v>461</v>
      </c>
      <c r="L2" s="2" t="s">
        <v>455</v>
      </c>
    </row>
    <row r="3" spans="1:12" x14ac:dyDescent="0.25">
      <c r="A3" s="6">
        <v>43825</v>
      </c>
      <c r="B3">
        <v>12126.549805000001</v>
      </c>
      <c r="G3">
        <v>174.60000600000001</v>
      </c>
    </row>
    <row r="4" spans="1:12" x14ac:dyDescent="0.25">
      <c r="A4" s="6">
        <v>43826</v>
      </c>
      <c r="B4">
        <v>12245.799805000001</v>
      </c>
      <c r="C4" s="3">
        <f>B4/B3-1</f>
        <v>9.8337946009037225E-3</v>
      </c>
      <c r="D4" t="str">
        <f ca="1">_xlfn.FORMULATEXT(C4)</f>
        <v>=B4/B3-1</v>
      </c>
      <c r="E4" s="3">
        <f>LN(B4/B3)</f>
        <v>9.7857575106329864E-3</v>
      </c>
      <c r="F4" t="str">
        <f ca="1">_xlfn.FORMULATEXT(E4)</f>
        <v>=LN(B4/B3)</v>
      </c>
      <c r="G4">
        <v>176.14999399999999</v>
      </c>
      <c r="H4" s="3">
        <f>G4/G3-1</f>
        <v>8.8773651015796595E-3</v>
      </c>
      <c r="J4" t="s">
        <v>465</v>
      </c>
      <c r="K4" s="14">
        <f>_xlfn.COVARIANCE.P(C4:C252,H4:H252)/_xlfn.VAR.P(C4:C252)</f>
        <v>1.2881848277634906</v>
      </c>
      <c r="L4" t="str">
        <f ca="1">_xlfn.FORMULATEXT(K4)</f>
        <v>=COVARIANCE.P(C4:C252,H4:H252)/VAR.P(C4:C252)</v>
      </c>
    </row>
    <row r="5" spans="1:12" x14ac:dyDescent="0.25">
      <c r="A5" s="6">
        <v>43829</v>
      </c>
      <c r="B5">
        <v>12255.849609000001</v>
      </c>
      <c r="C5" s="3">
        <f t="shared" ref="C5:C68" si="0">B5/B4-1</f>
        <v>8.2067355011772314E-4</v>
      </c>
      <c r="E5" s="3">
        <f t="shared" ref="E5:E68" si="1">LN(B5/B4)</f>
        <v>8.2033698170906437E-4</v>
      </c>
      <c r="G5">
        <v>183.699997</v>
      </c>
      <c r="H5" s="3">
        <f t="shared" ref="H5:H68" si="2">G5/G4-1</f>
        <v>4.2861216333620833E-2</v>
      </c>
      <c r="J5" t="s">
        <v>466</v>
      </c>
      <c r="K5" s="15">
        <f>AVERAGE(C4:C252)</f>
        <v>7.0333446179979915E-4</v>
      </c>
      <c r="L5" t="str">
        <f ca="1">_xlfn.FORMULATEXT(K5)</f>
        <v>=AVERAGE(C4:C252)</v>
      </c>
    </row>
    <row r="6" spans="1:12" x14ac:dyDescent="0.25">
      <c r="A6" s="6">
        <v>43830</v>
      </c>
      <c r="B6">
        <v>12168.450194999999</v>
      </c>
      <c r="C6" s="3">
        <f t="shared" si="0"/>
        <v>-7.1312407371432185E-3</v>
      </c>
      <c r="E6" s="3">
        <f t="shared" si="1"/>
        <v>-7.156789570078685E-3</v>
      </c>
      <c r="G6">
        <v>185.14999399999999</v>
      </c>
      <c r="H6" s="3">
        <f t="shared" si="2"/>
        <v>7.8932880984206033E-3</v>
      </c>
      <c r="J6" t="s">
        <v>467</v>
      </c>
      <c r="K6" s="3">
        <f>((1 +K5)^365)-1</f>
        <v>0.29256270648762595</v>
      </c>
      <c r="L6" t="str">
        <f ca="1">_xlfn.FORMULATEXT(K6)</f>
        <v>=((1 +K5)^365)-1</v>
      </c>
    </row>
    <row r="7" spans="1:12" x14ac:dyDescent="0.25">
      <c r="A7" s="6">
        <v>43831</v>
      </c>
      <c r="B7">
        <v>12182.5</v>
      </c>
      <c r="C7" s="3">
        <f t="shared" si="0"/>
        <v>1.1546092374010719E-3</v>
      </c>
      <c r="E7" s="3">
        <f t="shared" si="1"/>
        <v>1.1539431887901464E-3</v>
      </c>
      <c r="G7">
        <v>184.449997</v>
      </c>
      <c r="H7" s="3">
        <f t="shared" si="2"/>
        <v>-3.7807022559233072E-3</v>
      </c>
      <c r="J7" t="s">
        <v>468</v>
      </c>
      <c r="K7" s="15">
        <f>AVERAGE(H4:H252)</f>
        <v>7.6871928719942229E-4</v>
      </c>
    </row>
    <row r="8" spans="1:12" x14ac:dyDescent="0.25">
      <c r="A8" s="6">
        <v>43832</v>
      </c>
      <c r="B8">
        <v>12282.200194999999</v>
      </c>
      <c r="C8" s="3">
        <f t="shared" si="0"/>
        <v>8.1838863123331329E-3</v>
      </c>
      <c r="E8" s="3">
        <f t="shared" si="1"/>
        <v>8.1505799085697765E-3</v>
      </c>
      <c r="G8">
        <v>193.75</v>
      </c>
      <c r="H8" s="3">
        <f t="shared" si="2"/>
        <v>5.0420185151859975E-2</v>
      </c>
      <c r="J8" t="s">
        <v>469</v>
      </c>
      <c r="K8" s="3">
        <f>((1+K7)^365)-1</f>
        <v>0.32375811795568499</v>
      </c>
    </row>
    <row r="9" spans="1:12" x14ac:dyDescent="0.25">
      <c r="A9" s="6">
        <v>43833</v>
      </c>
      <c r="B9">
        <v>12226.650390999999</v>
      </c>
      <c r="C9" s="3">
        <f t="shared" si="0"/>
        <v>-4.5227893307433487E-3</v>
      </c>
      <c r="E9" s="3">
        <f t="shared" si="1"/>
        <v>-4.5330480862215356E-3</v>
      </c>
      <c r="G9">
        <v>191.10000600000001</v>
      </c>
      <c r="H9" s="3">
        <f t="shared" si="2"/>
        <v>-1.3677388387096756E-2</v>
      </c>
    </row>
    <row r="10" spans="1:12" x14ac:dyDescent="0.25">
      <c r="A10" s="6">
        <v>43836</v>
      </c>
      <c r="B10">
        <v>11993.049805000001</v>
      </c>
      <c r="C10" s="3">
        <f t="shared" si="0"/>
        <v>-1.9105853077466817E-2</v>
      </c>
      <c r="E10" s="3">
        <f t="shared" si="1"/>
        <v>-1.9290728477755242E-2</v>
      </c>
      <c r="G10">
        <v>185.64999399999999</v>
      </c>
      <c r="H10" s="3">
        <f t="shared" si="2"/>
        <v>-2.8519161846598862E-2</v>
      </c>
    </row>
    <row r="11" spans="1:12" x14ac:dyDescent="0.25">
      <c r="A11" s="6">
        <v>43837</v>
      </c>
      <c r="B11">
        <v>12052.950194999999</v>
      </c>
      <c r="C11" s="3">
        <f t="shared" si="0"/>
        <v>4.9945919489990942E-3</v>
      </c>
      <c r="E11" s="3">
        <f t="shared" si="1"/>
        <v>4.9821603512861263E-3</v>
      </c>
      <c r="G11">
        <v>184.699997</v>
      </c>
      <c r="H11" s="3">
        <f t="shared" si="2"/>
        <v>-5.1171399445345545E-3</v>
      </c>
      <c r="J11" t="s">
        <v>406</v>
      </c>
    </row>
    <row r="12" spans="1:12" x14ac:dyDescent="0.25">
      <c r="A12" s="6">
        <v>43838</v>
      </c>
      <c r="B12">
        <v>12025.349609000001</v>
      </c>
      <c r="C12" s="3">
        <f t="shared" si="0"/>
        <v>-2.2899444163843041E-3</v>
      </c>
      <c r="E12" s="3">
        <f t="shared" si="1"/>
        <v>-2.29257034869132E-3</v>
      </c>
      <c r="G12">
        <v>182.550003</v>
      </c>
      <c r="H12" s="3">
        <f t="shared" si="2"/>
        <v>-1.1640465808995026E-2</v>
      </c>
    </row>
    <row r="13" spans="1:12" x14ac:dyDescent="0.25">
      <c r="A13" s="6">
        <v>43839</v>
      </c>
      <c r="B13">
        <v>12215.900390999999</v>
      </c>
      <c r="C13" s="3">
        <f t="shared" si="0"/>
        <v>1.5845758185474068E-2</v>
      </c>
      <c r="E13" s="3">
        <f t="shared" si="1"/>
        <v>1.5721524821986389E-2</v>
      </c>
      <c r="G13">
        <v>192</v>
      </c>
      <c r="H13" s="3">
        <f t="shared" si="2"/>
        <v>5.1766621992331618E-2</v>
      </c>
    </row>
    <row r="14" spans="1:12" x14ac:dyDescent="0.25">
      <c r="A14" s="6">
        <v>43840</v>
      </c>
      <c r="B14">
        <v>12256.799805000001</v>
      </c>
      <c r="C14" s="3">
        <f t="shared" si="0"/>
        <v>3.348047437431223E-3</v>
      </c>
      <c r="E14" s="3">
        <f t="shared" si="1"/>
        <v>3.3424552051725003E-3</v>
      </c>
      <c r="G14">
        <v>196.35000600000001</v>
      </c>
      <c r="H14" s="3">
        <f t="shared" si="2"/>
        <v>2.2656281249999966E-2</v>
      </c>
    </row>
    <row r="15" spans="1:12" x14ac:dyDescent="0.25">
      <c r="A15" s="6">
        <v>43843</v>
      </c>
      <c r="B15">
        <v>12329.549805000001</v>
      </c>
      <c r="C15" s="3">
        <f t="shared" si="0"/>
        <v>5.9354808071778731E-3</v>
      </c>
      <c r="E15" s="3">
        <f t="shared" si="1"/>
        <v>5.9179352343466524E-3</v>
      </c>
      <c r="G15">
        <v>196.25</v>
      </c>
      <c r="H15" s="3">
        <f t="shared" si="2"/>
        <v>-5.0932516905555225E-4</v>
      </c>
    </row>
    <row r="16" spans="1:12" x14ac:dyDescent="0.25">
      <c r="A16" s="6">
        <v>43844</v>
      </c>
      <c r="B16">
        <v>12362.299805000001</v>
      </c>
      <c r="C16" s="3">
        <f t="shared" si="0"/>
        <v>2.6562202609148322E-3</v>
      </c>
      <c r="E16" s="3">
        <f t="shared" si="1"/>
        <v>2.6526987424516594E-3</v>
      </c>
      <c r="G16">
        <v>195.85000600000001</v>
      </c>
      <c r="H16" s="3">
        <f t="shared" si="2"/>
        <v>-2.0381859872611319E-3</v>
      </c>
    </row>
    <row r="17" spans="1:8" x14ac:dyDescent="0.25">
      <c r="A17" s="6">
        <v>43845</v>
      </c>
      <c r="B17">
        <v>12343.299805000001</v>
      </c>
      <c r="C17" s="3">
        <f t="shared" si="0"/>
        <v>-1.5369308542667603E-3</v>
      </c>
      <c r="E17" s="3">
        <f t="shared" si="1"/>
        <v>-1.538113144045866E-3</v>
      </c>
      <c r="G17">
        <v>200.35000600000001</v>
      </c>
      <c r="H17" s="3">
        <f t="shared" si="2"/>
        <v>2.2976767230734829E-2</v>
      </c>
    </row>
    <row r="18" spans="1:8" x14ac:dyDescent="0.25">
      <c r="A18" s="6">
        <v>43846</v>
      </c>
      <c r="B18">
        <v>12355.5</v>
      </c>
      <c r="C18" s="3">
        <f t="shared" si="0"/>
        <v>9.8840627650131907E-4</v>
      </c>
      <c r="E18" s="3">
        <f t="shared" si="1"/>
        <v>9.8791812465269242E-4</v>
      </c>
      <c r="G18">
        <v>197.550003</v>
      </c>
      <c r="H18" s="3">
        <f t="shared" si="2"/>
        <v>-1.3975557355361379E-2</v>
      </c>
    </row>
    <row r="19" spans="1:8" x14ac:dyDescent="0.25">
      <c r="A19" s="6">
        <v>43847</v>
      </c>
      <c r="B19">
        <v>12352.349609000001</v>
      </c>
      <c r="C19" s="3">
        <f t="shared" si="0"/>
        <v>-2.5497883533642796E-4</v>
      </c>
      <c r="E19" s="3">
        <f t="shared" si="1"/>
        <v>-2.5501134796646855E-4</v>
      </c>
      <c r="G19">
        <v>197.300003</v>
      </c>
      <c r="H19" s="3">
        <f t="shared" si="2"/>
        <v>-1.2655023852365943E-3</v>
      </c>
    </row>
    <row r="20" spans="1:8" x14ac:dyDescent="0.25">
      <c r="A20" s="6">
        <v>43850</v>
      </c>
      <c r="B20">
        <v>12224.549805000001</v>
      </c>
      <c r="C20" s="3">
        <f t="shared" si="0"/>
        <v>-1.0346193885808153E-2</v>
      </c>
      <c r="E20" s="3">
        <f t="shared" si="1"/>
        <v>-1.0400087803330228E-2</v>
      </c>
      <c r="G20">
        <v>195</v>
      </c>
      <c r="H20" s="3">
        <f t="shared" si="2"/>
        <v>-1.1657389584530331E-2</v>
      </c>
    </row>
    <row r="21" spans="1:8" x14ac:dyDescent="0.25">
      <c r="A21" s="6">
        <v>43851</v>
      </c>
      <c r="B21">
        <v>12169.849609000001</v>
      </c>
      <c r="C21" s="3">
        <f t="shared" si="0"/>
        <v>-4.4746184417872037E-3</v>
      </c>
      <c r="E21" s="3">
        <f t="shared" si="1"/>
        <v>-4.4846595113863293E-3</v>
      </c>
      <c r="G21">
        <v>191.39999399999999</v>
      </c>
      <c r="H21" s="3">
        <f t="shared" si="2"/>
        <v>-1.8461569230769248E-2</v>
      </c>
    </row>
    <row r="22" spans="1:8" x14ac:dyDescent="0.25">
      <c r="A22" s="6">
        <v>43852</v>
      </c>
      <c r="B22">
        <v>12106.900390999999</v>
      </c>
      <c r="C22" s="3">
        <f t="shared" si="0"/>
        <v>-5.1725551278339887E-3</v>
      </c>
      <c r="E22" s="3">
        <f t="shared" si="1"/>
        <v>-5.185979101948711E-3</v>
      </c>
      <c r="G22">
        <v>185.60000600000001</v>
      </c>
      <c r="H22" s="3">
        <f t="shared" si="2"/>
        <v>-3.0302968557041732E-2</v>
      </c>
    </row>
    <row r="23" spans="1:8" x14ac:dyDescent="0.25">
      <c r="A23" s="6">
        <v>43853</v>
      </c>
      <c r="B23">
        <v>12180.349609000001</v>
      </c>
      <c r="C23" s="3">
        <f t="shared" si="0"/>
        <v>6.0667235731617364E-3</v>
      </c>
      <c r="E23" s="3">
        <f t="shared" si="1"/>
        <v>6.0483950975458852E-3</v>
      </c>
      <c r="G23">
        <v>188.39999399999999</v>
      </c>
      <c r="H23" s="3">
        <f t="shared" si="2"/>
        <v>1.5086141753680726E-2</v>
      </c>
    </row>
    <row r="24" spans="1:8" x14ac:dyDescent="0.25">
      <c r="A24" s="6">
        <v>43854</v>
      </c>
      <c r="B24">
        <v>12248.25</v>
      </c>
      <c r="C24" s="3">
        <f t="shared" si="0"/>
        <v>5.5745847352219879E-3</v>
      </c>
      <c r="E24" s="3">
        <f t="shared" si="1"/>
        <v>5.5591042426349846E-3</v>
      </c>
      <c r="G24">
        <v>186.5</v>
      </c>
      <c r="H24" s="3">
        <f t="shared" si="2"/>
        <v>-1.0084894164062441E-2</v>
      </c>
    </row>
    <row r="25" spans="1:8" x14ac:dyDescent="0.25">
      <c r="A25" s="6">
        <v>43857</v>
      </c>
      <c r="B25">
        <v>12119</v>
      </c>
      <c r="C25" s="3">
        <f t="shared" si="0"/>
        <v>-1.0552527912150667E-2</v>
      </c>
      <c r="E25" s="3">
        <f t="shared" si="1"/>
        <v>-1.0608600656474901E-2</v>
      </c>
      <c r="G25">
        <v>182.199997</v>
      </c>
      <c r="H25" s="3">
        <f t="shared" si="2"/>
        <v>-2.3056316353887385E-2</v>
      </c>
    </row>
    <row r="26" spans="1:8" x14ac:dyDescent="0.25">
      <c r="A26" s="6">
        <v>43858</v>
      </c>
      <c r="B26">
        <v>12055.799805000001</v>
      </c>
      <c r="C26" s="3">
        <f t="shared" si="0"/>
        <v>-5.2149678191268922E-3</v>
      </c>
      <c r="E26" s="3">
        <f t="shared" si="1"/>
        <v>-5.2286132247123043E-3</v>
      </c>
      <c r="G26">
        <v>176.10000600000001</v>
      </c>
      <c r="H26" s="3">
        <f t="shared" si="2"/>
        <v>-3.3479643800433112E-2</v>
      </c>
    </row>
    <row r="27" spans="1:8" x14ac:dyDescent="0.25">
      <c r="A27" s="6">
        <v>43859</v>
      </c>
      <c r="B27">
        <v>12129.5</v>
      </c>
      <c r="C27" s="3">
        <f t="shared" si="0"/>
        <v>6.1132563738686141E-3</v>
      </c>
      <c r="E27" s="3">
        <f t="shared" si="1"/>
        <v>6.0946462293322151E-3</v>
      </c>
      <c r="G27">
        <v>188.050003</v>
      </c>
      <c r="H27" s="3">
        <f t="shared" si="2"/>
        <v>6.7859151577768895E-2</v>
      </c>
    </row>
    <row r="28" spans="1:8" x14ac:dyDescent="0.25">
      <c r="A28" s="6">
        <v>43860</v>
      </c>
      <c r="B28">
        <v>12035.799805000001</v>
      </c>
      <c r="C28" s="3">
        <f t="shared" si="0"/>
        <v>-7.72498412960132E-3</v>
      </c>
      <c r="E28" s="3">
        <f t="shared" si="1"/>
        <v>-7.7549763791152776E-3</v>
      </c>
      <c r="G28">
        <v>186.199997</v>
      </c>
      <c r="H28" s="3">
        <f t="shared" si="2"/>
        <v>-9.8378408427890474E-3</v>
      </c>
    </row>
    <row r="29" spans="1:8" x14ac:dyDescent="0.25">
      <c r="A29" s="6">
        <v>43861</v>
      </c>
      <c r="B29">
        <v>11962.099609000001</v>
      </c>
      <c r="C29" s="3">
        <f t="shared" si="0"/>
        <v>-6.1234149116856651E-3</v>
      </c>
      <c r="E29" s="3">
        <f t="shared" si="1"/>
        <v>-6.1422399049489828E-3</v>
      </c>
      <c r="G29">
        <v>176.60000600000001</v>
      </c>
      <c r="H29" s="3">
        <f t="shared" si="2"/>
        <v>-5.1557417586854171E-2</v>
      </c>
    </row>
    <row r="30" spans="1:8" x14ac:dyDescent="0.25">
      <c r="A30" s="6">
        <v>43864</v>
      </c>
      <c r="B30">
        <v>11707.900390999999</v>
      </c>
      <c r="C30" s="3">
        <f t="shared" si="0"/>
        <v>-2.125038465728446E-2</v>
      </c>
      <c r="E30" s="3">
        <f t="shared" si="1"/>
        <v>-2.1479424685921178E-2</v>
      </c>
      <c r="G30">
        <v>163.85000600000001</v>
      </c>
      <c r="H30" s="3">
        <f t="shared" si="2"/>
        <v>-7.2197053039737669E-2</v>
      </c>
    </row>
    <row r="31" spans="1:8" x14ac:dyDescent="0.25">
      <c r="A31" s="6">
        <v>43865</v>
      </c>
      <c r="B31">
        <v>11979.650390999999</v>
      </c>
      <c r="C31" s="3">
        <f t="shared" si="0"/>
        <v>2.3210822685927335E-2</v>
      </c>
      <c r="E31" s="3">
        <f t="shared" si="1"/>
        <v>2.2945548519292577E-2</v>
      </c>
      <c r="G31">
        <v>165.699997</v>
      </c>
      <c r="H31" s="3">
        <f t="shared" si="2"/>
        <v>1.1290759427863506E-2</v>
      </c>
    </row>
    <row r="32" spans="1:8" x14ac:dyDescent="0.25">
      <c r="A32" s="6">
        <v>43866</v>
      </c>
      <c r="B32">
        <v>12089.150390999999</v>
      </c>
      <c r="C32" s="3">
        <f t="shared" si="0"/>
        <v>9.1405004675482182E-3</v>
      </c>
      <c r="E32" s="3">
        <f t="shared" si="1"/>
        <v>9.098978919841464E-3</v>
      </c>
      <c r="G32">
        <v>183.75</v>
      </c>
      <c r="H32" s="3">
        <f t="shared" si="2"/>
        <v>0.108931824543123</v>
      </c>
    </row>
    <row r="33" spans="1:8" x14ac:dyDescent="0.25">
      <c r="A33" s="6">
        <v>43867</v>
      </c>
      <c r="B33">
        <v>12137.950194999999</v>
      </c>
      <c r="C33" s="3">
        <f t="shared" si="0"/>
        <v>4.0366611731730284E-3</v>
      </c>
      <c r="E33" s="3">
        <f t="shared" si="1"/>
        <v>4.0285357155990928E-3</v>
      </c>
      <c r="G33">
        <v>178.85000600000001</v>
      </c>
      <c r="H33" s="3">
        <f t="shared" si="2"/>
        <v>-2.6666634013605361E-2</v>
      </c>
    </row>
    <row r="34" spans="1:8" x14ac:dyDescent="0.25">
      <c r="A34" s="6">
        <v>43868</v>
      </c>
      <c r="B34">
        <v>12098.349609000001</v>
      </c>
      <c r="C34" s="3">
        <f t="shared" si="0"/>
        <v>-3.2625431282714557E-3</v>
      </c>
      <c r="E34" s="3">
        <f t="shared" si="1"/>
        <v>-3.2678768262092901E-3</v>
      </c>
      <c r="G34">
        <v>173.60000600000001</v>
      </c>
      <c r="H34" s="3">
        <f t="shared" si="2"/>
        <v>-2.9354206451634113E-2</v>
      </c>
    </row>
    <row r="35" spans="1:8" x14ac:dyDescent="0.25">
      <c r="A35" s="6">
        <v>43871</v>
      </c>
      <c r="B35">
        <v>12031.5</v>
      </c>
      <c r="C35" s="3">
        <f t="shared" si="0"/>
        <v>-5.5255147322136322E-3</v>
      </c>
      <c r="E35" s="3">
        <f t="shared" si="1"/>
        <v>-5.5408368565567842E-3</v>
      </c>
      <c r="G35">
        <v>168.89999399999999</v>
      </c>
      <c r="H35" s="3">
        <f t="shared" si="2"/>
        <v>-2.7073800907587597E-2</v>
      </c>
    </row>
    <row r="36" spans="1:8" x14ac:dyDescent="0.25">
      <c r="A36" s="6">
        <v>43872</v>
      </c>
      <c r="B36">
        <v>12107.900390999999</v>
      </c>
      <c r="C36" s="3">
        <f t="shared" si="0"/>
        <v>6.3500304201471458E-3</v>
      </c>
      <c r="E36" s="3">
        <f t="shared" si="1"/>
        <v>6.3299539230673267E-3</v>
      </c>
      <c r="G36">
        <v>169.75</v>
      </c>
      <c r="H36" s="3">
        <f t="shared" si="2"/>
        <v>5.0325993498852029E-3</v>
      </c>
    </row>
    <row r="37" spans="1:8" x14ac:dyDescent="0.25">
      <c r="A37" s="6">
        <v>43873</v>
      </c>
      <c r="B37">
        <v>12201.200194999999</v>
      </c>
      <c r="C37" s="3">
        <f t="shared" si="0"/>
        <v>7.7056963624635433E-3</v>
      </c>
      <c r="E37" s="3">
        <f t="shared" si="1"/>
        <v>7.6761591238716839E-3</v>
      </c>
      <c r="G37">
        <v>170.949997</v>
      </c>
      <c r="H37" s="3">
        <f t="shared" si="2"/>
        <v>7.0692017673048557E-3</v>
      </c>
    </row>
    <row r="38" spans="1:8" x14ac:dyDescent="0.25">
      <c r="A38" s="6">
        <v>43874</v>
      </c>
      <c r="B38">
        <v>12174.650390999999</v>
      </c>
      <c r="C38" s="3">
        <f t="shared" si="0"/>
        <v>-2.1759993751172546E-3</v>
      </c>
      <c r="E38" s="3">
        <f t="shared" si="1"/>
        <v>-2.1783703018052442E-3</v>
      </c>
      <c r="G38">
        <v>169.5</v>
      </c>
      <c r="H38" s="3">
        <f t="shared" si="2"/>
        <v>-8.4819948841531323E-3</v>
      </c>
    </row>
    <row r="39" spans="1:8" x14ac:dyDescent="0.25">
      <c r="A39" s="6">
        <v>43875</v>
      </c>
      <c r="B39">
        <v>12113.450194999999</v>
      </c>
      <c r="C39" s="3">
        <f t="shared" si="0"/>
        <v>-5.0268544914637836E-3</v>
      </c>
      <c r="E39" s="3">
        <f t="shared" si="1"/>
        <v>-5.0395316264228041E-3</v>
      </c>
      <c r="G39">
        <v>169.10000600000001</v>
      </c>
      <c r="H39" s="3">
        <f t="shared" si="2"/>
        <v>-2.3598466076695246E-3</v>
      </c>
    </row>
    <row r="40" spans="1:8" x14ac:dyDescent="0.25">
      <c r="A40" s="6">
        <v>43878</v>
      </c>
      <c r="B40">
        <v>12045.799805000001</v>
      </c>
      <c r="C40" s="3">
        <f t="shared" si="0"/>
        <v>-5.5847334088121592E-3</v>
      </c>
      <c r="E40" s="3">
        <f t="shared" si="1"/>
        <v>-5.6003863379301749E-3</v>
      </c>
      <c r="G40">
        <v>169.10000600000001</v>
      </c>
      <c r="H40" s="3">
        <f t="shared" si="2"/>
        <v>0</v>
      </c>
    </row>
    <row r="41" spans="1:8" x14ac:dyDescent="0.25">
      <c r="A41" s="6">
        <v>43879</v>
      </c>
      <c r="B41">
        <v>11992.5</v>
      </c>
      <c r="C41" s="3">
        <f t="shared" si="0"/>
        <v>-4.4247626444759991E-3</v>
      </c>
      <c r="E41" s="3">
        <f t="shared" si="1"/>
        <v>-4.4345808796506583E-3</v>
      </c>
      <c r="G41">
        <v>161.60000600000001</v>
      </c>
      <c r="H41" s="3">
        <f t="shared" si="2"/>
        <v>-4.4352452595418645E-2</v>
      </c>
    </row>
    <row r="42" spans="1:8" x14ac:dyDescent="0.25">
      <c r="A42" s="6">
        <v>43880</v>
      </c>
      <c r="B42">
        <v>12125.900390999999</v>
      </c>
      <c r="C42" s="3">
        <f t="shared" si="0"/>
        <v>1.1123651532207512E-2</v>
      </c>
      <c r="E42" s="3">
        <f t="shared" si="1"/>
        <v>1.1062238723944356E-2</v>
      </c>
      <c r="G42">
        <v>158.050003</v>
      </c>
      <c r="H42" s="3">
        <f t="shared" si="2"/>
        <v>-2.1967839530897093E-2</v>
      </c>
    </row>
    <row r="43" spans="1:8" x14ac:dyDescent="0.25">
      <c r="A43" s="6">
        <v>43881</v>
      </c>
      <c r="B43">
        <v>12080.849609000001</v>
      </c>
      <c r="C43" s="3">
        <f t="shared" si="0"/>
        <v>-3.7152525212424958E-3</v>
      </c>
      <c r="E43" s="3">
        <f t="shared" si="1"/>
        <v>-3.722171213666504E-3</v>
      </c>
      <c r="G43">
        <v>158.5</v>
      </c>
      <c r="H43" s="3">
        <f t="shared" si="2"/>
        <v>2.8471812177062183E-3</v>
      </c>
    </row>
    <row r="44" spans="1:8" x14ac:dyDescent="0.25">
      <c r="A44" s="6">
        <v>43885</v>
      </c>
      <c r="B44">
        <v>11829.400390999999</v>
      </c>
      <c r="C44" s="3">
        <f t="shared" si="0"/>
        <v>-2.0813868737565966E-2</v>
      </c>
      <c r="E44" s="3">
        <f t="shared" si="1"/>
        <v>-2.1033530659308956E-2</v>
      </c>
      <c r="G44">
        <v>150.64999399999999</v>
      </c>
      <c r="H44" s="3">
        <f t="shared" si="2"/>
        <v>-4.9526851735015809E-2</v>
      </c>
    </row>
    <row r="45" spans="1:8" x14ac:dyDescent="0.25">
      <c r="A45" s="6">
        <v>43886</v>
      </c>
      <c r="B45">
        <v>11797.900390999999</v>
      </c>
      <c r="C45" s="3">
        <f t="shared" si="0"/>
        <v>-2.6628568616179349E-3</v>
      </c>
      <c r="E45" s="3">
        <f t="shared" si="1"/>
        <v>-2.6664085714817841E-3</v>
      </c>
      <c r="G45">
        <v>149.89999399999999</v>
      </c>
      <c r="H45" s="3">
        <f t="shared" si="2"/>
        <v>-4.9784270154036303E-3</v>
      </c>
    </row>
    <row r="46" spans="1:8" x14ac:dyDescent="0.25">
      <c r="A46" s="6">
        <v>43887</v>
      </c>
      <c r="B46">
        <v>11678.5</v>
      </c>
      <c r="C46" s="3">
        <f t="shared" si="0"/>
        <v>-1.0120477970053332E-2</v>
      </c>
      <c r="E46" s="3">
        <f t="shared" si="1"/>
        <v>-1.0172038178174725E-2</v>
      </c>
      <c r="G46">
        <v>144.550003</v>
      </c>
      <c r="H46" s="3">
        <f t="shared" si="2"/>
        <v>-3.5690401695412932E-2</v>
      </c>
    </row>
    <row r="47" spans="1:8" x14ac:dyDescent="0.25">
      <c r="A47" s="6">
        <v>43888</v>
      </c>
      <c r="B47">
        <v>11633.299805000001</v>
      </c>
      <c r="C47" s="3">
        <f t="shared" si="0"/>
        <v>-3.8703767607141115E-3</v>
      </c>
      <c r="E47" s="3">
        <f t="shared" si="1"/>
        <v>-3.8778860509662907E-3</v>
      </c>
      <c r="G47">
        <v>145.25</v>
      </c>
      <c r="H47" s="3">
        <f t="shared" si="2"/>
        <v>4.8425941575387377E-3</v>
      </c>
    </row>
    <row r="48" spans="1:8" x14ac:dyDescent="0.25">
      <c r="A48" s="6">
        <v>43889</v>
      </c>
      <c r="B48">
        <v>11201.75</v>
      </c>
      <c r="C48" s="3">
        <f t="shared" si="0"/>
        <v>-3.7096078690804446E-2</v>
      </c>
      <c r="E48" s="3">
        <f t="shared" si="1"/>
        <v>-3.7801642349138985E-2</v>
      </c>
      <c r="G48">
        <v>128.949997</v>
      </c>
      <c r="H48" s="3">
        <f t="shared" si="2"/>
        <v>-0.11222033046471602</v>
      </c>
    </row>
    <row r="49" spans="1:8" x14ac:dyDescent="0.25">
      <c r="A49" s="6">
        <v>43892</v>
      </c>
      <c r="B49">
        <v>11132.75</v>
      </c>
      <c r="C49" s="3">
        <f t="shared" si="0"/>
        <v>-6.1597518244916882E-3</v>
      </c>
      <c r="E49" s="3">
        <f t="shared" si="1"/>
        <v>-6.1788013630017435E-3</v>
      </c>
      <c r="G49">
        <v>125.400002</v>
      </c>
      <c r="H49" s="3">
        <f t="shared" si="2"/>
        <v>-2.7530012272896753E-2</v>
      </c>
    </row>
    <row r="50" spans="1:8" x14ac:dyDescent="0.25">
      <c r="A50" s="6">
        <v>43893</v>
      </c>
      <c r="B50">
        <v>11303.299805000001</v>
      </c>
      <c r="C50" s="3">
        <f t="shared" si="0"/>
        <v>1.531964743661729E-2</v>
      </c>
      <c r="E50" s="3">
        <f t="shared" si="1"/>
        <v>1.5203486498601893E-2</v>
      </c>
      <c r="G50">
        <v>130.35000600000001</v>
      </c>
      <c r="H50" s="3">
        <f t="shared" si="2"/>
        <v>3.9473715478888227E-2</v>
      </c>
    </row>
    <row r="51" spans="1:8" x14ac:dyDescent="0.25">
      <c r="A51" s="6">
        <v>43894</v>
      </c>
      <c r="B51">
        <v>11251</v>
      </c>
      <c r="C51" s="3">
        <f t="shared" si="0"/>
        <v>-4.6269501740425767E-3</v>
      </c>
      <c r="E51" s="3">
        <f t="shared" si="1"/>
        <v>-4.6376876419542308E-3</v>
      </c>
      <c r="G51">
        <v>126.199997</v>
      </c>
      <c r="H51" s="3">
        <f t="shared" si="2"/>
        <v>-3.1837428530689937E-2</v>
      </c>
    </row>
    <row r="52" spans="1:8" x14ac:dyDescent="0.25">
      <c r="A52" s="6">
        <v>43895</v>
      </c>
      <c r="B52">
        <v>11269</v>
      </c>
      <c r="C52" s="3">
        <f t="shared" si="0"/>
        <v>1.5998577904186018E-3</v>
      </c>
      <c r="E52" s="3">
        <f t="shared" si="1"/>
        <v>1.5985793812774052E-3</v>
      </c>
      <c r="G52">
        <v>125.75</v>
      </c>
      <c r="H52" s="3">
        <f t="shared" si="2"/>
        <v>-3.5657449342094694E-3</v>
      </c>
    </row>
    <row r="53" spans="1:8" x14ac:dyDescent="0.25">
      <c r="A53" s="6">
        <v>43896</v>
      </c>
      <c r="B53">
        <v>10989.450194999999</v>
      </c>
      <c r="C53" s="3">
        <f t="shared" si="0"/>
        <v>-2.4806975330552872E-2</v>
      </c>
      <c r="E53" s="3">
        <f t="shared" si="1"/>
        <v>-2.5119853558614329E-2</v>
      </c>
      <c r="G53">
        <v>114.199997</v>
      </c>
      <c r="H53" s="3">
        <f t="shared" si="2"/>
        <v>-9.1848930417495089E-2</v>
      </c>
    </row>
    <row r="54" spans="1:8" x14ac:dyDescent="0.25">
      <c r="A54" s="6">
        <v>43899</v>
      </c>
      <c r="B54">
        <v>10451.450194999999</v>
      </c>
      <c r="C54" s="3">
        <f t="shared" si="0"/>
        <v>-4.8956043337343713E-2</v>
      </c>
      <c r="E54" s="3">
        <f t="shared" si="1"/>
        <v>-5.019499598793941E-2</v>
      </c>
      <c r="G54">
        <v>105.699997</v>
      </c>
      <c r="H54" s="3">
        <f t="shared" si="2"/>
        <v>-7.4430825072613671E-2</v>
      </c>
    </row>
    <row r="55" spans="1:8" x14ac:dyDescent="0.25">
      <c r="A55" s="6">
        <v>43901</v>
      </c>
      <c r="B55">
        <v>10458.400390999999</v>
      </c>
      <c r="C55" s="3">
        <f t="shared" si="0"/>
        <v>6.6499824142352004E-4</v>
      </c>
      <c r="E55" s="3">
        <f t="shared" si="1"/>
        <v>6.6477722806987166E-4</v>
      </c>
      <c r="G55">
        <v>98.900002000000001</v>
      </c>
      <c r="H55" s="3">
        <f t="shared" si="2"/>
        <v>-6.4332972497624485E-2</v>
      </c>
    </row>
    <row r="56" spans="1:8" x14ac:dyDescent="0.25">
      <c r="A56" s="6">
        <v>43902</v>
      </c>
      <c r="B56">
        <v>9590.1503909999992</v>
      </c>
      <c r="C56" s="3">
        <f t="shared" si="0"/>
        <v>-8.3019388007670281E-2</v>
      </c>
      <c r="E56" s="3">
        <f t="shared" si="1"/>
        <v>-8.6668949814693128E-2</v>
      </c>
      <c r="G56">
        <v>88</v>
      </c>
      <c r="H56" s="3">
        <f t="shared" si="2"/>
        <v>-0.11021235368630222</v>
      </c>
    </row>
    <row r="57" spans="1:8" x14ac:dyDescent="0.25">
      <c r="A57" s="6">
        <v>43903</v>
      </c>
      <c r="B57">
        <v>9955.2001949999994</v>
      </c>
      <c r="C57" s="3">
        <f t="shared" si="0"/>
        <v>3.8065076053717117E-2</v>
      </c>
      <c r="E57" s="3">
        <f t="shared" si="1"/>
        <v>3.7358476471898529E-2</v>
      </c>
      <c r="G57">
        <v>89.75</v>
      </c>
      <c r="H57" s="3">
        <f t="shared" si="2"/>
        <v>1.9886363636363535E-2</v>
      </c>
    </row>
    <row r="58" spans="1:8" x14ac:dyDescent="0.25">
      <c r="A58" s="6">
        <v>43906</v>
      </c>
      <c r="B58">
        <v>9197.4003909999992</v>
      </c>
      <c r="C58" s="3">
        <f t="shared" si="0"/>
        <v>-7.6121001000121091E-2</v>
      </c>
      <c r="E58" s="3">
        <f t="shared" si="1"/>
        <v>-7.9174169378940826E-2</v>
      </c>
      <c r="G58">
        <v>82.949996999999996</v>
      </c>
      <c r="H58" s="3">
        <f t="shared" si="2"/>
        <v>-7.5766050139275842E-2</v>
      </c>
    </row>
    <row r="59" spans="1:8" x14ac:dyDescent="0.25">
      <c r="A59" s="6">
        <v>43907</v>
      </c>
      <c r="B59">
        <v>8967.0498050000006</v>
      </c>
      <c r="C59" s="3">
        <f t="shared" si="0"/>
        <v>-2.5045184096302409E-2</v>
      </c>
      <c r="E59" s="3">
        <f t="shared" si="1"/>
        <v>-2.5364151721018517E-2</v>
      </c>
      <c r="G59">
        <v>77.949996999999996</v>
      </c>
      <c r="H59" s="3">
        <f t="shared" si="2"/>
        <v>-6.0277277647158956E-2</v>
      </c>
    </row>
    <row r="60" spans="1:8" x14ac:dyDescent="0.25">
      <c r="A60" s="6">
        <v>43908</v>
      </c>
      <c r="B60">
        <v>8468.7998050000006</v>
      </c>
      <c r="C60" s="3">
        <f t="shared" si="0"/>
        <v>-5.5564540270778617E-2</v>
      </c>
      <c r="E60" s="3">
        <f t="shared" si="1"/>
        <v>-5.7167927113082891E-2</v>
      </c>
      <c r="G60">
        <v>75.5</v>
      </c>
      <c r="H60" s="3">
        <f t="shared" si="2"/>
        <v>-3.1430366828622103E-2</v>
      </c>
    </row>
    <row r="61" spans="1:8" x14ac:dyDescent="0.25">
      <c r="A61" s="6">
        <v>43909</v>
      </c>
      <c r="B61">
        <v>8263.4501949999994</v>
      </c>
      <c r="C61" s="3">
        <f t="shared" si="0"/>
        <v>-2.4247781826034265E-2</v>
      </c>
      <c r="E61" s="3">
        <f t="shared" si="1"/>
        <v>-2.4546599622468867E-2</v>
      </c>
      <c r="G61">
        <v>72.949996999999996</v>
      </c>
      <c r="H61" s="3">
        <f t="shared" si="2"/>
        <v>-3.3774874172185498E-2</v>
      </c>
    </row>
    <row r="62" spans="1:8" x14ac:dyDescent="0.25">
      <c r="A62" s="6">
        <v>43910</v>
      </c>
      <c r="B62">
        <v>8745.4501949999994</v>
      </c>
      <c r="C62" s="3">
        <f t="shared" si="0"/>
        <v>5.8329146860671477E-2</v>
      </c>
      <c r="E62" s="3">
        <f t="shared" si="1"/>
        <v>5.6691387946521211E-2</v>
      </c>
      <c r="G62">
        <v>77.300003000000004</v>
      </c>
      <c r="H62" s="3">
        <f t="shared" si="2"/>
        <v>5.9629968182178361E-2</v>
      </c>
    </row>
    <row r="63" spans="1:8" x14ac:dyDescent="0.25">
      <c r="A63" s="6">
        <v>43913</v>
      </c>
      <c r="B63">
        <v>7610.25</v>
      </c>
      <c r="C63" s="3">
        <f t="shared" si="0"/>
        <v>-0.12980466067361773</v>
      </c>
      <c r="E63" s="3">
        <f t="shared" si="1"/>
        <v>-0.13903756457477903</v>
      </c>
      <c r="G63">
        <v>66.199996999999996</v>
      </c>
      <c r="H63" s="3">
        <f t="shared" si="2"/>
        <v>-0.14359644979573938</v>
      </c>
    </row>
    <row r="64" spans="1:8" x14ac:dyDescent="0.25">
      <c r="A64" s="6">
        <v>43914</v>
      </c>
      <c r="B64">
        <v>7801.0498049999997</v>
      </c>
      <c r="C64" s="3">
        <f t="shared" si="0"/>
        <v>2.5071424066226422E-2</v>
      </c>
      <c r="E64" s="3">
        <f t="shared" si="1"/>
        <v>2.4762292178523267E-2</v>
      </c>
      <c r="G64">
        <v>68.550003000000004</v>
      </c>
      <c r="H64" s="3">
        <f t="shared" si="2"/>
        <v>3.5498581669120233E-2</v>
      </c>
    </row>
    <row r="65" spans="1:8" x14ac:dyDescent="0.25">
      <c r="A65" s="6">
        <v>43915</v>
      </c>
      <c r="B65">
        <v>8317.8496090000008</v>
      </c>
      <c r="C65" s="3">
        <f t="shared" si="0"/>
        <v>6.6247468855892055E-2</v>
      </c>
      <c r="E65" s="3">
        <f t="shared" si="1"/>
        <v>6.414544594603809E-2</v>
      </c>
      <c r="G65">
        <v>70.25</v>
      </c>
      <c r="H65" s="3">
        <f t="shared" si="2"/>
        <v>2.4799371635330081E-2</v>
      </c>
    </row>
    <row r="66" spans="1:8" x14ac:dyDescent="0.25">
      <c r="A66" s="6">
        <v>43916</v>
      </c>
      <c r="B66">
        <v>8641.4501949999994</v>
      </c>
      <c r="C66" s="3">
        <f t="shared" si="0"/>
        <v>3.8904356439657173E-2</v>
      </c>
      <c r="E66" s="3">
        <f t="shared" si="1"/>
        <v>3.816665440508453E-2</v>
      </c>
      <c r="G66">
        <v>70.800003000000004</v>
      </c>
      <c r="H66" s="3">
        <f t="shared" si="2"/>
        <v>7.8292241992883316E-3</v>
      </c>
    </row>
    <row r="67" spans="1:8" x14ac:dyDescent="0.25">
      <c r="A67" s="6">
        <v>43917</v>
      </c>
      <c r="B67">
        <v>8660.25</v>
      </c>
      <c r="C67" s="3">
        <f t="shared" si="0"/>
        <v>2.175538199696847E-3</v>
      </c>
      <c r="E67" s="3">
        <f t="shared" si="1"/>
        <v>2.1731751431269394E-3</v>
      </c>
      <c r="G67">
        <v>70.699996999999996</v>
      </c>
      <c r="H67" s="3">
        <f t="shared" si="2"/>
        <v>-1.4125140644416501E-3</v>
      </c>
    </row>
    <row r="68" spans="1:8" x14ac:dyDescent="0.25">
      <c r="A68" s="6">
        <v>43920</v>
      </c>
      <c r="B68">
        <v>8281.0996090000008</v>
      </c>
      <c r="C68" s="3">
        <f t="shared" si="0"/>
        <v>-4.3780536474120169E-2</v>
      </c>
      <c r="E68" s="3">
        <f t="shared" si="1"/>
        <v>-4.476782791898605E-2</v>
      </c>
      <c r="G68">
        <v>68.150002000000001</v>
      </c>
      <c r="H68" s="3">
        <f t="shared" si="2"/>
        <v>-3.606782331263747E-2</v>
      </c>
    </row>
    <row r="69" spans="1:8" x14ac:dyDescent="0.25">
      <c r="A69" s="6">
        <v>43921</v>
      </c>
      <c r="B69">
        <v>8597.75</v>
      </c>
      <c r="C69" s="3">
        <f t="shared" ref="C69:C132" si="3">B69/B68-1</f>
        <v>3.8237722760375847E-2</v>
      </c>
      <c r="E69" s="3">
        <f t="shared" ref="E69:E132" si="4">LN(B69/B68)</f>
        <v>3.7524778522982055E-2</v>
      </c>
      <c r="G69">
        <v>71.050003000000004</v>
      </c>
      <c r="H69" s="3">
        <f t="shared" ref="H69:H132" si="5">G69/G68-1</f>
        <v>4.2553204914066001E-2</v>
      </c>
    </row>
    <row r="70" spans="1:8" x14ac:dyDescent="0.25">
      <c r="A70" s="6">
        <v>43922</v>
      </c>
      <c r="B70">
        <v>8253.7998050000006</v>
      </c>
      <c r="C70" s="3">
        <f t="shared" si="3"/>
        <v>-4.0004675060335448E-2</v>
      </c>
      <c r="E70" s="3">
        <f t="shared" si="4"/>
        <v>-4.0826864386629004E-2</v>
      </c>
      <c r="G70">
        <v>67.949996999999996</v>
      </c>
      <c r="H70" s="3">
        <f t="shared" si="5"/>
        <v>-4.3631328206981346E-2</v>
      </c>
    </row>
    <row r="71" spans="1:8" x14ac:dyDescent="0.25">
      <c r="A71" s="6">
        <v>43924</v>
      </c>
      <c r="B71">
        <v>8083.7998049999997</v>
      </c>
      <c r="C71" s="3">
        <f t="shared" si="3"/>
        <v>-2.0596574185991035E-2</v>
      </c>
      <c r="E71" s="3">
        <f t="shared" si="4"/>
        <v>-2.0811641849903865E-2</v>
      </c>
      <c r="G71">
        <v>65.300003000000004</v>
      </c>
      <c r="H71" s="3">
        <f t="shared" si="5"/>
        <v>-3.8999177586424238E-2</v>
      </c>
    </row>
    <row r="72" spans="1:8" x14ac:dyDescent="0.25">
      <c r="A72" s="6">
        <v>43928</v>
      </c>
      <c r="B72">
        <v>8792.2001949999994</v>
      </c>
      <c r="C72" s="3">
        <f t="shared" si="3"/>
        <v>8.7632104590447568E-2</v>
      </c>
      <c r="E72" s="3">
        <f t="shared" si="4"/>
        <v>8.400295208862181E-2</v>
      </c>
      <c r="G72">
        <v>67.25</v>
      </c>
      <c r="H72" s="3">
        <f t="shared" si="5"/>
        <v>2.9862127265139593E-2</v>
      </c>
    </row>
    <row r="73" spans="1:8" x14ac:dyDescent="0.25">
      <c r="A73" s="6">
        <v>43929</v>
      </c>
      <c r="B73">
        <v>8748.75</v>
      </c>
      <c r="C73" s="3">
        <f t="shared" si="3"/>
        <v>-4.9419023721398725E-3</v>
      </c>
      <c r="E73" s="3">
        <f t="shared" si="4"/>
        <v>-4.9541539524103843E-3</v>
      </c>
      <c r="G73">
        <v>67.599997999999999</v>
      </c>
      <c r="H73" s="3">
        <f t="shared" si="5"/>
        <v>5.2044312267658377E-3</v>
      </c>
    </row>
    <row r="74" spans="1:8" x14ac:dyDescent="0.25">
      <c r="A74" s="6">
        <v>43930</v>
      </c>
      <c r="B74">
        <v>9111.9003909999992</v>
      </c>
      <c r="C74" s="3">
        <f t="shared" si="3"/>
        <v>4.1508831661665857E-2</v>
      </c>
      <c r="E74" s="3">
        <f t="shared" si="4"/>
        <v>4.0670461434896277E-2</v>
      </c>
      <c r="G74">
        <v>74.599997999999999</v>
      </c>
      <c r="H74" s="3">
        <f t="shared" si="5"/>
        <v>0.10355029892160639</v>
      </c>
    </row>
    <row r="75" spans="1:8" x14ac:dyDescent="0.25">
      <c r="A75" s="6">
        <v>43934</v>
      </c>
      <c r="B75">
        <v>8993.8496090000008</v>
      </c>
      <c r="C75" s="3">
        <f t="shared" si="3"/>
        <v>-1.2955670818855736E-2</v>
      </c>
      <c r="E75" s="3">
        <f t="shared" si="4"/>
        <v>-1.3040327506411611E-2</v>
      </c>
      <c r="G75">
        <v>74.25</v>
      </c>
      <c r="H75" s="3">
        <f t="shared" si="5"/>
        <v>-4.6916623241732847E-3</v>
      </c>
    </row>
    <row r="76" spans="1:8" x14ac:dyDescent="0.25">
      <c r="A76" s="6">
        <v>43936</v>
      </c>
      <c r="B76">
        <v>8925.2998050000006</v>
      </c>
      <c r="C76" s="3">
        <f t="shared" si="3"/>
        <v>-7.6218534865652998E-3</v>
      </c>
      <c r="E76" s="3">
        <f t="shared" si="4"/>
        <v>-7.6510482519406807E-3</v>
      </c>
      <c r="G76">
        <v>72.900002000000001</v>
      </c>
      <c r="H76" s="3">
        <f t="shared" si="5"/>
        <v>-1.8181791245791223E-2</v>
      </c>
    </row>
    <row r="77" spans="1:8" x14ac:dyDescent="0.25">
      <c r="A77" s="6">
        <v>43937</v>
      </c>
      <c r="B77">
        <v>8992.7998050000006</v>
      </c>
      <c r="C77" s="3">
        <f t="shared" si="3"/>
        <v>7.562771164525639E-3</v>
      </c>
      <c r="E77" s="3">
        <f t="shared" si="4"/>
        <v>7.5343167832797901E-3</v>
      </c>
      <c r="G77">
        <v>74.650002000000001</v>
      </c>
      <c r="H77" s="3">
        <f t="shared" si="5"/>
        <v>2.40054863098631E-2</v>
      </c>
    </row>
    <row r="78" spans="1:8" x14ac:dyDescent="0.25">
      <c r="A78" s="6">
        <v>43938</v>
      </c>
      <c r="B78">
        <v>9266.75</v>
      </c>
      <c r="C78" s="3">
        <f t="shared" si="3"/>
        <v>3.046328184106617E-2</v>
      </c>
      <c r="E78" s="3">
        <f t="shared" si="4"/>
        <v>3.0008489312365903E-2</v>
      </c>
      <c r="G78">
        <v>76.849997999999999</v>
      </c>
      <c r="H78" s="3">
        <f t="shared" si="5"/>
        <v>2.9470809659188024E-2</v>
      </c>
    </row>
    <row r="79" spans="1:8" x14ac:dyDescent="0.25">
      <c r="A79" s="6">
        <v>43941</v>
      </c>
      <c r="B79">
        <v>9261.8496090000008</v>
      </c>
      <c r="C79" s="3">
        <f t="shared" si="3"/>
        <v>-5.2881441713648059E-4</v>
      </c>
      <c r="E79" s="3">
        <f t="shared" si="4"/>
        <v>-5.2895428879330567E-4</v>
      </c>
      <c r="G79">
        <v>80.449996999999996</v>
      </c>
      <c r="H79" s="3">
        <f t="shared" si="5"/>
        <v>4.6844490483916479E-2</v>
      </c>
    </row>
    <row r="80" spans="1:8" x14ac:dyDescent="0.25">
      <c r="A80" s="6">
        <v>43942</v>
      </c>
      <c r="B80">
        <v>8981.4501949999994</v>
      </c>
      <c r="C80" s="3">
        <f t="shared" si="3"/>
        <v>-3.0274667138573408E-2</v>
      </c>
      <c r="E80" s="3">
        <f t="shared" si="4"/>
        <v>-3.074240958116619E-2</v>
      </c>
      <c r="G80">
        <v>74.650002000000001</v>
      </c>
      <c r="H80" s="3">
        <f t="shared" si="5"/>
        <v>-7.2094409152060002E-2</v>
      </c>
    </row>
    <row r="81" spans="1:8" x14ac:dyDescent="0.25">
      <c r="A81" s="6">
        <v>43943</v>
      </c>
      <c r="B81">
        <v>9187.2998050000006</v>
      </c>
      <c r="C81" s="3">
        <f t="shared" si="3"/>
        <v>2.2919417859111224E-2</v>
      </c>
      <c r="E81" s="3">
        <f t="shared" si="4"/>
        <v>2.2660713445735725E-2</v>
      </c>
      <c r="G81">
        <v>75.900002000000001</v>
      </c>
      <c r="H81" s="3">
        <f t="shared" si="5"/>
        <v>1.6744808660554389E-2</v>
      </c>
    </row>
    <row r="82" spans="1:8" x14ac:dyDescent="0.25">
      <c r="A82" s="6">
        <v>43944</v>
      </c>
      <c r="B82">
        <v>9313.9003909999992</v>
      </c>
      <c r="C82" s="3">
        <f t="shared" si="3"/>
        <v>1.3779955883348682E-2</v>
      </c>
      <c r="E82" s="3">
        <f t="shared" si="4"/>
        <v>1.3685875587574961E-2</v>
      </c>
      <c r="G82">
        <v>75.650002000000001</v>
      </c>
      <c r="H82" s="3">
        <f t="shared" si="5"/>
        <v>-3.2938075548404333E-3</v>
      </c>
    </row>
    <row r="83" spans="1:8" x14ac:dyDescent="0.25">
      <c r="A83" s="6">
        <v>43945</v>
      </c>
      <c r="B83">
        <v>9154.4003909999992</v>
      </c>
      <c r="C83" s="3">
        <f t="shared" si="3"/>
        <v>-1.7124941571645347E-2</v>
      </c>
      <c r="E83" s="3">
        <f t="shared" si="4"/>
        <v>-1.7273269224084911E-2</v>
      </c>
      <c r="G83">
        <v>74.199996999999996</v>
      </c>
      <c r="H83" s="3">
        <f t="shared" si="5"/>
        <v>-1.9167283035894767E-2</v>
      </c>
    </row>
    <row r="84" spans="1:8" x14ac:dyDescent="0.25">
      <c r="A84" s="6">
        <v>43948</v>
      </c>
      <c r="B84">
        <v>9282.2998050000006</v>
      </c>
      <c r="C84" s="3">
        <f t="shared" si="3"/>
        <v>1.3971358968059011E-2</v>
      </c>
      <c r="E84" s="3">
        <f t="shared" si="4"/>
        <v>1.3874659176446962E-2</v>
      </c>
      <c r="G84">
        <v>75.25</v>
      </c>
      <c r="H84" s="3">
        <f t="shared" si="5"/>
        <v>1.4150984399635469E-2</v>
      </c>
    </row>
    <row r="85" spans="1:8" x14ac:dyDescent="0.25">
      <c r="A85" s="6">
        <v>43949</v>
      </c>
      <c r="B85">
        <v>9380.9003909999992</v>
      </c>
      <c r="C85" s="3">
        <f t="shared" si="3"/>
        <v>1.062243065526558E-2</v>
      </c>
      <c r="E85" s="3">
        <f t="shared" si="4"/>
        <v>1.0566409013550391E-2</v>
      </c>
      <c r="G85">
        <v>76.949996999999996</v>
      </c>
      <c r="H85" s="3">
        <f t="shared" si="5"/>
        <v>2.2591322259136071E-2</v>
      </c>
    </row>
    <row r="86" spans="1:8" x14ac:dyDescent="0.25">
      <c r="A86" s="6">
        <v>43950</v>
      </c>
      <c r="B86">
        <v>9553.3496090000008</v>
      </c>
      <c r="C86" s="3">
        <f t="shared" si="3"/>
        <v>1.838301344351212E-2</v>
      </c>
      <c r="E86" s="3">
        <f t="shared" si="4"/>
        <v>1.8216088471041673E-2</v>
      </c>
      <c r="G86">
        <v>78.150002000000001</v>
      </c>
      <c r="H86" s="3">
        <f t="shared" si="5"/>
        <v>1.5594607495566404E-2</v>
      </c>
    </row>
    <row r="87" spans="1:8" x14ac:dyDescent="0.25">
      <c r="A87" s="6">
        <v>43951</v>
      </c>
      <c r="B87">
        <v>9859.9003909999992</v>
      </c>
      <c r="C87" s="3">
        <f t="shared" si="3"/>
        <v>3.208830353190506E-2</v>
      </c>
      <c r="E87" s="3">
        <f t="shared" si="4"/>
        <v>3.1584228836750217E-2</v>
      </c>
      <c r="G87">
        <v>93.25</v>
      </c>
      <c r="H87" s="3">
        <f t="shared" si="5"/>
        <v>0.19321813964892787</v>
      </c>
    </row>
    <row r="88" spans="1:8" x14ac:dyDescent="0.25">
      <c r="A88" s="6">
        <v>43955</v>
      </c>
      <c r="B88">
        <v>9293.5</v>
      </c>
      <c r="C88" s="3">
        <f t="shared" si="3"/>
        <v>-5.744483904898301E-2</v>
      </c>
      <c r="E88" s="3">
        <f t="shared" si="4"/>
        <v>-5.9160835164587325E-2</v>
      </c>
      <c r="G88">
        <v>83.900002000000001</v>
      </c>
      <c r="H88" s="3">
        <f t="shared" si="5"/>
        <v>-0.10026807506702418</v>
      </c>
    </row>
    <row r="89" spans="1:8" x14ac:dyDescent="0.25">
      <c r="A89" s="6">
        <v>43956</v>
      </c>
      <c r="B89">
        <v>9205.5996090000008</v>
      </c>
      <c r="C89" s="3">
        <f t="shared" si="3"/>
        <v>-9.4582655619518397E-3</v>
      </c>
      <c r="E89" s="3">
        <f t="shared" si="4"/>
        <v>-9.5032790133058181E-3</v>
      </c>
      <c r="G89">
        <v>80.900002000000001</v>
      </c>
      <c r="H89" s="3">
        <f t="shared" si="5"/>
        <v>-3.5756852544532758E-2</v>
      </c>
    </row>
    <row r="90" spans="1:8" x14ac:dyDescent="0.25">
      <c r="A90" s="6">
        <v>43957</v>
      </c>
      <c r="B90">
        <v>9270.9003909999992</v>
      </c>
      <c r="C90" s="3">
        <f t="shared" si="3"/>
        <v>7.0935935488825042E-3</v>
      </c>
      <c r="E90" s="3">
        <f t="shared" si="4"/>
        <v>7.0685523657418254E-3</v>
      </c>
      <c r="G90">
        <v>83.199996999999996</v>
      </c>
      <c r="H90" s="3">
        <f t="shared" si="5"/>
        <v>2.8430098184669905E-2</v>
      </c>
    </row>
    <row r="91" spans="1:8" x14ac:dyDescent="0.25">
      <c r="A91" s="6">
        <v>43958</v>
      </c>
      <c r="B91">
        <v>9199.0498050000006</v>
      </c>
      <c r="C91" s="3">
        <f t="shared" si="3"/>
        <v>-7.7501195104792142E-3</v>
      </c>
      <c r="E91" s="3">
        <f t="shared" si="4"/>
        <v>-7.7803077628891392E-3</v>
      </c>
      <c r="G91">
        <v>82.5</v>
      </c>
      <c r="H91" s="3">
        <f t="shared" si="5"/>
        <v>-8.4134257841379512E-3</v>
      </c>
    </row>
    <row r="92" spans="1:8" x14ac:dyDescent="0.25">
      <c r="A92" s="6">
        <v>43959</v>
      </c>
      <c r="B92">
        <v>9251.5</v>
      </c>
      <c r="C92" s="3">
        <f t="shared" si="3"/>
        <v>5.7016970352188334E-3</v>
      </c>
      <c r="E92" s="3">
        <f t="shared" si="4"/>
        <v>5.6855038838162474E-3</v>
      </c>
      <c r="G92">
        <v>81.050003000000004</v>
      </c>
      <c r="H92" s="3">
        <f t="shared" si="5"/>
        <v>-1.7575721212121143E-2</v>
      </c>
    </row>
    <row r="93" spans="1:8" x14ac:dyDescent="0.25">
      <c r="A93" s="6">
        <v>43962</v>
      </c>
      <c r="B93">
        <v>9239.2001949999994</v>
      </c>
      <c r="C93" s="3">
        <f t="shared" si="3"/>
        <v>-1.3294930551802642E-3</v>
      </c>
      <c r="E93" s="3">
        <f t="shared" si="4"/>
        <v>-1.3303776151699822E-3</v>
      </c>
      <c r="G93">
        <v>86.099997999999999</v>
      </c>
      <c r="H93" s="3">
        <f t="shared" si="5"/>
        <v>6.2307153770247092E-2</v>
      </c>
    </row>
    <row r="94" spans="1:8" x14ac:dyDescent="0.25">
      <c r="A94" s="6">
        <v>43963</v>
      </c>
      <c r="B94">
        <v>9196.5498050000006</v>
      </c>
      <c r="C94" s="3">
        <f t="shared" si="3"/>
        <v>-4.6162426508605803E-3</v>
      </c>
      <c r="E94" s="3">
        <f t="shared" si="4"/>
        <v>-4.6269304031558928E-3</v>
      </c>
      <c r="G94">
        <v>86.199996999999996</v>
      </c>
      <c r="H94" s="3">
        <f t="shared" si="5"/>
        <v>1.161428598407177E-3</v>
      </c>
    </row>
    <row r="95" spans="1:8" x14ac:dyDescent="0.25">
      <c r="A95" s="6">
        <v>43964</v>
      </c>
      <c r="B95">
        <v>9383.5498050000006</v>
      </c>
      <c r="C95" s="3">
        <f t="shared" si="3"/>
        <v>2.0333712529706727E-2</v>
      </c>
      <c r="E95" s="3">
        <f t="shared" si="4"/>
        <v>2.0129742934796208E-2</v>
      </c>
      <c r="G95">
        <v>87.199996999999996</v>
      </c>
      <c r="H95" s="3">
        <f t="shared" si="5"/>
        <v>1.1600928477990546E-2</v>
      </c>
    </row>
    <row r="96" spans="1:8" x14ac:dyDescent="0.25">
      <c r="A96" s="6">
        <v>43965</v>
      </c>
      <c r="B96">
        <v>9142.75</v>
      </c>
      <c r="C96" s="3">
        <f t="shared" si="3"/>
        <v>-2.5661909405723105E-2</v>
      </c>
      <c r="E96" s="3">
        <f t="shared" si="4"/>
        <v>-2.5996919970410579E-2</v>
      </c>
      <c r="G96">
        <v>83.800003000000004</v>
      </c>
      <c r="H96" s="3">
        <f t="shared" si="5"/>
        <v>-3.8990758222159028E-2</v>
      </c>
    </row>
    <row r="97" spans="1:8" x14ac:dyDescent="0.25">
      <c r="A97" s="6">
        <v>43966</v>
      </c>
      <c r="B97">
        <v>9136.8496090000008</v>
      </c>
      <c r="C97" s="3">
        <f t="shared" si="3"/>
        <v>-6.4536282847060811E-4</v>
      </c>
      <c r="E97" s="3">
        <f t="shared" si="4"/>
        <v>-6.4557116470058862E-4</v>
      </c>
      <c r="G97">
        <v>84.349997999999999</v>
      </c>
      <c r="H97" s="3">
        <f t="shared" si="5"/>
        <v>6.5631859225590006E-3</v>
      </c>
    </row>
    <row r="98" spans="1:8" x14ac:dyDescent="0.25">
      <c r="A98" s="6">
        <v>43969</v>
      </c>
      <c r="B98">
        <v>8823.25</v>
      </c>
      <c r="C98" s="3">
        <f t="shared" si="3"/>
        <v>-3.4322509663626044E-2</v>
      </c>
      <c r="E98" s="3">
        <f t="shared" si="4"/>
        <v>-3.4925361449019345E-2</v>
      </c>
      <c r="G98">
        <v>80.650002000000001</v>
      </c>
      <c r="H98" s="3">
        <f t="shared" si="5"/>
        <v>-4.3864802462710184E-2</v>
      </c>
    </row>
    <row r="99" spans="1:8" x14ac:dyDescent="0.25">
      <c r="A99" s="6">
        <v>43970</v>
      </c>
      <c r="B99">
        <v>8879.0996090000008</v>
      </c>
      <c r="C99" s="3">
        <f t="shared" si="3"/>
        <v>6.3298227977219845E-3</v>
      </c>
      <c r="E99" s="3">
        <f t="shared" si="4"/>
        <v>6.309873608362996E-3</v>
      </c>
      <c r="G99">
        <v>81.800003000000004</v>
      </c>
      <c r="H99" s="3">
        <f t="shared" si="5"/>
        <v>1.4259156496983172E-2</v>
      </c>
    </row>
    <row r="100" spans="1:8" x14ac:dyDescent="0.25">
      <c r="A100" s="6">
        <v>43971</v>
      </c>
      <c r="B100">
        <v>9066.5498050000006</v>
      </c>
      <c r="C100" s="3">
        <f t="shared" si="3"/>
        <v>2.1111396904478497E-2</v>
      </c>
      <c r="E100" s="3">
        <f t="shared" si="4"/>
        <v>2.0891638916027716E-2</v>
      </c>
      <c r="G100">
        <v>83.449996999999996</v>
      </c>
      <c r="H100" s="3">
        <f t="shared" si="5"/>
        <v>2.0171075054850496E-2</v>
      </c>
    </row>
    <row r="101" spans="1:8" x14ac:dyDescent="0.25">
      <c r="A101" s="6">
        <v>43972</v>
      </c>
      <c r="B101">
        <v>9106.25</v>
      </c>
      <c r="C101" s="3">
        <f t="shared" si="3"/>
        <v>4.3787544163829129E-3</v>
      </c>
      <c r="E101" s="3">
        <f t="shared" si="4"/>
        <v>4.3691955650135301E-3</v>
      </c>
      <c r="G101">
        <v>84.099997999999999</v>
      </c>
      <c r="H101" s="3">
        <f t="shared" si="5"/>
        <v>7.7891075298661683E-3</v>
      </c>
    </row>
    <row r="102" spans="1:8" x14ac:dyDescent="0.25">
      <c r="A102" s="6">
        <v>43973</v>
      </c>
      <c r="B102">
        <v>9039.25</v>
      </c>
      <c r="C102" s="3">
        <f t="shared" si="3"/>
        <v>-7.3575840768702605E-3</v>
      </c>
      <c r="E102" s="3">
        <f t="shared" si="4"/>
        <v>-7.3847846008156101E-3</v>
      </c>
      <c r="G102">
        <v>82.800003000000004</v>
      </c>
      <c r="H102" s="3">
        <f t="shared" si="5"/>
        <v>-1.5457729261777131E-2</v>
      </c>
    </row>
    <row r="103" spans="1:8" x14ac:dyDescent="0.25">
      <c r="A103" s="6">
        <v>43977</v>
      </c>
      <c r="B103">
        <v>9029.0498050000006</v>
      </c>
      <c r="C103" s="3">
        <f t="shared" si="3"/>
        <v>-1.1284337749259965E-3</v>
      </c>
      <c r="E103" s="3">
        <f t="shared" si="4"/>
        <v>-1.1290709356924474E-3</v>
      </c>
      <c r="G103">
        <v>83.099997999999999</v>
      </c>
      <c r="H103" s="3">
        <f t="shared" si="5"/>
        <v>3.6231278880509699E-3</v>
      </c>
    </row>
    <row r="104" spans="1:8" x14ac:dyDescent="0.25">
      <c r="A104" s="6">
        <v>43978</v>
      </c>
      <c r="B104">
        <v>9314.9501949999994</v>
      </c>
      <c r="C104" s="3">
        <f t="shared" si="3"/>
        <v>3.1664504701444551E-2</v>
      </c>
      <c r="E104" s="3">
        <f t="shared" si="4"/>
        <v>3.1173521861838329E-2</v>
      </c>
      <c r="G104">
        <v>84.550003000000004</v>
      </c>
      <c r="H104" s="3">
        <f t="shared" si="5"/>
        <v>1.7448917387459018E-2</v>
      </c>
    </row>
    <row r="105" spans="1:8" x14ac:dyDescent="0.25">
      <c r="A105" s="6">
        <v>43979</v>
      </c>
      <c r="B105">
        <v>9490.0996090000008</v>
      </c>
      <c r="C105" s="3">
        <f t="shared" si="3"/>
        <v>1.8803043530390084E-2</v>
      </c>
      <c r="E105" s="3">
        <f t="shared" si="4"/>
        <v>1.8628451486576769E-2</v>
      </c>
      <c r="G105">
        <v>87</v>
      </c>
      <c r="H105" s="3">
        <f t="shared" si="5"/>
        <v>2.8976900213711465E-2</v>
      </c>
    </row>
    <row r="106" spans="1:8" x14ac:dyDescent="0.25">
      <c r="A106" s="6">
        <v>43980</v>
      </c>
      <c r="B106">
        <v>9580.2998050000006</v>
      </c>
      <c r="C106" s="3">
        <f t="shared" si="3"/>
        <v>9.5046627239252501E-3</v>
      </c>
      <c r="E106" s="3">
        <f t="shared" si="4"/>
        <v>9.4597776049870162E-3</v>
      </c>
      <c r="G106">
        <v>87</v>
      </c>
      <c r="H106" s="3">
        <f t="shared" si="5"/>
        <v>0</v>
      </c>
    </row>
    <row r="107" spans="1:8" x14ac:dyDescent="0.25">
      <c r="A107" s="6">
        <v>43983</v>
      </c>
      <c r="B107">
        <v>9826.1503909999992</v>
      </c>
      <c r="C107" s="3">
        <f t="shared" si="3"/>
        <v>2.5662097325147126E-2</v>
      </c>
      <c r="E107" s="3">
        <f t="shared" si="4"/>
        <v>2.5338352665264921E-2</v>
      </c>
      <c r="G107">
        <v>89.550003000000004</v>
      </c>
      <c r="H107" s="3">
        <f t="shared" si="5"/>
        <v>2.9310379310344858E-2</v>
      </c>
    </row>
    <row r="108" spans="1:8" x14ac:dyDescent="0.25">
      <c r="A108" s="6">
        <v>43984</v>
      </c>
      <c r="B108">
        <v>9979.0996090000008</v>
      </c>
      <c r="C108" s="3">
        <f t="shared" si="3"/>
        <v>1.556552789382204E-2</v>
      </c>
      <c r="E108" s="3">
        <f t="shared" si="4"/>
        <v>1.5445627670730074E-2</v>
      </c>
      <c r="G108">
        <v>96.5</v>
      </c>
      <c r="H108" s="3">
        <f t="shared" si="5"/>
        <v>7.7610237489327494E-2</v>
      </c>
    </row>
    <row r="109" spans="1:8" x14ac:dyDescent="0.25">
      <c r="A109" s="6">
        <v>43985</v>
      </c>
      <c r="B109">
        <v>10061.549805000001</v>
      </c>
      <c r="C109" s="3">
        <f t="shared" si="3"/>
        <v>8.2622881051952479E-3</v>
      </c>
      <c r="E109" s="3">
        <f t="shared" si="4"/>
        <v>8.2283422549158363E-3</v>
      </c>
      <c r="G109">
        <v>98.75</v>
      </c>
      <c r="H109" s="3">
        <f t="shared" si="5"/>
        <v>2.3316062176165886E-2</v>
      </c>
    </row>
    <row r="110" spans="1:8" x14ac:dyDescent="0.25">
      <c r="A110" s="6">
        <v>43986</v>
      </c>
      <c r="B110">
        <v>10029.099609000001</v>
      </c>
      <c r="C110" s="3">
        <f t="shared" si="3"/>
        <v>-3.2251687492391712E-3</v>
      </c>
      <c r="E110" s="3">
        <f t="shared" si="4"/>
        <v>-3.2303808155156586E-3</v>
      </c>
      <c r="G110">
        <v>98.5</v>
      </c>
      <c r="H110" s="3">
        <f t="shared" si="5"/>
        <v>-2.5316455696202667E-3</v>
      </c>
    </row>
    <row r="111" spans="1:8" x14ac:dyDescent="0.25">
      <c r="A111" s="6">
        <v>43987</v>
      </c>
      <c r="B111">
        <v>10142.150390999999</v>
      </c>
      <c r="C111" s="3">
        <f t="shared" si="3"/>
        <v>1.1272276316664387E-2</v>
      </c>
      <c r="E111" s="3">
        <f t="shared" si="4"/>
        <v>1.1209217644024085E-2</v>
      </c>
      <c r="G111">
        <v>110.75</v>
      </c>
      <c r="H111" s="3">
        <f t="shared" si="5"/>
        <v>0.12436548223350252</v>
      </c>
    </row>
    <row r="112" spans="1:8" x14ac:dyDescent="0.25">
      <c r="A112" s="6">
        <v>43990</v>
      </c>
      <c r="B112">
        <v>10167.450194999999</v>
      </c>
      <c r="C112" s="3">
        <f t="shared" si="3"/>
        <v>2.4945206908439932E-3</v>
      </c>
      <c r="E112" s="3">
        <f t="shared" si="4"/>
        <v>2.4914145386071085E-3</v>
      </c>
      <c r="G112">
        <v>115.449997</v>
      </c>
      <c r="H112" s="3">
        <f t="shared" si="5"/>
        <v>4.2437896162528244E-2</v>
      </c>
    </row>
    <row r="113" spans="1:8" x14ac:dyDescent="0.25">
      <c r="A113" s="6">
        <v>43991</v>
      </c>
      <c r="B113">
        <v>10046.650390999999</v>
      </c>
      <c r="C113" s="3">
        <f t="shared" si="3"/>
        <v>-1.1881032282745285E-2</v>
      </c>
      <c r="E113" s="3">
        <f t="shared" si="4"/>
        <v>-1.1952175814006641E-2</v>
      </c>
      <c r="G113">
        <v>111.449997</v>
      </c>
      <c r="H113" s="3">
        <f t="shared" si="5"/>
        <v>-3.4647034248082353E-2</v>
      </c>
    </row>
    <row r="114" spans="1:8" x14ac:dyDescent="0.25">
      <c r="A114" s="6">
        <v>43992</v>
      </c>
      <c r="B114">
        <v>10116.150390999999</v>
      </c>
      <c r="C114" s="3">
        <f t="shared" si="3"/>
        <v>6.9177285259431898E-3</v>
      </c>
      <c r="E114" s="3">
        <f t="shared" si="4"/>
        <v>6.8939108218153255E-3</v>
      </c>
      <c r="G114">
        <v>111.400002</v>
      </c>
      <c r="H114" s="3">
        <f t="shared" si="5"/>
        <v>-4.4858682230375369E-4</v>
      </c>
    </row>
    <row r="115" spans="1:8" x14ac:dyDescent="0.25">
      <c r="A115" s="6">
        <v>43993</v>
      </c>
      <c r="B115">
        <v>9902</v>
      </c>
      <c r="C115" s="3">
        <f t="shared" si="3"/>
        <v>-2.1169158496350704E-2</v>
      </c>
      <c r="E115" s="3">
        <f t="shared" si="4"/>
        <v>-2.1396438404875824E-2</v>
      </c>
      <c r="G115">
        <v>106.150002</v>
      </c>
      <c r="H115" s="3">
        <f t="shared" si="5"/>
        <v>-4.7127467735593065E-2</v>
      </c>
    </row>
    <row r="116" spans="1:8" x14ac:dyDescent="0.25">
      <c r="A116" s="6">
        <v>43994</v>
      </c>
      <c r="B116">
        <v>9972.9003909999992</v>
      </c>
      <c r="C116" s="3">
        <f t="shared" si="3"/>
        <v>7.1602091496667519E-3</v>
      </c>
      <c r="E116" s="3">
        <f t="shared" si="4"/>
        <v>7.1346965633789739E-3</v>
      </c>
      <c r="G116">
        <v>105.300003</v>
      </c>
      <c r="H116" s="3">
        <f t="shared" si="5"/>
        <v>-8.0075269334427546E-3</v>
      </c>
    </row>
    <row r="117" spans="1:8" x14ac:dyDescent="0.25">
      <c r="A117" s="6">
        <v>43997</v>
      </c>
      <c r="B117">
        <v>9813.7001949999994</v>
      </c>
      <c r="C117" s="3">
        <f t="shared" si="3"/>
        <v>-1.596327946318099E-2</v>
      </c>
      <c r="E117" s="3">
        <f t="shared" si="4"/>
        <v>-1.6092065007450133E-2</v>
      </c>
      <c r="G117">
        <v>100.5</v>
      </c>
      <c r="H117" s="3">
        <f t="shared" si="5"/>
        <v>-4.5584072775382567E-2</v>
      </c>
    </row>
    <row r="118" spans="1:8" x14ac:dyDescent="0.25">
      <c r="A118" s="6">
        <v>43998</v>
      </c>
      <c r="B118">
        <v>9914</v>
      </c>
      <c r="C118" s="3">
        <f t="shared" si="3"/>
        <v>1.0220386093626743E-2</v>
      </c>
      <c r="E118" s="3">
        <f t="shared" si="4"/>
        <v>1.0168511103222025E-2</v>
      </c>
      <c r="G118">
        <v>94.75</v>
      </c>
      <c r="H118" s="3">
        <f t="shared" si="5"/>
        <v>-5.7213930348258724E-2</v>
      </c>
    </row>
    <row r="119" spans="1:8" x14ac:dyDescent="0.25">
      <c r="A119" s="6">
        <v>43999</v>
      </c>
      <c r="B119">
        <v>9881.1503909999992</v>
      </c>
      <c r="C119" s="3">
        <f t="shared" si="3"/>
        <v>-3.3134566269922283E-3</v>
      </c>
      <c r="E119" s="3">
        <f t="shared" si="4"/>
        <v>-3.3189582807574372E-3</v>
      </c>
      <c r="G119">
        <v>95.400002000000001</v>
      </c>
      <c r="H119" s="3">
        <f t="shared" si="5"/>
        <v>6.8601794195251031E-3</v>
      </c>
    </row>
    <row r="120" spans="1:8" x14ac:dyDescent="0.25">
      <c r="A120" s="6">
        <v>44000</v>
      </c>
      <c r="B120">
        <v>10091.650390999999</v>
      </c>
      <c r="C120" s="3">
        <f t="shared" si="3"/>
        <v>2.1303187551090064E-2</v>
      </c>
      <c r="E120" s="3">
        <f t="shared" si="4"/>
        <v>2.1079446669296793E-2</v>
      </c>
      <c r="G120">
        <v>96.349997999999999</v>
      </c>
      <c r="H120" s="3">
        <f t="shared" si="5"/>
        <v>9.9580291413410293E-3</v>
      </c>
    </row>
    <row r="121" spans="1:8" x14ac:dyDescent="0.25">
      <c r="A121" s="6">
        <v>44001</v>
      </c>
      <c r="B121">
        <v>10244.400390999999</v>
      </c>
      <c r="C121" s="3">
        <f t="shared" si="3"/>
        <v>1.5136275443729863E-2</v>
      </c>
      <c r="E121" s="3">
        <f t="shared" si="4"/>
        <v>1.5022865002395434E-2</v>
      </c>
      <c r="G121">
        <v>102.5</v>
      </c>
      <c r="H121" s="3">
        <f t="shared" si="5"/>
        <v>6.3829809316654051E-2</v>
      </c>
    </row>
    <row r="122" spans="1:8" x14ac:dyDescent="0.25">
      <c r="A122" s="6">
        <v>44004</v>
      </c>
      <c r="B122">
        <v>10311.200194999999</v>
      </c>
      <c r="C122" s="3">
        <f t="shared" si="3"/>
        <v>6.520616283085312E-3</v>
      </c>
      <c r="E122" s="3">
        <f t="shared" si="4"/>
        <v>6.4994490305904555E-3</v>
      </c>
      <c r="G122">
        <v>102.650002</v>
      </c>
      <c r="H122" s="3">
        <f t="shared" si="5"/>
        <v>1.4634341463415357E-3</v>
      </c>
    </row>
    <row r="123" spans="1:8" x14ac:dyDescent="0.25">
      <c r="A123" s="6">
        <v>44005</v>
      </c>
      <c r="B123">
        <v>10471</v>
      </c>
      <c r="C123" s="3">
        <f t="shared" si="3"/>
        <v>1.5497692022068188E-2</v>
      </c>
      <c r="E123" s="3">
        <f t="shared" si="4"/>
        <v>1.5378829285417494E-2</v>
      </c>
      <c r="G123">
        <v>104.400002</v>
      </c>
      <c r="H123" s="3">
        <f t="shared" si="5"/>
        <v>1.7048221781817308E-2</v>
      </c>
    </row>
    <row r="124" spans="1:8" x14ac:dyDescent="0.25">
      <c r="A124" s="6">
        <v>44006</v>
      </c>
      <c r="B124">
        <v>10305.299805000001</v>
      </c>
      <c r="C124" s="3">
        <f t="shared" si="3"/>
        <v>-1.5824677203705395E-2</v>
      </c>
      <c r="E124" s="3">
        <f t="shared" si="4"/>
        <v>-1.5951224227439473E-2</v>
      </c>
      <c r="G124">
        <v>104.800003</v>
      </c>
      <c r="H124" s="3">
        <f t="shared" si="5"/>
        <v>3.8314271296662206E-3</v>
      </c>
    </row>
    <row r="125" spans="1:8" x14ac:dyDescent="0.25">
      <c r="A125" s="6">
        <v>44007</v>
      </c>
      <c r="B125">
        <v>10288.900390999999</v>
      </c>
      <c r="C125" s="3">
        <f t="shared" si="3"/>
        <v>-1.591357292879958E-3</v>
      </c>
      <c r="E125" s="3">
        <f t="shared" si="4"/>
        <v>-1.5926248468293904E-3</v>
      </c>
      <c r="G125">
        <v>103.800003</v>
      </c>
      <c r="H125" s="3">
        <f t="shared" si="5"/>
        <v>-9.5419844596760228E-3</v>
      </c>
    </row>
    <row r="126" spans="1:8" x14ac:dyDescent="0.25">
      <c r="A126" s="6">
        <v>44008</v>
      </c>
      <c r="B126">
        <v>10383</v>
      </c>
      <c r="C126" s="3">
        <f t="shared" si="3"/>
        <v>9.1457401106063152E-3</v>
      </c>
      <c r="E126" s="3">
        <f t="shared" si="4"/>
        <v>9.1041710902608677E-3</v>
      </c>
      <c r="G126">
        <v>101.400002</v>
      </c>
      <c r="H126" s="3">
        <f t="shared" si="5"/>
        <v>-2.3121396248899972E-2</v>
      </c>
    </row>
    <row r="127" spans="1:8" x14ac:dyDescent="0.25">
      <c r="A127" s="6">
        <v>44011</v>
      </c>
      <c r="B127">
        <v>10312.400390999999</v>
      </c>
      <c r="C127" s="3">
        <f t="shared" si="3"/>
        <v>-6.7995385726669078E-3</v>
      </c>
      <c r="E127" s="3">
        <f t="shared" si="4"/>
        <v>-6.822760761711991E-3</v>
      </c>
      <c r="G127">
        <v>99.449996999999996</v>
      </c>
      <c r="H127" s="3">
        <f t="shared" si="5"/>
        <v>-1.9230818161127927E-2</v>
      </c>
    </row>
    <row r="128" spans="1:8" x14ac:dyDescent="0.25">
      <c r="A128" s="6">
        <v>44012</v>
      </c>
      <c r="B128">
        <v>10302.099609000001</v>
      </c>
      <c r="C128" s="3">
        <f t="shared" si="3"/>
        <v>-9.9887335726300819E-4</v>
      </c>
      <c r="E128" s="3">
        <f t="shared" si="4"/>
        <v>-9.9937256371196697E-4</v>
      </c>
      <c r="G128">
        <v>98.25</v>
      </c>
      <c r="H128" s="3">
        <f t="shared" si="5"/>
        <v>-1.2066335205620948E-2</v>
      </c>
    </row>
    <row r="129" spans="1:8" x14ac:dyDescent="0.25">
      <c r="A129" s="6">
        <v>44013</v>
      </c>
      <c r="B129">
        <v>10430.049805000001</v>
      </c>
      <c r="C129" s="3">
        <f t="shared" si="3"/>
        <v>1.2419817401903233E-2</v>
      </c>
      <c r="E129" s="3">
        <f t="shared" si="4"/>
        <v>1.2343324173172269E-2</v>
      </c>
      <c r="G129">
        <v>100.75</v>
      </c>
      <c r="H129" s="3">
        <f t="shared" si="5"/>
        <v>2.5445292620865034E-2</v>
      </c>
    </row>
    <row r="130" spans="1:8" x14ac:dyDescent="0.25">
      <c r="A130" s="6">
        <v>44014</v>
      </c>
      <c r="B130">
        <v>10551.700194999999</v>
      </c>
      <c r="C130" s="3">
        <f t="shared" si="3"/>
        <v>1.1663452454625967E-2</v>
      </c>
      <c r="E130" s="3">
        <f t="shared" si="4"/>
        <v>1.1595958692959749E-2</v>
      </c>
      <c r="G130">
        <v>101.550003</v>
      </c>
      <c r="H130" s="3">
        <f t="shared" si="5"/>
        <v>7.9404764267989592E-3</v>
      </c>
    </row>
    <row r="131" spans="1:8" x14ac:dyDescent="0.25">
      <c r="A131" s="6">
        <v>44015</v>
      </c>
      <c r="B131">
        <v>10607.349609000001</v>
      </c>
      <c r="C131" s="3">
        <f t="shared" si="3"/>
        <v>5.2739760390814183E-3</v>
      </c>
      <c r="E131" s="3">
        <f t="shared" si="4"/>
        <v>5.2601173330845408E-3</v>
      </c>
      <c r="G131">
        <v>103.449997</v>
      </c>
      <c r="H131" s="3">
        <f t="shared" si="5"/>
        <v>1.8709935439391367E-2</v>
      </c>
    </row>
    <row r="132" spans="1:8" x14ac:dyDescent="0.25">
      <c r="A132" s="6">
        <v>44018</v>
      </c>
      <c r="B132">
        <v>10763.650390999999</v>
      </c>
      <c r="C132" s="3">
        <f t="shared" si="3"/>
        <v>1.4735140045481598E-2</v>
      </c>
      <c r="E132" s="3">
        <f t="shared" si="4"/>
        <v>1.4627632673481319E-2</v>
      </c>
      <c r="G132">
        <v>109</v>
      </c>
      <c r="H132" s="3">
        <f t="shared" si="5"/>
        <v>5.3649136403551623E-2</v>
      </c>
    </row>
    <row r="133" spans="1:8" x14ac:dyDescent="0.25">
      <c r="A133" s="6">
        <v>44019</v>
      </c>
      <c r="B133">
        <v>10799.650390999999</v>
      </c>
      <c r="C133" s="3">
        <f t="shared" ref="C133:C196" si="6">B133/B132-1</f>
        <v>3.3445902358646418E-3</v>
      </c>
      <c r="E133" s="3">
        <f t="shared" ref="E133:E196" si="7">LN(B133/B132)</f>
        <v>3.339009533920531E-3</v>
      </c>
      <c r="G133">
        <v>109.050003</v>
      </c>
      <c r="H133" s="3">
        <f t="shared" ref="H133:H196" si="8">G133/G132-1</f>
        <v>4.5874311926619171E-4</v>
      </c>
    </row>
    <row r="134" spans="1:8" x14ac:dyDescent="0.25">
      <c r="A134" s="6">
        <v>44020</v>
      </c>
      <c r="B134">
        <v>10705.75</v>
      </c>
      <c r="C134" s="3">
        <f t="shared" si="6"/>
        <v>-8.6947621080634141E-3</v>
      </c>
      <c r="E134" s="3">
        <f t="shared" si="7"/>
        <v>-8.7327820957128904E-3</v>
      </c>
      <c r="G134">
        <v>105.349998</v>
      </c>
      <c r="H134" s="3">
        <f t="shared" si="8"/>
        <v>-3.3929435105105044E-2</v>
      </c>
    </row>
    <row r="135" spans="1:8" x14ac:dyDescent="0.25">
      <c r="A135" s="6">
        <v>44021</v>
      </c>
      <c r="B135">
        <v>10813.450194999999</v>
      </c>
      <c r="C135" s="3">
        <f t="shared" si="6"/>
        <v>1.0060032692711829E-2</v>
      </c>
      <c r="E135" s="3">
        <f t="shared" si="7"/>
        <v>1.0009767396397423E-2</v>
      </c>
      <c r="G135">
        <v>106.949997</v>
      </c>
      <c r="H135" s="3">
        <f t="shared" si="8"/>
        <v>1.5187461133126856E-2</v>
      </c>
    </row>
    <row r="136" spans="1:8" x14ac:dyDescent="0.25">
      <c r="A136" s="6">
        <v>44022</v>
      </c>
      <c r="B136">
        <v>10768.049805000001</v>
      </c>
      <c r="C136" s="3">
        <f t="shared" si="6"/>
        <v>-4.1985110377621426E-3</v>
      </c>
      <c r="E136" s="3">
        <f t="shared" si="7"/>
        <v>-4.2073495329172442E-3</v>
      </c>
      <c r="G136">
        <v>107.599998</v>
      </c>
      <c r="H136" s="3">
        <f t="shared" si="8"/>
        <v>6.0776158787549939E-3</v>
      </c>
    </row>
    <row r="137" spans="1:8" x14ac:dyDescent="0.25">
      <c r="A137" s="6">
        <v>44025</v>
      </c>
      <c r="B137">
        <v>10802.700194999999</v>
      </c>
      <c r="C137" s="3">
        <f t="shared" si="6"/>
        <v>3.2178890911063185E-3</v>
      </c>
      <c r="E137" s="3">
        <f t="shared" si="7"/>
        <v>3.2127227661452162E-3</v>
      </c>
      <c r="G137">
        <v>108</v>
      </c>
      <c r="H137" s="3">
        <f t="shared" si="8"/>
        <v>3.7174907754180531E-3</v>
      </c>
    </row>
    <row r="138" spans="1:8" x14ac:dyDescent="0.25">
      <c r="A138" s="6">
        <v>44026</v>
      </c>
      <c r="B138">
        <v>10607.349609000001</v>
      </c>
      <c r="C138" s="3">
        <f t="shared" si="6"/>
        <v>-1.8083496021709111E-2</v>
      </c>
      <c r="E138" s="3">
        <f t="shared" si="7"/>
        <v>-1.8249000741314265E-2</v>
      </c>
      <c r="G138">
        <v>105.150002</v>
      </c>
      <c r="H138" s="3">
        <f t="shared" si="8"/>
        <v>-2.638887037037041E-2</v>
      </c>
    </row>
    <row r="139" spans="1:8" x14ac:dyDescent="0.25">
      <c r="A139" s="6">
        <v>44027</v>
      </c>
      <c r="B139">
        <v>10618.200194999999</v>
      </c>
      <c r="C139" s="3">
        <f t="shared" si="6"/>
        <v>1.0229309299649714E-3</v>
      </c>
      <c r="E139" s="3">
        <f t="shared" si="7"/>
        <v>1.0224080926418339E-3</v>
      </c>
      <c r="G139">
        <v>103.199997</v>
      </c>
      <c r="H139" s="3">
        <f t="shared" si="8"/>
        <v>-1.8544983004375015E-2</v>
      </c>
    </row>
    <row r="140" spans="1:8" x14ac:dyDescent="0.25">
      <c r="A140" s="6">
        <v>44028</v>
      </c>
      <c r="B140">
        <v>10739.950194999999</v>
      </c>
      <c r="C140" s="3">
        <f t="shared" si="6"/>
        <v>1.1466161662437857E-2</v>
      </c>
      <c r="E140" s="3">
        <f t="shared" si="7"/>
        <v>1.1400923445156702E-2</v>
      </c>
      <c r="G140">
        <v>102.949997</v>
      </c>
      <c r="H140" s="3">
        <f t="shared" si="8"/>
        <v>-2.4224806905759344E-3</v>
      </c>
    </row>
    <row r="141" spans="1:8" x14ac:dyDescent="0.25">
      <c r="A141" s="6">
        <v>44029</v>
      </c>
      <c r="B141">
        <v>10901.700194999999</v>
      </c>
      <c r="C141" s="3">
        <f t="shared" si="6"/>
        <v>1.5060591256307987E-2</v>
      </c>
      <c r="E141" s="3">
        <f t="shared" si="7"/>
        <v>1.4948306531048805E-2</v>
      </c>
      <c r="G141">
        <v>106.400002</v>
      </c>
      <c r="H141" s="3">
        <f t="shared" si="8"/>
        <v>3.3511462851232521E-2</v>
      </c>
    </row>
    <row r="142" spans="1:8" x14ac:dyDescent="0.25">
      <c r="A142" s="6">
        <v>44032</v>
      </c>
      <c r="B142">
        <v>11022.200194999999</v>
      </c>
      <c r="C142" s="3">
        <f t="shared" si="6"/>
        <v>1.1053321761248514E-2</v>
      </c>
      <c r="E142" s="3">
        <f t="shared" si="7"/>
        <v>1.0992680251153707E-2</v>
      </c>
      <c r="G142">
        <v>105.050003</v>
      </c>
      <c r="H142" s="3">
        <f t="shared" si="8"/>
        <v>-1.2687960287820266E-2</v>
      </c>
    </row>
    <row r="143" spans="1:8" x14ac:dyDescent="0.25">
      <c r="A143" s="6">
        <v>44033</v>
      </c>
      <c r="B143">
        <v>11162.25</v>
      </c>
      <c r="C143" s="3">
        <f t="shared" si="6"/>
        <v>1.2706156894476628E-2</v>
      </c>
      <c r="E143" s="3">
        <f t="shared" si="7"/>
        <v>1.2626111020129836E-2</v>
      </c>
      <c r="G143">
        <v>108.449997</v>
      </c>
      <c r="H143" s="3">
        <f t="shared" si="8"/>
        <v>3.2365482178996041E-2</v>
      </c>
    </row>
    <row r="144" spans="1:8" x14ac:dyDescent="0.25">
      <c r="A144" s="6">
        <v>44034</v>
      </c>
      <c r="B144">
        <v>11132.599609000001</v>
      </c>
      <c r="C144" s="3">
        <f t="shared" si="6"/>
        <v>-2.656309525409184E-3</v>
      </c>
      <c r="E144" s="3">
        <f t="shared" si="7"/>
        <v>-2.659843775652353E-3</v>
      </c>
      <c r="G144">
        <v>105.150002</v>
      </c>
      <c r="H144" s="3">
        <f t="shared" si="8"/>
        <v>-3.0428723755520193E-2</v>
      </c>
    </row>
    <row r="145" spans="1:8" x14ac:dyDescent="0.25">
      <c r="A145" s="6">
        <v>44035</v>
      </c>
      <c r="B145">
        <v>11215.450194999999</v>
      </c>
      <c r="C145" s="3">
        <f t="shared" si="6"/>
        <v>7.4421598647111953E-3</v>
      </c>
      <c r="E145" s="3">
        <f t="shared" si="7"/>
        <v>7.4146036271468376E-3</v>
      </c>
      <c r="G145">
        <v>106.050003</v>
      </c>
      <c r="H145" s="3">
        <f t="shared" si="8"/>
        <v>8.5592104886502707E-3</v>
      </c>
    </row>
    <row r="146" spans="1:8" x14ac:dyDescent="0.25">
      <c r="A146" s="6">
        <v>44036</v>
      </c>
      <c r="B146">
        <v>11194.150390999999</v>
      </c>
      <c r="C146" s="3">
        <f t="shared" si="6"/>
        <v>-1.8991483738651782E-3</v>
      </c>
      <c r="E146" s="3">
        <f t="shared" si="7"/>
        <v>-1.900954042655633E-3</v>
      </c>
      <c r="G146">
        <v>103.75</v>
      </c>
      <c r="H146" s="3">
        <f t="shared" si="8"/>
        <v>-2.1687910749045414E-2</v>
      </c>
    </row>
    <row r="147" spans="1:8" x14ac:dyDescent="0.25">
      <c r="A147" s="6">
        <v>44039</v>
      </c>
      <c r="B147">
        <v>11131.799805000001</v>
      </c>
      <c r="C147" s="3">
        <f t="shared" si="6"/>
        <v>-5.569925704243528E-3</v>
      </c>
      <c r="E147" s="3">
        <f t="shared" si="7"/>
        <v>-5.5854955827120733E-3</v>
      </c>
      <c r="G147">
        <v>101.699997</v>
      </c>
      <c r="H147" s="3">
        <f t="shared" si="8"/>
        <v>-1.9759065060241054E-2</v>
      </c>
    </row>
    <row r="148" spans="1:8" x14ac:dyDescent="0.25">
      <c r="A148" s="6">
        <v>44040</v>
      </c>
      <c r="B148">
        <v>11300.549805000001</v>
      </c>
      <c r="C148" s="3">
        <f t="shared" si="6"/>
        <v>1.515927369841874E-2</v>
      </c>
      <c r="E148" s="3">
        <f t="shared" si="7"/>
        <v>1.5045520083030939E-2</v>
      </c>
      <c r="G148">
        <v>106.449997</v>
      </c>
      <c r="H148" s="3">
        <f t="shared" si="8"/>
        <v>4.6705999411189802E-2</v>
      </c>
    </row>
    <row r="149" spans="1:8" x14ac:dyDescent="0.25">
      <c r="A149" s="6">
        <v>44041</v>
      </c>
      <c r="B149">
        <v>11202.849609000001</v>
      </c>
      <c r="C149" s="3">
        <f t="shared" si="6"/>
        <v>-8.6456143892018611E-3</v>
      </c>
      <c r="E149" s="3">
        <f t="shared" si="7"/>
        <v>-8.6832045300137516E-3</v>
      </c>
      <c r="G149">
        <v>105.75</v>
      </c>
      <c r="H149" s="3">
        <f t="shared" si="8"/>
        <v>-6.5758292130341234E-3</v>
      </c>
    </row>
    <row r="150" spans="1:8" x14ac:dyDescent="0.25">
      <c r="A150" s="6">
        <v>44042</v>
      </c>
      <c r="B150">
        <v>11102.150390999999</v>
      </c>
      <c r="C150" s="3">
        <f t="shared" si="6"/>
        <v>-8.9887146141016672E-3</v>
      </c>
      <c r="E150" s="3">
        <f t="shared" si="7"/>
        <v>-9.0293568402010013E-3</v>
      </c>
      <c r="G150">
        <v>103.650002</v>
      </c>
      <c r="H150" s="3">
        <f t="shared" si="8"/>
        <v>-1.9858137115839281E-2</v>
      </c>
    </row>
    <row r="151" spans="1:8" x14ac:dyDescent="0.25">
      <c r="A151" s="6">
        <v>44043</v>
      </c>
      <c r="B151">
        <v>11073.450194999999</v>
      </c>
      <c r="C151" s="3">
        <f t="shared" si="6"/>
        <v>-2.5851024341433382E-3</v>
      </c>
      <c r="E151" s="3">
        <f t="shared" si="7"/>
        <v>-2.5884495811638437E-3</v>
      </c>
      <c r="G151">
        <v>104.650002</v>
      </c>
      <c r="H151" s="3">
        <f t="shared" si="8"/>
        <v>9.6478531664669909E-3</v>
      </c>
    </row>
    <row r="152" spans="1:8" x14ac:dyDescent="0.25">
      <c r="A152" s="6">
        <v>44046</v>
      </c>
      <c r="B152">
        <v>10891.599609000001</v>
      </c>
      <c r="C152" s="3">
        <f t="shared" si="6"/>
        <v>-1.6422215551401442E-2</v>
      </c>
      <c r="E152" s="3">
        <f t="shared" si="7"/>
        <v>-1.6558554856330752E-2</v>
      </c>
      <c r="G152">
        <v>113.050003</v>
      </c>
      <c r="H152" s="3">
        <f t="shared" si="8"/>
        <v>8.0267566550070502E-2</v>
      </c>
    </row>
    <row r="153" spans="1:8" x14ac:dyDescent="0.25">
      <c r="A153" s="6">
        <v>44047</v>
      </c>
      <c r="B153">
        <v>11095.25</v>
      </c>
      <c r="C153" s="3">
        <f t="shared" si="6"/>
        <v>1.8697932196453326E-2</v>
      </c>
      <c r="E153" s="3">
        <f t="shared" si="7"/>
        <v>1.852527476638648E-2</v>
      </c>
      <c r="G153">
        <v>111.449997</v>
      </c>
      <c r="H153" s="3">
        <f t="shared" si="8"/>
        <v>-1.4153082331187616E-2</v>
      </c>
    </row>
    <row r="154" spans="1:8" x14ac:dyDescent="0.25">
      <c r="A154" s="6">
        <v>44048</v>
      </c>
      <c r="B154">
        <v>11101.650390999999</v>
      </c>
      <c r="C154" s="3">
        <f t="shared" si="6"/>
        <v>5.7685865573109396E-4</v>
      </c>
      <c r="E154" s="3">
        <f t="shared" si="7"/>
        <v>5.7669233673537576E-4</v>
      </c>
      <c r="G154">
        <v>115.400002</v>
      </c>
      <c r="H154" s="3">
        <f t="shared" si="8"/>
        <v>3.5441948015485503E-2</v>
      </c>
    </row>
    <row r="155" spans="1:8" x14ac:dyDescent="0.25">
      <c r="A155" s="6">
        <v>44049</v>
      </c>
      <c r="B155">
        <v>11200.150390999999</v>
      </c>
      <c r="C155" s="3">
        <f t="shared" si="6"/>
        <v>8.8725546680745726E-3</v>
      </c>
      <c r="E155" s="3">
        <f t="shared" si="7"/>
        <v>8.8334248389435651E-3</v>
      </c>
      <c r="G155">
        <v>116.800003</v>
      </c>
      <c r="H155" s="3">
        <f t="shared" si="8"/>
        <v>1.2131724226486673E-2</v>
      </c>
    </row>
    <row r="156" spans="1:8" x14ac:dyDescent="0.25">
      <c r="A156" s="6">
        <v>44050</v>
      </c>
      <c r="B156">
        <v>11214.049805000001</v>
      </c>
      <c r="C156" s="3">
        <f t="shared" si="6"/>
        <v>1.2410024432503164E-3</v>
      </c>
      <c r="E156" s="3">
        <f t="shared" si="7"/>
        <v>1.2402330362097972E-3</v>
      </c>
      <c r="G156">
        <v>119.099998</v>
      </c>
      <c r="H156" s="3">
        <f t="shared" si="8"/>
        <v>1.969173750791775E-2</v>
      </c>
    </row>
    <row r="157" spans="1:8" x14ac:dyDescent="0.25">
      <c r="A157" s="6">
        <v>44053</v>
      </c>
      <c r="B157">
        <v>11270.150390999999</v>
      </c>
      <c r="C157" s="3">
        <f t="shared" si="6"/>
        <v>5.0027052648708992E-3</v>
      </c>
      <c r="E157" s="3">
        <f t="shared" si="7"/>
        <v>4.9902333132578617E-3</v>
      </c>
      <c r="G157">
        <v>123.849998</v>
      </c>
      <c r="H157" s="3">
        <f t="shared" si="8"/>
        <v>3.98824523909731E-2</v>
      </c>
    </row>
    <row r="158" spans="1:8" x14ac:dyDescent="0.25">
      <c r="A158" s="6">
        <v>44054</v>
      </c>
      <c r="B158">
        <v>11322.5</v>
      </c>
      <c r="C158" s="3">
        <f t="shared" si="6"/>
        <v>4.6449787433009426E-3</v>
      </c>
      <c r="E158" s="3">
        <f t="shared" si="7"/>
        <v>4.6342241200098711E-3</v>
      </c>
      <c r="G158">
        <v>122.300003</v>
      </c>
      <c r="H158" s="3">
        <f t="shared" si="8"/>
        <v>-1.2515099112072603E-2</v>
      </c>
    </row>
    <row r="159" spans="1:8" x14ac:dyDescent="0.25">
      <c r="A159" s="6">
        <v>44055</v>
      </c>
      <c r="B159">
        <v>11308.400390999999</v>
      </c>
      <c r="C159" s="3">
        <f t="shared" si="6"/>
        <v>-1.2452734820048716E-3</v>
      </c>
      <c r="E159" s="3">
        <f t="shared" si="7"/>
        <v>-1.2460494793135079E-3</v>
      </c>
      <c r="G159">
        <v>125.349998</v>
      </c>
      <c r="H159" s="3">
        <f t="shared" si="8"/>
        <v>2.493863389357398E-2</v>
      </c>
    </row>
    <row r="160" spans="1:8" x14ac:dyDescent="0.25">
      <c r="A160" s="6">
        <v>44056</v>
      </c>
      <c r="B160">
        <v>11300.450194999999</v>
      </c>
      <c r="C160" s="3">
        <f t="shared" si="6"/>
        <v>-7.0303453407316585E-4</v>
      </c>
      <c r="E160" s="3">
        <f t="shared" si="7"/>
        <v>-7.0328177873903283E-4</v>
      </c>
      <c r="G160">
        <v>131.14999399999999</v>
      </c>
      <c r="H160" s="3">
        <f t="shared" si="8"/>
        <v>4.6270411587880478E-2</v>
      </c>
    </row>
    <row r="161" spans="1:8" x14ac:dyDescent="0.25">
      <c r="A161" s="6">
        <v>44057</v>
      </c>
      <c r="B161">
        <v>11178.400390999999</v>
      </c>
      <c r="C161" s="3">
        <f t="shared" si="6"/>
        <v>-1.0800437318329359E-2</v>
      </c>
      <c r="E161" s="3">
        <f t="shared" si="7"/>
        <v>-1.0859185427906671E-2</v>
      </c>
      <c r="G161">
        <v>124.599998</v>
      </c>
      <c r="H161" s="3">
        <f t="shared" si="8"/>
        <v>-4.9942785357656949E-2</v>
      </c>
    </row>
    <row r="162" spans="1:8" x14ac:dyDescent="0.25">
      <c r="A162" s="6">
        <v>44060</v>
      </c>
      <c r="B162">
        <v>11247.099609000001</v>
      </c>
      <c r="C162" s="3">
        <f t="shared" si="6"/>
        <v>6.1457109780496122E-3</v>
      </c>
      <c r="E162" s="3">
        <f t="shared" si="7"/>
        <v>6.1269031154590758E-3</v>
      </c>
      <c r="G162">
        <v>123.550003</v>
      </c>
      <c r="H162" s="3">
        <f t="shared" si="8"/>
        <v>-8.4269262989875582E-3</v>
      </c>
    </row>
    <row r="163" spans="1:8" x14ac:dyDescent="0.25">
      <c r="A163" s="6">
        <v>44061</v>
      </c>
      <c r="B163">
        <v>11385.349609000001</v>
      </c>
      <c r="C163" s="3">
        <f t="shared" si="6"/>
        <v>1.2292057935485046E-2</v>
      </c>
      <c r="E163" s="3">
        <f t="shared" si="7"/>
        <v>1.2217124027715562E-2</v>
      </c>
      <c r="G163">
        <v>125.599998</v>
      </c>
      <c r="H163" s="3">
        <f t="shared" si="8"/>
        <v>1.6592431810786623E-2</v>
      </c>
    </row>
    <row r="164" spans="1:8" x14ac:dyDescent="0.25">
      <c r="A164" s="6">
        <v>44062</v>
      </c>
      <c r="B164">
        <v>11408.400390999999</v>
      </c>
      <c r="C164" s="3">
        <f t="shared" si="6"/>
        <v>2.0246002794483964E-3</v>
      </c>
      <c r="E164" s="3">
        <f t="shared" si="7"/>
        <v>2.0225535383920482E-3</v>
      </c>
      <c r="G164">
        <v>125.150002</v>
      </c>
      <c r="H164" s="3">
        <f t="shared" si="8"/>
        <v>-3.5827707576874257E-3</v>
      </c>
    </row>
    <row r="165" spans="1:8" x14ac:dyDescent="0.25">
      <c r="A165" s="6">
        <v>44063</v>
      </c>
      <c r="B165">
        <v>11312.200194999999</v>
      </c>
      <c r="C165" s="3">
        <f t="shared" si="6"/>
        <v>-8.4324000475904937E-3</v>
      </c>
      <c r="E165" s="3">
        <f t="shared" si="7"/>
        <v>-8.4681538684290847E-3</v>
      </c>
      <c r="G165">
        <v>121.699997</v>
      </c>
      <c r="H165" s="3">
        <f t="shared" si="8"/>
        <v>-2.7566959207879216E-2</v>
      </c>
    </row>
    <row r="166" spans="1:8" x14ac:dyDescent="0.25">
      <c r="A166" s="6">
        <v>44064</v>
      </c>
      <c r="B166">
        <v>11371.599609000001</v>
      </c>
      <c r="C166" s="3">
        <f t="shared" si="6"/>
        <v>5.2509160884772754E-3</v>
      </c>
      <c r="E166" s="3">
        <f t="shared" si="7"/>
        <v>5.2371780989617029E-3</v>
      </c>
      <c r="G166">
        <v>120.900002</v>
      </c>
      <c r="H166" s="3">
        <f t="shared" si="8"/>
        <v>-6.5735005728881912E-3</v>
      </c>
    </row>
    <row r="167" spans="1:8" x14ac:dyDescent="0.25">
      <c r="A167" s="6">
        <v>44067</v>
      </c>
      <c r="B167">
        <v>11466.450194999999</v>
      </c>
      <c r="C167" s="3">
        <f t="shared" si="6"/>
        <v>8.3410064776576753E-3</v>
      </c>
      <c r="E167" s="3">
        <f t="shared" si="7"/>
        <v>8.3064125156496853E-3</v>
      </c>
      <c r="G167">
        <v>121.199997</v>
      </c>
      <c r="H167" s="3">
        <f t="shared" si="8"/>
        <v>2.4813481806227333E-3</v>
      </c>
    </row>
    <row r="168" spans="1:8" x14ac:dyDescent="0.25">
      <c r="A168" s="6">
        <v>44068</v>
      </c>
      <c r="B168">
        <v>11472.25</v>
      </c>
      <c r="C168" s="3">
        <f t="shared" si="6"/>
        <v>5.0580649646292386E-4</v>
      </c>
      <c r="E168" s="3">
        <f t="shared" si="7"/>
        <v>5.0567861947584862E-4</v>
      </c>
      <c r="G168">
        <v>127.099998</v>
      </c>
      <c r="H168" s="3">
        <f t="shared" si="8"/>
        <v>4.8679877442571184E-2</v>
      </c>
    </row>
    <row r="169" spans="1:8" x14ac:dyDescent="0.25">
      <c r="A169" s="6">
        <v>44069</v>
      </c>
      <c r="B169">
        <v>11549.599609000001</v>
      </c>
      <c r="C169" s="3">
        <f t="shared" si="6"/>
        <v>6.7423224737954701E-3</v>
      </c>
      <c r="E169" s="3">
        <f t="shared" si="7"/>
        <v>6.7196946699834567E-3</v>
      </c>
      <c r="G169">
        <v>137.89999399999999</v>
      </c>
      <c r="H169" s="3">
        <f t="shared" si="8"/>
        <v>8.4972432493665373E-2</v>
      </c>
    </row>
    <row r="170" spans="1:8" x14ac:dyDescent="0.25">
      <c r="A170" s="6">
        <v>44070</v>
      </c>
      <c r="B170">
        <v>11559.25</v>
      </c>
      <c r="C170" s="3">
        <f t="shared" si="6"/>
        <v>8.3556065376311217E-4</v>
      </c>
      <c r="E170" s="3">
        <f t="shared" si="7"/>
        <v>8.3521176729040036E-4</v>
      </c>
      <c r="G170">
        <v>144.25</v>
      </c>
      <c r="H170" s="3">
        <f t="shared" si="8"/>
        <v>4.6047906281997397E-2</v>
      </c>
    </row>
    <row r="171" spans="1:8" x14ac:dyDescent="0.25">
      <c r="A171" s="6">
        <v>44071</v>
      </c>
      <c r="B171">
        <v>11647.599609000001</v>
      </c>
      <c r="C171" s="3">
        <f t="shared" si="6"/>
        <v>7.6431956225533337E-3</v>
      </c>
      <c r="E171" s="3">
        <f t="shared" si="7"/>
        <v>7.6141343894162153E-3</v>
      </c>
      <c r="G171">
        <v>142.800003</v>
      </c>
      <c r="H171" s="3">
        <f t="shared" si="8"/>
        <v>-1.0051972270363918E-2</v>
      </c>
    </row>
    <row r="172" spans="1:8" x14ac:dyDescent="0.25">
      <c r="A172" s="6">
        <v>44074</v>
      </c>
      <c r="B172">
        <v>11387.5</v>
      </c>
      <c r="C172" s="3">
        <f t="shared" si="6"/>
        <v>-2.2330747770469728E-2</v>
      </c>
      <c r="E172" s="3">
        <f t="shared" si="7"/>
        <v>-2.2583854050111062E-2</v>
      </c>
      <c r="G172">
        <v>143.199997</v>
      </c>
      <c r="H172" s="3">
        <f t="shared" si="8"/>
        <v>2.8010783725263E-3</v>
      </c>
    </row>
    <row r="173" spans="1:8" x14ac:dyDescent="0.25">
      <c r="A173" s="6">
        <v>44075</v>
      </c>
      <c r="B173">
        <v>11470.25</v>
      </c>
      <c r="C173" s="3">
        <f t="shared" si="6"/>
        <v>7.2667398463226451E-3</v>
      </c>
      <c r="E173" s="3">
        <f t="shared" si="7"/>
        <v>7.2404643072113339E-3</v>
      </c>
      <c r="G173">
        <v>143.800003</v>
      </c>
      <c r="H173" s="3">
        <f t="shared" si="8"/>
        <v>4.1899861212986167E-3</v>
      </c>
    </row>
    <row r="174" spans="1:8" x14ac:dyDescent="0.25">
      <c r="A174" s="6">
        <v>44076</v>
      </c>
      <c r="B174">
        <v>11535</v>
      </c>
      <c r="C174" s="3">
        <f t="shared" si="6"/>
        <v>5.6450382511279429E-3</v>
      </c>
      <c r="E174" s="3">
        <f t="shared" si="7"/>
        <v>5.6291647324288943E-3</v>
      </c>
      <c r="G174">
        <v>150.300003</v>
      </c>
      <c r="H174" s="3">
        <f t="shared" si="8"/>
        <v>4.5201668041689791E-2</v>
      </c>
    </row>
    <row r="175" spans="1:8" x14ac:dyDescent="0.25">
      <c r="A175" s="6">
        <v>44077</v>
      </c>
      <c r="B175">
        <v>11527.450194999999</v>
      </c>
      <c r="C175" s="3">
        <f t="shared" si="6"/>
        <v>-6.5451278716954775E-4</v>
      </c>
      <c r="E175" s="3">
        <f t="shared" si="7"/>
        <v>-6.547270741713221E-4</v>
      </c>
      <c r="G175">
        <v>151.85000600000001</v>
      </c>
      <c r="H175" s="3">
        <f t="shared" si="8"/>
        <v>1.0312727671735411E-2</v>
      </c>
    </row>
    <row r="176" spans="1:8" x14ac:dyDescent="0.25">
      <c r="A176" s="6">
        <v>44078</v>
      </c>
      <c r="B176">
        <v>11333.849609000001</v>
      </c>
      <c r="C176" s="3">
        <f t="shared" si="6"/>
        <v>-1.6794744954436891E-2</v>
      </c>
      <c r="E176" s="3">
        <f t="shared" si="7"/>
        <v>-1.69373759057397E-2</v>
      </c>
      <c r="G176">
        <v>147.800003</v>
      </c>
      <c r="H176" s="3">
        <f t="shared" si="8"/>
        <v>-2.6671075666602206E-2</v>
      </c>
    </row>
    <row r="177" spans="1:8" x14ac:dyDescent="0.25">
      <c r="A177" s="6">
        <v>44081</v>
      </c>
      <c r="B177">
        <v>11355.049805000001</v>
      </c>
      <c r="C177" s="3">
        <f t="shared" si="6"/>
        <v>1.8705203202242782E-3</v>
      </c>
      <c r="E177" s="3">
        <f t="shared" si="7"/>
        <v>1.8687730755885309E-3</v>
      </c>
      <c r="G177">
        <v>149.39999399999999</v>
      </c>
      <c r="H177" s="3">
        <f t="shared" si="8"/>
        <v>1.0825378670662023E-2</v>
      </c>
    </row>
    <row r="178" spans="1:8" x14ac:dyDescent="0.25">
      <c r="A178" s="6">
        <v>44082</v>
      </c>
      <c r="B178">
        <v>11317.349609000001</v>
      </c>
      <c r="C178" s="3">
        <f t="shared" si="6"/>
        <v>-3.3201259921730175E-3</v>
      </c>
      <c r="E178" s="3">
        <f t="shared" si="7"/>
        <v>-3.3256498404452715E-3</v>
      </c>
      <c r="G178">
        <v>142.300003</v>
      </c>
      <c r="H178" s="3">
        <f t="shared" si="8"/>
        <v>-4.7523368709104452E-2</v>
      </c>
    </row>
    <row r="179" spans="1:8" x14ac:dyDescent="0.25">
      <c r="A179" s="6">
        <v>44083</v>
      </c>
      <c r="B179">
        <v>11278</v>
      </c>
      <c r="C179" s="3">
        <f t="shared" si="6"/>
        <v>-3.4769279344969428E-3</v>
      </c>
      <c r="E179" s="3">
        <f t="shared" si="7"/>
        <v>-3.4829864959587471E-3</v>
      </c>
      <c r="G179">
        <v>140.10000600000001</v>
      </c>
      <c r="H179" s="3">
        <f t="shared" si="8"/>
        <v>-1.5460273742931685E-2</v>
      </c>
    </row>
    <row r="180" spans="1:8" x14ac:dyDescent="0.25">
      <c r="A180" s="6">
        <v>44084</v>
      </c>
      <c r="B180">
        <v>11449.25</v>
      </c>
      <c r="C180" s="3">
        <f t="shared" si="6"/>
        <v>1.5184429863450921E-2</v>
      </c>
      <c r="E180" s="3">
        <f t="shared" si="7"/>
        <v>1.507030028649042E-2</v>
      </c>
      <c r="G180">
        <v>143.300003</v>
      </c>
      <c r="H180" s="3">
        <f t="shared" si="8"/>
        <v>2.2840805588544955E-2</v>
      </c>
    </row>
    <row r="181" spans="1:8" x14ac:dyDescent="0.25">
      <c r="A181" s="6">
        <v>44085</v>
      </c>
      <c r="B181">
        <v>11464.450194999999</v>
      </c>
      <c r="C181" s="3">
        <f t="shared" si="6"/>
        <v>1.3276149092735778E-3</v>
      </c>
      <c r="E181" s="3">
        <f t="shared" si="7"/>
        <v>1.3267344078249912E-3</v>
      </c>
      <c r="G181">
        <v>144.300003</v>
      </c>
      <c r="H181" s="3">
        <f t="shared" si="8"/>
        <v>6.9783669160146111E-3</v>
      </c>
    </row>
    <row r="182" spans="1:8" x14ac:dyDescent="0.25">
      <c r="A182" s="6">
        <v>44088</v>
      </c>
      <c r="B182">
        <v>11440.049805000001</v>
      </c>
      <c r="C182" s="3">
        <f t="shared" si="6"/>
        <v>-2.1283523923930625E-3</v>
      </c>
      <c r="E182" s="3">
        <f t="shared" si="7"/>
        <v>-2.1306205532146271E-3</v>
      </c>
      <c r="G182">
        <v>148.550003</v>
      </c>
      <c r="H182" s="3">
        <f t="shared" si="8"/>
        <v>2.9452528840210768E-2</v>
      </c>
    </row>
    <row r="183" spans="1:8" x14ac:dyDescent="0.25">
      <c r="A183" s="6">
        <v>44089</v>
      </c>
      <c r="B183">
        <v>11521.799805000001</v>
      </c>
      <c r="C183" s="3">
        <f t="shared" si="6"/>
        <v>7.1459479104951651E-3</v>
      </c>
      <c r="E183" s="3">
        <f t="shared" si="7"/>
        <v>7.1205366114552417E-3</v>
      </c>
      <c r="G183">
        <v>148.39999399999999</v>
      </c>
      <c r="H183" s="3">
        <f t="shared" si="8"/>
        <v>-1.0098215884923878E-3</v>
      </c>
    </row>
    <row r="184" spans="1:8" x14ac:dyDescent="0.25">
      <c r="A184" s="6">
        <v>44090</v>
      </c>
      <c r="B184">
        <v>11604.549805000001</v>
      </c>
      <c r="C184" s="3">
        <f t="shared" si="6"/>
        <v>7.1820376504103667E-3</v>
      </c>
      <c r="E184" s="3">
        <f t="shared" si="7"/>
        <v>7.1563696437893613E-3</v>
      </c>
      <c r="G184">
        <v>151.449997</v>
      </c>
      <c r="H184" s="3">
        <f t="shared" si="8"/>
        <v>2.0552581693500604E-2</v>
      </c>
    </row>
    <row r="185" spans="1:8" x14ac:dyDescent="0.25">
      <c r="A185" s="6">
        <v>44091</v>
      </c>
      <c r="B185">
        <v>11516.099609000001</v>
      </c>
      <c r="C185" s="3">
        <f t="shared" si="6"/>
        <v>-7.6220273501595992E-3</v>
      </c>
      <c r="E185" s="3">
        <f t="shared" si="7"/>
        <v>-7.6512234508909404E-3</v>
      </c>
      <c r="G185">
        <v>147.64999399999999</v>
      </c>
      <c r="H185" s="3">
        <f t="shared" si="8"/>
        <v>-2.5090809344816334E-2</v>
      </c>
    </row>
    <row r="186" spans="1:8" x14ac:dyDescent="0.25">
      <c r="A186" s="6">
        <v>44092</v>
      </c>
      <c r="B186">
        <v>11504.950194999999</v>
      </c>
      <c r="C186" s="3">
        <f t="shared" si="6"/>
        <v>-9.6815887136714185E-4</v>
      </c>
      <c r="E186" s="3">
        <f t="shared" si="7"/>
        <v>-9.6862783988236462E-4</v>
      </c>
      <c r="G186">
        <v>147.89999399999999</v>
      </c>
      <c r="H186" s="3">
        <f t="shared" si="8"/>
        <v>1.6931934314876607E-3</v>
      </c>
    </row>
    <row r="187" spans="1:8" x14ac:dyDescent="0.25">
      <c r="A187" s="6">
        <v>44095</v>
      </c>
      <c r="B187">
        <v>11250.549805000001</v>
      </c>
      <c r="C187" s="3">
        <f t="shared" si="6"/>
        <v>-2.2112254784949936E-2</v>
      </c>
      <c r="E187" s="3">
        <f t="shared" si="7"/>
        <v>-2.2360395478753143E-2</v>
      </c>
      <c r="G187">
        <v>137.449997</v>
      </c>
      <c r="H187" s="3">
        <f t="shared" si="8"/>
        <v>-7.0655831128701663E-2</v>
      </c>
    </row>
    <row r="188" spans="1:8" x14ac:dyDescent="0.25">
      <c r="A188" s="6">
        <v>44096</v>
      </c>
      <c r="B188">
        <v>11153.650390999999</v>
      </c>
      <c r="C188" s="3">
        <f t="shared" si="6"/>
        <v>-8.612860320562965E-3</v>
      </c>
      <c r="E188" s="3">
        <f t="shared" si="7"/>
        <v>-8.6501653585190387E-3</v>
      </c>
      <c r="G188">
        <v>133.10000600000001</v>
      </c>
      <c r="H188" s="3">
        <f t="shared" si="8"/>
        <v>-3.1647807165830599E-2</v>
      </c>
    </row>
    <row r="189" spans="1:8" x14ac:dyDescent="0.25">
      <c r="A189" s="6">
        <v>44097</v>
      </c>
      <c r="B189">
        <v>11131.849609000001</v>
      </c>
      <c r="C189" s="3">
        <f t="shared" si="6"/>
        <v>-1.9545871742214782E-3</v>
      </c>
      <c r="E189" s="3">
        <f t="shared" si="7"/>
        <v>-1.9564998724956881E-3</v>
      </c>
      <c r="G189">
        <v>131.39999399999999</v>
      </c>
      <c r="H189" s="3">
        <f t="shared" si="8"/>
        <v>-1.277244119733556E-2</v>
      </c>
    </row>
    <row r="190" spans="1:8" x14ac:dyDescent="0.25">
      <c r="A190" s="6">
        <v>44098</v>
      </c>
      <c r="B190">
        <v>10805.549805000001</v>
      </c>
      <c r="C190" s="3">
        <f t="shared" si="6"/>
        <v>-2.9312272035744158E-2</v>
      </c>
      <c r="E190" s="3">
        <f t="shared" si="7"/>
        <v>-2.9750460803689798E-2</v>
      </c>
      <c r="G190">
        <v>122.800003</v>
      </c>
      <c r="H190" s="3">
        <f t="shared" si="8"/>
        <v>-6.5448945149875648E-2</v>
      </c>
    </row>
    <row r="191" spans="1:8" x14ac:dyDescent="0.25">
      <c r="A191" s="6">
        <v>44099</v>
      </c>
      <c r="B191">
        <v>11050.25</v>
      </c>
      <c r="C191" s="3">
        <f t="shared" si="6"/>
        <v>2.2645788452779092E-2</v>
      </c>
      <c r="E191" s="3">
        <f t="shared" si="7"/>
        <v>2.2393179165117454E-2</v>
      </c>
      <c r="G191">
        <v>127.25</v>
      </c>
      <c r="H191" s="3">
        <f t="shared" si="8"/>
        <v>3.6237759701031935E-2</v>
      </c>
    </row>
    <row r="192" spans="1:8" x14ac:dyDescent="0.25">
      <c r="A192" s="6">
        <v>44102</v>
      </c>
      <c r="B192">
        <v>11227.549805000001</v>
      </c>
      <c r="C192" s="3">
        <f t="shared" si="6"/>
        <v>1.604486821565132E-2</v>
      </c>
      <c r="E192" s="3">
        <f t="shared" si="7"/>
        <v>1.5917509810772165E-2</v>
      </c>
      <c r="G192">
        <v>132.85000600000001</v>
      </c>
      <c r="H192" s="3">
        <f t="shared" si="8"/>
        <v>4.4007905697446059E-2</v>
      </c>
    </row>
    <row r="193" spans="1:8" x14ac:dyDescent="0.25">
      <c r="A193" s="6">
        <v>44103</v>
      </c>
      <c r="B193">
        <v>11222.400390999999</v>
      </c>
      <c r="C193" s="3">
        <f t="shared" si="6"/>
        <v>-4.5864094031522473E-4</v>
      </c>
      <c r="E193" s="3">
        <f t="shared" si="7"/>
        <v>-4.5874614824096248E-4</v>
      </c>
      <c r="G193">
        <v>131.699997</v>
      </c>
      <c r="H193" s="3">
        <f t="shared" si="8"/>
        <v>-8.6564467298556602E-3</v>
      </c>
    </row>
    <row r="194" spans="1:8" x14ac:dyDescent="0.25">
      <c r="A194" s="6">
        <v>44104</v>
      </c>
      <c r="B194">
        <v>11247.549805000001</v>
      </c>
      <c r="C194" s="3">
        <f t="shared" si="6"/>
        <v>2.2410013119982253E-3</v>
      </c>
      <c r="E194" s="3">
        <f t="shared" si="7"/>
        <v>2.2384940137650765E-3</v>
      </c>
      <c r="G194">
        <v>133.300003</v>
      </c>
      <c r="H194" s="3">
        <f t="shared" si="8"/>
        <v>1.214886891759015E-2</v>
      </c>
    </row>
    <row r="195" spans="1:8" x14ac:dyDescent="0.25">
      <c r="A195" s="6">
        <v>44105</v>
      </c>
      <c r="B195">
        <v>11416.950194999999</v>
      </c>
      <c r="C195" s="3">
        <f t="shared" si="6"/>
        <v>1.5061092676797339E-2</v>
      </c>
      <c r="E195" s="3">
        <f t="shared" si="7"/>
        <v>1.4948800511772543E-2</v>
      </c>
      <c r="G195">
        <v>133.5</v>
      </c>
      <c r="H195" s="3">
        <f t="shared" si="8"/>
        <v>1.5003525543806351E-3</v>
      </c>
    </row>
    <row r="196" spans="1:8" x14ac:dyDescent="0.25">
      <c r="A196" s="6">
        <v>44109</v>
      </c>
      <c r="B196">
        <v>11503.349609000001</v>
      </c>
      <c r="C196" s="3">
        <f t="shared" si="6"/>
        <v>7.5676439438125964E-3</v>
      </c>
      <c r="E196" s="3">
        <f t="shared" si="7"/>
        <v>7.539152975766821E-3</v>
      </c>
      <c r="G196">
        <v>133.89999399999999</v>
      </c>
      <c r="H196" s="3">
        <f t="shared" si="8"/>
        <v>2.9962097378275487E-3</v>
      </c>
    </row>
    <row r="197" spans="1:8" x14ac:dyDescent="0.25">
      <c r="A197" s="6">
        <v>44110</v>
      </c>
      <c r="B197">
        <v>11662.400390999999</v>
      </c>
      <c r="C197" s="3">
        <f t="shared" ref="C197:C252" si="9">B197/B196-1</f>
        <v>1.3826475540268834E-2</v>
      </c>
      <c r="E197" s="3">
        <f t="shared" ref="E197:E252" si="10">LN(B197/B196)</f>
        <v>1.3731761866299826E-2</v>
      </c>
      <c r="G197">
        <v>144.75</v>
      </c>
      <c r="H197" s="3">
        <f t="shared" ref="H197:H252" si="11">G197/G196-1</f>
        <v>8.1030668306079301E-2</v>
      </c>
    </row>
    <row r="198" spans="1:8" x14ac:dyDescent="0.25">
      <c r="A198" s="6">
        <v>44111</v>
      </c>
      <c r="B198">
        <v>11738.849609000001</v>
      </c>
      <c r="C198" s="3">
        <f t="shared" si="9"/>
        <v>6.5551872202054273E-3</v>
      </c>
      <c r="E198" s="3">
        <f t="shared" si="10"/>
        <v>6.5337954144308961E-3</v>
      </c>
      <c r="G198">
        <v>141</v>
      </c>
      <c r="H198" s="3">
        <f t="shared" si="11"/>
        <v>-2.5906735751295318E-2</v>
      </c>
    </row>
    <row r="199" spans="1:8" x14ac:dyDescent="0.25">
      <c r="A199" s="6">
        <v>44112</v>
      </c>
      <c r="B199">
        <v>11834.599609000001</v>
      </c>
      <c r="C199" s="3">
        <f t="shared" si="9"/>
        <v>8.1566766071003993E-3</v>
      </c>
      <c r="E199" s="3">
        <f t="shared" si="10"/>
        <v>8.1235907126623267E-3</v>
      </c>
      <c r="G199">
        <v>140.949997</v>
      </c>
      <c r="H199" s="3">
        <f t="shared" si="11"/>
        <v>-3.5463120567380546E-4</v>
      </c>
    </row>
    <row r="200" spans="1:8" x14ac:dyDescent="0.25">
      <c r="A200" s="6">
        <v>44113</v>
      </c>
      <c r="B200">
        <v>11914.200194999999</v>
      </c>
      <c r="C200" s="3">
        <f t="shared" si="9"/>
        <v>6.7260903308856701E-3</v>
      </c>
      <c r="E200" s="3">
        <f t="shared" si="10"/>
        <v>6.7035711064778927E-3</v>
      </c>
      <c r="G200">
        <v>138.449997</v>
      </c>
      <c r="H200" s="3">
        <f t="shared" si="11"/>
        <v>-1.7736786471872046E-2</v>
      </c>
    </row>
    <row r="201" spans="1:8" x14ac:dyDescent="0.25">
      <c r="A201" s="6">
        <v>44116</v>
      </c>
      <c r="B201">
        <v>11930.950194999999</v>
      </c>
      <c r="C201" s="3">
        <f t="shared" si="9"/>
        <v>1.405885391033479E-3</v>
      </c>
      <c r="E201" s="3">
        <f t="shared" si="10"/>
        <v>1.4048980594421579E-3</v>
      </c>
      <c r="G201">
        <v>135.89999399999999</v>
      </c>
      <c r="H201" s="3">
        <f t="shared" si="11"/>
        <v>-1.8418223584360183E-2</v>
      </c>
    </row>
    <row r="202" spans="1:8" x14ac:dyDescent="0.25">
      <c r="A202" s="6">
        <v>44117</v>
      </c>
      <c r="B202">
        <v>11934.5</v>
      </c>
      <c r="C202" s="3">
        <f t="shared" si="9"/>
        <v>2.9752911058911202E-4</v>
      </c>
      <c r="E202" s="3">
        <f t="shared" si="10"/>
        <v>2.9748485758077591E-4</v>
      </c>
      <c r="G202">
        <v>134.10000600000001</v>
      </c>
      <c r="H202" s="3">
        <f t="shared" si="11"/>
        <v>-1.3244945397127728E-2</v>
      </c>
    </row>
    <row r="203" spans="1:8" x14ac:dyDescent="0.25">
      <c r="A203" s="6">
        <v>44118</v>
      </c>
      <c r="B203">
        <v>11971.049805000001</v>
      </c>
      <c r="C203" s="3">
        <f t="shared" si="9"/>
        <v>3.0625334115379488E-3</v>
      </c>
      <c r="E203" s="3">
        <f t="shared" si="10"/>
        <v>3.0578534087648663E-3</v>
      </c>
      <c r="G203">
        <v>130.699997</v>
      </c>
      <c r="H203" s="3">
        <f t="shared" si="11"/>
        <v>-2.5354279253350764E-2</v>
      </c>
    </row>
    <row r="204" spans="1:8" x14ac:dyDescent="0.25">
      <c r="A204" s="6">
        <v>44119</v>
      </c>
      <c r="B204">
        <v>11680.349609000001</v>
      </c>
      <c r="C204" s="3">
        <f t="shared" si="9"/>
        <v>-2.4283600915149584E-2</v>
      </c>
      <c r="E204" s="3">
        <f t="shared" si="10"/>
        <v>-2.4583309502200015E-2</v>
      </c>
      <c r="G204">
        <v>126.949997</v>
      </c>
      <c r="H204" s="3">
        <f t="shared" si="11"/>
        <v>-2.8691660949311304E-2</v>
      </c>
    </row>
    <row r="205" spans="1:8" x14ac:dyDescent="0.25">
      <c r="A205" s="6">
        <v>44120</v>
      </c>
      <c r="B205">
        <v>11762.450194999999</v>
      </c>
      <c r="C205" s="3">
        <f t="shared" si="9"/>
        <v>7.02894936781151E-3</v>
      </c>
      <c r="E205" s="3">
        <f t="shared" si="10"/>
        <v>7.0043614541008903E-3</v>
      </c>
      <c r="G205">
        <v>127.75</v>
      </c>
      <c r="H205" s="3">
        <f t="shared" si="11"/>
        <v>6.3017173604187349E-3</v>
      </c>
    </row>
    <row r="206" spans="1:8" x14ac:dyDescent="0.25">
      <c r="A206" s="6">
        <v>44123</v>
      </c>
      <c r="B206">
        <v>11873.049805000001</v>
      </c>
      <c r="C206" s="3">
        <f t="shared" si="9"/>
        <v>9.4027696752343459E-3</v>
      </c>
      <c r="E206" s="3">
        <f t="shared" si="10"/>
        <v>9.3588388029971371E-3</v>
      </c>
      <c r="G206">
        <v>128.25</v>
      </c>
      <c r="H206" s="3">
        <f t="shared" si="11"/>
        <v>3.9138943248533398E-3</v>
      </c>
    </row>
    <row r="207" spans="1:8" x14ac:dyDescent="0.25">
      <c r="A207" s="6">
        <v>44124</v>
      </c>
      <c r="B207">
        <v>11896.799805000001</v>
      </c>
      <c r="C207" s="3">
        <f t="shared" si="9"/>
        <v>2.0003285078444843E-3</v>
      </c>
      <c r="E207" s="3">
        <f t="shared" si="10"/>
        <v>1.9983305147595162E-3</v>
      </c>
      <c r="G207">
        <v>129.64999399999999</v>
      </c>
      <c r="H207" s="3">
        <f t="shared" si="11"/>
        <v>1.0916132553606239E-2</v>
      </c>
    </row>
    <row r="208" spans="1:8" x14ac:dyDescent="0.25">
      <c r="A208" s="6">
        <v>44125</v>
      </c>
      <c r="B208">
        <v>11937.650390999999</v>
      </c>
      <c r="C208" s="3">
        <f t="shared" si="9"/>
        <v>3.4337457694151308E-3</v>
      </c>
      <c r="E208" s="3">
        <f t="shared" si="10"/>
        <v>3.4278639250702992E-3</v>
      </c>
      <c r="G208">
        <v>130.25</v>
      </c>
      <c r="H208" s="3">
        <f t="shared" si="11"/>
        <v>4.6278906885257598E-3</v>
      </c>
    </row>
    <row r="209" spans="1:8" x14ac:dyDescent="0.25">
      <c r="A209" s="6">
        <v>44126</v>
      </c>
      <c r="B209">
        <v>11896.450194999999</v>
      </c>
      <c r="C209" s="3">
        <f t="shared" si="9"/>
        <v>-3.4512818394364375E-3</v>
      </c>
      <c r="E209" s="3">
        <f t="shared" si="10"/>
        <v>-3.4572512513100719E-3</v>
      </c>
      <c r="G209">
        <v>133.5</v>
      </c>
      <c r="H209" s="3">
        <f t="shared" si="11"/>
        <v>2.4952015355086399E-2</v>
      </c>
    </row>
    <row r="210" spans="1:8" x14ac:dyDescent="0.25">
      <c r="A210" s="6">
        <v>44127</v>
      </c>
      <c r="B210">
        <v>11930.349609000001</v>
      </c>
      <c r="C210" s="3">
        <f t="shared" si="9"/>
        <v>2.8495402783470514E-3</v>
      </c>
      <c r="E210" s="3">
        <f t="shared" si="10"/>
        <v>2.845488034643978E-3</v>
      </c>
      <c r="G210">
        <v>137</v>
      </c>
      <c r="H210" s="3">
        <f t="shared" si="11"/>
        <v>2.621722846441954E-2</v>
      </c>
    </row>
    <row r="211" spans="1:8" x14ac:dyDescent="0.25">
      <c r="A211" s="6">
        <v>44130</v>
      </c>
      <c r="B211">
        <v>11767.75</v>
      </c>
      <c r="C211" s="3">
        <f t="shared" si="9"/>
        <v>-1.3629073273539238E-2</v>
      </c>
      <c r="E211" s="3">
        <f t="shared" si="10"/>
        <v>-1.3722801687965868E-2</v>
      </c>
      <c r="G211">
        <v>133.699997</v>
      </c>
      <c r="H211" s="3">
        <f t="shared" si="11"/>
        <v>-2.4087613138686126E-2</v>
      </c>
    </row>
    <row r="212" spans="1:8" x14ac:dyDescent="0.25">
      <c r="A212" s="6">
        <v>44131</v>
      </c>
      <c r="B212">
        <v>11889.400390999999</v>
      </c>
      <c r="C212" s="3">
        <f t="shared" si="9"/>
        <v>1.0337608378832019E-2</v>
      </c>
      <c r="E212" s="3">
        <f t="shared" si="10"/>
        <v>1.0284540720444067E-2</v>
      </c>
      <c r="G212">
        <v>135.64999399999999</v>
      </c>
      <c r="H212" s="3">
        <f t="shared" si="11"/>
        <v>1.4584869437207271E-2</v>
      </c>
    </row>
    <row r="213" spans="1:8" x14ac:dyDescent="0.25">
      <c r="A213" s="6">
        <v>44132</v>
      </c>
      <c r="B213">
        <v>11729.599609000001</v>
      </c>
      <c r="C213" s="3">
        <f t="shared" si="9"/>
        <v>-1.3440609008420923E-2</v>
      </c>
      <c r="E213" s="3">
        <f t="shared" si="10"/>
        <v>-1.3531751589542172E-2</v>
      </c>
      <c r="G213">
        <v>134.800003</v>
      </c>
      <c r="H213" s="3">
        <f t="shared" si="11"/>
        <v>-6.2660599896523506E-3</v>
      </c>
    </row>
    <row r="214" spans="1:8" x14ac:dyDescent="0.25">
      <c r="A214" s="6">
        <v>44133</v>
      </c>
      <c r="B214">
        <v>11670.799805000001</v>
      </c>
      <c r="C214" s="3">
        <f t="shared" si="9"/>
        <v>-5.0129421259088591E-3</v>
      </c>
      <c r="E214" s="3">
        <f t="shared" si="10"/>
        <v>-5.0255490698555899E-3</v>
      </c>
      <c r="G214">
        <v>131.89999399999999</v>
      </c>
      <c r="H214" s="3">
        <f t="shared" si="11"/>
        <v>-2.1513419402520384E-2</v>
      </c>
    </row>
    <row r="215" spans="1:8" x14ac:dyDescent="0.25">
      <c r="A215" s="6">
        <v>44134</v>
      </c>
      <c r="B215">
        <v>11642.400390999999</v>
      </c>
      <c r="C215" s="3">
        <f t="shared" si="9"/>
        <v>-2.433373416947382E-3</v>
      </c>
      <c r="E215" s="3">
        <f t="shared" si="10"/>
        <v>-2.4363388817394559E-3</v>
      </c>
      <c r="G215">
        <v>132.64999399999999</v>
      </c>
      <c r="H215" s="3">
        <f t="shared" si="11"/>
        <v>5.6861261115750406E-3</v>
      </c>
    </row>
    <row r="216" spans="1:8" x14ac:dyDescent="0.25">
      <c r="A216" s="6">
        <v>44137</v>
      </c>
      <c r="B216">
        <v>11669.150390999999</v>
      </c>
      <c r="C216" s="3">
        <f t="shared" si="9"/>
        <v>2.297636149043436E-3</v>
      </c>
      <c r="E216" s="3">
        <f t="shared" si="10"/>
        <v>2.2950006193269571E-3</v>
      </c>
      <c r="G216">
        <v>132.85000600000001</v>
      </c>
      <c r="H216" s="3">
        <f t="shared" si="11"/>
        <v>1.5078176332221638E-3</v>
      </c>
    </row>
    <row r="217" spans="1:8" x14ac:dyDescent="0.25">
      <c r="A217" s="6">
        <v>44138</v>
      </c>
      <c r="B217">
        <v>11813.5</v>
      </c>
      <c r="C217" s="3">
        <f t="shared" si="9"/>
        <v>1.2370190130665648E-2</v>
      </c>
      <c r="E217" s="3">
        <f t="shared" si="10"/>
        <v>1.2294304500946606E-2</v>
      </c>
      <c r="G217">
        <v>134.10000600000001</v>
      </c>
      <c r="H217" s="3">
        <f t="shared" si="11"/>
        <v>9.4091075916098443E-3</v>
      </c>
    </row>
    <row r="218" spans="1:8" x14ac:dyDescent="0.25">
      <c r="A218" s="6">
        <v>44139</v>
      </c>
      <c r="B218">
        <v>11908.5</v>
      </c>
      <c r="C218" s="3">
        <f t="shared" si="9"/>
        <v>8.0416472679560869E-3</v>
      </c>
      <c r="E218" s="3">
        <f t="shared" si="10"/>
        <v>8.0094855297475447E-3</v>
      </c>
      <c r="G218">
        <v>135.89999399999999</v>
      </c>
      <c r="H218" s="3">
        <f t="shared" si="11"/>
        <v>1.3422728705918097E-2</v>
      </c>
    </row>
    <row r="219" spans="1:8" x14ac:dyDescent="0.25">
      <c r="A219" s="6">
        <v>44140</v>
      </c>
      <c r="B219">
        <v>12120.299805000001</v>
      </c>
      <c r="C219" s="3">
        <f t="shared" si="9"/>
        <v>1.7785598941932212E-2</v>
      </c>
      <c r="E219" s="3">
        <f t="shared" si="10"/>
        <v>1.7629285870226909E-2</v>
      </c>
      <c r="G219">
        <v>137.64999399999999</v>
      </c>
      <c r="H219" s="3">
        <f t="shared" si="11"/>
        <v>1.2877116094648144E-2</v>
      </c>
    </row>
    <row r="220" spans="1:8" x14ac:dyDescent="0.25">
      <c r="A220" s="6">
        <v>44141</v>
      </c>
      <c r="B220">
        <v>12263.549805000001</v>
      </c>
      <c r="C220" s="3">
        <f t="shared" si="9"/>
        <v>1.1819014570984887E-2</v>
      </c>
      <c r="E220" s="3">
        <f t="shared" si="10"/>
        <v>1.1749715514874848E-2</v>
      </c>
      <c r="G220">
        <v>139</v>
      </c>
      <c r="H220" s="3">
        <f t="shared" si="11"/>
        <v>9.807526762405816E-3</v>
      </c>
    </row>
    <row r="221" spans="1:8" x14ac:dyDescent="0.25">
      <c r="A221" s="6">
        <v>44144</v>
      </c>
      <c r="B221">
        <v>12461.049805000001</v>
      </c>
      <c r="C221" s="3">
        <f t="shared" si="9"/>
        <v>1.6104635537051104E-2</v>
      </c>
      <c r="E221" s="3">
        <f t="shared" si="10"/>
        <v>1.5976331586735643E-2</v>
      </c>
      <c r="G221">
        <v>141</v>
      </c>
      <c r="H221" s="3">
        <f t="shared" si="11"/>
        <v>1.4388489208633004E-2</v>
      </c>
    </row>
    <row r="222" spans="1:8" x14ac:dyDescent="0.25">
      <c r="A222" s="6">
        <v>44145</v>
      </c>
      <c r="B222">
        <v>12631.099609000001</v>
      </c>
      <c r="C222" s="3">
        <f t="shared" si="9"/>
        <v>1.3646507048849843E-2</v>
      </c>
      <c r="E222" s="3">
        <f t="shared" si="10"/>
        <v>1.3554232011710257E-2</v>
      </c>
      <c r="G222">
        <v>146</v>
      </c>
      <c r="H222" s="3">
        <f t="shared" si="11"/>
        <v>3.5460992907801359E-2</v>
      </c>
    </row>
    <row r="223" spans="1:8" x14ac:dyDescent="0.25">
      <c r="A223" s="6">
        <v>44146</v>
      </c>
      <c r="B223">
        <v>12749.150390999999</v>
      </c>
      <c r="C223" s="3">
        <f t="shared" si="9"/>
        <v>9.3460415683750409E-3</v>
      </c>
      <c r="E223" s="3">
        <f t="shared" si="10"/>
        <v>9.3026375494699182E-3</v>
      </c>
      <c r="G223">
        <v>150.949997</v>
      </c>
      <c r="H223" s="3">
        <f t="shared" si="11"/>
        <v>3.3904089041095764E-2</v>
      </c>
    </row>
    <row r="224" spans="1:8" x14ac:dyDescent="0.25">
      <c r="A224" s="6">
        <v>44147</v>
      </c>
      <c r="B224">
        <v>12690.799805000001</v>
      </c>
      <c r="C224" s="3">
        <f t="shared" si="9"/>
        <v>-4.5768215300989734E-3</v>
      </c>
      <c r="E224" s="3">
        <f t="shared" si="10"/>
        <v>-4.5873272452027179E-3</v>
      </c>
      <c r="G224">
        <v>151.199997</v>
      </c>
      <c r="H224" s="3">
        <f t="shared" si="11"/>
        <v>1.6561775751475771E-3</v>
      </c>
    </row>
    <row r="225" spans="1:8" x14ac:dyDescent="0.25">
      <c r="A225" s="6">
        <v>44148</v>
      </c>
      <c r="B225">
        <v>12719.950194999999</v>
      </c>
      <c r="C225" s="3">
        <f t="shared" si="9"/>
        <v>2.2969702814565895E-3</v>
      </c>
      <c r="E225" s="3">
        <f t="shared" si="10"/>
        <v>2.2943362779337291E-3</v>
      </c>
      <c r="G225">
        <v>146.35000600000001</v>
      </c>
      <c r="H225" s="3">
        <f t="shared" si="11"/>
        <v>-3.2076660689351666E-2</v>
      </c>
    </row>
    <row r="226" spans="1:8" x14ac:dyDescent="0.25">
      <c r="A226" s="6">
        <v>44152</v>
      </c>
      <c r="B226">
        <v>12874.200194999999</v>
      </c>
      <c r="C226" s="3">
        <f>B226/B225-1</f>
        <v>1.2126619808671357E-2</v>
      </c>
      <c r="E226" s="3" t="e">
        <f>LN(B226/#REF!)</f>
        <v>#REF!</v>
      </c>
      <c r="G226">
        <v>158</v>
      </c>
      <c r="H226" s="3">
        <f>G226/G225-1</f>
        <v>7.960364552359489E-2</v>
      </c>
    </row>
    <row r="227" spans="1:8" x14ac:dyDescent="0.25">
      <c r="A227" s="6">
        <v>44153</v>
      </c>
      <c r="B227">
        <v>12938.25</v>
      </c>
      <c r="C227" s="3">
        <f t="shared" si="9"/>
        <v>4.9750511899664396E-3</v>
      </c>
      <c r="E227" s="3">
        <f t="shared" si="10"/>
        <v>4.9627165163008838E-3</v>
      </c>
      <c r="G227">
        <v>173.5</v>
      </c>
      <c r="H227" s="3">
        <f t="shared" si="11"/>
        <v>9.8101265822784889E-2</v>
      </c>
    </row>
    <row r="228" spans="1:8" x14ac:dyDescent="0.25">
      <c r="A228" s="6">
        <v>44154</v>
      </c>
      <c r="B228">
        <v>12771.700194999999</v>
      </c>
      <c r="C228" s="3">
        <f t="shared" si="9"/>
        <v>-1.2872668637566975E-2</v>
      </c>
      <c r="E228" s="3">
        <f t="shared" si="10"/>
        <v>-1.2956239396956313E-2</v>
      </c>
      <c r="G228">
        <v>167.949997</v>
      </c>
      <c r="H228" s="3">
        <f t="shared" si="11"/>
        <v>-3.1988489913544638E-2</v>
      </c>
    </row>
    <row r="229" spans="1:8" x14ac:dyDescent="0.25">
      <c r="A229" s="6">
        <v>44155</v>
      </c>
      <c r="B229">
        <v>12859.049805000001</v>
      </c>
      <c r="C229" s="3">
        <f t="shared" si="9"/>
        <v>6.8393094628229623E-3</v>
      </c>
      <c r="E229" s="3">
        <f t="shared" si="10"/>
        <v>6.8160274806966887E-3</v>
      </c>
      <c r="G229">
        <v>169.10000600000001</v>
      </c>
      <c r="H229" s="3">
        <f t="shared" si="11"/>
        <v>6.847329684680048E-3</v>
      </c>
    </row>
    <row r="230" spans="1:8" x14ac:dyDescent="0.25">
      <c r="A230" s="6">
        <v>44158</v>
      </c>
      <c r="B230">
        <v>12926.450194999999</v>
      </c>
      <c r="C230" s="3">
        <f t="shared" si="9"/>
        <v>5.2414751495706291E-3</v>
      </c>
      <c r="E230" s="3">
        <f t="shared" si="10"/>
        <v>5.2277864305844829E-3</v>
      </c>
      <c r="G230">
        <v>170.699997</v>
      </c>
      <c r="H230" s="3">
        <f t="shared" si="11"/>
        <v>9.461803330746088E-3</v>
      </c>
    </row>
    <row r="231" spans="1:8" x14ac:dyDescent="0.25">
      <c r="A231" s="6">
        <v>44159</v>
      </c>
      <c r="B231">
        <v>13055.150390999999</v>
      </c>
      <c r="C231" s="3">
        <f t="shared" si="9"/>
        <v>9.9563448633237517E-3</v>
      </c>
      <c r="E231" s="3">
        <f t="shared" si="10"/>
        <v>9.9071070114310489E-3</v>
      </c>
      <c r="G231">
        <v>172.050003</v>
      </c>
      <c r="H231" s="3">
        <f t="shared" si="11"/>
        <v>7.908646887673898E-3</v>
      </c>
    </row>
    <row r="232" spans="1:8" x14ac:dyDescent="0.25">
      <c r="A232" s="6">
        <v>44160</v>
      </c>
      <c r="B232">
        <v>12858.400390999999</v>
      </c>
      <c r="C232" s="3">
        <f t="shared" si="9"/>
        <v>-1.507068046765947E-2</v>
      </c>
      <c r="E232" s="3">
        <f t="shared" si="10"/>
        <v>-1.5185397204650794E-2</v>
      </c>
      <c r="G232">
        <v>171.449997</v>
      </c>
      <c r="H232" s="3">
        <f t="shared" si="11"/>
        <v>-3.4873931388423873E-3</v>
      </c>
    </row>
    <row r="233" spans="1:8" x14ac:dyDescent="0.25">
      <c r="A233" s="6">
        <v>44161</v>
      </c>
      <c r="B233">
        <v>12987</v>
      </c>
      <c r="C233" s="3">
        <f t="shared" si="9"/>
        <v>1.0001213610521198E-2</v>
      </c>
      <c r="E233" s="3">
        <f t="shared" si="10"/>
        <v>9.9515324470216115E-3</v>
      </c>
      <c r="G233">
        <v>173.75</v>
      </c>
      <c r="H233" s="3">
        <f t="shared" si="11"/>
        <v>1.3415007525488631E-2</v>
      </c>
    </row>
    <row r="234" spans="1:8" x14ac:dyDescent="0.25">
      <c r="A234" s="6">
        <v>44162</v>
      </c>
      <c r="B234">
        <v>12968.950194999999</v>
      </c>
      <c r="C234" s="3">
        <f t="shared" si="9"/>
        <v>-1.3898363748364728E-3</v>
      </c>
      <c r="E234" s="3">
        <f t="shared" si="10"/>
        <v>-1.3908030932349642E-3</v>
      </c>
      <c r="G234">
        <v>180.35000600000001</v>
      </c>
      <c r="H234" s="3">
        <f t="shared" si="11"/>
        <v>3.7985646043165566E-2</v>
      </c>
    </row>
    <row r="235" spans="1:8" x14ac:dyDescent="0.25">
      <c r="A235" s="6">
        <v>44166</v>
      </c>
      <c r="B235">
        <v>13109.049805000001</v>
      </c>
      <c r="C235" s="3">
        <f t="shared" si="9"/>
        <v>1.080269473577089E-2</v>
      </c>
      <c r="E235" s="3">
        <f t="shared" si="10"/>
        <v>1.0744762471928711E-2</v>
      </c>
      <c r="G235">
        <v>179.75</v>
      </c>
      <c r="H235" s="3">
        <f t="shared" si="11"/>
        <v>-3.3268975882374541E-3</v>
      </c>
    </row>
    <row r="236" spans="1:8" x14ac:dyDescent="0.25">
      <c r="A236" s="6">
        <v>44167</v>
      </c>
      <c r="B236">
        <v>13113.75</v>
      </c>
      <c r="C236" s="3">
        <f t="shared" si="9"/>
        <v>3.5854581910332861E-4</v>
      </c>
      <c r="E236" s="3">
        <f t="shared" si="10"/>
        <v>3.5848155691129834E-4</v>
      </c>
      <c r="G236">
        <v>183.60000600000001</v>
      </c>
      <c r="H236" s="3">
        <f t="shared" si="11"/>
        <v>2.1418670375521698E-2</v>
      </c>
    </row>
    <row r="237" spans="1:8" x14ac:dyDescent="0.25">
      <c r="A237" s="6">
        <v>44168</v>
      </c>
      <c r="B237">
        <v>13133.900390999999</v>
      </c>
      <c r="C237" s="3">
        <f t="shared" si="9"/>
        <v>1.5365849585358138E-3</v>
      </c>
      <c r="E237" s="3">
        <f t="shared" si="10"/>
        <v>1.5354056198166031E-3</v>
      </c>
      <c r="G237">
        <v>184.85000600000001</v>
      </c>
      <c r="H237" s="3">
        <f t="shared" si="11"/>
        <v>6.8082786446095334E-3</v>
      </c>
    </row>
    <row r="238" spans="1:8" x14ac:dyDescent="0.25">
      <c r="A238" s="6">
        <v>44169</v>
      </c>
      <c r="B238">
        <v>13258.549805000001</v>
      </c>
      <c r="C238" s="3">
        <f t="shared" si="9"/>
        <v>9.4906623538439927E-3</v>
      </c>
      <c r="E238" s="3">
        <f t="shared" si="10"/>
        <v>9.4459089546661511E-3</v>
      </c>
      <c r="G238">
        <v>184.14999399999999</v>
      </c>
      <c r="H238" s="3">
        <f t="shared" si="11"/>
        <v>-3.7869190006951658E-3</v>
      </c>
    </row>
    <row r="239" spans="1:8" x14ac:dyDescent="0.25">
      <c r="A239" s="6">
        <v>44172</v>
      </c>
      <c r="B239">
        <v>13355.75</v>
      </c>
      <c r="C239" s="3">
        <f t="shared" si="9"/>
        <v>7.3311332256973394E-3</v>
      </c>
      <c r="E239" s="3">
        <f t="shared" si="10"/>
        <v>7.3043910890841163E-3</v>
      </c>
      <c r="G239">
        <v>183.550003</v>
      </c>
      <c r="H239" s="3">
        <f t="shared" si="11"/>
        <v>-3.2581646459352021E-3</v>
      </c>
    </row>
    <row r="240" spans="1:8" x14ac:dyDescent="0.25">
      <c r="A240" s="6">
        <v>44173</v>
      </c>
      <c r="B240">
        <v>13392.950194999999</v>
      </c>
      <c r="C240" s="3">
        <f t="shared" si="9"/>
        <v>2.7853317859347637E-3</v>
      </c>
      <c r="E240" s="3">
        <f t="shared" si="10"/>
        <v>2.7814599372783418E-3</v>
      </c>
      <c r="G240">
        <v>181.800003</v>
      </c>
      <c r="H240" s="3">
        <f t="shared" si="11"/>
        <v>-9.5341867142328951E-3</v>
      </c>
    </row>
    <row r="241" spans="1:8" x14ac:dyDescent="0.25">
      <c r="A241" s="6">
        <v>44174</v>
      </c>
      <c r="B241">
        <v>13529.099609000001</v>
      </c>
      <c r="C241" s="3">
        <f t="shared" si="9"/>
        <v>1.0165752281437568E-2</v>
      </c>
      <c r="E241" s="3">
        <f t="shared" si="10"/>
        <v>1.0114428558143358E-2</v>
      </c>
      <c r="G241">
        <v>182.699997</v>
      </c>
      <c r="H241" s="3">
        <f t="shared" si="11"/>
        <v>4.9504619645137637E-3</v>
      </c>
    </row>
    <row r="242" spans="1:8" x14ac:dyDescent="0.25">
      <c r="A242" s="6">
        <v>44175</v>
      </c>
      <c r="B242">
        <v>13478.299805000001</v>
      </c>
      <c r="C242" s="3">
        <f t="shared" si="9"/>
        <v>-3.7548547551683464E-3</v>
      </c>
      <c r="E242" s="3">
        <f t="shared" si="10"/>
        <v>-3.7619219186126999E-3</v>
      </c>
      <c r="G242">
        <v>177.60000600000001</v>
      </c>
      <c r="H242" s="3">
        <f t="shared" si="11"/>
        <v>-2.7914565318794105E-2</v>
      </c>
    </row>
    <row r="243" spans="1:8" x14ac:dyDescent="0.25">
      <c r="A243" s="6">
        <v>44176</v>
      </c>
      <c r="B243">
        <v>13513.849609000001</v>
      </c>
      <c r="C243" s="3">
        <f t="shared" si="9"/>
        <v>2.637558483957525E-3</v>
      </c>
      <c r="E243" s="3">
        <f t="shared" si="10"/>
        <v>2.634086230753222E-3</v>
      </c>
      <c r="G243">
        <v>178.85000600000001</v>
      </c>
      <c r="H243" s="3">
        <f t="shared" si="11"/>
        <v>7.0382880505082124E-3</v>
      </c>
    </row>
    <row r="244" spans="1:8" x14ac:dyDescent="0.25">
      <c r="A244" s="6">
        <v>44179</v>
      </c>
      <c r="B244">
        <v>13558.150390999999</v>
      </c>
      <c r="C244" s="3">
        <f t="shared" si="9"/>
        <v>3.2781763362599303E-3</v>
      </c>
      <c r="E244" s="3">
        <f t="shared" si="10"/>
        <v>3.2728148303266757E-3</v>
      </c>
      <c r="G244">
        <v>177.64999399999999</v>
      </c>
      <c r="H244" s="3">
        <f t="shared" si="11"/>
        <v>-6.7095999985598009E-3</v>
      </c>
    </row>
    <row r="245" spans="1:8" x14ac:dyDescent="0.25">
      <c r="A245" s="6">
        <v>44180</v>
      </c>
      <c r="B245">
        <v>13567.849609000001</v>
      </c>
      <c r="C245" s="3">
        <f t="shared" si="9"/>
        <v>7.153791424558964E-4</v>
      </c>
      <c r="E245" s="3">
        <f t="shared" si="10"/>
        <v>7.1512338076761515E-4</v>
      </c>
      <c r="G245">
        <v>178.89999399999999</v>
      </c>
      <c r="H245" s="3">
        <f t="shared" si="11"/>
        <v>7.0363075835511157E-3</v>
      </c>
    </row>
    <row r="246" spans="1:8" x14ac:dyDescent="0.25">
      <c r="A246" s="6">
        <v>44181</v>
      </c>
      <c r="B246">
        <v>13682.700194999999</v>
      </c>
      <c r="C246" s="3">
        <f t="shared" si="9"/>
        <v>8.464907064109406E-3</v>
      </c>
      <c r="E246" s="3">
        <f t="shared" si="10"/>
        <v>8.4292806466638569E-3</v>
      </c>
      <c r="G246">
        <v>182.550003</v>
      </c>
      <c r="H246" s="3">
        <f t="shared" si="11"/>
        <v>2.0402510466266399E-2</v>
      </c>
    </row>
    <row r="247" spans="1:8" x14ac:dyDescent="0.25">
      <c r="A247" s="6">
        <v>44182</v>
      </c>
      <c r="B247">
        <v>13740.700194999999</v>
      </c>
      <c r="C247" s="3">
        <f t="shared" si="9"/>
        <v>4.2389293906472947E-3</v>
      </c>
      <c r="E247" s="3">
        <f t="shared" si="10"/>
        <v>4.2299704381128641E-3</v>
      </c>
      <c r="G247">
        <v>181.699997</v>
      </c>
      <c r="H247" s="3">
        <f t="shared" si="11"/>
        <v>-4.6562913504855086E-3</v>
      </c>
    </row>
    <row r="248" spans="1:8" x14ac:dyDescent="0.25">
      <c r="A248" s="6">
        <v>44183</v>
      </c>
      <c r="B248">
        <v>13760.549805000001</v>
      </c>
      <c r="C248" s="3">
        <f t="shared" si="9"/>
        <v>1.4445850443067787E-3</v>
      </c>
      <c r="E248" s="3">
        <f t="shared" si="10"/>
        <v>1.4435426351100599E-3</v>
      </c>
      <c r="G248">
        <v>180.550003</v>
      </c>
      <c r="H248" s="3">
        <f t="shared" si="11"/>
        <v>-6.3290810070844028E-3</v>
      </c>
    </row>
    <row r="249" spans="1:8" x14ac:dyDescent="0.25">
      <c r="A249" s="6">
        <v>44186</v>
      </c>
      <c r="B249">
        <v>13328.400390999999</v>
      </c>
      <c r="C249" s="3">
        <f t="shared" si="9"/>
        <v>-3.1404952572678169E-2</v>
      </c>
      <c r="E249" s="3">
        <f t="shared" si="10"/>
        <v>-3.1908662150877148E-2</v>
      </c>
      <c r="G249">
        <v>164.550003</v>
      </c>
      <c r="H249" s="3">
        <f t="shared" si="11"/>
        <v>-8.8618109854033067E-2</v>
      </c>
    </row>
    <row r="250" spans="1:8" x14ac:dyDescent="0.25">
      <c r="A250" s="6">
        <v>44187</v>
      </c>
      <c r="B250">
        <v>13466.299805000001</v>
      </c>
      <c r="C250" s="3">
        <f t="shared" si="9"/>
        <v>1.0346283871627726E-2</v>
      </c>
      <c r="E250" s="3">
        <f t="shared" si="10"/>
        <v>1.0293127410157418E-2</v>
      </c>
      <c r="G250">
        <v>164.949997</v>
      </c>
      <c r="H250" s="3">
        <f t="shared" si="11"/>
        <v>2.4308355679580895E-3</v>
      </c>
    </row>
    <row r="251" spans="1:8" x14ac:dyDescent="0.25">
      <c r="A251" s="6">
        <v>44188</v>
      </c>
      <c r="B251">
        <v>13601.099609000001</v>
      </c>
      <c r="C251" s="3">
        <f t="shared" si="9"/>
        <v>1.0010159134430596E-2</v>
      </c>
      <c r="E251" s="3">
        <f t="shared" si="10"/>
        <v>9.9603893515224032E-3</v>
      </c>
      <c r="G251">
        <v>169.199997</v>
      </c>
      <c r="H251" s="3">
        <f t="shared" si="11"/>
        <v>2.5765383918133766E-2</v>
      </c>
    </row>
    <row r="252" spans="1:8" x14ac:dyDescent="0.25">
      <c r="A252" s="6">
        <v>44189</v>
      </c>
      <c r="B252">
        <v>13749.25</v>
      </c>
      <c r="C252" s="3">
        <f t="shared" si="9"/>
        <v>1.0892530402612843E-2</v>
      </c>
      <c r="E252" s="3">
        <f t="shared" si="10"/>
        <v>1.0833634093906185E-2</v>
      </c>
      <c r="G252">
        <v>175.949997</v>
      </c>
      <c r="H252" s="3">
        <f t="shared" si="11"/>
        <v>3.989361772861022E-2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D8AE-4F58-41C8-A45A-843EA4AE6023}">
  <dimension ref="A1:G20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1" customWidth="1"/>
    <col min="3" max="3" width="40.7109375" customWidth="1"/>
    <col min="5" max="5" width="31.5703125" customWidth="1"/>
  </cols>
  <sheetData>
    <row r="1" spans="1:7" x14ac:dyDescent="0.25">
      <c r="A1" s="8" t="s">
        <v>444</v>
      </c>
      <c r="C1" t="s">
        <v>455</v>
      </c>
      <c r="E1" s="8" t="s">
        <v>454</v>
      </c>
    </row>
    <row r="3" spans="1:7" x14ac:dyDescent="0.25">
      <c r="A3" t="s">
        <v>451</v>
      </c>
      <c r="B3">
        <f>'Balance Sheet'!B13+'Balance Sheet'!B19</f>
        <v>99678.15</v>
      </c>
      <c r="C3" t="str">
        <f ca="1">_xlfn.FORMULATEXT(B3)</f>
        <v>='Balance Sheet'!B13+'Balance Sheet'!B19</v>
      </c>
      <c r="E3" t="s">
        <v>470</v>
      </c>
      <c r="F3">
        <v>175.95</v>
      </c>
    </row>
    <row r="4" spans="1:7" x14ac:dyDescent="0.25">
      <c r="A4" t="s">
        <v>452</v>
      </c>
      <c r="B4">
        <f>'Balance Sheet'!C13+'Balance Sheet'!C19</f>
        <v>90967.76</v>
      </c>
      <c r="E4" t="s">
        <v>471</v>
      </c>
      <c r="F4">
        <v>309</v>
      </c>
      <c r="G4" t="s">
        <v>473</v>
      </c>
    </row>
    <row r="5" spans="1:7" x14ac:dyDescent="0.25">
      <c r="A5" t="s">
        <v>445</v>
      </c>
      <c r="B5">
        <f>(B3+B4)/2</f>
        <v>95322.954999999987</v>
      </c>
      <c r="E5" t="s">
        <v>472</v>
      </c>
      <c r="F5">
        <f>F4*F3</f>
        <v>54368.549999999996</v>
      </c>
      <c r="G5" t="str">
        <f ca="1">_xlfn.FORMULATEXT(F5)</f>
        <v>=F4*F3</v>
      </c>
    </row>
    <row r="7" spans="1:7" x14ac:dyDescent="0.25">
      <c r="A7" t="s">
        <v>446</v>
      </c>
      <c r="B7" t="str">
        <f>Income!B15</f>
        <v>7,243.33</v>
      </c>
      <c r="E7" t="s">
        <v>464</v>
      </c>
      <c r="F7">
        <v>2.17</v>
      </c>
    </row>
    <row r="8" spans="1:7" x14ac:dyDescent="0.25">
      <c r="E8" t="s">
        <v>474</v>
      </c>
      <c r="F8" s="9">
        <f>'Expected Return Market'!K6</f>
        <v>0.29256270648762595</v>
      </c>
    </row>
    <row r="9" spans="1:7" x14ac:dyDescent="0.25">
      <c r="A9" t="s">
        <v>449</v>
      </c>
      <c r="B9" s="12">
        <f>B7/B5</f>
        <v>7.5987258263237864E-2</v>
      </c>
      <c r="E9" t="s">
        <v>475</v>
      </c>
      <c r="F9" s="3">
        <f>'Risk Free Return'!D3</f>
        <v>3.7600000000000001E-2</v>
      </c>
    </row>
    <row r="11" spans="1:7" x14ac:dyDescent="0.25">
      <c r="A11" s="8" t="s">
        <v>453</v>
      </c>
      <c r="E11" t="s">
        <v>478</v>
      </c>
      <c r="F11" s="3">
        <f>F9+F7*(F8-F9)</f>
        <v>0.59086907307814818</v>
      </c>
      <c r="G11" t="str">
        <f ca="1">_xlfn.FORMULATEXT(F11)</f>
        <v>=F9+F7*(F8-F9)</v>
      </c>
    </row>
    <row r="12" spans="1:7" x14ac:dyDescent="0.25">
      <c r="F12" t="s">
        <v>406</v>
      </c>
    </row>
    <row r="13" spans="1:7" x14ac:dyDescent="0.25">
      <c r="A13" t="s">
        <v>447</v>
      </c>
      <c r="B13" t="str">
        <f>Income!B27</f>
        <v>395.25</v>
      </c>
    </row>
    <row r="14" spans="1:7" x14ac:dyDescent="0.25">
      <c r="A14" t="s">
        <v>448</v>
      </c>
      <c r="B14" t="str">
        <f>Income!B21</f>
        <v>-10,579.98</v>
      </c>
    </row>
    <row r="15" spans="1:7" x14ac:dyDescent="0.25">
      <c r="A15" t="s">
        <v>450</v>
      </c>
      <c r="B15" s="3">
        <f>B13/B14</f>
        <v>-3.735829368297483E-2</v>
      </c>
    </row>
    <row r="17" spans="1:7" x14ac:dyDescent="0.25">
      <c r="A17" t="s">
        <v>476</v>
      </c>
      <c r="B17" s="3">
        <f>B5/(B5+F5)</f>
        <v>0.63679602259326606</v>
      </c>
      <c r="C17" t="str">
        <f ca="1">_xlfn.FORMULATEXT(B17)</f>
        <v>=B5/(B5+F5)</v>
      </c>
      <c r="E17" t="s">
        <v>477</v>
      </c>
      <c r="F17" s="3">
        <f>F5/(F5+B5)</f>
        <v>0.36320397740673399</v>
      </c>
      <c r="G17" t="str">
        <f ca="1">_xlfn.FORMULATEXT(F17)</f>
        <v>=F5/(F5+B5)</v>
      </c>
    </row>
    <row r="19" spans="1:7" x14ac:dyDescent="0.25">
      <c r="A19" s="8" t="s">
        <v>479</v>
      </c>
      <c r="B19" s="11">
        <f>F17*F11+B17*(1-B15)*B9</f>
        <v>0.26480208875236882</v>
      </c>
      <c r="C19" t="str">
        <f ca="1">_xlfn.FORMULATEXT(B19)</f>
        <v>=F17*F11+B17*(1-B15)*B9</v>
      </c>
    </row>
    <row r="20" spans="1:7" x14ac:dyDescent="0.25">
      <c r="B20" s="10">
        <f>F17*F11+B17*B9*(1-0.3)</f>
        <v>0.24847786614947159</v>
      </c>
      <c r="C20" t="str">
        <f ca="1">_xlfn.FORMULATEXT(B20)</f>
        <v>=F17*F11+B17*B9*(1-0.3)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DF1A-4ACA-403E-8DCC-0497F1366836}">
  <dimension ref="A2:Q24"/>
  <sheetViews>
    <sheetView tabSelected="1" workbookViewId="0">
      <selection activeCell="J15" sqref="J15"/>
    </sheetView>
  </sheetViews>
  <sheetFormatPr defaultRowHeight="15" x14ac:dyDescent="0.25"/>
  <cols>
    <col min="1" max="1" width="25.5703125" customWidth="1"/>
    <col min="16" max="16" width="13.28515625" customWidth="1"/>
    <col min="17" max="17" width="15.140625" customWidth="1"/>
  </cols>
  <sheetData>
    <row r="2" spans="1:17" x14ac:dyDescent="0.25">
      <c r="A2" s="16" t="s">
        <v>480</v>
      </c>
    </row>
    <row r="3" spans="1:17" x14ac:dyDescent="0.25">
      <c r="A3" s="17" t="s">
        <v>409</v>
      </c>
      <c r="B3" s="17">
        <v>2007</v>
      </c>
      <c r="C3" s="17">
        <f>B3+1</f>
        <v>2008</v>
      </c>
      <c r="D3" s="17">
        <f t="shared" ref="D3:O3" si="0">C3+1</f>
        <v>2009</v>
      </c>
      <c r="E3" s="17">
        <f t="shared" si="0"/>
        <v>2010</v>
      </c>
      <c r="F3" s="17">
        <f t="shared" si="0"/>
        <v>2011</v>
      </c>
      <c r="G3" s="17">
        <f t="shared" si="0"/>
        <v>2012</v>
      </c>
      <c r="H3" s="17">
        <f t="shared" si="0"/>
        <v>2013</v>
      </c>
      <c r="I3" s="17">
        <f t="shared" si="0"/>
        <v>2014</v>
      </c>
      <c r="J3" s="17">
        <f t="shared" si="0"/>
        <v>2015</v>
      </c>
      <c r="K3" s="17">
        <f t="shared" si="0"/>
        <v>2016</v>
      </c>
      <c r="L3" s="17">
        <f t="shared" si="0"/>
        <v>2017</v>
      </c>
      <c r="M3" s="17">
        <f t="shared" si="0"/>
        <v>2018</v>
      </c>
      <c r="N3" s="17">
        <f t="shared" si="0"/>
        <v>2019</v>
      </c>
      <c r="O3" s="17">
        <f t="shared" si="0"/>
        <v>2020</v>
      </c>
    </row>
    <row r="4" spans="1:17" x14ac:dyDescent="0.25">
      <c r="A4" s="17" t="s">
        <v>481</v>
      </c>
      <c r="B4">
        <v>-3634.23</v>
      </c>
      <c r="C4">
        <v>315.16000000000003</v>
      </c>
      <c r="D4">
        <v>-9220.9500000000007</v>
      </c>
      <c r="E4">
        <v>851.5</v>
      </c>
      <c r="F4">
        <v>3116.17</v>
      </c>
      <c r="G4">
        <v>4508.7700000000004</v>
      </c>
      <c r="H4">
        <v>3300.04</v>
      </c>
      <c r="I4">
        <v>9225.9599999999991</v>
      </c>
      <c r="J4">
        <v>3643.28</v>
      </c>
      <c r="K4">
        <v>6455.39</v>
      </c>
      <c r="L4">
        <v>1700.14</v>
      </c>
      <c r="M4">
        <v>-11191.2</v>
      </c>
      <c r="N4">
        <v>-16345.54</v>
      </c>
      <c r="O4">
        <v>-2897.61</v>
      </c>
    </row>
    <row r="5" spans="1:17" x14ac:dyDescent="0.25">
      <c r="A5" s="17" t="s">
        <v>482</v>
      </c>
      <c r="B5">
        <f>AVERAGE(B4:O4)</f>
        <v>-726.65142857142871</v>
      </c>
    </row>
    <row r="7" spans="1:17" x14ac:dyDescent="0.25">
      <c r="A7" s="16" t="s">
        <v>483</v>
      </c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  <c r="H7" s="16">
        <v>7</v>
      </c>
      <c r="I7" s="16">
        <v>8</v>
      </c>
      <c r="J7" s="16">
        <v>9</v>
      </c>
      <c r="K7" s="16">
        <v>10</v>
      </c>
      <c r="L7" s="16">
        <v>11</v>
      </c>
      <c r="M7" s="16">
        <v>12</v>
      </c>
      <c r="N7" s="16">
        <v>13</v>
      </c>
      <c r="O7" s="16">
        <v>14</v>
      </c>
      <c r="P7" s="16">
        <v>14</v>
      </c>
    </row>
    <row r="8" spans="1:17" x14ac:dyDescent="0.25">
      <c r="A8" s="17" t="s">
        <v>409</v>
      </c>
      <c r="B8" s="17">
        <v>2021</v>
      </c>
      <c r="C8" s="17">
        <f>B8+1</f>
        <v>2022</v>
      </c>
      <c r="D8" s="17">
        <f t="shared" ref="D8:O8" si="1">C8+1</f>
        <v>2023</v>
      </c>
      <c r="E8" s="17">
        <f t="shared" si="1"/>
        <v>2024</v>
      </c>
      <c r="F8" s="17">
        <f t="shared" si="1"/>
        <v>2025</v>
      </c>
      <c r="G8" s="17">
        <f t="shared" si="1"/>
        <v>2026</v>
      </c>
      <c r="H8" s="17">
        <f>G8+1</f>
        <v>2027</v>
      </c>
      <c r="I8" s="17">
        <f t="shared" si="1"/>
        <v>2028</v>
      </c>
      <c r="J8" s="17">
        <f t="shared" si="1"/>
        <v>2029</v>
      </c>
      <c r="K8" s="17">
        <f t="shared" si="1"/>
        <v>2030</v>
      </c>
      <c r="L8" s="17">
        <f>K8+1</f>
        <v>2031</v>
      </c>
      <c r="M8" s="17">
        <f t="shared" si="1"/>
        <v>2032</v>
      </c>
      <c r="N8" s="17">
        <f t="shared" si="1"/>
        <v>2033</v>
      </c>
      <c r="O8" s="17">
        <f t="shared" si="1"/>
        <v>2034</v>
      </c>
      <c r="P8" s="17" t="s">
        <v>486</v>
      </c>
    </row>
    <row r="9" spans="1:17" x14ac:dyDescent="0.25">
      <c r="A9" s="17" t="s">
        <v>481</v>
      </c>
      <c r="B9">
        <f>B5</f>
        <v>-726.65142857142871</v>
      </c>
      <c r="C9">
        <f>B5</f>
        <v>-726.65142857142871</v>
      </c>
      <c r="D9">
        <f>B5</f>
        <v>-726.65142857142871</v>
      </c>
      <c r="E9">
        <f>B5</f>
        <v>-726.65142857142871</v>
      </c>
      <c r="F9">
        <f>B5</f>
        <v>-726.65142857142871</v>
      </c>
      <c r="G9">
        <f>B5</f>
        <v>-726.65142857142871</v>
      </c>
      <c r="H9">
        <f>B5</f>
        <v>-726.65142857142871</v>
      </c>
      <c r="I9">
        <f>B5</f>
        <v>-726.65142857142871</v>
      </c>
      <c r="J9">
        <f>B5</f>
        <v>-726.65142857142871</v>
      </c>
      <c r="K9">
        <f>B5</f>
        <v>-726.65142857142871</v>
      </c>
      <c r="L9">
        <f>B5</f>
        <v>-726.65142857142871</v>
      </c>
      <c r="M9">
        <f>B5</f>
        <v>-726.65142857142871</v>
      </c>
      <c r="N9">
        <f>B5</f>
        <v>-726.65142857142871</v>
      </c>
      <c r="O9">
        <f>B5</f>
        <v>-726.65142857142871</v>
      </c>
      <c r="P9">
        <f>(B5*(1+B12))/(B13-B12)</f>
        <v>-4511.9984053156159</v>
      </c>
      <c r="Q9" t="str">
        <f ca="1">_xlfn.FORMULATEXT(P9)</f>
        <v>=(B5*(1+B12))/(B13-B12)</v>
      </c>
    </row>
    <row r="10" spans="1:17" x14ac:dyDescent="0.25">
      <c r="A10" s="17" t="s">
        <v>487</v>
      </c>
      <c r="B10">
        <f>B9/(1+$B$13)^B7</f>
        <v>-586.00921658986192</v>
      </c>
      <c r="C10">
        <f t="shared" ref="C10:P10" si="2">C9/(1+$B$13)^C7</f>
        <v>-472.58807789504988</v>
      </c>
      <c r="D10">
        <f t="shared" si="2"/>
        <v>-381.1194176572983</v>
      </c>
      <c r="E10">
        <f t="shared" si="2"/>
        <v>-307.35436907846633</v>
      </c>
      <c r="F10">
        <f t="shared" si="2"/>
        <v>-247.86642667618253</v>
      </c>
      <c r="G10">
        <f t="shared" si="2"/>
        <v>-199.89227957756657</v>
      </c>
      <c r="H10">
        <f t="shared" si="2"/>
        <v>-161.20345127223109</v>
      </c>
      <c r="I10">
        <f t="shared" si="2"/>
        <v>-130.00278328405733</v>
      </c>
      <c r="J10">
        <f t="shared" si="2"/>
        <v>-104.84095426133656</v>
      </c>
      <c r="K10">
        <f t="shared" si="2"/>
        <v>-84.549156662368176</v>
      </c>
      <c r="L10">
        <f t="shared" si="2"/>
        <v>-68.184803759974344</v>
      </c>
      <c r="M10">
        <f t="shared" si="2"/>
        <v>-54.987744967721241</v>
      </c>
      <c r="N10">
        <f t="shared" si="2"/>
        <v>-44.344955619130033</v>
      </c>
      <c r="O10">
        <f t="shared" si="2"/>
        <v>-35.762060983169384</v>
      </c>
      <c r="P10">
        <f t="shared" si="2"/>
        <v>-222.05744843037735</v>
      </c>
    </row>
    <row r="12" spans="1:17" x14ac:dyDescent="0.25">
      <c r="A12" s="16" t="s">
        <v>484</v>
      </c>
      <c r="B12" s="10">
        <v>6.8000000000000005E-2</v>
      </c>
    </row>
    <row r="13" spans="1:17" x14ac:dyDescent="0.25">
      <c r="A13" s="16" t="s">
        <v>485</v>
      </c>
      <c r="B13" s="9">
        <v>0.24</v>
      </c>
    </row>
    <row r="15" spans="1:17" x14ac:dyDescent="0.25">
      <c r="A15" s="16" t="s">
        <v>488</v>
      </c>
      <c r="B15">
        <f>SUM(B10:P10)</f>
        <v>-3100.7631467147912</v>
      </c>
      <c r="C15" t="str">
        <f ca="1">_xlfn.FORMULATEXT(B15)</f>
        <v>=SUM(B10:P10)</v>
      </c>
    </row>
    <row r="16" spans="1:17" x14ac:dyDescent="0.25">
      <c r="A16" s="16" t="s">
        <v>489</v>
      </c>
      <c r="B16" t="str">
        <f>'Balance Sheet'!B40</f>
        <v>33,726.97</v>
      </c>
      <c r="C16" t="str">
        <f ca="1">_xlfn.FORMULATEXT(B16)</f>
        <v>='Balance Sheet'!B40</v>
      </c>
    </row>
    <row r="17" spans="1:3" x14ac:dyDescent="0.25">
      <c r="A17" s="16" t="s">
        <v>444</v>
      </c>
      <c r="B17">
        <f>'Balance Sheet'!B13+'Balance Sheet'!B19</f>
        <v>99678.15</v>
      </c>
      <c r="C17" t="str">
        <f ca="1">_xlfn.FORMULATEXT(B17)</f>
        <v>='Balance Sheet'!B13+'Balance Sheet'!B19</v>
      </c>
    </row>
    <row r="18" spans="1:3" x14ac:dyDescent="0.25">
      <c r="A18" s="16" t="s">
        <v>490</v>
      </c>
      <c r="B18">
        <f>B15+B16-B17</f>
        <v>-69051.943146714781</v>
      </c>
      <c r="C18" t="str">
        <f ca="1">_xlfn.FORMULATEXT(B18)</f>
        <v>=B15+B16-B17</v>
      </c>
    </row>
    <row r="19" spans="1:3" x14ac:dyDescent="0.25">
      <c r="A19" s="16" t="s">
        <v>491</v>
      </c>
      <c r="B19">
        <v>309</v>
      </c>
    </row>
    <row r="20" spans="1:3" x14ac:dyDescent="0.25">
      <c r="A20" s="18" t="s">
        <v>492</v>
      </c>
      <c r="B20">
        <f>B18/B19</f>
        <v>-223.46907167221613</v>
      </c>
      <c r="C20" t="str">
        <f ca="1">_xlfn.FORMULATEXT(B20)</f>
        <v>=B18/B19</v>
      </c>
    </row>
    <row r="21" spans="1:3" x14ac:dyDescent="0.25">
      <c r="A21" s="16" t="s">
        <v>493</v>
      </c>
      <c r="B21">
        <v>175.8</v>
      </c>
    </row>
    <row r="22" spans="1:3" x14ac:dyDescent="0.25">
      <c r="A22" s="16" t="s">
        <v>494</v>
      </c>
      <c r="B22" s="3">
        <f>B20/B21-1</f>
        <v>-2.2711551289659617</v>
      </c>
      <c r="C22" t="str">
        <f ca="1">_xlfn.FORMULATEXT(B22)</f>
        <v>=B20/B21-1</v>
      </c>
    </row>
    <row r="23" spans="1:3" x14ac:dyDescent="0.25">
      <c r="A23" s="16" t="s">
        <v>479</v>
      </c>
      <c r="B23" s="9">
        <f>B13</f>
        <v>0.24</v>
      </c>
    </row>
    <row r="24" spans="1:3" x14ac:dyDescent="0.25">
      <c r="A24" s="16" t="s">
        <v>495</v>
      </c>
      <c r="B24" t="str">
        <f>IF(B22&gt;B23,"BUY","SELL")</f>
        <v>SELL</v>
      </c>
      <c r="C24" t="str">
        <f ca="1">_xlfn.FORMULATEXT(B24)</f>
        <v>=IF(B22&gt;B23,"BUY","SELL")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2EB9-6EFE-4403-BDAE-803680969C93}">
  <dimension ref="A1:G39"/>
  <sheetViews>
    <sheetView topLeftCell="A26" workbookViewId="0">
      <selection sqref="A1:XFD39"/>
    </sheetView>
  </sheetViews>
  <sheetFormatPr defaultRowHeight="15" x14ac:dyDescent="0.25"/>
  <cols>
    <col min="1" max="1" width="55.28515625" bestFit="1" customWidth="1"/>
    <col min="2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241</v>
      </c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1" t="s">
        <v>13</v>
      </c>
    </row>
    <row r="3" spans="1:7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13</v>
      </c>
    </row>
    <row r="4" spans="1:7" x14ac:dyDescent="0.25">
      <c r="A4" s="1" t="s">
        <v>242</v>
      </c>
      <c r="B4" s="1"/>
      <c r="C4" s="1"/>
      <c r="D4" s="1"/>
      <c r="E4" s="1"/>
      <c r="F4" s="1"/>
      <c r="G4" s="1" t="s">
        <v>13</v>
      </c>
    </row>
    <row r="5" spans="1:7" x14ac:dyDescent="0.25">
      <c r="A5" s="1" t="s">
        <v>243</v>
      </c>
      <c r="B5" s="20" t="s">
        <v>244</v>
      </c>
      <c r="C5" s="20" t="s">
        <v>245</v>
      </c>
      <c r="D5" s="20" t="s">
        <v>246</v>
      </c>
      <c r="E5" s="20" t="s">
        <v>247</v>
      </c>
      <c r="F5" s="20" t="s">
        <v>248</v>
      </c>
      <c r="G5" s="1" t="s">
        <v>13</v>
      </c>
    </row>
    <row r="6" spans="1:7" x14ac:dyDescent="0.25">
      <c r="A6" s="1" t="s">
        <v>249</v>
      </c>
      <c r="B6" s="20" t="s">
        <v>235</v>
      </c>
      <c r="C6" s="20" t="s">
        <v>235</v>
      </c>
      <c r="D6" s="1" t="s">
        <v>250</v>
      </c>
      <c r="E6" s="1" t="s">
        <v>251</v>
      </c>
      <c r="F6" s="1" t="s">
        <v>252</v>
      </c>
      <c r="G6" s="1" t="s">
        <v>13</v>
      </c>
    </row>
    <row r="7" spans="1:7" x14ac:dyDescent="0.25">
      <c r="A7" s="1" t="s">
        <v>253</v>
      </c>
      <c r="B7" s="20" t="s">
        <v>244</v>
      </c>
      <c r="C7" s="20" t="s">
        <v>245</v>
      </c>
      <c r="D7" s="20" t="s">
        <v>254</v>
      </c>
      <c r="E7" s="20" t="s">
        <v>255</v>
      </c>
      <c r="F7" s="20" t="s">
        <v>256</v>
      </c>
      <c r="G7" s="1" t="s">
        <v>13</v>
      </c>
    </row>
    <row r="8" spans="1:7" x14ac:dyDescent="0.25">
      <c r="A8" s="1" t="s">
        <v>257</v>
      </c>
      <c r="B8" s="20" t="s">
        <v>258</v>
      </c>
      <c r="C8" s="20" t="s">
        <v>259</v>
      </c>
      <c r="D8" s="20" t="s">
        <v>260</v>
      </c>
      <c r="E8" s="20" t="s">
        <v>261</v>
      </c>
      <c r="F8" s="20" t="s">
        <v>262</v>
      </c>
      <c r="G8" s="1" t="s">
        <v>13</v>
      </c>
    </row>
    <row r="9" spans="1:7" x14ac:dyDescent="0.25">
      <c r="A9" s="1" t="s">
        <v>263</v>
      </c>
      <c r="B9" s="1" t="s">
        <v>264</v>
      </c>
      <c r="C9" s="1" t="s">
        <v>265</v>
      </c>
      <c r="D9" s="1" t="s">
        <v>266</v>
      </c>
      <c r="E9" s="20" t="s">
        <v>267</v>
      </c>
      <c r="F9" s="20" t="s">
        <v>268</v>
      </c>
      <c r="G9" s="1" t="s">
        <v>13</v>
      </c>
    </row>
    <row r="10" spans="1:7" x14ac:dyDescent="0.25">
      <c r="A10" s="1" t="s">
        <v>269</v>
      </c>
      <c r="B10" s="20" t="s">
        <v>270</v>
      </c>
      <c r="C10" s="20" t="s">
        <v>271</v>
      </c>
      <c r="D10" s="20" t="s">
        <v>272</v>
      </c>
      <c r="E10" s="20" t="s">
        <v>273</v>
      </c>
      <c r="F10" s="20" t="s">
        <v>274</v>
      </c>
      <c r="G10" s="1" t="s">
        <v>13</v>
      </c>
    </row>
    <row r="11" spans="1:7" x14ac:dyDescent="0.25">
      <c r="A11" s="1" t="s">
        <v>275</v>
      </c>
      <c r="B11" s="1"/>
      <c r="C11" s="1"/>
      <c r="D11" s="1"/>
      <c r="E11" s="1"/>
      <c r="F11" s="1"/>
      <c r="G11" s="1" t="s">
        <v>13</v>
      </c>
    </row>
    <row r="12" spans="1:7" x14ac:dyDescent="0.25">
      <c r="A12" s="1" t="s">
        <v>276</v>
      </c>
      <c r="B12" s="20" t="s">
        <v>277</v>
      </c>
      <c r="C12" s="20" t="s">
        <v>278</v>
      </c>
      <c r="D12" s="20" t="s">
        <v>279</v>
      </c>
      <c r="E12" s="20" t="s">
        <v>280</v>
      </c>
      <c r="F12" s="20" t="s">
        <v>281</v>
      </c>
      <c r="G12" s="1" t="s">
        <v>13</v>
      </c>
    </row>
    <row r="13" spans="1:7" x14ac:dyDescent="0.25">
      <c r="A13" s="1" t="s">
        <v>282</v>
      </c>
      <c r="B13" s="20" t="s">
        <v>283</v>
      </c>
      <c r="C13" s="20" t="s">
        <v>284</v>
      </c>
      <c r="D13" s="20" t="s">
        <v>285</v>
      </c>
      <c r="E13" s="20" t="s">
        <v>286</v>
      </c>
      <c r="F13" s="20" t="s">
        <v>287</v>
      </c>
      <c r="G13" s="1" t="s">
        <v>13</v>
      </c>
    </row>
    <row r="14" spans="1:7" x14ac:dyDescent="0.25">
      <c r="A14" s="1" t="s">
        <v>288</v>
      </c>
      <c r="B14" s="20" t="s">
        <v>289</v>
      </c>
      <c r="C14" s="20" t="s">
        <v>290</v>
      </c>
      <c r="D14" s="20" t="s">
        <v>291</v>
      </c>
      <c r="E14" s="20" t="s">
        <v>292</v>
      </c>
      <c r="F14" s="20" t="s">
        <v>293</v>
      </c>
      <c r="G14" s="1" t="s">
        <v>13</v>
      </c>
    </row>
    <row r="15" spans="1:7" x14ac:dyDescent="0.25">
      <c r="A15" s="1" t="s">
        <v>294</v>
      </c>
      <c r="B15" s="20" t="s">
        <v>295</v>
      </c>
      <c r="C15" s="20" t="s">
        <v>296</v>
      </c>
      <c r="D15" s="20" t="s">
        <v>297</v>
      </c>
      <c r="E15" s="20" t="s">
        <v>298</v>
      </c>
      <c r="F15" s="20" t="s">
        <v>299</v>
      </c>
      <c r="G15" s="1" t="s">
        <v>13</v>
      </c>
    </row>
    <row r="16" spans="1:7" x14ac:dyDescent="0.25">
      <c r="A16" s="1" t="s">
        <v>300</v>
      </c>
      <c r="B16" s="20" t="s">
        <v>301</v>
      </c>
      <c r="C16" s="20" t="s">
        <v>302</v>
      </c>
      <c r="D16" s="20" t="s">
        <v>303</v>
      </c>
      <c r="E16" s="20" t="s">
        <v>304</v>
      </c>
      <c r="F16" s="20" t="s">
        <v>305</v>
      </c>
      <c r="G16" s="1" t="s">
        <v>13</v>
      </c>
    </row>
    <row r="17" spans="1:7" x14ac:dyDescent="0.25">
      <c r="A17" s="1" t="s">
        <v>306</v>
      </c>
      <c r="B17" s="20" t="s">
        <v>307</v>
      </c>
      <c r="C17" s="20" t="s">
        <v>308</v>
      </c>
      <c r="D17" s="20" t="s">
        <v>309</v>
      </c>
      <c r="E17" s="20" t="s">
        <v>310</v>
      </c>
      <c r="F17" s="20" t="s">
        <v>311</v>
      </c>
      <c r="G17" s="1" t="s">
        <v>13</v>
      </c>
    </row>
    <row r="18" spans="1:7" x14ac:dyDescent="0.25">
      <c r="A18" s="1" t="s">
        <v>312</v>
      </c>
      <c r="B18" s="20" t="s">
        <v>313</v>
      </c>
      <c r="C18" s="20" t="s">
        <v>314</v>
      </c>
      <c r="D18" s="20" t="s">
        <v>315</v>
      </c>
      <c r="E18" s="20" t="s">
        <v>316</v>
      </c>
      <c r="F18" s="20" t="s">
        <v>317</v>
      </c>
      <c r="G18" s="1" t="s">
        <v>13</v>
      </c>
    </row>
    <row r="19" spans="1:7" x14ac:dyDescent="0.25">
      <c r="A19" s="1" t="s">
        <v>318</v>
      </c>
      <c r="B19" s="20" t="s">
        <v>319</v>
      </c>
      <c r="C19" s="20" t="s">
        <v>320</v>
      </c>
      <c r="D19" s="20" t="s">
        <v>321</v>
      </c>
      <c r="E19" s="20" t="s">
        <v>322</v>
      </c>
      <c r="F19" s="20" t="s">
        <v>323</v>
      </c>
      <c r="G19" s="1" t="s">
        <v>13</v>
      </c>
    </row>
    <row r="20" spans="1:7" x14ac:dyDescent="0.25">
      <c r="A20" s="1" t="s">
        <v>324</v>
      </c>
      <c r="B20" s="20" t="s">
        <v>325</v>
      </c>
      <c r="C20" s="20" t="s">
        <v>326</v>
      </c>
      <c r="D20" s="20" t="s">
        <v>327</v>
      </c>
      <c r="E20" s="20" t="s">
        <v>328</v>
      </c>
      <c r="F20" s="20" t="s">
        <v>329</v>
      </c>
      <c r="G20" s="1" t="s">
        <v>13</v>
      </c>
    </row>
    <row r="21" spans="1:7" x14ac:dyDescent="0.25">
      <c r="A21" s="1" t="s">
        <v>330</v>
      </c>
      <c r="B21" s="20" t="s">
        <v>331</v>
      </c>
      <c r="C21" s="20" t="s">
        <v>332</v>
      </c>
      <c r="D21" s="20" t="s">
        <v>333</v>
      </c>
      <c r="E21" s="20" t="s">
        <v>334</v>
      </c>
      <c r="F21" s="20" t="s">
        <v>335</v>
      </c>
      <c r="G21" s="1" t="s">
        <v>13</v>
      </c>
    </row>
    <row r="22" spans="1:7" x14ac:dyDescent="0.25">
      <c r="A22" s="1" t="s">
        <v>336</v>
      </c>
      <c r="B22" s="1"/>
      <c r="C22" s="1"/>
      <c r="D22" s="1"/>
      <c r="E22" s="1"/>
      <c r="F22" s="1"/>
      <c r="G22" s="1" t="s">
        <v>13</v>
      </c>
    </row>
    <row r="23" spans="1:7" x14ac:dyDescent="0.25">
      <c r="A23" s="1" t="s">
        <v>337</v>
      </c>
      <c r="B23" s="20" t="s">
        <v>338</v>
      </c>
      <c r="C23" s="20" t="s">
        <v>339</v>
      </c>
      <c r="D23" s="20" t="s">
        <v>340</v>
      </c>
      <c r="E23" s="20" t="s">
        <v>341</v>
      </c>
      <c r="F23" s="20" t="s">
        <v>342</v>
      </c>
      <c r="G23" s="1" t="s">
        <v>13</v>
      </c>
    </row>
    <row r="24" spans="1:7" x14ac:dyDescent="0.25">
      <c r="A24" s="1" t="s">
        <v>343</v>
      </c>
      <c r="B24" s="1" t="s">
        <v>235</v>
      </c>
      <c r="C24" s="1" t="s">
        <v>235</v>
      </c>
      <c r="D24" s="1" t="s">
        <v>235</v>
      </c>
      <c r="E24" s="1" t="s">
        <v>235</v>
      </c>
      <c r="F24" s="1" t="s">
        <v>235</v>
      </c>
      <c r="G24" s="1" t="s">
        <v>13</v>
      </c>
    </row>
    <row r="25" spans="1:7" x14ac:dyDescent="0.25">
      <c r="A25" s="1" t="s">
        <v>344</v>
      </c>
      <c r="B25" s="20" t="s">
        <v>345</v>
      </c>
      <c r="C25" s="1" t="s">
        <v>346</v>
      </c>
      <c r="D25" s="20" t="s">
        <v>347</v>
      </c>
      <c r="E25" s="20" t="s">
        <v>348</v>
      </c>
      <c r="F25" s="20" t="s">
        <v>349</v>
      </c>
      <c r="G25" s="1" t="s">
        <v>13</v>
      </c>
    </row>
    <row r="26" spans="1:7" x14ac:dyDescent="0.25">
      <c r="A26" s="1" t="s">
        <v>350</v>
      </c>
      <c r="B26" s="1" t="s">
        <v>235</v>
      </c>
      <c r="C26" s="1" t="s">
        <v>235</v>
      </c>
      <c r="D26" s="1" t="s">
        <v>235</v>
      </c>
      <c r="E26" s="1" t="s">
        <v>235</v>
      </c>
      <c r="F26" s="1" t="s">
        <v>235</v>
      </c>
      <c r="G26" s="1" t="s">
        <v>13</v>
      </c>
    </row>
    <row r="27" spans="1:7" x14ac:dyDescent="0.25">
      <c r="A27" s="1" t="s">
        <v>351</v>
      </c>
      <c r="B27" s="20" t="s">
        <v>352</v>
      </c>
      <c r="C27" s="20" t="s">
        <v>353</v>
      </c>
      <c r="D27" s="20" t="s">
        <v>354</v>
      </c>
      <c r="E27" s="20" t="s">
        <v>355</v>
      </c>
      <c r="F27" s="1" t="s">
        <v>356</v>
      </c>
      <c r="G27" s="1" t="s">
        <v>13</v>
      </c>
    </row>
    <row r="28" spans="1:7" x14ac:dyDescent="0.25">
      <c r="A28" s="1" t="s">
        <v>357</v>
      </c>
      <c r="B28" s="20" t="s">
        <v>358</v>
      </c>
      <c r="C28" s="20" t="s">
        <v>359</v>
      </c>
      <c r="D28" s="20" t="s">
        <v>360</v>
      </c>
      <c r="E28" s="20" t="s">
        <v>361</v>
      </c>
      <c r="F28" s="20" t="s">
        <v>362</v>
      </c>
      <c r="G28" s="1" t="s">
        <v>13</v>
      </c>
    </row>
    <row r="29" spans="1:7" x14ac:dyDescent="0.25">
      <c r="A29" s="1" t="s">
        <v>363</v>
      </c>
      <c r="B29" s="20" t="s">
        <v>358</v>
      </c>
      <c r="C29" s="20" t="s">
        <v>359</v>
      </c>
      <c r="D29" s="20" t="s">
        <v>360</v>
      </c>
      <c r="E29" s="20" t="s">
        <v>361</v>
      </c>
      <c r="F29" s="20" t="s">
        <v>362</v>
      </c>
      <c r="G29" s="1" t="s">
        <v>13</v>
      </c>
    </row>
    <row r="30" spans="1:7" x14ac:dyDescent="0.25">
      <c r="A30" s="1" t="s">
        <v>364</v>
      </c>
      <c r="B30" s="20" t="s">
        <v>358</v>
      </c>
      <c r="C30" s="20" t="s">
        <v>359</v>
      </c>
      <c r="D30" s="20" t="s">
        <v>360</v>
      </c>
      <c r="E30" s="20" t="s">
        <v>361</v>
      </c>
      <c r="F30" s="20" t="s">
        <v>362</v>
      </c>
      <c r="G30" s="1" t="s">
        <v>13</v>
      </c>
    </row>
    <row r="31" spans="1:7" x14ac:dyDescent="0.25">
      <c r="A31" s="1" t="s">
        <v>35</v>
      </c>
      <c r="B31" s="1" t="s">
        <v>365</v>
      </c>
      <c r="C31" s="1" t="s">
        <v>366</v>
      </c>
      <c r="D31" s="1" t="s">
        <v>367</v>
      </c>
      <c r="E31" s="1" t="s">
        <v>368</v>
      </c>
      <c r="F31" s="1" t="s">
        <v>369</v>
      </c>
      <c r="G31" s="1" t="s">
        <v>13</v>
      </c>
    </row>
    <row r="32" spans="1:7" x14ac:dyDescent="0.25">
      <c r="A32" s="1" t="s">
        <v>370</v>
      </c>
      <c r="B32" s="20" t="s">
        <v>371</v>
      </c>
      <c r="C32" s="20" t="s">
        <v>372</v>
      </c>
      <c r="D32" s="20" t="s">
        <v>373</v>
      </c>
      <c r="E32" s="20" t="s">
        <v>374</v>
      </c>
      <c r="F32" s="20" t="s">
        <v>375</v>
      </c>
      <c r="G32" s="1" t="s">
        <v>13</v>
      </c>
    </row>
    <row r="33" spans="1:7" x14ac:dyDescent="0.25">
      <c r="A33" s="1" t="s">
        <v>209</v>
      </c>
      <c r="B33" s="1"/>
      <c r="C33" s="1"/>
      <c r="D33" s="1"/>
      <c r="E33" s="1"/>
      <c r="F33" s="1"/>
      <c r="G33" s="1" t="s">
        <v>13</v>
      </c>
    </row>
    <row r="34" spans="1:7" x14ac:dyDescent="0.25">
      <c r="A34" s="1" t="s">
        <v>376</v>
      </c>
      <c r="B34" s="1"/>
      <c r="C34" s="1"/>
      <c r="D34" s="1"/>
      <c r="E34" s="1"/>
      <c r="F34" s="1"/>
      <c r="G34" s="1" t="s">
        <v>13</v>
      </c>
    </row>
    <row r="35" spans="1:7" x14ac:dyDescent="0.25">
      <c r="A35" s="1" t="s">
        <v>377</v>
      </c>
      <c r="B35" s="1" t="s">
        <v>378</v>
      </c>
      <c r="C35" s="1" t="s">
        <v>379</v>
      </c>
      <c r="D35" s="1" t="s">
        <v>380</v>
      </c>
      <c r="E35" s="1" t="s">
        <v>381</v>
      </c>
      <c r="F35" s="1" t="s">
        <v>382</v>
      </c>
      <c r="G35" s="1" t="s">
        <v>13</v>
      </c>
    </row>
    <row r="36" spans="1:7" x14ac:dyDescent="0.25">
      <c r="A36" s="1" t="s">
        <v>383</v>
      </c>
      <c r="B36" s="1" t="s">
        <v>378</v>
      </c>
      <c r="C36" s="1" t="s">
        <v>379</v>
      </c>
      <c r="D36" s="1" t="s">
        <v>380</v>
      </c>
      <c r="E36" s="1" t="s">
        <v>381</v>
      </c>
      <c r="F36" s="1" t="s">
        <v>382</v>
      </c>
      <c r="G36" s="1" t="s">
        <v>13</v>
      </c>
    </row>
    <row r="37" spans="1:7" x14ac:dyDescent="0.25">
      <c r="A37" s="1" t="s">
        <v>384</v>
      </c>
      <c r="B37" s="1"/>
      <c r="C37" s="1"/>
      <c r="D37" s="1"/>
      <c r="E37" s="1"/>
      <c r="F37" s="1"/>
      <c r="G37" s="1" t="s">
        <v>13</v>
      </c>
    </row>
    <row r="38" spans="1:7" x14ac:dyDescent="0.25">
      <c r="A38" s="1" t="s">
        <v>385</v>
      </c>
      <c r="B38" s="1" t="s">
        <v>235</v>
      </c>
      <c r="C38" s="1" t="s">
        <v>235</v>
      </c>
      <c r="D38" s="1" t="s">
        <v>235</v>
      </c>
      <c r="E38" s="1" t="s">
        <v>386</v>
      </c>
      <c r="F38" s="1" t="s">
        <v>235</v>
      </c>
      <c r="G38" s="1" t="s">
        <v>13</v>
      </c>
    </row>
    <row r="39" spans="1:7" x14ac:dyDescent="0.25">
      <c r="A39" s="1" t="s">
        <v>387</v>
      </c>
      <c r="B39" s="1" t="s">
        <v>235</v>
      </c>
      <c r="C39" s="1" t="s">
        <v>235</v>
      </c>
      <c r="D39" s="1" t="s">
        <v>235</v>
      </c>
      <c r="E39" s="1" t="s">
        <v>235</v>
      </c>
      <c r="F39" s="1" t="s">
        <v>235</v>
      </c>
      <c r="G39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CFDB-A7FC-4AE4-8683-E23763F10873}">
  <sheetPr filterMode="1"/>
  <dimension ref="A1:E24"/>
  <sheetViews>
    <sheetView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12.140625" bestFit="1" customWidth="1"/>
    <col min="4" max="4" width="17.85546875" customWidth="1"/>
    <col min="5" max="5" width="14" bestFit="1" customWidth="1"/>
  </cols>
  <sheetData>
    <row r="1" spans="1:5" x14ac:dyDescent="0.25">
      <c r="A1" t="s">
        <v>407</v>
      </c>
      <c r="B1" t="s">
        <v>408</v>
      </c>
      <c r="D1" s="7" t="s">
        <v>409</v>
      </c>
      <c r="E1" s="7" t="s">
        <v>410</v>
      </c>
    </row>
    <row r="2" spans="1:5" x14ac:dyDescent="0.25">
      <c r="A2" s="6">
        <v>34488</v>
      </c>
      <c r="B2">
        <v>4</v>
      </c>
      <c r="D2">
        <v>1994</v>
      </c>
      <c r="E2">
        <f>TATAMOTORS_NS_dividend[[#This Row],[Dividends]]</f>
        <v>4</v>
      </c>
    </row>
    <row r="3" spans="1:5" x14ac:dyDescent="0.25">
      <c r="A3" s="6">
        <v>34857</v>
      </c>
      <c r="B3">
        <v>5</v>
      </c>
      <c r="D3">
        <f>D2+1</f>
        <v>1995</v>
      </c>
      <c r="E3">
        <f>TATAMOTORS_NS_dividend[[#This Row],[Dividends]]</f>
        <v>5</v>
      </c>
    </row>
    <row r="4" spans="1:5" x14ac:dyDescent="0.25">
      <c r="A4" s="6">
        <v>35227</v>
      </c>
      <c r="B4">
        <v>6</v>
      </c>
      <c r="D4">
        <f t="shared" ref="D4:D24" si="0">D3+1</f>
        <v>1996</v>
      </c>
      <c r="E4">
        <f>TATAMOTORS_NS_dividend[[#This Row],[Dividends]]</f>
        <v>6</v>
      </c>
    </row>
    <row r="5" spans="1:5" x14ac:dyDescent="0.25">
      <c r="A5" s="6">
        <v>35562</v>
      </c>
      <c r="B5">
        <v>8</v>
      </c>
      <c r="D5">
        <f t="shared" si="0"/>
        <v>1997</v>
      </c>
      <c r="E5">
        <f>TATAMOTORS_NS_dividend[[#This Row],[Dividends]]</f>
        <v>8</v>
      </c>
    </row>
    <row r="6" spans="1:5" x14ac:dyDescent="0.25">
      <c r="A6" s="6">
        <v>35955</v>
      </c>
      <c r="B6">
        <v>5.5</v>
      </c>
      <c r="D6">
        <f t="shared" si="0"/>
        <v>1998</v>
      </c>
      <c r="E6">
        <f>TATAMOTORS_NS_dividend[[#This Row],[Dividends]]</f>
        <v>5.5</v>
      </c>
    </row>
    <row r="7" spans="1:5" x14ac:dyDescent="0.25">
      <c r="A7" s="6">
        <v>36328</v>
      </c>
      <c r="B7">
        <v>3</v>
      </c>
      <c r="D7">
        <f t="shared" si="0"/>
        <v>1999</v>
      </c>
      <c r="E7">
        <f>TATAMOTORS_NS_dividend[[#This Row],[Dividends]]</f>
        <v>3</v>
      </c>
    </row>
    <row r="8" spans="1:5" x14ac:dyDescent="0.25">
      <c r="A8" s="6">
        <v>36690</v>
      </c>
      <c r="B8">
        <v>2.5</v>
      </c>
      <c r="D8">
        <f t="shared" si="0"/>
        <v>2000</v>
      </c>
      <c r="E8">
        <f>TATAMOTORS_NS_dividend[[#This Row],[Dividends]]</f>
        <v>2.5</v>
      </c>
    </row>
    <row r="9" spans="1:5" x14ac:dyDescent="0.25">
      <c r="A9" s="6">
        <v>37802</v>
      </c>
      <c r="B9">
        <v>4</v>
      </c>
      <c r="D9">
        <f t="shared" si="0"/>
        <v>2001</v>
      </c>
      <c r="E9">
        <v>0</v>
      </c>
    </row>
    <row r="10" spans="1:5" x14ac:dyDescent="0.25">
      <c r="A10" s="6">
        <v>38029</v>
      </c>
      <c r="B10">
        <v>4</v>
      </c>
      <c r="D10">
        <f t="shared" si="0"/>
        <v>2002</v>
      </c>
      <c r="E10">
        <v>0</v>
      </c>
    </row>
    <row r="11" spans="1:5" x14ac:dyDescent="0.25">
      <c r="A11" s="6">
        <v>38160</v>
      </c>
      <c r="B11">
        <v>4</v>
      </c>
      <c r="D11">
        <f t="shared" si="0"/>
        <v>2003</v>
      </c>
      <c r="E11">
        <f>B9</f>
        <v>4</v>
      </c>
    </row>
    <row r="12" spans="1:5" x14ac:dyDescent="0.25">
      <c r="A12" s="6">
        <v>38526</v>
      </c>
      <c r="B12">
        <v>12.5</v>
      </c>
      <c r="D12">
        <f t="shared" si="0"/>
        <v>2004</v>
      </c>
      <c r="E12">
        <f>B10+B11</f>
        <v>8</v>
      </c>
    </row>
    <row r="13" spans="1:5" x14ac:dyDescent="0.25">
      <c r="A13" s="6">
        <v>38891</v>
      </c>
      <c r="B13">
        <v>13</v>
      </c>
      <c r="D13">
        <f t="shared" si="0"/>
        <v>2005</v>
      </c>
      <c r="E13">
        <f t="shared" ref="E13:E22" si="1">B12</f>
        <v>12.5</v>
      </c>
    </row>
    <row r="14" spans="1:5" x14ac:dyDescent="0.25">
      <c r="A14" s="6">
        <v>39234</v>
      </c>
      <c r="B14">
        <v>15</v>
      </c>
      <c r="D14">
        <f t="shared" si="0"/>
        <v>2006</v>
      </c>
      <c r="E14">
        <f t="shared" si="1"/>
        <v>13</v>
      </c>
    </row>
    <row r="15" spans="1:5" x14ac:dyDescent="0.25">
      <c r="A15" s="6">
        <v>39615</v>
      </c>
      <c r="B15">
        <v>15</v>
      </c>
      <c r="D15">
        <f t="shared" si="0"/>
        <v>2007</v>
      </c>
      <c r="E15">
        <f t="shared" si="1"/>
        <v>15</v>
      </c>
    </row>
    <row r="16" spans="1:5" x14ac:dyDescent="0.25">
      <c r="A16" s="6">
        <v>40028</v>
      </c>
      <c r="B16">
        <v>6</v>
      </c>
      <c r="D16">
        <f t="shared" si="0"/>
        <v>2008</v>
      </c>
      <c r="E16">
        <f t="shared" si="1"/>
        <v>15</v>
      </c>
    </row>
    <row r="17" spans="1:5" x14ac:dyDescent="0.25">
      <c r="A17" s="6">
        <v>40400</v>
      </c>
      <c r="B17">
        <v>15</v>
      </c>
      <c r="D17">
        <f t="shared" si="0"/>
        <v>2009</v>
      </c>
      <c r="E17">
        <f t="shared" si="1"/>
        <v>6</v>
      </c>
    </row>
    <row r="18" spans="1:5" x14ac:dyDescent="0.25">
      <c r="A18" s="6">
        <v>40743</v>
      </c>
      <c r="B18">
        <v>20</v>
      </c>
      <c r="D18">
        <f t="shared" si="0"/>
        <v>2010</v>
      </c>
      <c r="E18">
        <f t="shared" si="1"/>
        <v>15</v>
      </c>
    </row>
    <row r="19" spans="1:5" x14ac:dyDescent="0.25">
      <c r="A19" s="6">
        <v>41108</v>
      </c>
      <c r="B19">
        <v>4</v>
      </c>
      <c r="D19">
        <f t="shared" si="0"/>
        <v>2011</v>
      </c>
      <c r="E19">
        <f t="shared" si="1"/>
        <v>20</v>
      </c>
    </row>
    <row r="20" spans="1:5" x14ac:dyDescent="0.25">
      <c r="A20" s="6">
        <v>41485</v>
      </c>
      <c r="B20">
        <v>2</v>
      </c>
      <c r="D20">
        <f t="shared" si="0"/>
        <v>2012</v>
      </c>
      <c r="E20">
        <f t="shared" si="1"/>
        <v>4</v>
      </c>
    </row>
    <row r="21" spans="1:5" x14ac:dyDescent="0.25">
      <c r="A21" s="6">
        <v>41829</v>
      </c>
      <c r="B21">
        <v>2</v>
      </c>
      <c r="D21">
        <f t="shared" si="0"/>
        <v>2013</v>
      </c>
      <c r="E21">
        <f t="shared" si="1"/>
        <v>2</v>
      </c>
    </row>
    <row r="22" spans="1:5" x14ac:dyDescent="0.25">
      <c r="A22" s="6">
        <v>42569</v>
      </c>
      <c r="B22">
        <v>0.2</v>
      </c>
      <c r="D22">
        <f t="shared" si="0"/>
        <v>2014</v>
      </c>
      <c r="E22">
        <f t="shared" si="1"/>
        <v>2</v>
      </c>
    </row>
    <row r="23" spans="1:5" hidden="1" x14ac:dyDescent="0.25">
      <c r="D23">
        <f t="shared" si="0"/>
        <v>2015</v>
      </c>
      <c r="E23">
        <v>0</v>
      </c>
    </row>
    <row r="24" spans="1:5" x14ac:dyDescent="0.25">
      <c r="D24">
        <f t="shared" si="0"/>
        <v>2016</v>
      </c>
      <c r="E24">
        <f>B22</f>
        <v>0.2</v>
      </c>
    </row>
  </sheetData>
  <autoFilter ref="D1:E24" xr:uid="{111A10F9-BDE1-480D-860A-D8CC026CBB42}">
    <filterColumn colId="1">
      <filters>
        <filter val="0.2"/>
        <filter val="12.5"/>
        <filter val="13"/>
        <filter val="15"/>
        <filter val="2"/>
        <filter val="2.5"/>
        <filter val="20"/>
        <filter val="3"/>
        <filter val="4"/>
        <filter val="5"/>
        <filter val="5.5"/>
        <filter val="6"/>
        <filter val="8"/>
      </filters>
    </filterColumn>
  </autoFilter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55FC-6601-40F2-A4CC-94590A62C611}">
  <dimension ref="A1:B24"/>
  <sheetViews>
    <sheetView zoomScale="85" zoomScaleNormal="85" workbookViewId="0">
      <selection activeCell="B24" sqref="B24"/>
    </sheetView>
  </sheetViews>
  <sheetFormatPr defaultRowHeight="15" x14ac:dyDescent="0.25"/>
  <cols>
    <col min="1" max="1" width="63.85546875" bestFit="1" customWidth="1"/>
    <col min="2" max="2" width="17.28515625" style="4" customWidth="1"/>
  </cols>
  <sheetData>
    <row r="1" spans="1:2" x14ac:dyDescent="0.25">
      <c r="A1" s="2" t="s">
        <v>388</v>
      </c>
    </row>
    <row r="3" spans="1:2" x14ac:dyDescent="0.25">
      <c r="A3" t="s">
        <v>393</v>
      </c>
      <c r="B3" s="4" t="str">
        <f>Income!B32</f>
        <v>-12,070.85</v>
      </c>
    </row>
    <row r="4" spans="1:2" x14ac:dyDescent="0.25">
      <c r="A4" t="s">
        <v>395</v>
      </c>
      <c r="B4" s="4" t="str">
        <f>Income!B27</f>
        <v>395.25</v>
      </c>
    </row>
    <row r="5" spans="1:2" x14ac:dyDescent="0.25">
      <c r="A5" t="s">
        <v>396</v>
      </c>
      <c r="B5" s="4" t="str">
        <f>Income!B21</f>
        <v>-10,579.98</v>
      </c>
    </row>
    <row r="7" spans="1:2" x14ac:dyDescent="0.25">
      <c r="A7" s="2" t="s">
        <v>389</v>
      </c>
    </row>
    <row r="9" spans="1:2" x14ac:dyDescent="0.25">
      <c r="A9" t="s">
        <v>208</v>
      </c>
      <c r="B9" s="4" t="str">
        <f>'Balance Sheet'!B44</f>
        <v>322,121.26</v>
      </c>
    </row>
    <row r="10" spans="1:2" x14ac:dyDescent="0.25">
      <c r="A10" t="s">
        <v>390</v>
      </c>
      <c r="B10" s="4">
        <f>'Balance Sheet'!B23+'Balance Sheet'!B17</f>
        <v>258229.16999999998</v>
      </c>
    </row>
    <row r="11" spans="1:2" x14ac:dyDescent="0.25">
      <c r="A11" t="s">
        <v>391</v>
      </c>
      <c r="B11" s="4" t="str">
        <f>'Balance Sheet'!B10</f>
        <v>63,078.53</v>
      </c>
    </row>
    <row r="12" spans="1:2" x14ac:dyDescent="0.25">
      <c r="A12" t="s">
        <v>35</v>
      </c>
      <c r="B12" s="4" t="str">
        <f>'Balance Sheet'!B11</f>
        <v>813.56</v>
      </c>
    </row>
    <row r="13" spans="1:2" x14ac:dyDescent="0.25">
      <c r="A13" t="s">
        <v>399</v>
      </c>
      <c r="B13" s="4">
        <f>B11+B12</f>
        <v>63892.09</v>
      </c>
    </row>
    <row r="14" spans="1:2" x14ac:dyDescent="0.25">
      <c r="A14" t="s">
        <v>392</v>
      </c>
      <c r="B14" s="4">
        <f>B13+B10</f>
        <v>322121.26</v>
      </c>
    </row>
    <row r="16" spans="1:2" x14ac:dyDescent="0.25">
      <c r="A16" s="2" t="s">
        <v>394</v>
      </c>
    </row>
    <row r="18" spans="1:2" x14ac:dyDescent="0.25">
      <c r="A18" t="s">
        <v>400</v>
      </c>
      <c r="B18" s="3">
        <f>B3/B10</f>
        <v>-4.6744719041617186E-2</v>
      </c>
    </row>
    <row r="19" spans="1:2" x14ac:dyDescent="0.25">
      <c r="A19" t="s">
        <v>401</v>
      </c>
      <c r="B19" s="3">
        <f>B3/(B11+B12)</f>
        <v>-0.1889255774854133</v>
      </c>
    </row>
    <row r="20" spans="1:2" x14ac:dyDescent="0.25">
      <c r="A20" t="s">
        <v>402</v>
      </c>
      <c r="B20" s="3">
        <f>B4/B5</f>
        <v>-3.735829368297483E-2</v>
      </c>
    </row>
    <row r="21" spans="1:2" x14ac:dyDescent="0.25">
      <c r="A21" t="s">
        <v>397</v>
      </c>
      <c r="B21" s="3">
        <f>B10/(B10+B11+B12)</f>
        <v>0.80165205488144442</v>
      </c>
    </row>
    <row r="22" spans="1:2" x14ac:dyDescent="0.25">
      <c r="A22" t="s">
        <v>398</v>
      </c>
      <c r="B22" s="3">
        <f>B13/(B10+B13)</f>
        <v>0.19834794511855564</v>
      </c>
    </row>
    <row r="23" spans="1:2" x14ac:dyDescent="0.25">
      <c r="A23" t="s">
        <v>403</v>
      </c>
      <c r="B23" s="5">
        <f>B10/B14</f>
        <v>0.80165205488144431</v>
      </c>
    </row>
    <row r="24" spans="1:2" x14ac:dyDescent="0.25">
      <c r="A24" t="s">
        <v>404</v>
      </c>
      <c r="B24" s="3">
        <f>(1-B23)*B19+B23*(1-B20)*B18</f>
        <v>-7.6345927491104248E-2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B870-0334-4C6B-BE26-30CF61AB8798}">
  <dimension ref="A2:D33"/>
  <sheetViews>
    <sheetView topLeftCell="A23" workbookViewId="0">
      <selection activeCell="C33" sqref="C33"/>
    </sheetView>
  </sheetViews>
  <sheetFormatPr defaultRowHeight="15" x14ac:dyDescent="0.25"/>
  <cols>
    <col min="1" max="1" width="66" customWidth="1"/>
    <col min="2" max="2" width="30.85546875" customWidth="1"/>
    <col min="3" max="3" width="23.28515625" customWidth="1"/>
    <col min="4" max="4" width="9.42578125" customWidth="1"/>
  </cols>
  <sheetData>
    <row r="2" spans="1:4" x14ac:dyDescent="0.25">
      <c r="A2" s="2" t="s">
        <v>405</v>
      </c>
      <c r="B2">
        <v>175.95</v>
      </c>
    </row>
    <row r="3" spans="1:4" x14ac:dyDescent="0.25">
      <c r="A3" t="s">
        <v>406</v>
      </c>
    </row>
    <row r="4" spans="1:4" x14ac:dyDescent="0.25">
      <c r="A4" s="2" t="s">
        <v>411</v>
      </c>
      <c r="B4" s="8" t="s">
        <v>409</v>
      </c>
      <c r="C4" s="8" t="s">
        <v>412</v>
      </c>
    </row>
    <row r="5" spans="1:4" x14ac:dyDescent="0.25">
      <c r="B5">
        <v>1994</v>
      </c>
      <c r="C5" s="1">
        <v>4</v>
      </c>
    </row>
    <row r="6" spans="1:4" x14ac:dyDescent="0.25">
      <c r="B6">
        <v>1995</v>
      </c>
      <c r="C6" s="1">
        <v>5</v>
      </c>
      <c r="D6" s="3">
        <f t="shared" ref="D6:D24" si="0">C6/C5-1</f>
        <v>0.25</v>
      </c>
    </row>
    <row r="7" spans="1:4" x14ac:dyDescent="0.25">
      <c r="B7">
        <v>1996</v>
      </c>
      <c r="C7" s="1">
        <v>6</v>
      </c>
      <c r="D7" s="3">
        <f t="shared" si="0"/>
        <v>0.19999999999999996</v>
      </c>
    </row>
    <row r="8" spans="1:4" x14ac:dyDescent="0.25">
      <c r="B8">
        <v>1997</v>
      </c>
      <c r="C8" s="1">
        <v>8</v>
      </c>
      <c r="D8" s="3">
        <f t="shared" si="0"/>
        <v>0.33333333333333326</v>
      </c>
    </row>
    <row r="9" spans="1:4" x14ac:dyDescent="0.25">
      <c r="B9">
        <v>1998</v>
      </c>
      <c r="C9" s="1">
        <v>5.5</v>
      </c>
      <c r="D9" s="3">
        <f t="shared" si="0"/>
        <v>-0.3125</v>
      </c>
    </row>
    <row r="10" spans="1:4" x14ac:dyDescent="0.25">
      <c r="B10">
        <v>1999</v>
      </c>
      <c r="C10" s="1">
        <v>3</v>
      </c>
      <c r="D10" s="3">
        <f t="shared" si="0"/>
        <v>-0.45454545454545459</v>
      </c>
    </row>
    <row r="11" spans="1:4" x14ac:dyDescent="0.25">
      <c r="B11">
        <v>2000</v>
      </c>
      <c r="C11" s="1">
        <v>2.5</v>
      </c>
      <c r="D11" s="3">
        <f t="shared" si="0"/>
        <v>-0.16666666666666663</v>
      </c>
    </row>
    <row r="12" spans="1:4" x14ac:dyDescent="0.25">
      <c r="B12">
        <v>2003</v>
      </c>
      <c r="C12" s="1">
        <v>4</v>
      </c>
      <c r="D12" s="3">
        <f t="shared" si="0"/>
        <v>0.60000000000000009</v>
      </c>
    </row>
    <row r="13" spans="1:4" x14ac:dyDescent="0.25">
      <c r="B13">
        <v>2004</v>
      </c>
      <c r="C13" s="1">
        <v>8</v>
      </c>
      <c r="D13" s="3">
        <f t="shared" si="0"/>
        <v>1</v>
      </c>
    </row>
    <row r="14" spans="1:4" x14ac:dyDescent="0.25">
      <c r="B14">
        <v>2005</v>
      </c>
      <c r="C14" s="1">
        <v>12.5</v>
      </c>
      <c r="D14" s="3">
        <f t="shared" si="0"/>
        <v>0.5625</v>
      </c>
    </row>
    <row r="15" spans="1:4" x14ac:dyDescent="0.25">
      <c r="B15">
        <v>2006</v>
      </c>
      <c r="C15" s="1">
        <v>13</v>
      </c>
      <c r="D15" s="3">
        <f t="shared" si="0"/>
        <v>4.0000000000000036E-2</v>
      </c>
    </row>
    <row r="16" spans="1:4" x14ac:dyDescent="0.25">
      <c r="B16">
        <v>2007</v>
      </c>
      <c r="C16" s="1">
        <v>15</v>
      </c>
      <c r="D16" s="3">
        <f t="shared" si="0"/>
        <v>0.15384615384615374</v>
      </c>
    </row>
    <row r="17" spans="1:4" x14ac:dyDescent="0.25">
      <c r="B17">
        <v>2008</v>
      </c>
      <c r="C17" s="1">
        <v>15</v>
      </c>
      <c r="D17" s="3">
        <f t="shared" si="0"/>
        <v>0</v>
      </c>
    </row>
    <row r="18" spans="1:4" x14ac:dyDescent="0.25">
      <c r="B18">
        <v>2009</v>
      </c>
      <c r="C18" s="1">
        <v>6</v>
      </c>
      <c r="D18" s="3">
        <f t="shared" si="0"/>
        <v>-0.6</v>
      </c>
    </row>
    <row r="19" spans="1:4" x14ac:dyDescent="0.25">
      <c r="B19">
        <v>2010</v>
      </c>
      <c r="C19" s="1">
        <v>15</v>
      </c>
      <c r="D19" s="3">
        <f t="shared" si="0"/>
        <v>1.5</v>
      </c>
    </row>
    <row r="20" spans="1:4" x14ac:dyDescent="0.25">
      <c r="B20">
        <v>2011</v>
      </c>
      <c r="C20" s="1">
        <v>20</v>
      </c>
      <c r="D20" s="3">
        <f t="shared" si="0"/>
        <v>0.33333333333333326</v>
      </c>
    </row>
    <row r="21" spans="1:4" x14ac:dyDescent="0.25">
      <c r="B21">
        <v>2012</v>
      </c>
      <c r="C21" s="1">
        <v>4</v>
      </c>
      <c r="D21" s="3">
        <f t="shared" si="0"/>
        <v>-0.8</v>
      </c>
    </row>
    <row r="22" spans="1:4" x14ac:dyDescent="0.25">
      <c r="B22">
        <v>2013</v>
      </c>
      <c r="C22" s="1">
        <v>2</v>
      </c>
      <c r="D22" s="3">
        <f t="shared" si="0"/>
        <v>-0.5</v>
      </c>
    </row>
    <row r="23" spans="1:4" x14ac:dyDescent="0.25">
      <c r="B23">
        <v>2014</v>
      </c>
      <c r="C23" s="1">
        <v>2</v>
      </c>
      <c r="D23" s="3">
        <f t="shared" si="0"/>
        <v>0</v>
      </c>
    </row>
    <row r="24" spans="1:4" x14ac:dyDescent="0.25">
      <c r="B24">
        <v>2016</v>
      </c>
      <c r="C24" s="1">
        <v>0.2</v>
      </c>
      <c r="D24" s="3">
        <f t="shared" si="0"/>
        <v>-0.9</v>
      </c>
    </row>
    <row r="25" spans="1:4" x14ac:dyDescent="0.25">
      <c r="B25" t="s">
        <v>415</v>
      </c>
      <c r="C25">
        <f>C24*(1+D30)</f>
        <v>0.21304527051895472</v>
      </c>
    </row>
    <row r="26" spans="1:4" x14ac:dyDescent="0.25">
      <c r="A26" t="s">
        <v>419</v>
      </c>
      <c r="B26" t="s">
        <v>416</v>
      </c>
      <c r="C26">
        <f>C25*(1+D30)</f>
        <v>0.226941436452473</v>
      </c>
    </row>
    <row r="27" spans="1:4" x14ac:dyDescent="0.25">
      <c r="B27" t="s">
        <v>417</v>
      </c>
      <c r="C27">
        <f>C26*(1+D30)</f>
        <v>0.24174399860488641</v>
      </c>
    </row>
    <row r="28" spans="1:4" x14ac:dyDescent="0.25">
      <c r="B28" t="s">
        <v>418</v>
      </c>
      <c r="C28">
        <f>C27*(1+D30)</f>
        <v>0.25751207789555919</v>
      </c>
    </row>
    <row r="30" spans="1:4" x14ac:dyDescent="0.25">
      <c r="A30" t="s">
        <v>413</v>
      </c>
      <c r="D30" s="9">
        <f>AVERAGE(D6:D24)</f>
        <v>6.5226352594773662E-2</v>
      </c>
    </row>
    <row r="31" spans="1:4" x14ac:dyDescent="0.25">
      <c r="A31" t="s">
        <v>414</v>
      </c>
      <c r="D31" s="3">
        <f>(C24/C5)^(1/20)</f>
        <v>0.86089165933173484</v>
      </c>
    </row>
    <row r="33" spans="1:2" x14ac:dyDescent="0.25">
      <c r="A33" t="s">
        <v>420</v>
      </c>
      <c r="B33" s="10">
        <f>C28/B2+D30</f>
        <v>6.6689905182983719E-2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58B9-992F-41EA-BC7A-25FF3E09F356}">
  <dimension ref="A1:F9"/>
  <sheetViews>
    <sheetView workbookViewId="0">
      <selection activeCell="B9" sqref="B9"/>
    </sheetView>
  </sheetViews>
  <sheetFormatPr defaultRowHeight="15" x14ac:dyDescent="0.25"/>
  <cols>
    <col min="1" max="1" width="59.7109375" customWidth="1"/>
  </cols>
  <sheetData>
    <row r="1" spans="1:6" x14ac:dyDescent="0.25">
      <c r="B1">
        <v>2020</v>
      </c>
      <c r="C1">
        <v>2019</v>
      </c>
      <c r="D1">
        <v>2018</v>
      </c>
      <c r="E1">
        <v>2017</v>
      </c>
      <c r="F1">
        <v>2016</v>
      </c>
    </row>
    <row r="3" spans="1:6" x14ac:dyDescent="0.25">
      <c r="A3" t="s">
        <v>421</v>
      </c>
      <c r="B3" t="str">
        <f>'Balance Sheet'!B19</f>
        <v>16,362.53</v>
      </c>
      <c r="C3" t="str">
        <f>'Balance Sheet'!C19</f>
        <v>20,150.26</v>
      </c>
      <c r="D3" t="str">
        <f>'Balance Sheet'!D19</f>
        <v>16,794.85</v>
      </c>
      <c r="E3" t="str">
        <f>'Balance Sheet'!E19</f>
        <v>13,859.94</v>
      </c>
      <c r="F3" t="str">
        <f>'Balance Sheet'!F19</f>
        <v>11,450.78</v>
      </c>
    </row>
    <row r="4" spans="1:6" x14ac:dyDescent="0.25">
      <c r="A4" t="s">
        <v>422</v>
      </c>
      <c r="B4" t="str">
        <f>'Balance Sheet'!B13</f>
        <v>83,315.62</v>
      </c>
      <c r="C4" t="str">
        <f>'Balance Sheet'!C13</f>
        <v>70,817.50</v>
      </c>
      <c r="D4" t="str">
        <f>'Balance Sheet'!D13</f>
        <v>61,199.50</v>
      </c>
      <c r="E4" t="str">
        <f>'Balance Sheet'!E13</f>
        <v>60,629.18</v>
      </c>
      <c r="F4" t="str">
        <f>'Balance Sheet'!F13</f>
        <v>50,510.39</v>
      </c>
    </row>
    <row r="5" spans="1:6" x14ac:dyDescent="0.25">
      <c r="A5" t="s">
        <v>423</v>
      </c>
      <c r="B5">
        <f>B3+B4</f>
        <v>99678.15</v>
      </c>
      <c r="C5">
        <f>C3+C4</f>
        <v>90967.76</v>
      </c>
      <c r="D5">
        <f>D3+D4</f>
        <v>77994.350000000006</v>
      </c>
      <c r="E5">
        <f>E3+E4</f>
        <v>74489.119999999995</v>
      </c>
      <c r="F5">
        <f>F3+F4</f>
        <v>61961.17</v>
      </c>
    </row>
    <row r="7" spans="1:6" x14ac:dyDescent="0.25">
      <c r="A7" t="s">
        <v>424</v>
      </c>
      <c r="B7" t="str">
        <f>Income!B15</f>
        <v>7,243.33</v>
      </c>
      <c r="C7" t="str">
        <f>Income!C15</f>
        <v>5,758.60</v>
      </c>
      <c r="D7" t="str">
        <f>Income!D15</f>
        <v>4,681.79</v>
      </c>
      <c r="E7" t="str">
        <f>Income!E15</f>
        <v>4,238.01</v>
      </c>
      <c r="F7" t="str">
        <f>Income!F15</f>
        <v>4,889.08</v>
      </c>
    </row>
    <row r="9" spans="1:6" x14ac:dyDescent="0.25">
      <c r="A9" t="s">
        <v>425</v>
      </c>
      <c r="B9" s="3">
        <f>B7/B5</f>
        <v>7.2667179316630581E-2</v>
      </c>
      <c r="C9" s="3">
        <f>C7/C5</f>
        <v>6.330374629429153E-2</v>
      </c>
      <c r="D9" s="3">
        <f>D7/D5</f>
        <v>6.0027296849066623E-2</v>
      </c>
      <c r="E9" s="3">
        <f>E7/E5</f>
        <v>5.6894349134477634E-2</v>
      </c>
      <c r="F9" s="3">
        <f>F7/F5</f>
        <v>7.8905546812624752E-2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44F6-4A7E-4775-8E82-142D8C4934C5}">
  <dimension ref="A1:C6"/>
  <sheetViews>
    <sheetView workbookViewId="0">
      <selection activeCell="B5" sqref="B5"/>
    </sheetView>
  </sheetViews>
  <sheetFormatPr defaultRowHeight="15" x14ac:dyDescent="0.25"/>
  <cols>
    <col min="1" max="1" width="44.140625" customWidth="1"/>
  </cols>
  <sheetData>
    <row r="1" spans="1:3" x14ac:dyDescent="0.25">
      <c r="B1">
        <v>2020</v>
      </c>
    </row>
    <row r="2" spans="1:3" x14ac:dyDescent="0.25">
      <c r="A2" t="s">
        <v>428</v>
      </c>
      <c r="B2" t="str">
        <f>Income!B21</f>
        <v>-10,579.98</v>
      </c>
    </row>
    <row r="3" spans="1:3" x14ac:dyDescent="0.25">
      <c r="A3" t="s">
        <v>426</v>
      </c>
      <c r="B3" t="str">
        <f>Income!B27</f>
        <v>395.25</v>
      </c>
    </row>
    <row r="5" spans="1:3" x14ac:dyDescent="0.25">
      <c r="A5" t="s">
        <v>427</v>
      </c>
      <c r="B5" s="3">
        <f>B3/B2</f>
        <v>-3.735829368297483E-2</v>
      </c>
    </row>
    <row r="6" spans="1:3" x14ac:dyDescent="0.25">
      <c r="A6" t="s">
        <v>429</v>
      </c>
      <c r="B6" s="9">
        <v>0.3</v>
      </c>
      <c r="C6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B4AC-15AE-4B75-AE48-F655F60D7827}">
  <dimension ref="A2:B22"/>
  <sheetViews>
    <sheetView workbookViewId="0">
      <selection activeCell="B17" sqref="B17"/>
    </sheetView>
  </sheetViews>
  <sheetFormatPr defaultRowHeight="15" x14ac:dyDescent="0.25"/>
  <cols>
    <col min="1" max="1" width="44.5703125" customWidth="1"/>
    <col min="2" max="2" width="23.5703125" bestFit="1" customWidth="1"/>
  </cols>
  <sheetData>
    <row r="2" spans="1:2" x14ac:dyDescent="0.25">
      <c r="A2" t="s">
        <v>431</v>
      </c>
      <c r="B2" s="10">
        <f>'RROE - Gordon method'!B33</f>
        <v>6.6689905182983719E-2</v>
      </c>
    </row>
    <row r="3" spans="1:2" x14ac:dyDescent="0.25">
      <c r="A3" t="s">
        <v>432</v>
      </c>
      <c r="B3" s="9">
        <f>'COD - Gordon Method'!B9</f>
        <v>7.2667179316630581E-2</v>
      </c>
    </row>
    <row r="5" spans="1:2" x14ac:dyDescent="0.25">
      <c r="A5" t="s">
        <v>435</v>
      </c>
      <c r="B5" t="s">
        <v>433</v>
      </c>
    </row>
    <row r="6" spans="1:2" x14ac:dyDescent="0.25">
      <c r="B6" t="s">
        <v>434</v>
      </c>
    </row>
    <row r="7" spans="1:2" x14ac:dyDescent="0.25">
      <c r="B7">
        <v>309</v>
      </c>
    </row>
    <row r="9" spans="1:2" x14ac:dyDescent="0.25">
      <c r="A9" t="s">
        <v>436</v>
      </c>
      <c r="B9">
        <f>'RROE - Gordon method'!B2</f>
        <v>175.95</v>
      </c>
    </row>
    <row r="11" spans="1:2" x14ac:dyDescent="0.25">
      <c r="A11" t="s">
        <v>437</v>
      </c>
      <c r="B11">
        <f>B9*B7</f>
        <v>54368.549999999996</v>
      </c>
    </row>
    <row r="13" spans="1:2" x14ac:dyDescent="0.25">
      <c r="A13" t="s">
        <v>438</v>
      </c>
      <c r="B13">
        <f>'COD - Gordon Method'!B5</f>
        <v>99678.15</v>
      </c>
    </row>
    <row r="15" spans="1:2" x14ac:dyDescent="0.25">
      <c r="A15" t="s">
        <v>439</v>
      </c>
      <c r="B15">
        <f>B11+B13</f>
        <v>154046.69999999998</v>
      </c>
    </row>
    <row r="17" spans="1:2" x14ac:dyDescent="0.25">
      <c r="A17" t="s">
        <v>440</v>
      </c>
      <c r="B17" s="3">
        <f>B11/B15</f>
        <v>0.35293550592125633</v>
      </c>
    </row>
    <row r="19" spans="1:2" x14ac:dyDescent="0.25">
      <c r="A19" t="s">
        <v>441</v>
      </c>
      <c r="B19" s="3">
        <f>B13/B15</f>
        <v>0.64706449407874367</v>
      </c>
    </row>
    <row r="21" spans="1:2" x14ac:dyDescent="0.25">
      <c r="A21" t="s">
        <v>442</v>
      </c>
      <c r="B21" s="11">
        <f>B3*B19*(1-'Marginal Tax Rate - Gordon Met.'!B5)+'WACC - Gordon Method'!B2*'WACC - Gordon Method'!B17</f>
        <v>7.2314187151162682E-2</v>
      </c>
    </row>
    <row r="22" spans="1:2" x14ac:dyDescent="0.25">
      <c r="A22" t="s">
        <v>443</v>
      </c>
      <c r="B22" s="11">
        <f>B3*B19*(1-'Marginal Tax Rate - Gordon Met.'!B6)+B2*B17</f>
        <v>5.6451481560048408E-2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825-92D5-40A8-80F8-C51AB8C513CF}">
  <dimension ref="A1:E246"/>
  <sheetViews>
    <sheetView workbookViewId="0">
      <selection activeCell="E5" sqref="E5"/>
    </sheetView>
  </sheetViews>
  <sheetFormatPr defaultRowHeight="15" x14ac:dyDescent="0.25"/>
  <cols>
    <col min="1" max="1" width="19.140625" customWidth="1"/>
    <col min="4" max="4" width="21.7109375" customWidth="1"/>
    <col min="5" max="5" width="21.85546875" customWidth="1"/>
  </cols>
  <sheetData>
    <row r="1" spans="1:5" x14ac:dyDescent="0.25">
      <c r="A1" s="2" t="s">
        <v>407</v>
      </c>
      <c r="B1" s="2" t="s">
        <v>456</v>
      </c>
      <c r="D1" s="2" t="s">
        <v>457</v>
      </c>
      <c r="E1" s="2" t="s">
        <v>455</v>
      </c>
    </row>
    <row r="2" spans="1:5" x14ac:dyDescent="0.25">
      <c r="A2" s="13">
        <v>43825</v>
      </c>
      <c r="B2">
        <v>5.0199999999999996</v>
      </c>
    </row>
    <row r="3" spans="1:5" x14ac:dyDescent="0.25">
      <c r="A3" s="13">
        <v>43826</v>
      </c>
      <c r="B3">
        <v>5.0199999999999996</v>
      </c>
      <c r="D3" s="3">
        <v>3.7600000000000001E-2</v>
      </c>
    </row>
    <row r="4" spans="1:5" x14ac:dyDescent="0.25">
      <c r="A4" s="13">
        <v>43829</v>
      </c>
      <c r="B4">
        <v>5.0199999999999996</v>
      </c>
      <c r="D4">
        <f>AVERAGE(B2:B246)</f>
        <v>3.7578775510204077</v>
      </c>
      <c r="E4" t="str">
        <f ca="1">_xlfn.FORMULATEXT(D4)</f>
        <v>=AVERAGE(B2:B246)</v>
      </c>
    </row>
    <row r="5" spans="1:5" x14ac:dyDescent="0.25">
      <c r="A5" s="13">
        <v>43830</v>
      </c>
      <c r="B5">
        <v>5.05</v>
      </c>
    </row>
    <row r="6" spans="1:5" x14ac:dyDescent="0.25">
      <c r="A6" s="13">
        <v>43831</v>
      </c>
      <c r="B6">
        <v>5.04</v>
      </c>
    </row>
    <row r="7" spans="1:5" x14ac:dyDescent="0.25">
      <c r="A7" s="13">
        <v>43832</v>
      </c>
      <c r="B7">
        <v>4.97</v>
      </c>
    </row>
    <row r="8" spans="1:5" x14ac:dyDescent="0.25">
      <c r="A8" s="13">
        <v>43833</v>
      </c>
      <c r="B8">
        <v>4.99</v>
      </c>
    </row>
    <row r="9" spans="1:5" x14ac:dyDescent="0.25">
      <c r="A9" s="13">
        <v>43836</v>
      </c>
      <c r="B9">
        <v>4.9800000000000004</v>
      </c>
    </row>
    <row r="10" spans="1:5" x14ac:dyDescent="0.25">
      <c r="A10" s="13">
        <v>43837</v>
      </c>
      <c r="B10">
        <v>5.01</v>
      </c>
    </row>
    <row r="11" spans="1:5" x14ac:dyDescent="0.25">
      <c r="A11" s="13">
        <v>43838</v>
      </c>
      <c r="B11">
        <v>5.0199999999999996</v>
      </c>
    </row>
    <row r="12" spans="1:5" x14ac:dyDescent="0.25">
      <c r="A12" s="13">
        <v>43839</v>
      </c>
      <c r="B12">
        <v>5.05</v>
      </c>
    </row>
    <row r="13" spans="1:5" x14ac:dyDescent="0.25">
      <c r="A13" s="13">
        <v>43840</v>
      </c>
      <c r="B13">
        <v>5.05</v>
      </c>
    </row>
    <row r="14" spans="1:5" x14ac:dyDescent="0.25">
      <c r="A14" s="13">
        <v>43843</v>
      </c>
      <c r="B14">
        <v>5.05</v>
      </c>
    </row>
    <row r="15" spans="1:5" x14ac:dyDescent="0.25">
      <c r="A15" s="13">
        <v>43844</v>
      </c>
      <c r="B15">
        <v>5.07</v>
      </c>
    </row>
    <row r="16" spans="1:5" x14ac:dyDescent="0.25">
      <c r="A16" s="13">
        <v>43845</v>
      </c>
      <c r="B16">
        <v>5.0999999999999996</v>
      </c>
    </row>
    <row r="17" spans="1:2" x14ac:dyDescent="0.25">
      <c r="A17" s="13">
        <v>43846</v>
      </c>
      <c r="B17">
        <v>5.12</v>
      </c>
    </row>
    <row r="18" spans="1:2" x14ac:dyDescent="0.25">
      <c r="A18" s="13">
        <v>43847</v>
      </c>
      <c r="B18">
        <v>5.0999999999999996</v>
      </c>
    </row>
    <row r="19" spans="1:2" x14ac:dyDescent="0.25">
      <c r="A19" s="13">
        <v>43850</v>
      </c>
      <c r="B19">
        <v>5.1100000000000003</v>
      </c>
    </row>
    <row r="20" spans="1:2" x14ac:dyDescent="0.25">
      <c r="A20" s="13">
        <v>43851</v>
      </c>
      <c r="B20">
        <v>5.0999999999999996</v>
      </c>
    </row>
    <row r="21" spans="1:2" x14ac:dyDescent="0.25">
      <c r="A21" s="13">
        <v>43852</v>
      </c>
      <c r="B21">
        <v>5.1100000000000003</v>
      </c>
    </row>
    <row r="22" spans="1:2" x14ac:dyDescent="0.25">
      <c r="A22" s="13">
        <v>43853</v>
      </c>
      <c r="B22">
        <v>5.12</v>
      </c>
    </row>
    <row r="23" spans="1:2" x14ac:dyDescent="0.25">
      <c r="A23" s="13">
        <v>43854</v>
      </c>
      <c r="B23">
        <v>5.12</v>
      </c>
    </row>
    <row r="24" spans="1:2" x14ac:dyDescent="0.25">
      <c r="A24" s="13">
        <v>43857</v>
      </c>
      <c r="B24">
        <v>5.0999999999999996</v>
      </c>
    </row>
    <row r="25" spans="1:2" x14ac:dyDescent="0.25">
      <c r="A25" s="13">
        <v>43858</v>
      </c>
      <c r="B25">
        <v>5.1100000000000003</v>
      </c>
    </row>
    <row r="26" spans="1:2" x14ac:dyDescent="0.25">
      <c r="A26" s="13">
        <v>43859</v>
      </c>
      <c r="B26">
        <v>5.0999999999999996</v>
      </c>
    </row>
    <row r="27" spans="1:2" x14ac:dyDescent="0.25">
      <c r="A27" s="13">
        <v>43860</v>
      </c>
      <c r="B27">
        <v>5.12</v>
      </c>
    </row>
    <row r="28" spans="1:2" x14ac:dyDescent="0.25">
      <c r="A28" s="13">
        <v>43861</v>
      </c>
      <c r="B28">
        <v>5.13</v>
      </c>
    </row>
    <row r="29" spans="1:2" x14ac:dyDescent="0.25">
      <c r="A29" s="13">
        <v>43864</v>
      </c>
      <c r="B29">
        <v>5.1100000000000003</v>
      </c>
    </row>
    <row r="30" spans="1:2" x14ac:dyDescent="0.25">
      <c r="A30" s="13">
        <v>43865</v>
      </c>
      <c r="B30">
        <v>5.12</v>
      </c>
    </row>
    <row r="31" spans="1:2" x14ac:dyDescent="0.25">
      <c r="A31" s="13">
        <v>43866</v>
      </c>
      <c r="B31">
        <v>5.13</v>
      </c>
    </row>
    <row r="32" spans="1:2" x14ac:dyDescent="0.25">
      <c r="A32" s="13">
        <v>43867</v>
      </c>
      <c r="B32">
        <v>5.15</v>
      </c>
    </row>
    <row r="33" spans="1:2" x14ac:dyDescent="0.25">
      <c r="A33" s="13">
        <v>43868</v>
      </c>
      <c r="B33">
        <v>5.1100000000000003</v>
      </c>
    </row>
    <row r="34" spans="1:2" x14ac:dyDescent="0.25">
      <c r="A34" s="13">
        <v>43871</v>
      </c>
      <c r="B34">
        <v>5.0999999999999996</v>
      </c>
    </row>
    <row r="35" spans="1:2" x14ac:dyDescent="0.25">
      <c r="A35" s="13">
        <v>43872</v>
      </c>
      <c r="B35">
        <v>5.09</v>
      </c>
    </row>
    <row r="36" spans="1:2" x14ac:dyDescent="0.25">
      <c r="A36" s="13">
        <v>43873</v>
      </c>
      <c r="B36">
        <v>5.12</v>
      </c>
    </row>
    <row r="37" spans="1:2" x14ac:dyDescent="0.25">
      <c r="A37" s="13">
        <v>43874</v>
      </c>
      <c r="B37">
        <v>5.1100000000000003</v>
      </c>
    </row>
    <row r="38" spans="1:2" x14ac:dyDescent="0.25">
      <c r="A38" s="13">
        <v>43875</v>
      </c>
      <c r="B38">
        <v>5.1100000000000003</v>
      </c>
    </row>
    <row r="39" spans="1:2" x14ac:dyDescent="0.25">
      <c r="A39" s="13">
        <v>43878</v>
      </c>
      <c r="B39">
        <v>5.12</v>
      </c>
    </row>
    <row r="40" spans="1:2" x14ac:dyDescent="0.25">
      <c r="A40" s="13">
        <v>43879</v>
      </c>
      <c r="B40">
        <v>5.08</v>
      </c>
    </row>
    <row r="41" spans="1:2" x14ac:dyDescent="0.25">
      <c r="A41" s="13">
        <v>43881</v>
      </c>
      <c r="B41">
        <v>5.07</v>
      </c>
    </row>
    <row r="42" spans="1:2" x14ac:dyDescent="0.25">
      <c r="A42" s="13">
        <v>43885</v>
      </c>
      <c r="B42">
        <v>5.0599999999999996</v>
      </c>
    </row>
    <row r="43" spans="1:2" x14ac:dyDescent="0.25">
      <c r="A43" s="13">
        <v>43886</v>
      </c>
      <c r="B43">
        <v>5.07</v>
      </c>
    </row>
    <row r="44" spans="1:2" x14ac:dyDescent="0.25">
      <c r="A44" s="13">
        <v>43887</v>
      </c>
      <c r="B44">
        <v>5.09</v>
      </c>
    </row>
    <row r="45" spans="1:2" x14ac:dyDescent="0.25">
      <c r="A45" s="13">
        <v>43888</v>
      </c>
      <c r="B45">
        <v>5.08</v>
      </c>
    </row>
    <row r="46" spans="1:2" x14ac:dyDescent="0.25">
      <c r="A46" s="13">
        <v>43889</v>
      </c>
      <c r="B46">
        <v>5.08</v>
      </c>
    </row>
    <row r="47" spans="1:2" x14ac:dyDescent="0.25">
      <c r="A47" s="13">
        <v>43892</v>
      </c>
      <c r="B47">
        <v>5.08</v>
      </c>
    </row>
    <row r="48" spans="1:2" x14ac:dyDescent="0.25">
      <c r="A48" s="13">
        <v>43893</v>
      </c>
      <c r="B48">
        <v>5.12</v>
      </c>
    </row>
    <row r="49" spans="1:2" x14ac:dyDescent="0.25">
      <c r="A49" s="13">
        <v>43894</v>
      </c>
      <c r="B49">
        <v>5.0199999999999996</v>
      </c>
    </row>
    <row r="50" spans="1:2" x14ac:dyDescent="0.25">
      <c r="A50" s="13">
        <v>43895</v>
      </c>
      <c r="B50">
        <v>4.92</v>
      </c>
    </row>
    <row r="51" spans="1:2" x14ac:dyDescent="0.25">
      <c r="A51" s="13">
        <v>43896</v>
      </c>
      <c r="B51">
        <v>4.96</v>
      </c>
    </row>
    <row r="52" spans="1:2" x14ac:dyDescent="0.25">
      <c r="A52" s="13">
        <v>43899</v>
      </c>
      <c r="B52">
        <v>4.9000000000000004</v>
      </c>
    </row>
    <row r="53" spans="1:2" x14ac:dyDescent="0.25">
      <c r="A53" s="13">
        <v>43901</v>
      </c>
      <c r="B53">
        <v>4.8499999999999996</v>
      </c>
    </row>
    <row r="54" spans="1:2" x14ac:dyDescent="0.25">
      <c r="A54" s="13">
        <v>43902</v>
      </c>
      <c r="B54">
        <v>4.88</v>
      </c>
    </row>
    <row r="55" spans="1:2" x14ac:dyDescent="0.25">
      <c r="A55" s="13">
        <v>43903</v>
      </c>
      <c r="B55">
        <v>4.88</v>
      </c>
    </row>
    <row r="56" spans="1:2" x14ac:dyDescent="0.25">
      <c r="A56" s="13">
        <v>43906</v>
      </c>
      <c r="B56">
        <v>4.7300000000000004</v>
      </c>
    </row>
    <row r="57" spans="1:2" x14ac:dyDescent="0.25">
      <c r="A57" s="13">
        <v>43907</v>
      </c>
      <c r="B57">
        <v>4.8</v>
      </c>
    </row>
    <row r="58" spans="1:2" x14ac:dyDescent="0.25">
      <c r="A58" s="13">
        <v>43908</v>
      </c>
      <c r="B58">
        <v>4.88</v>
      </c>
    </row>
    <row r="59" spans="1:2" x14ac:dyDescent="0.25">
      <c r="A59" s="13">
        <v>43909</v>
      </c>
      <c r="B59">
        <v>4.88</v>
      </c>
    </row>
    <row r="60" spans="1:2" x14ac:dyDescent="0.25">
      <c r="A60" s="13">
        <v>43910</v>
      </c>
      <c r="B60">
        <v>4.79</v>
      </c>
    </row>
    <row r="61" spans="1:2" x14ac:dyDescent="0.25">
      <c r="A61" s="13">
        <v>43913</v>
      </c>
      <c r="B61">
        <v>4.72</v>
      </c>
    </row>
    <row r="62" spans="1:2" x14ac:dyDescent="0.25">
      <c r="A62" s="13">
        <v>43914</v>
      </c>
      <c r="B62">
        <v>5.05</v>
      </c>
    </row>
    <row r="63" spans="1:2" x14ac:dyDescent="0.25">
      <c r="A63" s="13">
        <v>43916</v>
      </c>
      <c r="B63">
        <v>5.04</v>
      </c>
    </row>
    <row r="64" spans="1:2" x14ac:dyDescent="0.25">
      <c r="A64" s="13">
        <v>43917</v>
      </c>
      <c r="B64">
        <v>4.26</v>
      </c>
    </row>
    <row r="65" spans="1:2" x14ac:dyDescent="0.25">
      <c r="A65" s="13">
        <v>43920</v>
      </c>
      <c r="B65">
        <v>4.3</v>
      </c>
    </row>
    <row r="66" spans="1:2" x14ac:dyDescent="0.25">
      <c r="A66" s="13">
        <v>43921</v>
      </c>
      <c r="B66">
        <v>4.25</v>
      </c>
    </row>
    <row r="67" spans="1:2" x14ac:dyDescent="0.25">
      <c r="A67" s="13">
        <v>43924</v>
      </c>
      <c r="B67">
        <v>4.29</v>
      </c>
    </row>
    <row r="68" spans="1:2" x14ac:dyDescent="0.25">
      <c r="A68" s="13">
        <v>43928</v>
      </c>
      <c r="B68">
        <v>4.0999999999999996</v>
      </c>
    </row>
    <row r="69" spans="1:2" x14ac:dyDescent="0.25">
      <c r="A69" s="13">
        <v>43929</v>
      </c>
      <c r="B69">
        <v>4.0999999999999996</v>
      </c>
    </row>
    <row r="70" spans="1:2" x14ac:dyDescent="0.25">
      <c r="A70" s="13">
        <v>43930</v>
      </c>
      <c r="B70">
        <v>4.25</v>
      </c>
    </row>
    <row r="71" spans="1:2" x14ac:dyDescent="0.25">
      <c r="A71" s="13">
        <v>43934</v>
      </c>
      <c r="B71">
        <v>4.1900000000000004</v>
      </c>
    </row>
    <row r="72" spans="1:2" x14ac:dyDescent="0.25">
      <c r="A72" s="13">
        <v>43936</v>
      </c>
      <c r="B72">
        <v>4.08</v>
      </c>
    </row>
    <row r="73" spans="1:2" x14ac:dyDescent="0.25">
      <c r="A73" s="13">
        <v>43937</v>
      </c>
      <c r="B73">
        <v>4.0599999999999996</v>
      </c>
    </row>
    <row r="74" spans="1:2" x14ac:dyDescent="0.25">
      <c r="A74" s="13">
        <v>43938</v>
      </c>
      <c r="B74">
        <v>3.9</v>
      </c>
    </row>
    <row r="75" spans="1:2" x14ac:dyDescent="0.25">
      <c r="A75" s="13">
        <v>43941</v>
      </c>
      <c r="B75">
        <v>3.85</v>
      </c>
    </row>
    <row r="76" spans="1:2" x14ac:dyDescent="0.25">
      <c r="A76" s="13">
        <v>43942</v>
      </c>
      <c r="B76">
        <v>3.8</v>
      </c>
    </row>
    <row r="77" spans="1:2" x14ac:dyDescent="0.25">
      <c r="A77" s="13">
        <v>43943</v>
      </c>
      <c r="B77">
        <v>3.65</v>
      </c>
    </row>
    <row r="78" spans="1:2" x14ac:dyDescent="0.25">
      <c r="A78" s="13">
        <v>43944</v>
      </c>
      <c r="B78">
        <v>3.66</v>
      </c>
    </row>
    <row r="79" spans="1:2" x14ac:dyDescent="0.25">
      <c r="A79" s="13">
        <v>43945</v>
      </c>
      <c r="B79">
        <v>3.65</v>
      </c>
    </row>
    <row r="80" spans="1:2" x14ac:dyDescent="0.25">
      <c r="A80" s="13">
        <v>43948</v>
      </c>
      <c r="B80">
        <v>3.62</v>
      </c>
    </row>
    <row r="81" spans="1:2" x14ac:dyDescent="0.25">
      <c r="A81" s="13">
        <v>43949</v>
      </c>
      <c r="B81">
        <v>3.65</v>
      </c>
    </row>
    <row r="82" spans="1:2" x14ac:dyDescent="0.25">
      <c r="A82" s="13">
        <v>43950</v>
      </c>
      <c r="B82">
        <v>3.68</v>
      </c>
    </row>
    <row r="83" spans="1:2" x14ac:dyDescent="0.25">
      <c r="A83" s="13">
        <v>43951</v>
      </c>
      <c r="B83">
        <v>3.64</v>
      </c>
    </row>
    <row r="84" spans="1:2" x14ac:dyDescent="0.25">
      <c r="A84" s="13">
        <v>43955</v>
      </c>
      <c r="B84">
        <v>3.63</v>
      </c>
    </row>
    <row r="85" spans="1:2" x14ac:dyDescent="0.25">
      <c r="A85" s="13">
        <v>43956</v>
      </c>
      <c r="B85">
        <v>3.65</v>
      </c>
    </row>
    <row r="86" spans="1:2" x14ac:dyDescent="0.25">
      <c r="A86" s="13">
        <v>43957</v>
      </c>
      <c r="B86">
        <v>3.55</v>
      </c>
    </row>
    <row r="87" spans="1:2" x14ac:dyDescent="0.25">
      <c r="A87" s="13">
        <v>43959</v>
      </c>
      <c r="B87">
        <v>3.54</v>
      </c>
    </row>
    <row r="88" spans="1:2" x14ac:dyDescent="0.25">
      <c r="A88" s="13">
        <v>43962</v>
      </c>
      <c r="B88">
        <v>3.57</v>
      </c>
    </row>
    <row r="89" spans="1:2" x14ac:dyDescent="0.25">
      <c r="A89" s="13">
        <v>43963</v>
      </c>
      <c r="B89">
        <v>3.5</v>
      </c>
    </row>
    <row r="90" spans="1:2" x14ac:dyDescent="0.25">
      <c r="A90" s="13">
        <v>43964</v>
      </c>
      <c r="B90">
        <v>3.45</v>
      </c>
    </row>
    <row r="91" spans="1:2" x14ac:dyDescent="0.25">
      <c r="A91" s="13">
        <v>43965</v>
      </c>
      <c r="B91">
        <v>3.45</v>
      </c>
    </row>
    <row r="92" spans="1:2" x14ac:dyDescent="0.25">
      <c r="A92" s="13">
        <v>43966</v>
      </c>
      <c r="B92">
        <v>3.41</v>
      </c>
    </row>
    <row r="93" spans="1:2" x14ac:dyDescent="0.25">
      <c r="A93" s="13">
        <v>43969</v>
      </c>
      <c r="B93">
        <v>3.4</v>
      </c>
    </row>
    <row r="94" spans="1:2" x14ac:dyDescent="0.25">
      <c r="A94" s="13">
        <v>43970</v>
      </c>
      <c r="B94">
        <v>3.37</v>
      </c>
    </row>
    <row r="95" spans="1:2" x14ac:dyDescent="0.25">
      <c r="A95" s="13">
        <v>43971</v>
      </c>
      <c r="B95">
        <v>3.25</v>
      </c>
    </row>
    <row r="96" spans="1:2" x14ac:dyDescent="0.25">
      <c r="A96" s="13">
        <v>43972</v>
      </c>
      <c r="B96">
        <v>3.27</v>
      </c>
    </row>
    <row r="97" spans="1:2" x14ac:dyDescent="0.25">
      <c r="A97" s="13">
        <v>43973</v>
      </c>
      <c r="B97">
        <v>2.7</v>
      </c>
    </row>
    <row r="98" spans="1:2" x14ac:dyDescent="0.25">
      <c r="A98" s="13">
        <v>43977</v>
      </c>
      <c r="B98">
        <v>3.05</v>
      </c>
    </row>
    <row r="99" spans="1:2" x14ac:dyDescent="0.25">
      <c r="A99" s="13">
        <v>43978</v>
      </c>
      <c r="B99">
        <v>3.1</v>
      </c>
    </row>
    <row r="100" spans="1:2" x14ac:dyDescent="0.25">
      <c r="A100" s="13">
        <v>43979</v>
      </c>
      <c r="B100">
        <v>3.23</v>
      </c>
    </row>
    <row r="101" spans="1:2" x14ac:dyDescent="0.25">
      <c r="A101" s="13">
        <v>43980</v>
      </c>
      <c r="B101">
        <v>3.27</v>
      </c>
    </row>
    <row r="102" spans="1:2" x14ac:dyDescent="0.25">
      <c r="A102" s="13">
        <v>43983</v>
      </c>
      <c r="B102">
        <v>3.29</v>
      </c>
    </row>
    <row r="103" spans="1:2" x14ac:dyDescent="0.25">
      <c r="A103" s="13">
        <v>43984</v>
      </c>
      <c r="B103">
        <v>3.3</v>
      </c>
    </row>
    <row r="104" spans="1:2" x14ac:dyDescent="0.25">
      <c r="A104" s="13">
        <v>43985</v>
      </c>
      <c r="B104">
        <v>3.35</v>
      </c>
    </row>
    <row r="105" spans="1:2" x14ac:dyDescent="0.25">
      <c r="A105" s="13">
        <v>43986</v>
      </c>
      <c r="B105">
        <v>3.44</v>
      </c>
    </row>
    <row r="106" spans="1:2" x14ac:dyDescent="0.25">
      <c r="A106" s="13">
        <v>43987</v>
      </c>
      <c r="B106">
        <v>3.49</v>
      </c>
    </row>
    <row r="107" spans="1:2" x14ac:dyDescent="0.25">
      <c r="A107" s="13">
        <v>43990</v>
      </c>
      <c r="B107">
        <v>3.46</v>
      </c>
    </row>
    <row r="108" spans="1:2" x14ac:dyDescent="0.25">
      <c r="A108" s="13">
        <v>43991</v>
      </c>
      <c r="B108">
        <v>3.45</v>
      </c>
    </row>
    <row r="109" spans="1:2" x14ac:dyDescent="0.25">
      <c r="A109" s="13">
        <v>43992</v>
      </c>
      <c r="B109">
        <v>3.43</v>
      </c>
    </row>
    <row r="110" spans="1:2" x14ac:dyDescent="0.25">
      <c r="A110" s="13">
        <v>43993</v>
      </c>
      <c r="B110">
        <v>3.37</v>
      </c>
    </row>
    <row r="111" spans="1:2" x14ac:dyDescent="0.25">
      <c r="A111" s="13">
        <v>43994</v>
      </c>
      <c r="B111">
        <v>3.35</v>
      </c>
    </row>
    <row r="112" spans="1:2" x14ac:dyDescent="0.25">
      <c r="A112" s="13">
        <v>43997</v>
      </c>
      <c r="B112">
        <v>3.35</v>
      </c>
    </row>
    <row r="113" spans="1:2" x14ac:dyDescent="0.25">
      <c r="A113" s="13">
        <v>43998</v>
      </c>
      <c r="B113">
        <v>3.35</v>
      </c>
    </row>
    <row r="114" spans="1:2" x14ac:dyDescent="0.25">
      <c r="A114" s="13">
        <v>43999</v>
      </c>
      <c r="B114">
        <v>3.3</v>
      </c>
    </row>
    <row r="115" spans="1:2" x14ac:dyDescent="0.25">
      <c r="A115" s="13">
        <v>44000</v>
      </c>
      <c r="B115">
        <v>3.28</v>
      </c>
    </row>
    <row r="116" spans="1:2" x14ac:dyDescent="0.25">
      <c r="A116" s="13">
        <v>44001</v>
      </c>
      <c r="B116">
        <v>3.28</v>
      </c>
    </row>
    <row r="117" spans="1:2" x14ac:dyDescent="0.25">
      <c r="A117" s="13">
        <v>44004</v>
      </c>
      <c r="B117">
        <v>3.31</v>
      </c>
    </row>
    <row r="118" spans="1:2" x14ac:dyDescent="0.25">
      <c r="A118" s="13">
        <v>44005</v>
      </c>
      <c r="B118">
        <v>3.28</v>
      </c>
    </row>
    <row r="119" spans="1:2" x14ac:dyDescent="0.25">
      <c r="A119" s="13">
        <v>44006</v>
      </c>
      <c r="B119">
        <v>3.21</v>
      </c>
    </row>
    <row r="120" spans="1:2" x14ac:dyDescent="0.25">
      <c r="A120" s="13">
        <v>44007</v>
      </c>
      <c r="B120">
        <v>3.18</v>
      </c>
    </row>
    <row r="121" spans="1:2" x14ac:dyDescent="0.25">
      <c r="A121" s="13">
        <v>44008</v>
      </c>
      <c r="B121">
        <v>3.18</v>
      </c>
    </row>
    <row r="122" spans="1:2" x14ac:dyDescent="0.25">
      <c r="A122" s="13">
        <v>44011</v>
      </c>
      <c r="B122">
        <v>3.17</v>
      </c>
    </row>
    <row r="123" spans="1:2" x14ac:dyDescent="0.25">
      <c r="A123" s="13">
        <v>44012</v>
      </c>
      <c r="B123">
        <v>3.15</v>
      </c>
    </row>
    <row r="124" spans="1:2" x14ac:dyDescent="0.25">
      <c r="A124" s="13">
        <v>44013</v>
      </c>
      <c r="B124">
        <v>3.14</v>
      </c>
    </row>
    <row r="125" spans="1:2" x14ac:dyDescent="0.25">
      <c r="A125" s="13">
        <v>44014</v>
      </c>
      <c r="B125">
        <v>3.15</v>
      </c>
    </row>
    <row r="126" spans="1:2" x14ac:dyDescent="0.25">
      <c r="A126" s="13">
        <v>44015</v>
      </c>
      <c r="B126">
        <v>3.17</v>
      </c>
    </row>
    <row r="127" spans="1:2" x14ac:dyDescent="0.25">
      <c r="A127" s="13">
        <v>44018</v>
      </c>
      <c r="B127">
        <v>3.17</v>
      </c>
    </row>
    <row r="128" spans="1:2" x14ac:dyDescent="0.25">
      <c r="A128" s="13">
        <v>44019</v>
      </c>
      <c r="B128">
        <v>3.2</v>
      </c>
    </row>
    <row r="129" spans="1:2" x14ac:dyDescent="0.25">
      <c r="A129" s="13">
        <v>44020</v>
      </c>
      <c r="B129">
        <v>3.18</v>
      </c>
    </row>
    <row r="130" spans="1:2" x14ac:dyDescent="0.25">
      <c r="A130" s="13">
        <v>44021</v>
      </c>
      <c r="B130">
        <v>3.21</v>
      </c>
    </row>
    <row r="131" spans="1:2" x14ac:dyDescent="0.25">
      <c r="A131" s="13">
        <v>44022</v>
      </c>
      <c r="B131">
        <v>3.19</v>
      </c>
    </row>
    <row r="132" spans="1:2" x14ac:dyDescent="0.25">
      <c r="A132" s="13">
        <v>44025</v>
      </c>
      <c r="B132">
        <v>3.21</v>
      </c>
    </row>
    <row r="133" spans="1:2" x14ac:dyDescent="0.25">
      <c r="A133" s="13">
        <v>44026</v>
      </c>
      <c r="B133">
        <v>3.22</v>
      </c>
    </row>
    <row r="134" spans="1:2" x14ac:dyDescent="0.25">
      <c r="A134" s="13">
        <v>44027</v>
      </c>
      <c r="B134">
        <v>3.23</v>
      </c>
    </row>
    <row r="135" spans="1:2" x14ac:dyDescent="0.25">
      <c r="A135" s="13">
        <v>44028</v>
      </c>
      <c r="B135">
        <v>3.24</v>
      </c>
    </row>
    <row r="136" spans="1:2" x14ac:dyDescent="0.25">
      <c r="A136" s="13">
        <v>44029</v>
      </c>
      <c r="B136">
        <v>3.24</v>
      </c>
    </row>
    <row r="137" spans="1:2" x14ac:dyDescent="0.25">
      <c r="A137" s="13">
        <v>44032</v>
      </c>
      <c r="B137">
        <v>3.27</v>
      </c>
    </row>
    <row r="138" spans="1:2" x14ac:dyDescent="0.25">
      <c r="A138" s="13">
        <v>44033</v>
      </c>
      <c r="B138">
        <v>3.25</v>
      </c>
    </row>
    <row r="139" spans="1:2" x14ac:dyDescent="0.25">
      <c r="A139" s="13">
        <v>44034</v>
      </c>
      <c r="B139">
        <v>3.25</v>
      </c>
    </row>
    <row r="140" spans="1:2" x14ac:dyDescent="0.25">
      <c r="A140" s="13">
        <v>44035</v>
      </c>
      <c r="B140">
        <v>3.28</v>
      </c>
    </row>
    <row r="141" spans="1:2" x14ac:dyDescent="0.25">
      <c r="A141" s="13">
        <v>44036</v>
      </c>
      <c r="B141">
        <v>3.29</v>
      </c>
    </row>
    <row r="142" spans="1:2" x14ac:dyDescent="0.25">
      <c r="A142" s="13">
        <v>44039</v>
      </c>
      <c r="B142">
        <v>3.3</v>
      </c>
    </row>
    <row r="143" spans="1:2" x14ac:dyDescent="0.25">
      <c r="A143" s="13">
        <v>44040</v>
      </c>
      <c r="B143">
        <v>3.32</v>
      </c>
    </row>
    <row r="144" spans="1:2" x14ac:dyDescent="0.25">
      <c r="A144" s="13">
        <v>44041</v>
      </c>
      <c r="B144">
        <v>3.32</v>
      </c>
    </row>
    <row r="145" spans="1:2" x14ac:dyDescent="0.25">
      <c r="A145" s="13">
        <v>44042</v>
      </c>
      <c r="B145">
        <v>3.32</v>
      </c>
    </row>
    <row r="146" spans="1:2" x14ac:dyDescent="0.25">
      <c r="A146" s="13">
        <v>44043</v>
      </c>
      <c r="B146">
        <v>3.31</v>
      </c>
    </row>
    <row r="147" spans="1:2" x14ac:dyDescent="0.25">
      <c r="A147" s="13">
        <v>44046</v>
      </c>
      <c r="B147">
        <v>3.3</v>
      </c>
    </row>
    <row r="148" spans="1:2" x14ac:dyDescent="0.25">
      <c r="A148" s="13">
        <v>44047</v>
      </c>
      <c r="B148">
        <v>3.3</v>
      </c>
    </row>
    <row r="149" spans="1:2" x14ac:dyDescent="0.25">
      <c r="A149" s="13">
        <v>44048</v>
      </c>
      <c r="B149">
        <v>3.3</v>
      </c>
    </row>
    <row r="150" spans="1:2" x14ac:dyDescent="0.25">
      <c r="A150" s="13">
        <v>44049</v>
      </c>
      <c r="B150">
        <v>3.3</v>
      </c>
    </row>
    <row r="151" spans="1:2" x14ac:dyDescent="0.25">
      <c r="A151" s="13">
        <v>44050</v>
      </c>
      <c r="B151">
        <v>3.3</v>
      </c>
    </row>
    <row r="152" spans="1:2" x14ac:dyDescent="0.25">
      <c r="A152" s="13">
        <v>44053</v>
      </c>
      <c r="B152">
        <v>3.32</v>
      </c>
    </row>
    <row r="153" spans="1:2" x14ac:dyDescent="0.25">
      <c r="A153" s="13">
        <v>44054</v>
      </c>
      <c r="B153">
        <v>3.31</v>
      </c>
    </row>
    <row r="154" spans="1:2" x14ac:dyDescent="0.25">
      <c r="A154" s="13">
        <v>44055</v>
      </c>
      <c r="B154">
        <v>3.32</v>
      </c>
    </row>
    <row r="155" spans="1:2" x14ac:dyDescent="0.25">
      <c r="A155" s="13">
        <v>44056</v>
      </c>
      <c r="B155">
        <v>3.29</v>
      </c>
    </row>
    <row r="156" spans="1:2" x14ac:dyDescent="0.25">
      <c r="A156" s="13">
        <v>44057</v>
      </c>
      <c r="B156">
        <v>3.3</v>
      </c>
    </row>
    <row r="157" spans="1:2" x14ac:dyDescent="0.25">
      <c r="A157" s="13">
        <v>44060</v>
      </c>
      <c r="B157">
        <v>3.31</v>
      </c>
    </row>
    <row r="158" spans="1:2" x14ac:dyDescent="0.25">
      <c r="A158" s="13">
        <v>44061</v>
      </c>
      <c r="B158">
        <v>3.29</v>
      </c>
    </row>
    <row r="159" spans="1:2" x14ac:dyDescent="0.25">
      <c r="A159" s="13">
        <v>44062</v>
      </c>
      <c r="B159">
        <v>3.27</v>
      </c>
    </row>
    <row r="160" spans="1:2" x14ac:dyDescent="0.25">
      <c r="A160" s="13">
        <v>44063</v>
      </c>
      <c r="B160">
        <v>3.17</v>
      </c>
    </row>
    <row r="161" spans="1:2" x14ac:dyDescent="0.25">
      <c r="A161" s="13">
        <v>44064</v>
      </c>
      <c r="B161">
        <v>3.19</v>
      </c>
    </row>
    <row r="162" spans="1:2" x14ac:dyDescent="0.25">
      <c r="A162" s="13">
        <v>44067</v>
      </c>
      <c r="B162">
        <v>3.25</v>
      </c>
    </row>
    <row r="163" spans="1:2" x14ac:dyDescent="0.25">
      <c r="A163" s="13">
        <v>44068</v>
      </c>
      <c r="B163">
        <v>3.27</v>
      </c>
    </row>
    <row r="164" spans="1:2" x14ac:dyDescent="0.25">
      <c r="A164" s="13">
        <v>44069</v>
      </c>
      <c r="B164">
        <v>3.28</v>
      </c>
    </row>
    <row r="165" spans="1:2" x14ac:dyDescent="0.25">
      <c r="A165" s="13">
        <v>44070</v>
      </c>
      <c r="B165">
        <v>3.31</v>
      </c>
    </row>
    <row r="166" spans="1:2" x14ac:dyDescent="0.25">
      <c r="A166" s="13">
        <v>44071</v>
      </c>
      <c r="B166">
        <v>3.31</v>
      </c>
    </row>
    <row r="167" spans="1:2" x14ac:dyDescent="0.25">
      <c r="A167" s="13">
        <v>44074</v>
      </c>
      <c r="B167">
        <v>3.29</v>
      </c>
    </row>
    <row r="168" spans="1:2" x14ac:dyDescent="0.25">
      <c r="A168" s="13">
        <v>44075</v>
      </c>
      <c r="B168">
        <v>3.28</v>
      </c>
    </row>
    <row r="169" spans="1:2" x14ac:dyDescent="0.25">
      <c r="A169" s="13">
        <v>44076</v>
      </c>
      <c r="B169">
        <v>3.26</v>
      </c>
    </row>
    <row r="170" spans="1:2" x14ac:dyDescent="0.25">
      <c r="A170" s="13">
        <v>44077</v>
      </c>
      <c r="B170">
        <v>3.26</v>
      </c>
    </row>
    <row r="171" spans="1:2" x14ac:dyDescent="0.25">
      <c r="A171" s="13">
        <v>44078</v>
      </c>
      <c r="B171">
        <v>3.27</v>
      </c>
    </row>
    <row r="172" spans="1:2" x14ac:dyDescent="0.25">
      <c r="A172" s="13">
        <v>44081</v>
      </c>
      <c r="B172">
        <v>3.26</v>
      </c>
    </row>
    <row r="173" spans="1:2" x14ac:dyDescent="0.25">
      <c r="A173" s="13">
        <v>44082</v>
      </c>
      <c r="B173">
        <v>3.27</v>
      </c>
    </row>
    <row r="174" spans="1:2" x14ac:dyDescent="0.25">
      <c r="A174" s="13">
        <v>44083</v>
      </c>
      <c r="B174">
        <v>3.26</v>
      </c>
    </row>
    <row r="175" spans="1:2" x14ac:dyDescent="0.25">
      <c r="A175" s="13">
        <v>44084</v>
      </c>
      <c r="B175">
        <v>3.32</v>
      </c>
    </row>
    <row r="176" spans="1:2" x14ac:dyDescent="0.25">
      <c r="A176" s="13">
        <v>44085</v>
      </c>
      <c r="B176">
        <v>3.34</v>
      </c>
    </row>
    <row r="177" spans="1:2" x14ac:dyDescent="0.25">
      <c r="A177" s="13">
        <v>44088</v>
      </c>
      <c r="B177">
        <v>3.35</v>
      </c>
    </row>
    <row r="178" spans="1:2" x14ac:dyDescent="0.25">
      <c r="A178" s="13">
        <v>44089</v>
      </c>
      <c r="B178">
        <v>3.33</v>
      </c>
    </row>
    <row r="179" spans="1:2" x14ac:dyDescent="0.25">
      <c r="A179" s="13">
        <v>44090</v>
      </c>
      <c r="B179">
        <v>3.35</v>
      </c>
    </row>
    <row r="180" spans="1:2" x14ac:dyDescent="0.25">
      <c r="A180" s="13">
        <v>44091</v>
      </c>
      <c r="B180">
        <v>3.35</v>
      </c>
    </row>
    <row r="181" spans="1:2" x14ac:dyDescent="0.25">
      <c r="A181" s="13">
        <v>44092</v>
      </c>
      <c r="B181">
        <v>3.35</v>
      </c>
    </row>
    <row r="182" spans="1:2" x14ac:dyDescent="0.25">
      <c r="A182" s="13">
        <v>44095</v>
      </c>
      <c r="B182">
        <v>3.37</v>
      </c>
    </row>
    <row r="183" spans="1:2" x14ac:dyDescent="0.25">
      <c r="A183" s="13">
        <v>44096</v>
      </c>
      <c r="B183">
        <v>3.39</v>
      </c>
    </row>
    <row r="184" spans="1:2" x14ac:dyDescent="0.25">
      <c r="A184" s="13">
        <v>44097</v>
      </c>
      <c r="B184">
        <v>3.38</v>
      </c>
    </row>
    <row r="185" spans="1:2" x14ac:dyDescent="0.25">
      <c r="A185" s="13">
        <v>44098</v>
      </c>
      <c r="B185">
        <v>3.39</v>
      </c>
    </row>
    <row r="186" spans="1:2" x14ac:dyDescent="0.25">
      <c r="A186" s="13">
        <v>44099</v>
      </c>
      <c r="B186">
        <v>3.39</v>
      </c>
    </row>
    <row r="187" spans="1:2" x14ac:dyDescent="0.25">
      <c r="A187" s="13">
        <v>44102</v>
      </c>
      <c r="B187">
        <v>3.38</v>
      </c>
    </row>
    <row r="188" spans="1:2" x14ac:dyDescent="0.25">
      <c r="A188" s="13">
        <v>44103</v>
      </c>
      <c r="B188">
        <v>3.37</v>
      </c>
    </row>
    <row r="189" spans="1:2" x14ac:dyDescent="0.25">
      <c r="A189" s="13">
        <v>44104</v>
      </c>
      <c r="B189">
        <v>3.31</v>
      </c>
    </row>
    <row r="190" spans="1:2" x14ac:dyDescent="0.25">
      <c r="A190" s="13">
        <v>44105</v>
      </c>
      <c r="B190">
        <v>3.26</v>
      </c>
    </row>
    <row r="191" spans="1:2" x14ac:dyDescent="0.25">
      <c r="A191" s="13">
        <v>44109</v>
      </c>
      <c r="B191">
        <v>3.32</v>
      </c>
    </row>
    <row r="192" spans="1:2" x14ac:dyDescent="0.25">
      <c r="A192" s="13">
        <v>44110</v>
      </c>
      <c r="B192">
        <v>3.32</v>
      </c>
    </row>
    <row r="193" spans="1:2" x14ac:dyDescent="0.25">
      <c r="A193" s="13">
        <v>44111</v>
      </c>
      <c r="B193">
        <v>3.28</v>
      </c>
    </row>
    <row r="194" spans="1:2" x14ac:dyDescent="0.25">
      <c r="A194" s="13">
        <v>44112</v>
      </c>
      <c r="B194">
        <v>3.28</v>
      </c>
    </row>
    <row r="195" spans="1:2" x14ac:dyDescent="0.25">
      <c r="A195" s="13">
        <v>44113</v>
      </c>
      <c r="B195">
        <v>3.29</v>
      </c>
    </row>
    <row r="196" spans="1:2" x14ac:dyDescent="0.25">
      <c r="A196" s="13">
        <v>44116</v>
      </c>
      <c r="B196">
        <v>3.29</v>
      </c>
    </row>
    <row r="197" spans="1:2" x14ac:dyDescent="0.25">
      <c r="A197" s="13">
        <v>44117</v>
      </c>
      <c r="B197">
        <v>3.29</v>
      </c>
    </row>
    <row r="198" spans="1:2" x14ac:dyDescent="0.25">
      <c r="A198" s="13">
        <v>44118</v>
      </c>
      <c r="B198">
        <v>3.29</v>
      </c>
    </row>
    <row r="199" spans="1:2" x14ac:dyDescent="0.25">
      <c r="A199" s="13">
        <v>44119</v>
      </c>
      <c r="B199">
        <v>3.24</v>
      </c>
    </row>
    <row r="200" spans="1:2" x14ac:dyDescent="0.25">
      <c r="A200" s="13">
        <v>44120</v>
      </c>
      <c r="B200">
        <v>3.24</v>
      </c>
    </row>
    <row r="201" spans="1:2" x14ac:dyDescent="0.25">
      <c r="A201" s="13">
        <v>44123</v>
      </c>
      <c r="B201">
        <v>3.25</v>
      </c>
    </row>
    <row r="202" spans="1:2" x14ac:dyDescent="0.25">
      <c r="A202" s="13">
        <v>44124</v>
      </c>
      <c r="B202">
        <v>3.25</v>
      </c>
    </row>
    <row r="203" spans="1:2" x14ac:dyDescent="0.25">
      <c r="A203" s="13">
        <v>44125</v>
      </c>
      <c r="B203">
        <v>3.19</v>
      </c>
    </row>
    <row r="204" spans="1:2" x14ac:dyDescent="0.25">
      <c r="A204" s="13">
        <v>44126</v>
      </c>
      <c r="B204">
        <v>3.21</v>
      </c>
    </row>
    <row r="205" spans="1:2" x14ac:dyDescent="0.25">
      <c r="A205" s="13">
        <v>44127</v>
      </c>
      <c r="B205">
        <v>3.21</v>
      </c>
    </row>
    <row r="206" spans="1:2" x14ac:dyDescent="0.25">
      <c r="A206" s="13">
        <v>44130</v>
      </c>
      <c r="B206">
        <v>3.24</v>
      </c>
    </row>
    <row r="207" spans="1:2" x14ac:dyDescent="0.25">
      <c r="A207" s="13">
        <v>44131</v>
      </c>
      <c r="B207">
        <v>3.2</v>
      </c>
    </row>
    <row r="208" spans="1:2" x14ac:dyDescent="0.25">
      <c r="A208" s="13">
        <v>44132</v>
      </c>
      <c r="B208">
        <v>3.22</v>
      </c>
    </row>
    <row r="209" spans="1:2" x14ac:dyDescent="0.25">
      <c r="A209" s="13">
        <v>44133</v>
      </c>
      <c r="B209">
        <v>3.23</v>
      </c>
    </row>
    <row r="210" spans="1:2" x14ac:dyDescent="0.25">
      <c r="A210" s="13">
        <v>44137</v>
      </c>
      <c r="B210">
        <v>3.24</v>
      </c>
    </row>
    <row r="211" spans="1:2" x14ac:dyDescent="0.25">
      <c r="A211" s="13">
        <v>44138</v>
      </c>
      <c r="B211">
        <v>3.22</v>
      </c>
    </row>
    <row r="212" spans="1:2" x14ac:dyDescent="0.25">
      <c r="A212" s="13">
        <v>44139</v>
      </c>
      <c r="B212">
        <v>3.23</v>
      </c>
    </row>
    <row r="213" spans="1:2" x14ac:dyDescent="0.25">
      <c r="A213" s="13">
        <v>44140</v>
      </c>
      <c r="B213">
        <v>3.21</v>
      </c>
    </row>
    <row r="214" spans="1:2" x14ac:dyDescent="0.25">
      <c r="A214" s="13">
        <v>44141</v>
      </c>
      <c r="B214">
        <v>3.16</v>
      </c>
    </row>
    <row r="215" spans="1:2" x14ac:dyDescent="0.25">
      <c r="A215" s="13">
        <v>44144</v>
      </c>
      <c r="B215">
        <v>3.15</v>
      </c>
    </row>
    <row r="216" spans="1:2" x14ac:dyDescent="0.25">
      <c r="A216" s="13">
        <v>44145</v>
      </c>
      <c r="B216">
        <v>3.23</v>
      </c>
    </row>
    <row r="217" spans="1:2" x14ac:dyDescent="0.25">
      <c r="A217" s="13">
        <v>44146</v>
      </c>
      <c r="B217">
        <v>3.21</v>
      </c>
    </row>
    <row r="218" spans="1:2" x14ac:dyDescent="0.25">
      <c r="A218" s="13">
        <v>44147</v>
      </c>
      <c r="B218">
        <v>3.14</v>
      </c>
    </row>
    <row r="219" spans="1:2" x14ac:dyDescent="0.25">
      <c r="A219" s="13">
        <v>44148</v>
      </c>
      <c r="B219">
        <v>3.14</v>
      </c>
    </row>
    <row r="220" spans="1:2" x14ac:dyDescent="0.25">
      <c r="A220" s="13">
        <v>44152</v>
      </c>
      <c r="B220">
        <v>3.14</v>
      </c>
    </row>
    <row r="221" spans="1:2" x14ac:dyDescent="0.25">
      <c r="A221" s="13">
        <v>44153</v>
      </c>
      <c r="B221">
        <v>3.09</v>
      </c>
    </row>
    <row r="222" spans="1:2" x14ac:dyDescent="0.25">
      <c r="A222" s="13">
        <v>44154</v>
      </c>
      <c r="B222">
        <v>2.98</v>
      </c>
    </row>
    <row r="223" spans="1:2" x14ac:dyDescent="0.25">
      <c r="A223" s="13">
        <v>44155</v>
      </c>
      <c r="B223">
        <v>2.99</v>
      </c>
    </row>
    <row r="224" spans="1:2" x14ac:dyDescent="0.25">
      <c r="A224" s="13">
        <v>44158</v>
      </c>
      <c r="B224">
        <v>3</v>
      </c>
    </row>
    <row r="225" spans="1:2" x14ac:dyDescent="0.25">
      <c r="A225" s="13">
        <v>44159</v>
      </c>
      <c r="B225">
        <v>3.04</v>
      </c>
    </row>
    <row r="226" spans="1:2" x14ac:dyDescent="0.25">
      <c r="A226" s="13">
        <v>44160</v>
      </c>
      <c r="B226">
        <v>2.98</v>
      </c>
    </row>
    <row r="227" spans="1:2" x14ac:dyDescent="0.25">
      <c r="A227" s="13">
        <v>44161</v>
      </c>
      <c r="B227">
        <v>2.94</v>
      </c>
    </row>
    <row r="228" spans="1:2" x14ac:dyDescent="0.25">
      <c r="A228" s="13">
        <v>44162</v>
      </c>
      <c r="B228">
        <v>2.93</v>
      </c>
    </row>
    <row r="229" spans="1:2" x14ac:dyDescent="0.25">
      <c r="A229" s="13">
        <v>44166</v>
      </c>
      <c r="B229">
        <v>2.96</v>
      </c>
    </row>
    <row r="230" spans="1:2" x14ac:dyDescent="0.25">
      <c r="A230" s="13">
        <v>44167</v>
      </c>
      <c r="B230">
        <v>3.02</v>
      </c>
    </row>
    <row r="231" spans="1:2" x14ac:dyDescent="0.25">
      <c r="A231" s="13">
        <v>44168</v>
      </c>
      <c r="B231">
        <v>3.05</v>
      </c>
    </row>
    <row r="232" spans="1:2" x14ac:dyDescent="0.25">
      <c r="A232" s="13">
        <v>44169</v>
      </c>
      <c r="B232">
        <v>3.01</v>
      </c>
    </row>
    <row r="233" spans="1:2" x14ac:dyDescent="0.25">
      <c r="A233" s="13">
        <v>44172</v>
      </c>
      <c r="B233">
        <v>3.03</v>
      </c>
    </row>
    <row r="234" spans="1:2" x14ac:dyDescent="0.25">
      <c r="A234" s="13">
        <v>44173</v>
      </c>
      <c r="B234">
        <v>3.03</v>
      </c>
    </row>
    <row r="235" spans="1:2" x14ac:dyDescent="0.25">
      <c r="A235" s="13">
        <v>44174</v>
      </c>
      <c r="B235">
        <v>3.07</v>
      </c>
    </row>
    <row r="236" spans="1:2" x14ac:dyDescent="0.25">
      <c r="A236" s="13">
        <v>44175</v>
      </c>
      <c r="B236">
        <v>3.08</v>
      </c>
    </row>
    <row r="237" spans="1:2" x14ac:dyDescent="0.25">
      <c r="A237" s="13">
        <v>44176</v>
      </c>
      <c r="B237">
        <v>3.11</v>
      </c>
    </row>
    <row r="238" spans="1:2" x14ac:dyDescent="0.25">
      <c r="A238" s="13">
        <v>44179</v>
      </c>
      <c r="B238">
        <v>3.11</v>
      </c>
    </row>
    <row r="239" spans="1:2" x14ac:dyDescent="0.25">
      <c r="A239" s="13">
        <v>44180</v>
      </c>
      <c r="B239">
        <v>3.11</v>
      </c>
    </row>
    <row r="240" spans="1:2" x14ac:dyDescent="0.25">
      <c r="A240" s="13">
        <v>44181</v>
      </c>
      <c r="B240">
        <v>3.12</v>
      </c>
    </row>
    <row r="241" spans="1:2" x14ac:dyDescent="0.25">
      <c r="A241" s="13">
        <v>44182</v>
      </c>
      <c r="B241">
        <v>3.13</v>
      </c>
    </row>
    <row r="242" spans="1:2" x14ac:dyDescent="0.25">
      <c r="A242" s="13">
        <v>44183</v>
      </c>
      <c r="B242">
        <v>3.11</v>
      </c>
    </row>
    <row r="243" spans="1:2" x14ac:dyDescent="0.25">
      <c r="A243" s="13">
        <v>44186</v>
      </c>
      <c r="B243">
        <v>3.13</v>
      </c>
    </row>
    <row r="244" spans="1:2" x14ac:dyDescent="0.25">
      <c r="A244" s="13">
        <v>44187</v>
      </c>
      <c r="B244">
        <v>3.14</v>
      </c>
    </row>
    <row r="245" spans="1:2" x14ac:dyDescent="0.25">
      <c r="A245" s="13">
        <v>44188</v>
      </c>
      <c r="B245">
        <v>3.13</v>
      </c>
    </row>
    <row r="246" spans="1:2" x14ac:dyDescent="0.25">
      <c r="A246" s="13">
        <v>44189</v>
      </c>
      <c r="B246">
        <v>3.13</v>
      </c>
    </row>
  </sheetData>
  <sortState xmlns:xlrd2="http://schemas.microsoft.com/office/spreadsheetml/2017/richdata2" ref="A2:B246">
    <sortCondition ref="A1:A24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8 1 5 f a 0 - c 0 7 0 - 4 7 0 7 - a 8 2 e - 2 b 1 f 8 f b d e 5 2 4 "   x m l n s = " h t t p : / / s c h e m a s . m i c r o s o f t . c o m / D a t a M a s h u p " > A A A A A C M F A A B Q S w M E F A A C A A g A q b O c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q b O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z n F E M J M U 9 H Q I A A H s H A A A T A B w A R m 9 y b X V s Y X M v U 2 V j d G l v b j E u b S C i G A A o o B Q A A A A A A A A A A A A A A A A A A A A A A A A A A A D t l G + r 2 j A U x t 8 L f o d Q G S j U t u p 0 c E d f O L 3 j X r j + 2 S o b Q y 8 j t k c b l i a S p D o R v / t O r U 4 3 6 n Y 3 x l 6 M 9 U W b P i f N O U 9 + p 9 E Q G i Y F C f J n 4 2 W 5 V C 7 p m C q I S M W a 0 D k H 4 l n E J x x M u U T w C m S q Q k D l P c y d M V 1 C N R v 0 p D A g j K 5 a s T E r f e O 6 m 8 3 G S a S A b Y g h J b k T y s R d M E F F y C j X r q G G J t J I p V 2 c o S V n E T U Q 1 e e U 4 x S o 6 x j A v L t 3 J w O v V c l u V q 1 m 5 y X 0 8 V M P K 8 h L 2 X n 7 a a Y 8 H q M V q x d T s U Q D k + 0 K s t o P N p y J o k I v p E p 6 k q e J y I K 6 e l j K 3 u 2 s X G x Y N j E Y I A Y + m 7 1 N T n r z i t 6 6 o j + / o r e v 6 J 0 r + o t v 9 H 2 t X G K i 0 G U h N 1 J t 1 v 4 q u 5 W S C 2 b q X G r 9 n 9 z v k e t O u o P R Z P Q 2 I M P g Y 8 T W L A I R F U P s 6 b X T l 2 G a I L z q a 4 Y b d S Z 5 e z M 7 h f Q s M D L 8 p I d B l k T P z i m c i x R O q N d W z Z 7 2 g b O E G V C + Z a O F 3 I z 2 m z a 5 F a G M m F j 6 j W Y b X 9 + k 0 k B g t h z 8 8 9 A Z Y t c 8 1 r 7 y H C u J f Y L O 7 o B G o P S Z 6 T F y 1 K u 5 K Z t M j 3 q X 8 y D E k 0 B p 3 6 j 0 c s l f a J G C / F n D Y O f A i U 7 W t w d q / e M + 6 F N E p M k c 1 N P J 3 Y u I U d K q D 5 B B T F 5 J E Z E P D D i m Z h r / F I Z u D u 3 / R 1 k + N e l P 6 H Y u 6 H b a n t f 4 5 / C O c S / g O 7 S Z P l q B K J D v 2 D I u k B / k p k D N S y b P M D Q G t C k M n q x O V u M P u + c L U E s B A i 0 A F A A C A A g A q b O c U T o k A 0 a k A A A A 9 Q A A A B I A A A A A A A A A A A A A A A A A A A A A A E N v b m Z p Z y 9 Q Y W N r Y W d l L n h t b F B L A Q I t A B Q A A g A I A K m z n F E P y u m r p A A A A O k A A A A T A A A A A A A A A A A A A A A A A P A A A A B b Q 2 9 u d G V u d F 9 U e X B l c 1 0 u e G 1 s U E s B A i 0 A F A A C A A g A q b O c U Q w k x T 0 d A g A A e w c A A B M A A A A A A A A A A A A A A A A A 4 Q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0 A A A A A A A A m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A t M T I t M j h U M j E 6 M j c 6 M z g u M D g 1 M z U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l F 1 Z X J 5 S U Q i I F Z h b H V l P S J z N j Q y N z N k Y m M t M T l m O C 0 0 M W M x L W F m M 2 Y t O D c z Z D R j N W Y 2 N 2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D b 2 x 1 b W 4 y L D F 9 J n F 1 b 3 Q 7 L C Z x d W 9 0 O 1 N l Y 3 R p b 2 4 x L 1 R h Y m x l I D A v Q X V 0 b 1 J l b W 9 2 Z W R D b 2 x 1 b W 5 z M S 5 7 Q 2 9 s d W 1 u M y w y f S Z x d W 9 0 O y w m c X V v d D t T Z W N 0 a W 9 u M S 9 U Y W J s Z S A w L 0 F 1 d G 9 S Z W 1 v d m V k Q 2 9 s d W 1 u c z E u e 0 N v b H V t b j Q s M 3 0 m c X V v d D s s J n F 1 b 3 Q 7 U 2 V j d G l v b j E v V G F i b G U g M C 9 B d X R v U m V t b 3 Z l Z E N v b H V t b n M x L n t D b 2 x 1 b W 4 1 L D R 9 J n F 1 b 3 Q 7 L C Z x d W 9 0 O 1 N l Y 3 R p b 2 4 x L 1 R h Y m x l I D A v Q X V 0 b 1 J l b W 9 2 Z W R D b 2 x 1 b W 5 z M S 5 7 Q 2 9 s d W 1 u N i w 1 f S Z x d W 9 0 O y w m c X V v d D t T Z W N 0 a W 9 u M S 9 U Y W J s Z S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s s J n F 1 b 3 Q 7 U 2 V j d G l v b j E v V G F i b G U g M C 9 B d X R v U m V t b 3 Z l Z E N v b H V t b n M x L n t D b 2 x 1 b W 4 0 L D N 9 J n F 1 b 3 Q 7 L C Z x d W 9 0 O 1 N l Y 3 R p b 2 4 x L 1 R h Y m x l I D A v Q X V 0 b 1 J l b W 9 2 Z W R D b 2 x 1 b W 5 z M S 5 7 Q 2 9 s d W 1 u N S w 0 f S Z x d W 9 0 O y w m c X V v d D t T Z W N 0 a W 9 u M S 9 U Y W J s Z S A w L 0 F 1 d G 9 S Z W 1 v d m V k Q 2 9 s d W 1 u c z E u e 0 N v b H V t b j Y s N X 0 m c X V v d D s s J n F 1 b 3 Q 7 U 2 V j d G l v b j E v V G F i b G U g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h U M j E 6 M j c 6 M z A u O D A 3 M z Y 0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L C Z x d W 9 0 O 1 N l Y 3 R p b 2 4 x L 1 R h Y m x l I D A g K D I p L 0 F 1 d G 9 S Z W 1 v d m V k Q 2 9 s d W 1 u c z E u e 0 N v b H V t b j M s M n 0 m c X V v d D s s J n F 1 b 3 Q 7 U 2 V j d G l v b j E v V G F i b G U g M C A o M i k v Q X V 0 b 1 J l b W 9 2 Z W R D b 2 x 1 b W 5 z M S 5 7 Q 2 9 s d W 1 u N C w z f S Z x d W 9 0 O y w m c X V v d D t T Z W N 0 a W 9 u M S 9 U Y W J s Z S A w I C g y K S 9 B d X R v U m V t b 3 Z l Z E N v b H V t b n M x L n t D b 2 x 1 b W 4 1 L D R 9 J n F 1 b 3 Q 7 L C Z x d W 9 0 O 1 N l Y 3 R p b 2 4 x L 1 R h Y m x l I D A g K D I p L 0 F 1 d G 9 S Z W 1 v d m V k Q 2 9 s d W 1 u c z E u e 0 N v b H V t b j Y s N X 0 m c X V v d D s s J n F 1 b 3 Q 7 U 2 V j d G l v b j E v V G F i b G U g M C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D b 2 x 1 b W 4 x L D B 9 J n F 1 b 3 Q 7 L C Z x d W 9 0 O 1 N l Y 3 R p b 2 4 x L 1 R h Y m x l I D A g K D I p L 0 F 1 d G 9 S Z W 1 v d m V k Q 2 9 s d W 1 u c z E u e 0 N v b H V t b j I s M X 0 m c X V v d D s s J n F 1 b 3 Q 7 U 2 V j d G l v b j E v V G F i b G U g M C A o M i k v Q X V 0 b 1 J l b W 9 2 Z W R D b 2 x 1 b W 5 z M S 5 7 Q 2 9 s d W 1 u M y w y f S Z x d W 9 0 O y w m c X V v d D t T Z W N 0 a W 9 u M S 9 U Y W J s Z S A w I C g y K S 9 B d X R v U m V t b 3 Z l Z E N v b H V t b n M x L n t D b 2 x 1 b W 4 0 L D N 9 J n F 1 b 3 Q 7 L C Z x d W 9 0 O 1 N l Y 3 R p b 2 4 x L 1 R h Y m x l I D A g K D I p L 0 F 1 d G 9 S Z W 1 v d m V k Q 2 9 s d W 1 u c z E u e 0 N v b H V t b j U s N H 0 m c X V v d D s s J n F 1 b 3 Q 7 U 2 V j d G l v b j E v V G F i b G U g M C A o M i k v Q X V 0 b 1 J l b W 9 2 Z W R D b 2 x 1 b W 5 z M S 5 7 Q 2 9 s d W 1 u N i w 1 f S Z x d W 9 0 O y w m c X V v d D t T Z W N 0 a W 9 u M S 9 U Y W J s Z S A w I C g y K S 9 B d X R v U m V t b 3 Z l Z E N v b H V t b n M x L n t D b 2 x 1 b W 4 3 L D Z 9 J n F 1 b 3 Q 7 X S w m c X V v d D t S Z W x h d G l v b n N o a X B J b m Z v J n F 1 b 3 Q 7 O l t d f S I g L z 4 8 R W 5 0 c n k g V H l w Z T 0 i U X V l c n l J R C I g V m F s d W U 9 I n N h N m J i O T V m Z S 0 z Z j c 3 L T Q z N j Y t O T Z j M S 0 z N D d l M 2 M 4 N T Y w Y W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U Q U 1 P V E 9 S U y U y M E 5 T X 2 R p d m l k Z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l 2 a W R l b m Q g U 2 h l Z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E F U Q U 1 P V E 9 S U 1 9 O U 1 9 k a X Z p Z G V u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l 2 a W R l b m R z J n F 1 b 3 Q 7 X S I g L z 4 8 R W 5 0 c n k g V H l w Z T 0 i R m l s b E N v b H V t b l R 5 c G V z I i B W Y W x 1 Z T 0 i c 0 N R V T 0 i I C 8 + P E V u d H J 5 I F R 5 c G U 9 I k Z p b G x M Y X N 0 V X B k Y X R l Z C I g V m F s d W U 9 I m Q y M D I w L T E y L T I 4 V D I x O j I 3 O j M 0 L j k 4 O T E z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z J k Z G U 4 M G Y 4 L T I 2 Z T g t N D Z j Z C 0 5 Y W Q 5 L T g z Z j R i O G E y Z D Y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U Q U 1 P V E 9 S U y B O U 1 9 k a X Z p Z G V u Z C 9 B d X R v U m V t b 3 Z l Z E N v b H V t b n M x L n t E Y X R l L D B 9 J n F 1 b 3 Q 7 L C Z x d W 9 0 O 1 N l Y 3 R p b 2 4 x L 1 R B V E F N T 1 R P U l M g T l N f Z G l 2 a W R l b m Q v Q X V 0 b 1 J l b W 9 2 Z W R D b 2 x 1 b W 5 z M S 5 7 R G l 2 a W R l b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V E F N T 1 R P U l M g T l N f Z G l 2 a W R l b m Q v Q X V 0 b 1 J l b W 9 2 Z W R D b 2 x 1 b W 5 z M S 5 7 R G F 0 Z S w w f S Z x d W 9 0 O y w m c X V v d D t T Z W N 0 a W 9 u M S 9 U Q V R B T U 9 U T 1 J T I E 5 T X 2 R p d m l k Z W 5 k L 0 F 1 d G 9 S Z W 1 v d m V k Q 2 9 s d W 1 u c z E u e 0 R p d m l k Z W 5 k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U Q U 1 P V E 9 S U y U y M E 5 T X 2 R p d m l k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V E F N T 1 R P U l M l M j B O U 1 9 k a X Z p Z G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R B T U 9 U T 1 J T J T I w T l N f Z G l 2 a W R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D M t T W 9 u d G g l M j B C b 2 5 k J T I w W W l l b G Q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p c 2 s g R n J l Z S B S Z X R 1 c m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Z U M T U 6 M T A 6 N T M u N z Q 0 M T Y 4 N 1 o i I C 8 + P E V u d H J 5 I F R 5 c G U 9 I k Z p b G x D b 2 x 1 b W 5 U e X B l c y I g V m F s d W U 9 I n N D U V V G Q l F V R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z L U 1 v b n R o I E J v b m Q g W W l l b G Q g S G l z d G 9 y a W N h b C B E Y X R h L 0 F 1 d G 9 S Z W 1 v d m V k Q 2 9 s d W 1 u c z E u e 0 R h d G U s M H 0 m c X V v d D s s J n F 1 b 3 Q 7 U 2 V j d G l v b j E v S W 5 k a W E g M y 1 N b 2 5 0 a C B C b 2 5 k I F l p Z W x k I E h p c 3 R v c m l j Y W w g R G F 0 Y S 9 B d X R v U m V t b 3 Z l Z E N v b H V t b n M x L n t Q c m l j Z S w x f S Z x d W 9 0 O y w m c X V v d D t T Z W N 0 a W 9 u M S 9 J b m R p Y S A z L U 1 v b n R o I E J v b m Q g W W l l b G Q g S G l z d G 9 y a W N h b C B E Y X R h L 0 F 1 d G 9 S Z W 1 v d m V k Q 2 9 s d W 1 u c z E u e 0 9 w Z W 4 s M n 0 m c X V v d D s s J n F 1 b 3 Q 7 U 2 V j d G l v b j E v S W 5 k a W E g M y 1 N b 2 5 0 a C B C b 2 5 k I F l p Z W x k I E h p c 3 R v c m l j Y W w g R G F 0 Y S 9 B d X R v U m V t b 3 Z l Z E N v b H V t b n M x L n t I a W d o L D N 9 J n F 1 b 3 Q 7 L C Z x d W 9 0 O 1 N l Y 3 R p b 2 4 x L 0 l u Z G l h I D M t T W 9 u d G g g Q m 9 u Z C B Z a W V s Z C B I a X N 0 b 3 J p Y 2 F s I E R h d G E v Q X V 0 b 1 J l b W 9 2 Z W R D b 2 x 1 b W 5 z M S 5 7 T G 9 3 L D R 9 J n F 1 b 3 Q 7 L C Z x d W 9 0 O 1 N l Y 3 R p b 2 4 x L 0 l u Z G l h I D M t T W 9 u d G g g Q m 9 u Z C B Z a W V s Z C B I a X N 0 b 3 J p Y 2 F s I E R h d G E v Q X V 0 b 1 J l b W 9 2 Z W R D b 2 x 1 b W 5 z M S 5 7 Q 2 h h b m d l I C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k a W E g M y 1 N b 2 5 0 a C B C b 2 5 k I F l p Z W x k I E h p c 3 R v c m l j Y W w g R G F 0 Y S 9 B d X R v U m V t b 3 Z l Z E N v b H V t b n M x L n t E Y X R l L D B 9 J n F 1 b 3 Q 7 L C Z x d W 9 0 O 1 N l Y 3 R p b 2 4 x L 0 l u Z G l h I D M t T W 9 u d G g g Q m 9 u Z C B Z a W V s Z C B I a X N 0 b 3 J p Y 2 F s I E R h d G E v Q X V 0 b 1 J l b W 9 2 Z W R D b 2 x 1 b W 5 z M S 5 7 U H J p Y 2 U s M X 0 m c X V v d D s s J n F 1 b 3 Q 7 U 2 V j d G l v b j E v S W 5 k a W E g M y 1 N b 2 5 0 a C B C b 2 5 k I F l p Z W x k I E h p c 3 R v c m l j Y W w g R G F 0 Y S 9 B d X R v U m V t b 3 Z l Z E N v b H V t b n M x L n t P c G V u L D J 9 J n F 1 b 3 Q 7 L C Z x d W 9 0 O 1 N l Y 3 R p b 2 4 x L 0 l u Z G l h I D M t T W 9 u d G g g Q m 9 u Z C B Z a W V s Z C B I a X N 0 b 3 J p Y 2 F s I E R h d G E v Q X V 0 b 1 J l b W 9 2 Z W R D b 2 x 1 b W 5 z M S 5 7 S G l n a C w z f S Z x d W 9 0 O y w m c X V v d D t T Z W N 0 a W 9 u M S 9 J b m R p Y S A z L U 1 v b n R o I E J v b m Q g W W l l b G Q g S G l z d G 9 y a W N h b C B E Y X R h L 0 F 1 d G 9 S Z W 1 v d m V k Q 2 9 s d W 1 u c z E u e 0 x v d y w 0 f S Z x d W 9 0 O y w m c X V v d D t T Z W N 0 a W 9 u M S 9 J b m R p Y S A z L U 1 v b n R o I E J v b m Q g W W l l b G Q g S G l z d G 9 y a W N h b C B E Y X R h L 0 F 1 d G 9 S Z W 1 v d m V k Q 2 9 s d W 1 u c z E u e 0 N o Y W 5 n Z S A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S U y M D M t T W 9 u d G g l M j B C b 2 5 k J T I w W W l l b G Q l M j B I a X N 0 b 3 J p Y 2 F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D M t T W 9 u d G g l M j B C b 2 5 k J T I w W W l l b G Q l M j B I a X N 0 b 3 J p Y 2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D M t T W 9 u d G g l M j B C b 2 5 k J T I w W W l l b G Q l M j B I a X N 0 b 3 J p Y 2 F s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0 W 4 L 4 d 6 W Q Y L c c 8 I B T d 7 4 A A A A A A I A A A A A A B B m A A A A A Q A A I A A A A N d i 9 w p w C F 1 7 0 W f y n U Z p G F Y Y u R Y l 9 o 4 Y s 6 I / e 4 + 0 r / 2 0 A A A A A A 6 A A A A A A g A A I A A A A H p A j h G T R + v b F 5 w C 9 f 7 X t q T 0 e N P x L G T B N o N u 0 d 4 S g h K 1 U A A A A E P 1 f D H j V W L J E k M p B F Z A / 1 f Z 4 4 H u n q 7 W + l e C Y d y N Y K w s 9 / t l M M s a S z V q V d 5 3 k x C d 3 Z W + m i c s a f B F H 1 m a H n Q r 7 O C + r C K 0 H m w B 4 6 j L 5 r t Z Y i T 8 Q A A A A P y d d F Y p i 9 O X b / r 1 B r y H Z 0 4 B y O d X k h x E a F Q 2 7 B q A z a q e T 1 w p + / 4 x J x 3 z k u C g T d s T K E 7 O k 7 2 w y M O f 7 t h l X h 2 O n K M = < / D a t a M a s h u p > 
</file>

<file path=customXml/itemProps1.xml><?xml version="1.0" encoding="utf-8"?>
<ds:datastoreItem xmlns:ds="http://schemas.openxmlformats.org/officeDocument/2006/customXml" ds:itemID="{986685D6-9F78-4BB3-AE72-90DDA2563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Balance Sheet</vt:lpstr>
      <vt:lpstr>Income</vt:lpstr>
      <vt:lpstr>Dividend Sheet</vt:lpstr>
      <vt:lpstr>WACC - 1</vt:lpstr>
      <vt:lpstr>RROE - Gordon method</vt:lpstr>
      <vt:lpstr>COD - Gordon Method</vt:lpstr>
      <vt:lpstr>Marginal Tax Rate - Gordon Met.</vt:lpstr>
      <vt:lpstr>WACC - Gordon Method</vt:lpstr>
      <vt:lpstr>Risk Free Return</vt:lpstr>
      <vt:lpstr>Expected Return Market</vt:lpstr>
      <vt:lpstr>WACC - CAPM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sudeshna bora</dc:creator>
  <cp:lastModifiedBy>sudeshna bora</cp:lastModifiedBy>
  <dcterms:created xsi:type="dcterms:W3CDTF">2020-12-23T23:45:13Z</dcterms:created>
  <dcterms:modified xsi:type="dcterms:W3CDTF">2020-12-28T21:47:03Z</dcterms:modified>
</cp:coreProperties>
</file>