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51E3C06A-CA4D-4045-884E-C01FF4891CCD}" xr6:coauthVersionLast="47" xr6:coauthVersionMax="47" xr10:uidLastSave="{00000000-0000-0000-0000-000000000000}"/>
  <bookViews>
    <workbookView xWindow="-5840" yWindow="-21710" windowWidth="38620" windowHeight="21100" activeTab="2" xr2:uid="{00000000-000D-0000-FFFF-FFFF00000000}"/>
  </bookViews>
  <sheets>
    <sheet name="打分" sheetId="5" r:id="rId1"/>
    <sheet name="二级筛选" sheetId="2" r:id="rId2"/>
    <sheet name="Sheet1" sheetId="6" r:id="rId3"/>
  </sheets>
  <externalReferences>
    <externalReference r:id="rId4"/>
  </externalReferences>
  <definedNames>
    <definedName name="_xlnm._FilterDatabase" localSheetId="2" hidden="1">Sheet1!$A$2:$N$84</definedName>
    <definedName name="_xlnm._FilterDatabase" localSheetId="0" hidden="1">打分!$A$2:$AG$199</definedName>
    <definedName name="_xlnm._FilterDatabase" localSheetId="1" hidden="1">二级筛选!$A$3:$CE$200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7" i="5" l="1"/>
  <c r="AG193" i="5"/>
  <c r="AG170" i="5"/>
  <c r="AG184" i="5"/>
  <c r="AG174" i="5"/>
  <c r="AG183" i="5"/>
  <c r="AG156" i="5"/>
  <c r="AG169" i="5"/>
  <c r="AG152" i="5"/>
  <c r="AG163" i="5"/>
  <c r="AG143" i="5"/>
  <c r="AG142" i="5"/>
  <c r="AG136" i="5"/>
  <c r="AG138" i="5"/>
  <c r="AG140" i="5"/>
  <c r="AG145" i="5"/>
  <c r="AG93" i="5"/>
  <c r="AG125" i="5"/>
  <c r="AG113" i="5"/>
  <c r="AG111" i="5"/>
  <c r="AG73" i="5"/>
  <c r="AG135" i="5"/>
  <c r="AG139" i="5"/>
  <c r="AG121" i="5"/>
  <c r="AG109" i="5"/>
  <c r="AG130" i="5"/>
  <c r="AG52" i="5"/>
  <c r="AG66" i="5"/>
  <c r="AG106" i="5"/>
  <c r="AG80" i="5"/>
  <c r="AG75" i="5"/>
  <c r="AG90" i="5"/>
  <c r="AG48" i="5"/>
  <c r="AG83" i="5"/>
  <c r="AG105" i="5"/>
  <c r="AG62" i="5"/>
  <c r="AG70" i="5"/>
  <c r="AG58" i="5"/>
  <c r="AG98" i="5"/>
  <c r="AG76" i="5"/>
  <c r="AG118" i="5"/>
  <c r="AG71" i="5"/>
  <c r="AG65" i="5"/>
  <c r="AG28" i="5"/>
  <c r="AG42" i="5"/>
  <c r="AG104" i="5"/>
  <c r="AG55" i="5"/>
  <c r="AG60" i="5"/>
  <c r="AG26" i="5"/>
  <c r="AG37" i="5"/>
  <c r="AG46" i="5"/>
  <c r="AG51" i="5"/>
  <c r="AG45" i="5"/>
  <c r="AG74" i="5"/>
  <c r="AG34" i="5"/>
  <c r="AG33" i="5"/>
  <c r="AG29" i="5"/>
  <c r="AG40" i="5"/>
  <c r="AG23" i="5"/>
  <c r="AG84" i="5"/>
  <c r="AG19" i="5"/>
  <c r="AG56" i="5"/>
  <c r="AG63" i="5"/>
  <c r="AG14" i="5"/>
  <c r="AG69" i="5"/>
  <c r="AG25" i="5"/>
  <c r="AG27" i="5"/>
  <c r="AG61" i="5"/>
  <c r="AG13" i="5"/>
  <c r="AG21" i="5"/>
  <c r="AG47" i="5"/>
  <c r="AG24" i="5"/>
  <c r="AG32" i="5"/>
  <c r="AG35" i="5"/>
  <c r="AG20" i="5"/>
  <c r="AG17" i="5"/>
  <c r="AG8" i="5"/>
  <c r="AG16" i="5"/>
  <c r="AG7" i="5"/>
  <c r="AG5" i="5"/>
  <c r="AG4" i="5"/>
  <c r="AG3" i="5"/>
  <c r="AG6" i="5"/>
  <c r="AG49" i="5"/>
  <c r="AG64" i="5"/>
  <c r="AG9" i="5"/>
  <c r="AG10" i="5"/>
  <c r="AG31" i="5"/>
  <c r="AG72" i="5"/>
  <c r="AG44" i="5"/>
  <c r="AG77" i="5"/>
  <c r="AG11" i="5"/>
  <c r="AG36" i="5"/>
  <c r="AG102" i="5"/>
  <c r="AG22" i="5"/>
  <c r="AG119" i="5"/>
  <c r="AG18" i="5"/>
  <c r="AG12" i="5"/>
  <c r="AG15" i="5"/>
  <c r="AG96" i="5"/>
  <c r="AG87" i="5"/>
  <c r="AG38" i="5"/>
  <c r="AG95" i="5"/>
  <c r="AG122" i="5"/>
  <c r="AG78" i="5"/>
  <c r="AG54" i="5"/>
  <c r="AG103" i="5"/>
  <c r="AG89" i="5"/>
  <c r="AG101" i="5"/>
  <c r="AG59" i="5"/>
  <c r="AG126" i="5"/>
  <c r="AG39" i="5"/>
  <c r="AG41" i="5"/>
  <c r="AG57" i="5"/>
  <c r="AG149" i="5"/>
  <c r="AG108" i="5"/>
  <c r="AG50" i="5"/>
  <c r="AG148" i="5"/>
  <c r="AG155" i="5"/>
  <c r="AG131" i="5"/>
  <c r="AG157" i="5"/>
  <c r="AG43" i="5"/>
  <c r="AG67" i="5"/>
  <c r="AG81" i="5"/>
  <c r="AG97" i="5"/>
  <c r="AG82" i="5"/>
  <c r="AG151" i="5"/>
  <c r="AG115" i="5"/>
  <c r="AG30" i="5"/>
  <c r="AG123" i="5"/>
  <c r="AG68" i="5"/>
  <c r="AG141" i="5"/>
  <c r="AG133" i="5"/>
  <c r="AG107" i="5"/>
  <c r="AG146" i="5"/>
  <c r="AG86" i="5"/>
  <c r="AG79" i="5"/>
  <c r="AG85" i="5"/>
  <c r="AG94" i="5"/>
  <c r="AG166" i="5"/>
  <c r="AG124" i="5"/>
  <c r="AG53" i="5"/>
  <c r="AG164" i="5"/>
  <c r="AG137" i="5"/>
  <c r="AG117" i="5"/>
  <c r="AG167" i="5"/>
  <c r="AG153" i="5"/>
  <c r="AG92" i="5"/>
  <c r="AG132" i="5"/>
  <c r="AG116" i="5"/>
  <c r="AG88" i="5"/>
  <c r="AG173" i="5"/>
  <c r="AG134" i="5"/>
  <c r="AG127" i="5"/>
  <c r="AG172" i="5"/>
  <c r="AG128" i="5"/>
  <c r="AG120" i="5"/>
  <c r="AG150" i="5"/>
  <c r="AG99" i="5"/>
  <c r="AG91" i="5"/>
  <c r="AG179" i="5"/>
  <c r="AG180" i="5"/>
  <c r="AG129" i="5"/>
  <c r="AG161" i="5"/>
  <c r="AG160" i="5"/>
  <c r="AG189" i="5"/>
  <c r="AG114" i="5"/>
  <c r="AG110" i="5"/>
  <c r="AG100" i="5"/>
  <c r="AG175" i="5"/>
  <c r="AG154" i="5"/>
  <c r="AG171" i="5"/>
  <c r="AG158" i="5"/>
  <c r="AG188" i="5"/>
  <c r="AG186" i="5"/>
  <c r="AG144" i="5"/>
  <c r="AG178" i="5"/>
  <c r="AG168" i="5"/>
  <c r="AG165" i="5"/>
  <c r="AG187" i="5"/>
  <c r="AG177" i="5"/>
  <c r="AG112" i="5"/>
  <c r="AG181" i="5"/>
  <c r="AG147" i="5"/>
  <c r="AG159" i="5"/>
  <c r="AG195" i="5"/>
  <c r="AG196" i="5"/>
  <c r="AG190" i="5"/>
  <c r="AG191" i="5"/>
  <c r="AG182" i="5"/>
  <c r="AG185" i="5"/>
  <c r="AG194" i="5"/>
  <c r="AG162" i="5"/>
  <c r="AG192" i="5"/>
  <c r="AG176" i="5"/>
  <c r="AG198" i="5"/>
  <c r="AG199" i="5"/>
  <c r="AF49" i="5"/>
  <c r="AF189" i="5"/>
  <c r="AF36" i="5"/>
  <c r="AF89" i="5"/>
  <c r="AF78" i="5"/>
  <c r="AF149" i="5"/>
  <c r="AF9" i="5"/>
  <c r="AF164" i="5"/>
  <c r="AF44" i="5"/>
  <c r="AF180" i="5"/>
  <c r="AF26" i="5"/>
  <c r="AF28" i="5"/>
  <c r="AF53" i="5"/>
  <c r="AF148" i="5"/>
  <c r="AF58" i="5"/>
  <c r="AF19" i="5"/>
  <c r="AF14" i="5"/>
  <c r="AF23" i="5"/>
  <c r="AF170" i="5"/>
  <c r="AF117" i="5"/>
  <c r="AF68" i="5"/>
  <c r="AF116" i="5"/>
  <c r="AF48" i="5"/>
  <c r="AF52" i="5"/>
  <c r="AF18" i="5"/>
  <c r="AF38" i="5"/>
  <c r="AF82" i="5"/>
  <c r="AF186" i="5"/>
  <c r="AF158" i="5"/>
  <c r="AF29" i="5"/>
  <c r="AF160" i="5"/>
  <c r="AF128" i="5"/>
  <c r="AF84" i="5"/>
  <c r="AF73" i="5"/>
  <c r="AF6" i="5"/>
  <c r="AF122" i="5"/>
  <c r="AF16" i="5"/>
  <c r="AF110" i="5"/>
  <c r="AF151" i="5"/>
  <c r="AF3" i="5"/>
  <c r="AF120" i="5"/>
  <c r="AF99" i="5"/>
  <c r="AF161" i="5"/>
  <c r="AF93" i="5"/>
  <c r="AF17" i="5"/>
  <c r="AF184" i="5"/>
  <c r="AF127" i="5"/>
  <c r="AF62" i="5"/>
  <c r="AF77" i="5"/>
  <c r="AF138" i="5"/>
  <c r="AF178" i="5"/>
  <c r="AF155" i="5"/>
  <c r="AF87" i="5"/>
  <c r="AF11" i="5"/>
  <c r="AF75" i="5"/>
  <c r="AF142" i="5"/>
  <c r="AF43" i="5"/>
  <c r="AF51" i="5"/>
  <c r="AF112" i="5"/>
  <c r="AF31" i="5"/>
  <c r="AF181" i="5"/>
  <c r="AF27" i="5"/>
  <c r="AF88" i="5"/>
  <c r="AF109" i="5"/>
  <c r="AF76" i="5"/>
  <c r="AF111" i="5"/>
  <c r="AF171" i="5"/>
  <c r="AF72" i="5"/>
  <c r="AF4" i="5"/>
  <c r="AF175" i="5"/>
  <c r="AF114" i="5"/>
  <c r="AF86" i="5"/>
  <c r="AF46" i="5"/>
  <c r="AF13" i="5"/>
  <c r="AF147" i="5"/>
  <c r="AF102" i="5"/>
  <c r="AF42" i="5"/>
  <c r="AF5" i="5"/>
  <c r="AF195" i="5"/>
  <c r="AF22" i="5"/>
  <c r="AF177" i="5"/>
  <c r="AF169" i="5"/>
  <c r="AF24" i="5"/>
  <c r="AF21" i="5"/>
  <c r="AF37" i="5"/>
  <c r="AF12" i="5"/>
  <c r="AF166" i="5"/>
  <c r="AF91" i="5"/>
  <c r="AF64" i="5"/>
  <c r="AF71" i="5"/>
  <c r="AF159" i="5"/>
  <c r="AF67" i="5"/>
  <c r="AF54" i="5"/>
  <c r="AF188" i="5"/>
  <c r="AF45" i="5"/>
  <c r="AF96" i="5"/>
  <c r="AF34" i="5"/>
  <c r="AF25" i="5"/>
  <c r="AF113" i="5"/>
  <c r="AF126" i="5"/>
  <c r="AF123" i="5"/>
  <c r="AF40" i="5"/>
  <c r="AF7" i="5"/>
  <c r="AF95" i="5"/>
  <c r="AF103" i="5"/>
  <c r="AF66" i="5"/>
  <c r="AF119" i="5"/>
  <c r="AF81" i="5"/>
  <c r="AF108" i="5"/>
  <c r="AF65" i="5"/>
  <c r="AF30" i="5"/>
  <c r="AF90" i="5"/>
  <c r="AF141" i="5"/>
  <c r="AF125" i="5"/>
  <c r="AF83" i="5"/>
  <c r="AF55" i="5"/>
  <c r="AF173" i="5"/>
  <c r="AF168" i="5"/>
  <c r="AF80" i="5"/>
  <c r="AF143" i="5"/>
  <c r="AF156" i="5"/>
  <c r="AF97" i="5"/>
  <c r="AF153" i="5"/>
  <c r="AF193" i="5"/>
  <c r="AF152" i="5"/>
  <c r="AF15" i="5"/>
  <c r="AF136" i="5"/>
  <c r="AF154" i="5"/>
  <c r="AF182" i="5"/>
  <c r="AF50" i="5"/>
  <c r="AF121" i="5"/>
  <c r="AF32" i="5"/>
  <c r="AF41" i="5"/>
  <c r="AF163" i="5"/>
  <c r="AF135" i="5"/>
  <c r="AF137" i="5"/>
  <c r="AF100" i="5"/>
  <c r="AF124" i="5"/>
  <c r="AF20" i="5"/>
  <c r="AF197" i="5"/>
  <c r="AF179" i="5"/>
  <c r="AF104" i="5"/>
  <c r="AF150" i="5"/>
  <c r="AF107" i="5"/>
  <c r="AF183" i="5"/>
  <c r="AF105" i="5"/>
  <c r="AF79" i="5"/>
  <c r="AF70" i="5"/>
  <c r="AF140" i="5"/>
  <c r="AF106" i="5"/>
  <c r="AF133" i="5"/>
  <c r="AF8" i="5"/>
  <c r="AF176" i="5"/>
  <c r="AF60" i="5"/>
  <c r="AF198" i="5"/>
  <c r="AF191" i="5"/>
  <c r="AF134" i="5"/>
  <c r="AF115" i="5"/>
  <c r="AF174" i="5"/>
  <c r="AF130" i="5"/>
  <c r="AF131" i="5"/>
  <c r="AF118" i="5"/>
  <c r="AF190" i="5"/>
  <c r="AF187" i="5"/>
  <c r="AF57" i="5"/>
  <c r="AF139" i="5"/>
  <c r="AF129" i="5"/>
  <c r="AF145" i="5"/>
  <c r="AF146" i="5"/>
  <c r="AF98" i="5"/>
  <c r="AF33" i="5"/>
  <c r="AF61" i="5"/>
  <c r="AF56" i="5"/>
  <c r="AF192" i="5"/>
  <c r="AF144" i="5"/>
  <c r="AF35" i="5"/>
  <c r="AF167" i="5"/>
  <c r="AF162" i="5"/>
  <c r="AF92" i="5"/>
  <c r="AF69" i="5"/>
  <c r="AF165" i="5"/>
  <c r="AF74" i="5"/>
  <c r="AF172" i="5"/>
  <c r="AF194" i="5"/>
  <c r="AF47" i="5"/>
  <c r="AF59" i="5"/>
  <c r="AF63" i="5"/>
  <c r="AF157" i="5"/>
  <c r="AF94" i="5"/>
  <c r="AF185" i="5"/>
  <c r="AF85" i="5"/>
  <c r="AF101" i="5"/>
  <c r="AF39" i="5"/>
  <c r="AF132" i="5"/>
  <c r="AF196" i="5"/>
  <c r="AF199" i="5"/>
  <c r="AF10" i="5"/>
  <c r="M72" i="2"/>
  <c r="M85" i="2"/>
  <c r="M42" i="2"/>
  <c r="M79" i="2"/>
  <c r="M112" i="2"/>
  <c r="M86" i="2"/>
  <c r="M36" i="2"/>
  <c r="M28" i="2"/>
  <c r="M173" i="2"/>
  <c r="M134" i="2"/>
  <c r="M98" i="2"/>
  <c r="M162" i="2"/>
  <c r="M4" i="2"/>
  <c r="M68" i="2"/>
  <c r="I155" i="2"/>
  <c r="M64" i="2"/>
  <c r="M74" i="2"/>
  <c r="M156" i="2"/>
  <c r="M160" i="2"/>
  <c r="M127" i="2"/>
  <c r="M111" i="2"/>
  <c r="M164" i="2"/>
  <c r="M10" i="2"/>
  <c r="M70" i="2"/>
  <c r="I7" i="2"/>
  <c r="M27" i="2"/>
  <c r="M168" i="2"/>
  <c r="M115" i="2"/>
  <c r="M155" i="2"/>
  <c r="M109" i="2"/>
  <c r="M131" i="2"/>
  <c r="M125" i="2"/>
  <c r="M75" i="2"/>
  <c r="M108" i="2"/>
  <c r="M171" i="2"/>
  <c r="M40" i="2"/>
  <c r="M192" i="2"/>
  <c r="M149" i="2"/>
  <c r="M59" i="2"/>
  <c r="M89" i="2"/>
  <c r="M15" i="2"/>
  <c r="M189" i="2"/>
  <c r="M91" i="2"/>
  <c r="M107" i="2"/>
  <c r="M95" i="2"/>
  <c r="M104" i="2"/>
  <c r="M102" i="2"/>
  <c r="M141" i="2"/>
  <c r="M153" i="2"/>
  <c r="M126" i="2"/>
  <c r="M51" i="2"/>
  <c r="M35" i="2"/>
  <c r="M179" i="2"/>
  <c r="M84" i="2"/>
  <c r="M152" i="2"/>
  <c r="M52" i="2"/>
  <c r="M147" i="2"/>
  <c r="M34" i="2"/>
  <c r="M118" i="2"/>
  <c r="M110" i="2"/>
  <c r="M144" i="2"/>
  <c r="M44" i="2"/>
  <c r="M31" i="2"/>
  <c r="M60" i="2"/>
  <c r="M178" i="2"/>
  <c r="M41" i="2"/>
  <c r="M24" i="2"/>
  <c r="M93" i="2"/>
  <c r="M37" i="2"/>
  <c r="M54" i="2"/>
  <c r="M32" i="2"/>
  <c r="M5" i="2"/>
  <c r="M69" i="2"/>
  <c r="M176" i="2"/>
  <c r="M113" i="2"/>
  <c r="M136" i="2"/>
  <c r="M13" i="2"/>
  <c r="M21" i="2"/>
  <c r="M143" i="2"/>
  <c r="M83" i="2"/>
  <c r="M49" i="2"/>
  <c r="M182" i="2"/>
  <c r="M39" i="2"/>
  <c r="M62" i="2"/>
  <c r="M17" i="2"/>
  <c r="M29" i="2"/>
  <c r="M197" i="2"/>
  <c r="M132" i="2"/>
  <c r="M159" i="2"/>
  <c r="M185" i="2"/>
  <c r="M148" i="2"/>
  <c r="M71" i="2"/>
  <c r="M81" i="2"/>
  <c r="M56" i="2"/>
  <c r="M103" i="2"/>
  <c r="M25" i="2"/>
  <c r="M11" i="2"/>
  <c r="M43" i="2"/>
  <c r="M30" i="2"/>
  <c r="M163" i="2"/>
  <c r="M67" i="2"/>
  <c r="M99" i="2"/>
  <c r="M181" i="2"/>
  <c r="M12" i="2"/>
  <c r="M46" i="2"/>
  <c r="M57" i="2"/>
  <c r="M140" i="2"/>
  <c r="M23" i="2"/>
  <c r="M66" i="2"/>
  <c r="M94" i="2"/>
  <c r="M14" i="2"/>
  <c r="M6" i="2"/>
  <c r="M73" i="2"/>
  <c r="M33" i="2"/>
  <c r="M38" i="2"/>
  <c r="M124" i="2"/>
  <c r="M188" i="2"/>
  <c r="M158" i="2"/>
  <c r="M191" i="2"/>
  <c r="M48" i="2"/>
  <c r="M7" i="2"/>
  <c r="M165" i="2"/>
  <c r="M87" i="2"/>
  <c r="M100" i="2"/>
  <c r="M130" i="2"/>
  <c r="M167" i="2"/>
  <c r="M65" i="2"/>
  <c r="M175" i="2"/>
  <c r="M16" i="2"/>
  <c r="M18" i="2"/>
  <c r="M142" i="2"/>
  <c r="M97" i="2"/>
  <c r="M184" i="2"/>
  <c r="M177" i="2"/>
  <c r="M20" i="2"/>
  <c r="M187" i="2"/>
  <c r="M180" i="2"/>
  <c r="M114" i="2"/>
  <c r="M198" i="2"/>
  <c r="M58" i="2"/>
  <c r="M119" i="2"/>
  <c r="M200" i="2"/>
  <c r="M76" i="2"/>
  <c r="M19" i="2"/>
  <c r="M146" i="2"/>
  <c r="M199" i="2"/>
  <c r="M22" i="2"/>
  <c r="M121" i="2"/>
  <c r="M80" i="2"/>
  <c r="M82" i="2"/>
  <c r="M116" i="2"/>
  <c r="M190" i="2"/>
  <c r="M195" i="2"/>
  <c r="M77" i="2"/>
  <c r="M157" i="2"/>
  <c r="M135" i="2"/>
  <c r="M196" i="2"/>
  <c r="M139" i="2"/>
  <c r="M122" i="2"/>
  <c r="M61" i="2"/>
  <c r="M161" i="2"/>
  <c r="M53" i="2"/>
  <c r="M183" i="2"/>
  <c r="M169" i="2"/>
  <c r="M166" i="2"/>
  <c r="M26" i="2"/>
  <c r="M133" i="2"/>
  <c r="M154" i="2"/>
  <c r="M186" i="2"/>
  <c r="M90" i="2"/>
  <c r="M170" i="2"/>
  <c r="M88" i="2"/>
  <c r="M63" i="2"/>
  <c r="M117" i="2"/>
  <c r="M8" i="2"/>
  <c r="M9" i="2"/>
  <c r="M137" i="2"/>
  <c r="M96" i="2"/>
  <c r="M106" i="2"/>
  <c r="M193" i="2"/>
  <c r="M174" i="2"/>
  <c r="M45" i="2"/>
  <c r="M129" i="2"/>
  <c r="M105" i="2"/>
  <c r="M128" i="2"/>
  <c r="M101" i="2"/>
  <c r="M123" i="2"/>
  <c r="M50" i="2"/>
  <c r="M150" i="2"/>
  <c r="M194" i="2"/>
  <c r="M145" i="2"/>
  <c r="M138" i="2"/>
  <c r="M120" i="2"/>
  <c r="M78" i="2"/>
  <c r="M47" i="2"/>
  <c r="M92" i="2"/>
  <c r="M55" i="2"/>
  <c r="M172" i="2"/>
  <c r="M151" i="2"/>
  <c r="I96" i="5"/>
  <c r="I73" i="5"/>
  <c r="H106" i="5"/>
  <c r="D22" i="5"/>
  <c r="F119" i="5"/>
  <c r="H53" i="5"/>
  <c r="F126" i="5"/>
  <c r="E133" i="5"/>
  <c r="F199" i="5"/>
  <c r="D131" i="5"/>
  <c r="I136" i="5"/>
  <c r="I92" i="5"/>
  <c r="H10" i="5"/>
  <c r="E159" i="5"/>
  <c r="I192" i="5"/>
  <c r="D123" i="5"/>
  <c r="I125" i="5"/>
  <c r="H148" i="5"/>
  <c r="I31" i="5"/>
  <c r="E71" i="5"/>
  <c r="I11" i="5"/>
  <c r="I176" i="5"/>
  <c r="F37" i="5"/>
  <c r="H79" i="5"/>
  <c r="E184" i="5"/>
  <c r="E33" i="5"/>
  <c r="D90" i="5"/>
  <c r="H173" i="5"/>
  <c r="E150" i="5"/>
  <c r="F184" i="5"/>
  <c r="I112" i="5"/>
  <c r="E67" i="5"/>
  <c r="H112" i="5"/>
  <c r="F5" i="5"/>
  <c r="E56" i="5"/>
  <c r="D51" i="5"/>
  <c r="F129" i="5"/>
  <c r="D15" i="5"/>
  <c r="H142" i="5"/>
  <c r="E134" i="5"/>
  <c r="E50" i="5"/>
  <c r="E105" i="5"/>
  <c r="F132" i="5"/>
  <c r="H144" i="5"/>
  <c r="I107" i="5"/>
  <c r="F104" i="5"/>
  <c r="E61" i="5"/>
  <c r="I9" i="5"/>
  <c r="F103" i="5"/>
  <c r="D91" i="5"/>
  <c r="F161" i="5"/>
  <c r="D49" i="5"/>
  <c r="E103" i="5"/>
  <c r="I63" i="5"/>
  <c r="I159" i="5"/>
  <c r="I146" i="5"/>
  <c r="F123" i="5"/>
  <c r="D111" i="5"/>
  <c r="E53" i="5"/>
  <c r="H143" i="5"/>
  <c r="I99" i="5"/>
  <c r="I140" i="5"/>
  <c r="F46" i="5"/>
  <c r="E146" i="5"/>
  <c r="H21" i="5"/>
  <c r="H156" i="5"/>
  <c r="E4" i="5"/>
  <c r="F79" i="5"/>
  <c r="H67" i="5"/>
  <c r="H86" i="5"/>
  <c r="H193" i="5"/>
  <c r="H36" i="5"/>
  <c r="F66" i="5"/>
  <c r="H118" i="5"/>
  <c r="F116" i="5"/>
  <c r="F64" i="5"/>
  <c r="D88" i="5"/>
  <c r="E143" i="5"/>
  <c r="H6" i="5"/>
  <c r="H96" i="5"/>
  <c r="E80" i="5"/>
  <c r="F75" i="5"/>
  <c r="H160" i="5"/>
  <c r="E123" i="5"/>
  <c r="I175" i="5"/>
  <c r="H84" i="5"/>
  <c r="I152" i="5"/>
  <c r="D110" i="5"/>
  <c r="F114" i="5"/>
  <c r="E84" i="5"/>
  <c r="F36" i="5"/>
  <c r="E135" i="5"/>
  <c r="F95" i="5"/>
  <c r="D157" i="5"/>
  <c r="F190" i="5"/>
  <c r="F147" i="5"/>
  <c r="D21" i="5"/>
  <c r="E174" i="5"/>
  <c r="I109" i="5"/>
  <c r="D159" i="5"/>
  <c r="F120" i="5"/>
  <c r="E193" i="5"/>
  <c r="H41" i="5"/>
  <c r="D180" i="5"/>
  <c r="E62" i="5"/>
  <c r="E97" i="5"/>
  <c r="H194" i="5"/>
  <c r="H104" i="5"/>
  <c r="D170" i="5"/>
  <c r="I102" i="5"/>
  <c r="E194" i="5"/>
  <c r="E38" i="5"/>
  <c r="D95" i="5"/>
  <c r="I36" i="5"/>
  <c r="F173" i="5"/>
  <c r="D106" i="5"/>
  <c r="E138" i="5"/>
  <c r="F7" i="5"/>
  <c r="D182" i="5"/>
  <c r="F45" i="5"/>
  <c r="D177" i="5"/>
  <c r="H55" i="5"/>
  <c r="E163" i="5"/>
  <c r="H68" i="5"/>
  <c r="F101" i="5"/>
  <c r="F194" i="5"/>
  <c r="D142" i="5"/>
  <c r="E27" i="5"/>
  <c r="H117" i="5"/>
  <c r="D133" i="5"/>
  <c r="I71" i="5"/>
  <c r="E136" i="5"/>
  <c r="D28" i="5"/>
  <c r="I151" i="5"/>
  <c r="D54" i="5"/>
  <c r="I142" i="5"/>
  <c r="F22" i="5"/>
  <c r="E178" i="5"/>
  <c r="H3" i="5"/>
  <c r="D158" i="5"/>
  <c r="D167" i="5"/>
  <c r="I168" i="5"/>
  <c r="F17" i="5"/>
  <c r="D176" i="5"/>
  <c r="D11" i="5"/>
  <c r="H146" i="5"/>
  <c r="I117" i="5"/>
  <c r="D57" i="5"/>
  <c r="I89" i="5"/>
  <c r="E172" i="5"/>
  <c r="H75" i="5"/>
  <c r="H101" i="5"/>
  <c r="E31" i="5"/>
  <c r="I131" i="5"/>
  <c r="D127" i="5"/>
  <c r="H74" i="5"/>
  <c r="D147" i="5"/>
  <c r="H7" i="5"/>
  <c r="E26" i="5"/>
  <c r="D132" i="5"/>
  <c r="E15" i="5"/>
  <c r="H183" i="5"/>
  <c r="E58" i="5"/>
  <c r="I184" i="5"/>
  <c r="D4" i="5"/>
  <c r="I170" i="5"/>
  <c r="I15" i="5"/>
  <c r="E115" i="5"/>
  <c r="H95" i="5"/>
  <c r="D151" i="5"/>
  <c r="H52" i="5"/>
  <c r="D109" i="5"/>
  <c r="I101" i="5"/>
  <c r="E5" i="5"/>
  <c r="H139" i="5"/>
  <c r="E11" i="5"/>
  <c r="F183" i="5"/>
  <c r="I49" i="5"/>
  <c r="F92" i="5"/>
  <c r="F142" i="5"/>
  <c r="H102" i="5"/>
  <c r="F170" i="5"/>
  <c r="F177" i="5"/>
  <c r="D76" i="5"/>
  <c r="F39" i="5"/>
  <c r="D35" i="5"/>
  <c r="H64" i="5"/>
  <c r="F23" i="5"/>
  <c r="I119" i="5"/>
  <c r="I82" i="5"/>
  <c r="F139" i="5"/>
  <c r="H48" i="5"/>
  <c r="D189" i="5"/>
  <c r="F164" i="5"/>
  <c r="H137" i="5"/>
  <c r="D141" i="5"/>
  <c r="E3" i="5"/>
  <c r="H136" i="5"/>
  <c r="I127" i="5"/>
  <c r="E39" i="5"/>
  <c r="F48" i="5"/>
  <c r="D66" i="5"/>
  <c r="I196" i="5"/>
  <c r="D194" i="5"/>
  <c r="F54" i="5"/>
  <c r="D53" i="5"/>
  <c r="I158" i="5"/>
  <c r="E60" i="5"/>
  <c r="F151" i="5"/>
  <c r="D27" i="5"/>
  <c r="I34" i="5"/>
  <c r="F41" i="5"/>
  <c r="D7" i="5"/>
  <c r="H196" i="5"/>
  <c r="F88" i="5"/>
  <c r="E20" i="5"/>
  <c r="E44" i="5"/>
  <c r="D3" i="5"/>
  <c r="H37" i="5"/>
  <c r="E98" i="5"/>
  <c r="D46" i="5"/>
  <c r="I32" i="5"/>
  <c r="E34" i="5"/>
  <c r="F186" i="5"/>
  <c r="F128" i="5"/>
  <c r="E13" i="5"/>
  <c r="H126" i="5"/>
  <c r="I177" i="5"/>
  <c r="I179" i="5"/>
  <c r="F14" i="5"/>
  <c r="I162" i="5"/>
  <c r="F163" i="5"/>
  <c r="F42" i="5"/>
  <c r="F35" i="5"/>
  <c r="E187" i="5"/>
  <c r="H130" i="5"/>
  <c r="I62" i="5"/>
  <c r="F153" i="5"/>
  <c r="F8" i="5"/>
  <c r="I150" i="5"/>
  <c r="F154" i="5"/>
  <c r="D37" i="5"/>
  <c r="H127" i="5"/>
  <c r="H82" i="5"/>
  <c r="H168" i="5"/>
  <c r="D70" i="5"/>
  <c r="F140" i="5"/>
  <c r="E139" i="5"/>
  <c r="I48" i="5"/>
  <c r="E144" i="5"/>
  <c r="H32" i="5"/>
  <c r="F185" i="5"/>
  <c r="F162" i="5"/>
  <c r="E91" i="5"/>
  <c r="I173" i="5"/>
  <c r="E191" i="5"/>
  <c r="I90" i="5"/>
  <c r="F86" i="5"/>
  <c r="D183" i="5"/>
  <c r="I197" i="5"/>
  <c r="F169" i="5"/>
  <c r="I52" i="5"/>
  <c r="H134" i="5"/>
  <c r="H166" i="5"/>
  <c r="I12" i="5"/>
  <c r="I55" i="5"/>
  <c r="F188" i="5"/>
  <c r="I79" i="5"/>
  <c r="D143" i="5"/>
  <c r="E196" i="5"/>
  <c r="I38" i="5"/>
  <c r="I105" i="5"/>
  <c r="I195" i="5"/>
  <c r="E125" i="5"/>
  <c r="D45" i="5"/>
  <c r="H164" i="5"/>
  <c r="F148" i="5"/>
  <c r="F10" i="5"/>
  <c r="D134" i="5"/>
  <c r="I113" i="5"/>
  <c r="H133" i="5"/>
  <c r="H187" i="5"/>
  <c r="F24" i="5"/>
  <c r="F196" i="5"/>
  <c r="D16" i="5"/>
  <c r="I94" i="5"/>
  <c r="D174" i="5"/>
  <c r="D124" i="5"/>
  <c r="H98" i="5"/>
  <c r="D113" i="5"/>
  <c r="H175" i="5"/>
  <c r="E45" i="5"/>
  <c r="D145" i="5"/>
  <c r="H135" i="5"/>
  <c r="I5" i="5"/>
  <c r="D89" i="5"/>
  <c r="F56" i="5"/>
  <c r="H58" i="5"/>
  <c r="H182" i="5"/>
  <c r="I95" i="5"/>
  <c r="E161" i="5"/>
  <c r="F82" i="5"/>
  <c r="E182" i="5"/>
  <c r="F83" i="5"/>
  <c r="E114" i="5"/>
  <c r="H186" i="5"/>
  <c r="H81" i="5"/>
  <c r="D84" i="5"/>
  <c r="H69" i="5"/>
  <c r="E63" i="5"/>
  <c r="I128" i="5"/>
  <c r="D198" i="5"/>
  <c r="H153" i="5"/>
  <c r="D34" i="5"/>
  <c r="D117" i="5"/>
  <c r="F78" i="5"/>
  <c r="J142" i="5"/>
  <c r="J48" i="5"/>
  <c r="J92" i="5"/>
  <c r="J107" i="5"/>
  <c r="F195" i="5"/>
  <c r="F168" i="5"/>
  <c r="H11" i="5"/>
  <c r="D79" i="5"/>
  <c r="E102" i="5"/>
  <c r="D128" i="5"/>
  <c r="H15" i="5"/>
  <c r="H145" i="5"/>
  <c r="D74" i="5"/>
  <c r="I40" i="5"/>
  <c r="F20" i="5"/>
  <c r="F149" i="5"/>
  <c r="H192" i="5"/>
  <c r="D41" i="5"/>
  <c r="D135" i="5"/>
  <c r="D184" i="5"/>
  <c r="H89" i="5"/>
  <c r="D188" i="5"/>
  <c r="F191" i="5"/>
  <c r="I124" i="5"/>
  <c r="J124" i="5" s="1"/>
  <c r="D12" i="5"/>
  <c r="F6" i="5"/>
  <c r="H172" i="5"/>
  <c r="I29" i="5"/>
  <c r="H120" i="5"/>
  <c r="D72" i="5"/>
  <c r="H18" i="5"/>
  <c r="F74" i="5"/>
  <c r="D146" i="5"/>
  <c r="F130" i="5"/>
  <c r="H20" i="5"/>
  <c r="H49" i="5"/>
  <c r="F193" i="5"/>
  <c r="I88" i="5"/>
  <c r="I138" i="5"/>
  <c r="D191" i="5"/>
  <c r="H177" i="5"/>
  <c r="E28" i="5"/>
  <c r="E142" i="5"/>
  <c r="E177" i="5"/>
  <c r="I3" i="5"/>
  <c r="F53" i="5"/>
  <c r="D47" i="5"/>
  <c r="H170" i="5"/>
  <c r="H198" i="5"/>
  <c r="I75" i="5"/>
  <c r="F167" i="5"/>
  <c r="F137" i="5"/>
  <c r="F72" i="5"/>
  <c r="D8" i="5"/>
  <c r="E92" i="5"/>
  <c r="H113" i="5"/>
  <c r="D18" i="5"/>
  <c r="D56" i="5"/>
  <c r="H39" i="5"/>
  <c r="D6" i="5"/>
  <c r="E156" i="5"/>
  <c r="I180" i="5"/>
  <c r="F158" i="5"/>
  <c r="D153" i="5"/>
  <c r="H46" i="5"/>
  <c r="D166" i="5"/>
  <c r="E59" i="5"/>
  <c r="D36" i="5"/>
  <c r="E76" i="5"/>
  <c r="H195" i="5"/>
  <c r="I118" i="5"/>
  <c r="E88" i="5"/>
  <c r="E95" i="5"/>
  <c r="E162" i="5"/>
  <c r="H174" i="5"/>
  <c r="I25" i="5"/>
  <c r="I76" i="5"/>
  <c r="I81" i="5"/>
  <c r="H180" i="5"/>
  <c r="H190" i="5"/>
  <c r="H16" i="5"/>
  <c r="E154" i="5"/>
  <c r="E47" i="5"/>
  <c r="H122" i="5"/>
  <c r="I147" i="5"/>
  <c r="E151" i="5"/>
  <c r="H61" i="5"/>
  <c r="I85" i="5"/>
  <c r="H181" i="5"/>
  <c r="H151" i="5"/>
  <c r="F52" i="5"/>
  <c r="F34" i="5"/>
  <c r="I21" i="5"/>
  <c r="H87" i="5"/>
  <c r="F138" i="5"/>
  <c r="I58" i="5"/>
  <c r="D199" i="5"/>
  <c r="H90" i="5"/>
  <c r="E104" i="5"/>
  <c r="D98" i="5"/>
  <c r="E64" i="5"/>
  <c r="J89" i="5"/>
  <c r="J82" i="5"/>
  <c r="J79" i="5"/>
  <c r="J105" i="5"/>
  <c r="J118" i="5"/>
  <c r="J179" i="5"/>
  <c r="J113" i="5"/>
  <c r="J3" i="5"/>
  <c r="E188" i="5"/>
  <c r="E57" i="5"/>
  <c r="D75" i="5"/>
  <c r="F117" i="5"/>
  <c r="F143" i="5"/>
  <c r="F62" i="5"/>
  <c r="I91" i="5"/>
  <c r="I167" i="5"/>
  <c r="H149" i="5"/>
  <c r="H8" i="5"/>
  <c r="E137" i="5"/>
  <c r="I198" i="5"/>
  <c r="F87" i="5"/>
  <c r="E121" i="5"/>
  <c r="F71" i="5"/>
  <c r="D58" i="5"/>
  <c r="F90" i="5"/>
  <c r="I106" i="5"/>
  <c r="H129" i="5"/>
  <c r="F55" i="5"/>
  <c r="H73" i="5"/>
  <c r="H26" i="5"/>
  <c r="D126" i="5"/>
  <c r="E54" i="5"/>
  <c r="H152" i="5"/>
  <c r="E8" i="5"/>
  <c r="E79" i="5"/>
  <c r="E152" i="5"/>
  <c r="D17" i="5"/>
  <c r="I4" i="5"/>
  <c r="J4" i="5" s="1"/>
  <c r="I97" i="5"/>
  <c r="J97" i="5" s="1"/>
  <c r="H155" i="5"/>
  <c r="E25" i="5"/>
  <c r="E157" i="5"/>
  <c r="F155" i="5"/>
  <c r="D129" i="5"/>
  <c r="F134" i="5"/>
  <c r="I183" i="5"/>
  <c r="E85" i="5"/>
  <c r="F99" i="5"/>
  <c r="H57" i="5"/>
  <c r="E86" i="5"/>
  <c r="D5" i="5"/>
  <c r="D185" i="5"/>
  <c r="H60" i="5"/>
  <c r="I84" i="5"/>
  <c r="I121" i="5"/>
  <c r="I148" i="5"/>
  <c r="H9" i="5"/>
  <c r="I174" i="5"/>
  <c r="E129" i="5"/>
  <c r="F182" i="5"/>
  <c r="I60" i="5"/>
  <c r="D181" i="5"/>
  <c r="E155" i="5"/>
  <c r="I35" i="5"/>
  <c r="J35" i="5" s="1"/>
  <c r="E173" i="5"/>
  <c r="I68" i="5"/>
  <c r="E96" i="5"/>
  <c r="D169" i="5"/>
  <c r="I51" i="5"/>
  <c r="J51" i="5" s="1"/>
  <c r="F108" i="5"/>
  <c r="H114" i="5"/>
  <c r="H158" i="5"/>
  <c r="F44" i="5"/>
  <c r="D30" i="5"/>
  <c r="D40" i="5"/>
  <c r="D162" i="5"/>
  <c r="F93" i="5"/>
  <c r="I67" i="5"/>
  <c r="J67" i="5" s="1"/>
  <c r="D107" i="5"/>
  <c r="E77" i="5"/>
  <c r="E107" i="5"/>
  <c r="H178" i="5"/>
  <c r="H124" i="5"/>
  <c r="D155" i="5"/>
  <c r="E32" i="5"/>
  <c r="E68" i="5"/>
  <c r="I17" i="5"/>
  <c r="H27" i="5"/>
  <c r="D87" i="5"/>
  <c r="I181" i="5"/>
  <c r="E82" i="5"/>
  <c r="I59" i="5"/>
  <c r="H33" i="5"/>
  <c r="I43" i="5"/>
  <c r="J43" i="5" s="1"/>
  <c r="I103" i="5"/>
  <c r="H4" i="5"/>
  <c r="I182" i="5"/>
  <c r="D101" i="5"/>
  <c r="D73" i="5"/>
  <c r="J31" i="5"/>
  <c r="J29" i="5"/>
  <c r="J147" i="5"/>
  <c r="J184" i="5"/>
  <c r="J21" i="5"/>
  <c r="J103" i="5"/>
  <c r="J71" i="5"/>
  <c r="J180" i="5"/>
  <c r="J96" i="5"/>
  <c r="J52" i="5"/>
  <c r="J55" i="5"/>
  <c r="J112" i="5"/>
  <c r="J58" i="5"/>
  <c r="J85" i="5"/>
  <c r="J101" i="5"/>
  <c r="J176" i="5"/>
  <c r="J11" i="5"/>
  <c r="D173" i="5"/>
  <c r="E109" i="5"/>
  <c r="D25" i="5"/>
  <c r="I114" i="5"/>
  <c r="J114" i="5" s="1"/>
  <c r="F61" i="5"/>
  <c r="I42" i="5"/>
  <c r="H94" i="5"/>
  <c r="E111" i="5"/>
  <c r="I193" i="5"/>
  <c r="D172" i="5"/>
  <c r="I45" i="5"/>
  <c r="I130" i="5"/>
  <c r="J130" i="5" s="1"/>
  <c r="F73" i="5"/>
  <c r="E160" i="5"/>
  <c r="H159" i="5"/>
  <c r="F178" i="5"/>
  <c r="I74" i="5"/>
  <c r="E48" i="5"/>
  <c r="I139" i="5"/>
  <c r="H5" i="5"/>
  <c r="F29" i="5"/>
  <c r="D125" i="5"/>
  <c r="D50" i="5"/>
  <c r="F192" i="5"/>
  <c r="I165" i="5"/>
  <c r="J165" i="5" s="1"/>
  <c r="E199" i="5"/>
  <c r="I100" i="5"/>
  <c r="J100" i="5" s="1"/>
  <c r="H125" i="5"/>
  <c r="H13" i="5"/>
  <c r="F181" i="5"/>
  <c r="H22" i="5"/>
  <c r="D152" i="5"/>
  <c r="F107" i="5"/>
  <c r="I98" i="5"/>
  <c r="J98" i="5" s="1"/>
  <c r="H184" i="5"/>
  <c r="D83" i="5"/>
  <c r="I22" i="5"/>
  <c r="D31" i="5"/>
  <c r="F65" i="5"/>
  <c r="H128" i="5"/>
  <c r="D187" i="5"/>
  <c r="I56" i="5"/>
  <c r="J56" i="5" s="1"/>
  <c r="F49" i="5"/>
  <c r="I28" i="5"/>
  <c r="I155" i="5"/>
  <c r="F13" i="5"/>
  <c r="I30" i="5"/>
  <c r="J30" i="5" s="1"/>
  <c r="E141" i="5"/>
  <c r="E166" i="5"/>
  <c r="I27" i="5"/>
  <c r="J27" i="5" s="1"/>
  <c r="I143" i="5"/>
  <c r="F172" i="5"/>
  <c r="F67" i="5"/>
  <c r="D80" i="5"/>
  <c r="I156" i="5"/>
  <c r="H197" i="5"/>
  <c r="F109" i="5"/>
  <c r="I120" i="5"/>
  <c r="I145" i="5"/>
  <c r="D92" i="5"/>
  <c r="F89" i="5"/>
  <c r="D65" i="5"/>
  <c r="H40" i="5"/>
  <c r="E75" i="5"/>
  <c r="D48" i="5"/>
  <c r="F18" i="5"/>
  <c r="D82" i="5"/>
  <c r="E12" i="5"/>
  <c r="F32" i="5"/>
  <c r="E168" i="5"/>
  <c r="I160" i="5"/>
  <c r="J160" i="5" s="1"/>
  <c r="I78" i="5"/>
  <c r="D112" i="5"/>
  <c r="F156" i="5"/>
  <c r="H76" i="5"/>
  <c r="I115" i="5"/>
  <c r="J115" i="5" s="1"/>
  <c r="E198" i="5"/>
  <c r="D99" i="5"/>
  <c r="J195" i="5"/>
  <c r="J12" i="5"/>
  <c r="J28" i="5"/>
  <c r="J81" i="5"/>
  <c r="J45" i="5"/>
  <c r="J88" i="5"/>
  <c r="J168" i="5"/>
  <c r="J40" i="5"/>
  <c r="J156" i="5"/>
  <c r="J175" i="5"/>
  <c r="H116" i="5"/>
  <c r="H103" i="5"/>
  <c r="D96" i="5"/>
  <c r="D44" i="5"/>
  <c r="E69" i="5"/>
  <c r="H23" i="5"/>
  <c r="D197" i="5"/>
  <c r="H199" i="5"/>
  <c r="I18" i="5"/>
  <c r="J18" i="5" s="1"/>
  <c r="E100" i="5"/>
  <c r="I144" i="5"/>
  <c r="I104" i="5"/>
  <c r="E73" i="5"/>
  <c r="I19" i="5"/>
  <c r="H105" i="5"/>
  <c r="D130" i="5"/>
  <c r="F145" i="5"/>
  <c r="H51" i="5"/>
  <c r="H88" i="5"/>
  <c r="F3" i="5"/>
  <c r="H65" i="5"/>
  <c r="I126" i="5"/>
  <c r="I163" i="5"/>
  <c r="D168" i="5"/>
  <c r="E132" i="5"/>
  <c r="E148" i="5"/>
  <c r="F96" i="5"/>
  <c r="D116" i="5"/>
  <c r="D171" i="5"/>
  <c r="D137" i="5"/>
  <c r="F63" i="5"/>
  <c r="I64" i="5"/>
  <c r="J64" i="5" s="1"/>
  <c r="D136" i="5"/>
  <c r="E118" i="5"/>
  <c r="D178" i="5"/>
  <c r="F25" i="5"/>
  <c r="E22" i="5"/>
  <c r="I171" i="5"/>
  <c r="J171" i="5" s="1"/>
  <c r="E99" i="5"/>
  <c r="H147" i="5"/>
  <c r="H131" i="5"/>
  <c r="F102" i="5"/>
  <c r="F77" i="5"/>
  <c r="E195" i="5"/>
  <c r="E14" i="5"/>
  <c r="I189" i="5"/>
  <c r="J189" i="5" s="1"/>
  <c r="D121" i="5"/>
  <c r="D60" i="5"/>
  <c r="D77" i="5"/>
  <c r="D193" i="5"/>
  <c r="H123" i="5"/>
  <c r="E130" i="5"/>
  <c r="E66" i="5"/>
  <c r="J91" i="5"/>
  <c r="J63" i="5"/>
  <c r="J158" i="5"/>
  <c r="J173" i="5"/>
  <c r="J78" i="5"/>
  <c r="J59" i="5"/>
  <c r="J126" i="5"/>
  <c r="J182" i="5"/>
  <c r="J145" i="5"/>
  <c r="J128" i="5"/>
  <c r="I13" i="5"/>
  <c r="J13" i="5" s="1"/>
  <c r="I33" i="5"/>
  <c r="J33" i="5" s="1"/>
  <c r="D13" i="5"/>
  <c r="E81" i="5"/>
  <c r="I72" i="5"/>
  <c r="D78" i="5"/>
  <c r="F60" i="5"/>
  <c r="I141" i="5"/>
  <c r="I178" i="5"/>
  <c r="E52" i="5"/>
  <c r="H14" i="5"/>
  <c r="H72" i="5"/>
  <c r="I8" i="5"/>
  <c r="J8" i="5" s="1"/>
  <c r="E171" i="5"/>
  <c r="D186" i="5"/>
  <c r="I199" i="5"/>
  <c r="J199" i="5" s="1"/>
  <c r="E119" i="5"/>
  <c r="E46" i="5"/>
  <c r="F12" i="5"/>
  <c r="E110" i="5"/>
  <c r="D122" i="5"/>
  <c r="E179" i="5"/>
  <c r="F57" i="5"/>
  <c r="E55" i="5"/>
  <c r="E101" i="5"/>
  <c r="D154" i="5"/>
  <c r="D139" i="5"/>
  <c r="F51" i="5"/>
  <c r="H12" i="5"/>
  <c r="D103" i="5"/>
  <c r="I153" i="5"/>
  <c r="I186" i="5"/>
  <c r="D10" i="5"/>
  <c r="H161" i="5"/>
  <c r="H119" i="5"/>
  <c r="D52" i="5"/>
  <c r="I46" i="5"/>
  <c r="J46" i="5" s="1"/>
  <c r="F33" i="5"/>
  <c r="E90" i="5"/>
  <c r="F68" i="5"/>
  <c r="I134" i="5"/>
  <c r="J134" i="5" s="1"/>
  <c r="D38" i="5"/>
  <c r="F47" i="5"/>
  <c r="F106" i="5"/>
  <c r="D165" i="5"/>
  <c r="H25" i="5"/>
  <c r="F175" i="5"/>
  <c r="F197" i="5"/>
  <c r="H162" i="5"/>
  <c r="H108" i="5"/>
  <c r="F118" i="5"/>
  <c r="F159" i="5"/>
  <c r="D24" i="5"/>
  <c r="E16" i="5"/>
  <c r="D64" i="5"/>
  <c r="I169" i="5"/>
  <c r="J169" i="5" s="1"/>
  <c r="J9" i="5"/>
  <c r="I161" i="5"/>
  <c r="J161" i="5" s="1"/>
  <c r="D39" i="5"/>
  <c r="F15" i="5"/>
  <c r="H165" i="5"/>
  <c r="F160" i="5"/>
  <c r="I166" i="5"/>
  <c r="I50" i="5"/>
  <c r="F174" i="5"/>
  <c r="I137" i="5"/>
  <c r="I123" i="5"/>
  <c r="F50" i="5"/>
  <c r="E29" i="5"/>
  <c r="H189" i="5"/>
  <c r="E113" i="5"/>
  <c r="D61" i="5"/>
  <c r="F19" i="5"/>
  <c r="F157" i="5"/>
  <c r="F127" i="5"/>
  <c r="D179" i="5"/>
  <c r="F85" i="5"/>
  <c r="I87" i="5"/>
  <c r="J87" i="5" s="1"/>
  <c r="F69" i="5"/>
  <c r="E49" i="5"/>
  <c r="I191" i="5"/>
  <c r="F76" i="5"/>
  <c r="E21" i="5"/>
  <c r="F135" i="5"/>
  <c r="E43" i="5"/>
  <c r="H92" i="5"/>
  <c r="I185" i="5"/>
  <c r="H24" i="5"/>
  <c r="I154" i="5"/>
  <c r="I65" i="5"/>
  <c r="J65" i="5" s="1"/>
  <c r="J84" i="5"/>
  <c r="J191" i="5"/>
  <c r="J143" i="5"/>
  <c r="E94" i="5"/>
  <c r="E124" i="5"/>
  <c r="E181" i="5"/>
  <c r="F150" i="5"/>
  <c r="F26" i="5"/>
  <c r="E165" i="5"/>
  <c r="H191" i="5"/>
  <c r="D19" i="5"/>
  <c r="H47" i="5"/>
  <c r="D104" i="5"/>
  <c r="I23" i="5"/>
  <c r="H42" i="5"/>
  <c r="D43" i="5"/>
  <c r="I194" i="5"/>
  <c r="H115" i="5"/>
  <c r="H141" i="5"/>
  <c r="E23" i="5"/>
  <c r="D164" i="5"/>
  <c r="H50" i="5"/>
  <c r="D148" i="5"/>
  <c r="I69" i="5"/>
  <c r="J69" i="5" s="1"/>
  <c r="H138" i="5"/>
  <c r="F59" i="5"/>
  <c r="J49" i="5"/>
  <c r="J42" i="5"/>
  <c r="J17" i="5"/>
  <c r="E183" i="5"/>
  <c r="I164" i="5"/>
  <c r="H91" i="5"/>
  <c r="D68" i="5"/>
  <c r="J34" i="5"/>
  <c r="J146" i="5"/>
  <c r="F110" i="5"/>
  <c r="I10" i="5"/>
  <c r="J10" i="5" s="1"/>
  <c r="D23" i="5"/>
  <c r="E112" i="5"/>
  <c r="I149" i="5"/>
  <c r="D9" i="5"/>
  <c r="J193" i="5"/>
  <c r="J148" i="5"/>
  <c r="J25" i="5"/>
  <c r="F166" i="5"/>
  <c r="D29" i="5"/>
  <c r="I7" i="5"/>
  <c r="J7" i="5" s="1"/>
  <c r="I83" i="5"/>
  <c r="J83" i="5" s="1"/>
  <c r="E18" i="5"/>
  <c r="J154" i="5"/>
  <c r="J121" i="5"/>
  <c r="H70" i="5"/>
  <c r="E36" i="5"/>
  <c r="H62" i="5"/>
  <c r="H45" i="5"/>
  <c r="E70" i="5"/>
  <c r="E145" i="5"/>
  <c r="H28" i="5"/>
  <c r="F176" i="5"/>
  <c r="H157" i="5"/>
  <c r="F111" i="5"/>
  <c r="D100" i="5"/>
  <c r="E74" i="5"/>
  <c r="E131" i="5"/>
  <c r="D97" i="5"/>
  <c r="F133" i="5"/>
  <c r="E19" i="5"/>
  <c r="D85" i="5"/>
  <c r="F4" i="5"/>
  <c r="E186" i="5"/>
  <c r="I188" i="5"/>
  <c r="J188" i="5" s="1"/>
  <c r="F121" i="5"/>
  <c r="I122" i="5"/>
  <c r="J122" i="5" s="1"/>
  <c r="E126" i="5"/>
  <c r="H185" i="5"/>
  <c r="I37" i="5"/>
  <c r="J37" i="5" s="1"/>
  <c r="H99" i="5"/>
  <c r="D108" i="5"/>
  <c r="I44" i="5"/>
  <c r="H140" i="5"/>
  <c r="F105" i="5"/>
  <c r="E41" i="5"/>
  <c r="F28" i="5"/>
  <c r="H171" i="5"/>
  <c r="J194" i="5"/>
  <c r="J167" i="5"/>
  <c r="J174" i="5"/>
  <c r="J198" i="5"/>
  <c r="J150" i="5"/>
  <c r="J140" i="5"/>
  <c r="J74" i="5"/>
  <c r="J23" i="5"/>
  <c r="J104" i="5"/>
  <c r="D138" i="5"/>
  <c r="F97" i="5"/>
  <c r="H38" i="5"/>
  <c r="H150" i="5"/>
  <c r="I70" i="5"/>
  <c r="J70" i="5" s="1"/>
  <c r="F80" i="5"/>
  <c r="D81" i="5"/>
  <c r="H154" i="5"/>
  <c r="D67" i="5"/>
  <c r="D156" i="5"/>
  <c r="I66" i="5"/>
  <c r="F113" i="5"/>
  <c r="J151" i="5"/>
  <c r="J120" i="5"/>
  <c r="F189" i="5"/>
  <c r="I172" i="5"/>
  <c r="E78" i="5"/>
  <c r="H34" i="5"/>
  <c r="F115" i="5"/>
  <c r="F81" i="5"/>
  <c r="E170" i="5"/>
  <c r="F144" i="5"/>
  <c r="F21" i="5"/>
  <c r="J162" i="5"/>
  <c r="F98" i="5"/>
  <c r="D120" i="5"/>
  <c r="F30" i="5"/>
  <c r="D160" i="5"/>
  <c r="E153" i="5"/>
  <c r="I61" i="5"/>
  <c r="J61" i="5" s="1"/>
  <c r="D105" i="5"/>
  <c r="J127" i="5"/>
  <c r="I190" i="5"/>
  <c r="J190" i="5" s="1"/>
  <c r="J44" i="5"/>
  <c r="J131" i="5"/>
  <c r="I110" i="5"/>
  <c r="J110" i="5" s="1"/>
  <c r="E149" i="5"/>
  <c r="I187" i="5"/>
  <c r="J187" i="5" s="1"/>
  <c r="F11" i="5"/>
  <c r="D20" i="5"/>
  <c r="J19" i="5"/>
  <c r="F100" i="5"/>
  <c r="H121" i="5"/>
  <c r="I86" i="5"/>
  <c r="H30" i="5"/>
  <c r="H169" i="5"/>
  <c r="D190" i="5"/>
  <c r="E158" i="5"/>
  <c r="D86" i="5"/>
  <c r="H179" i="5"/>
  <c r="F84" i="5"/>
  <c r="F31" i="5"/>
  <c r="D115" i="5"/>
  <c r="D71" i="5"/>
  <c r="E190" i="5"/>
  <c r="E140" i="5"/>
  <c r="F165" i="5"/>
  <c r="E117" i="5"/>
  <c r="F38" i="5"/>
  <c r="F40" i="5"/>
  <c r="E197" i="5"/>
  <c r="F16" i="5"/>
  <c r="H176" i="5"/>
  <c r="D63" i="5"/>
  <c r="E7" i="5"/>
  <c r="H78" i="5"/>
  <c r="F179" i="5"/>
  <c r="H97" i="5"/>
  <c r="H63" i="5"/>
  <c r="F180" i="5"/>
  <c r="E6" i="5"/>
  <c r="E93" i="5"/>
  <c r="I26" i="5"/>
  <c r="J26" i="5" s="1"/>
  <c r="D150" i="5"/>
  <c r="D114" i="5"/>
  <c r="D140" i="5"/>
  <c r="J170" i="5"/>
  <c r="J119" i="5"/>
  <c r="J90" i="5"/>
  <c r="J123" i="5"/>
  <c r="J95" i="5"/>
  <c r="J15" i="5"/>
  <c r="J164" i="5"/>
  <c r="J192" i="5"/>
  <c r="J125" i="5"/>
  <c r="J60" i="5"/>
  <c r="J177" i="5"/>
  <c r="E10" i="5"/>
  <c r="I41" i="5"/>
  <c r="J41" i="5" s="1"/>
  <c r="D149" i="5"/>
  <c r="J197" i="5"/>
  <c r="J181" i="5"/>
  <c r="J94" i="5"/>
  <c r="J36" i="5"/>
  <c r="J117" i="5"/>
  <c r="J185" i="5"/>
  <c r="J186" i="5"/>
  <c r="F187" i="5"/>
  <c r="F124" i="5"/>
  <c r="E17" i="5"/>
  <c r="E120" i="5"/>
  <c r="H109" i="5"/>
  <c r="E9" i="5"/>
  <c r="J139" i="5"/>
  <c r="J163" i="5"/>
  <c r="J166" i="5"/>
  <c r="J106" i="5"/>
  <c r="J136" i="5"/>
  <c r="J141" i="5"/>
  <c r="E65" i="5"/>
  <c r="E128" i="5"/>
  <c r="D32" i="5"/>
  <c r="D59" i="5"/>
  <c r="D26" i="5"/>
  <c r="J155" i="5"/>
  <c r="J109" i="5"/>
  <c r="J76" i="5"/>
  <c r="D62" i="5"/>
  <c r="H54" i="5"/>
  <c r="H19" i="5"/>
  <c r="H93" i="5"/>
  <c r="E180" i="5"/>
  <c r="H43" i="5"/>
  <c r="H85" i="5"/>
  <c r="D196" i="5"/>
  <c r="I53" i="5"/>
  <c r="J53" i="5" s="1"/>
  <c r="I39" i="5"/>
  <c r="J39" i="5" s="1"/>
  <c r="F136" i="5"/>
  <c r="F131" i="5"/>
  <c r="J38" i="5"/>
  <c r="J153" i="5"/>
  <c r="H56" i="5"/>
  <c r="E169" i="5"/>
  <c r="E37" i="5"/>
  <c r="I157" i="5"/>
  <c r="J157" i="5" s="1"/>
  <c r="I47" i="5"/>
  <c r="J47" i="5" s="1"/>
  <c r="F70" i="5"/>
  <c r="F146" i="5"/>
  <c r="J66" i="5"/>
  <c r="J137" i="5"/>
  <c r="H110" i="5"/>
  <c r="I116" i="5"/>
  <c r="E127" i="5"/>
  <c r="D55" i="5"/>
  <c r="H35" i="5"/>
  <c r="F125" i="5"/>
  <c r="I54" i="5"/>
  <c r="J54" i="5" s="1"/>
  <c r="E35" i="5"/>
  <c r="D192" i="5"/>
  <c r="H80" i="5"/>
  <c r="E30" i="5"/>
  <c r="D144" i="5"/>
  <c r="D42" i="5"/>
  <c r="F91" i="5"/>
  <c r="D195" i="5"/>
  <c r="I80" i="5"/>
  <c r="J80" i="5" s="1"/>
  <c r="I77" i="5"/>
  <c r="J77" i="5" s="1"/>
  <c r="H17" i="5"/>
  <c r="I135" i="5"/>
  <c r="J135" i="5" s="1"/>
  <c r="E108" i="5"/>
  <c r="E147" i="5"/>
  <c r="E122" i="5"/>
  <c r="E83" i="5"/>
  <c r="H163" i="5"/>
  <c r="H31" i="5"/>
  <c r="H77" i="5"/>
  <c r="D118" i="5"/>
  <c r="F94" i="5"/>
  <c r="I16" i="5"/>
  <c r="J16" i="5" s="1"/>
  <c r="F141" i="5"/>
  <c r="I6" i="5"/>
  <c r="J6" i="5" s="1"/>
  <c r="D161" i="5"/>
  <c r="H167" i="5"/>
  <c r="E164" i="5"/>
  <c r="D175" i="5"/>
  <c r="E176" i="5"/>
  <c r="D163" i="5"/>
  <c r="D93" i="5"/>
  <c r="I93" i="5"/>
  <c r="J93" i="5" s="1"/>
  <c r="H71" i="5"/>
  <c r="E167" i="5"/>
  <c r="J159" i="5"/>
  <c r="J138" i="5"/>
  <c r="J116" i="5"/>
  <c r="J144" i="5"/>
  <c r="J196" i="5"/>
  <c r="J149" i="5"/>
  <c r="J172" i="5"/>
  <c r="J152" i="5"/>
  <c r="J99" i="5"/>
  <c r="J75" i="5"/>
  <c r="I20" i="5"/>
  <c r="H100" i="5"/>
  <c r="I108" i="5"/>
  <c r="J108" i="5" s="1"/>
  <c r="H83" i="5"/>
  <c r="E40" i="5"/>
  <c r="F58" i="5"/>
  <c r="H132" i="5"/>
  <c r="F122" i="5"/>
  <c r="I132" i="5"/>
  <c r="J132" i="5" s="1"/>
  <c r="E185" i="5"/>
  <c r="H188" i="5"/>
  <c r="E192" i="5"/>
  <c r="E116" i="5"/>
  <c r="H29" i="5"/>
  <c r="H59" i="5"/>
  <c r="I14" i="5"/>
  <c r="J14" i="5" s="1"/>
  <c r="H107" i="5"/>
  <c r="F152" i="5"/>
  <c r="E72" i="5"/>
  <c r="E106" i="5"/>
  <c r="F198" i="5"/>
  <c r="D119" i="5"/>
  <c r="F112" i="5"/>
  <c r="E189" i="5"/>
  <c r="F171" i="5"/>
  <c r="I24" i="5"/>
  <c r="J24" i="5" s="1"/>
  <c r="E175" i="5"/>
  <c r="E42" i="5"/>
  <c r="H111" i="5"/>
  <c r="F27" i="5"/>
  <c r="F43" i="5"/>
  <c r="E24" i="5"/>
  <c r="I57" i="5"/>
  <c r="J57" i="5" s="1"/>
  <c r="E51" i="5"/>
  <c r="E87" i="5"/>
  <c r="D14" i="5"/>
  <c r="I111" i="5"/>
  <c r="J111" i="5" s="1"/>
  <c r="J5" i="5"/>
  <c r="J72" i="5"/>
  <c r="J86" i="5"/>
  <c r="J102" i="5"/>
  <c r="J20" i="5"/>
  <c r="J22" i="5"/>
  <c r="F9" i="5"/>
  <c r="J73" i="5"/>
  <c r="J62" i="5"/>
  <c r="I129" i="5"/>
  <c r="J129" i="5" s="1"/>
  <c r="D102" i="5"/>
  <c r="D33" i="5"/>
  <c r="E89" i="5"/>
  <c r="D94" i="5"/>
  <c r="D69" i="5"/>
  <c r="I133" i="5"/>
  <c r="J133" i="5" s="1"/>
  <c r="H44" i="5"/>
  <c r="H66" i="5"/>
  <c r="J178" i="5"/>
  <c r="J32" i="5"/>
  <c r="AE109" i="2" l="1"/>
  <c r="AE128" i="2"/>
  <c r="AE145" i="2"/>
  <c r="AE177" i="2"/>
  <c r="AE104" i="2"/>
  <c r="AE180" i="2"/>
  <c r="AE176" i="2"/>
  <c r="AE174" i="2"/>
  <c r="AE187" i="2"/>
  <c r="AE146" i="2"/>
  <c r="AE170" i="2"/>
  <c r="AE167" i="2"/>
  <c r="AE158" i="2"/>
  <c r="AE196" i="2"/>
  <c r="AE51" i="2"/>
  <c r="AE130" i="2"/>
  <c r="AE181" i="2"/>
  <c r="AE188" i="2"/>
  <c r="AE131" i="2"/>
  <c r="AE168" i="2"/>
  <c r="AE156" i="2"/>
  <c r="AE141" i="2"/>
  <c r="AE149" i="2"/>
  <c r="AE114" i="2"/>
  <c r="AE172" i="2"/>
  <c r="AE67" i="2"/>
  <c r="AE98" i="2"/>
  <c r="AE138" i="2"/>
  <c r="AE127" i="2"/>
  <c r="AE175" i="2"/>
  <c r="AE16" i="2"/>
  <c r="AE70" i="2"/>
  <c r="AE55" i="2"/>
  <c r="AE118" i="2"/>
  <c r="AE29" i="2"/>
  <c r="AE19" i="2"/>
  <c r="AE20" i="2"/>
  <c r="AE90" i="2"/>
  <c r="AE43" i="2"/>
  <c r="AE74" i="2"/>
  <c r="AE111" i="2"/>
  <c r="AE185" i="2"/>
  <c r="AE119" i="2"/>
  <c r="AE140" i="2"/>
  <c r="AE22" i="2"/>
  <c r="AE9" i="2"/>
  <c r="AE64" i="2"/>
  <c r="AE164" i="2"/>
  <c r="AE38" i="2"/>
  <c r="AE124" i="2"/>
  <c r="AE105" i="2"/>
  <c r="AE83" i="2"/>
  <c r="AE10" i="2"/>
  <c r="AE137" i="2"/>
  <c r="AE162" i="2"/>
  <c r="AE122" i="2"/>
  <c r="AE86" i="2"/>
  <c r="AE161" i="2"/>
  <c r="AE133" i="2"/>
  <c r="AE150" i="2"/>
  <c r="AE89" i="2"/>
  <c r="AE69" i="2"/>
  <c r="AE15" i="2"/>
  <c r="AE44" i="2"/>
  <c r="AE63" i="2"/>
  <c r="AE41" i="2"/>
  <c r="AE71" i="2"/>
  <c r="AE125" i="2"/>
  <c r="AE61" i="2"/>
  <c r="AE117" i="2"/>
  <c r="AE126" i="2"/>
  <c r="AE77" i="2"/>
  <c r="AE31" i="2"/>
  <c r="AE143" i="2"/>
  <c r="AE46" i="2"/>
  <c r="AE142" i="2"/>
  <c r="AE81" i="2"/>
  <c r="AE82" i="2"/>
  <c r="AE94" i="2"/>
  <c r="AE59" i="2"/>
  <c r="AE68" i="2"/>
  <c r="AE134" i="2"/>
  <c r="AE166" i="2"/>
  <c r="AE96" i="2"/>
  <c r="AE72" i="2"/>
  <c r="AE103" i="2"/>
  <c r="AE78" i="2"/>
  <c r="AE32" i="2"/>
  <c r="AE12" i="2"/>
  <c r="AE93" i="2"/>
  <c r="AE34" i="2"/>
  <c r="AE80" i="2"/>
  <c r="AE165" i="2"/>
  <c r="AE101" i="2"/>
  <c r="AE30" i="2"/>
  <c r="AE169" i="2"/>
  <c r="AE87" i="2"/>
  <c r="AE100" i="2"/>
  <c r="AE65" i="2"/>
  <c r="AE157" i="2"/>
  <c r="AE24" i="2"/>
  <c r="AE144" i="2"/>
  <c r="AE48" i="2"/>
  <c r="AE18" i="2"/>
  <c r="AE6" i="2"/>
  <c r="AE192" i="2"/>
  <c r="AE42" i="2"/>
  <c r="AE52" i="2"/>
  <c r="AE73" i="2"/>
  <c r="AE99" i="2"/>
  <c r="AE37" i="2"/>
  <c r="AE191" i="2"/>
  <c r="AE4" i="2"/>
  <c r="AE88" i="2"/>
  <c r="AE97" i="2"/>
  <c r="AE135" i="2"/>
  <c r="AE49" i="2"/>
  <c r="AE8" i="2"/>
  <c r="AE27" i="2"/>
  <c r="AE194" i="2"/>
  <c r="AE7" i="2"/>
  <c r="AE179" i="2"/>
  <c r="AE153" i="2"/>
  <c r="AE91" i="2"/>
  <c r="AE139" i="2"/>
  <c r="AE183" i="2"/>
  <c r="AE26" i="2"/>
  <c r="AE17" i="2"/>
  <c r="AE121" i="2"/>
  <c r="AE54" i="2"/>
  <c r="AE155" i="2"/>
  <c r="AE57" i="2"/>
  <c r="AE35" i="2"/>
  <c r="AE171" i="2"/>
  <c r="AE50" i="2"/>
  <c r="AE58" i="2"/>
  <c r="AE178" i="2"/>
  <c r="AE11" i="2"/>
  <c r="AE75" i="2"/>
  <c r="AE92" i="2"/>
  <c r="AE189" i="2"/>
  <c r="AE79" i="2"/>
  <c r="AE147" i="2"/>
  <c r="AE120" i="2"/>
  <c r="AE21" i="2"/>
  <c r="AE154" i="2"/>
  <c r="AE186" i="2"/>
  <c r="AE106" i="2"/>
  <c r="AE62" i="2"/>
  <c r="AE112" i="2"/>
  <c r="AE36" i="2"/>
  <c r="AE45" i="2"/>
  <c r="AE56" i="2"/>
  <c r="AE160" i="2"/>
  <c r="AE47" i="2"/>
  <c r="AE53" i="2"/>
  <c r="AE95" i="2"/>
  <c r="AE60" i="2"/>
  <c r="AE39" i="2"/>
  <c r="AE23" i="2"/>
  <c r="AE148" i="2"/>
  <c r="AE28" i="2"/>
  <c r="AE66" i="2"/>
  <c r="AE40" i="2"/>
  <c r="AE193" i="2"/>
  <c r="AE85" i="2"/>
  <c r="AE123" i="2"/>
  <c r="AE184" i="2"/>
  <c r="AE13" i="2"/>
  <c r="AE182" i="2"/>
  <c r="AE132" i="2"/>
  <c r="AE173" i="2"/>
  <c r="AE115" i="2"/>
  <c r="AE163" i="2"/>
  <c r="AE152" i="2"/>
  <c r="AE14" i="2"/>
  <c r="AE108" i="2"/>
  <c r="AE5" i="2"/>
  <c r="AE25" i="2"/>
  <c r="AE197" i="2"/>
  <c r="AE33" i="2"/>
  <c r="AE195" i="2"/>
  <c r="AE84" i="2"/>
  <c r="AE76" i="2"/>
  <c r="AE116" i="2"/>
  <c r="AE107" i="2"/>
  <c r="AE151" i="2"/>
  <c r="AE129" i="2"/>
  <c r="AE190" i="2"/>
  <c r="AE198" i="2"/>
  <c r="AE110" i="2"/>
  <c r="AE159" i="2"/>
  <c r="AE102" i="2"/>
  <c r="AE200" i="2"/>
  <c r="AE136" i="2"/>
  <c r="AE113" i="2"/>
  <c r="AE199" i="2"/>
  <c r="AD199" i="2"/>
  <c r="J50" i="5"/>
  <c r="J68" i="5"/>
  <c r="J183" i="5"/>
  <c r="AD142" i="2" l="1"/>
  <c r="AD157" i="2"/>
  <c r="AD189" i="2"/>
  <c r="AD97" i="2"/>
  <c r="AD173" i="2"/>
  <c r="AD115" i="2"/>
  <c r="AD114" i="2"/>
  <c r="AD74" i="2"/>
  <c r="AD61" i="2"/>
  <c r="AD186" i="2"/>
  <c r="AD78" i="2"/>
  <c r="AD124" i="2"/>
  <c r="AD164" i="2"/>
  <c r="AD184" i="2"/>
  <c r="AD146" i="2"/>
  <c r="AD53" i="2"/>
  <c r="AD160" i="2"/>
  <c r="AD165" i="2"/>
  <c r="AD187" i="2"/>
  <c r="AD13" i="2"/>
  <c r="AD110" i="2"/>
  <c r="AD84" i="2"/>
  <c r="AD143" i="2"/>
  <c r="AD190" i="2"/>
  <c r="AD197" i="2"/>
  <c r="AD107" i="2"/>
  <c r="AD138" i="2"/>
  <c r="AD147" i="2"/>
  <c r="AD153" i="2"/>
  <c r="AD177" i="2"/>
  <c r="AD96" i="2"/>
  <c r="AD25" i="2"/>
  <c r="AD8" i="2"/>
  <c r="AD82" i="2"/>
  <c r="AD72" i="2"/>
  <c r="AD70" i="2"/>
  <c r="AD159" i="2"/>
  <c r="AD161" i="2"/>
  <c r="AD145" i="2"/>
  <c r="AD171" i="2"/>
  <c r="AD144" i="2"/>
  <c r="AD36" i="2"/>
  <c r="AD154" i="2"/>
  <c r="AD188" i="2"/>
  <c r="AD191" i="2"/>
  <c r="AD185" i="2"/>
  <c r="AD168" i="2"/>
  <c r="AD122" i="2"/>
  <c r="AD60" i="2"/>
  <c r="AD129" i="2"/>
  <c r="AD158" i="2"/>
  <c r="AD77" i="2"/>
  <c r="AD88" i="2"/>
  <c r="AD4" i="2"/>
  <c r="AD182" i="2"/>
  <c r="AD68" i="2"/>
  <c r="AD89" i="2"/>
  <c r="AD137" i="2"/>
  <c r="AD59" i="2"/>
  <c r="AD195" i="2"/>
  <c r="AD135" i="2"/>
  <c r="AD14" i="2"/>
  <c r="AD79" i="2"/>
  <c r="AD102" i="2"/>
  <c r="AD49" i="2"/>
  <c r="AD193" i="2"/>
  <c r="AD34" i="2"/>
  <c r="AD27" i="2"/>
  <c r="AD136" i="2"/>
  <c r="AD66" i="2"/>
  <c r="AD32" i="2"/>
  <c r="AD139" i="2"/>
  <c r="AD167" i="2"/>
  <c r="AD99" i="2"/>
  <c r="AD45" i="2"/>
  <c r="AD54" i="2"/>
  <c r="AD170" i="2"/>
  <c r="AD90" i="2"/>
  <c r="AD141" i="2"/>
  <c r="AD105" i="2"/>
  <c r="AD30" i="2"/>
  <c r="AD95" i="2"/>
  <c r="AD194" i="2"/>
  <c r="AD56" i="2"/>
  <c r="AD140" i="2"/>
  <c r="AD100" i="2"/>
  <c r="AD86" i="2"/>
  <c r="AD155" i="2"/>
  <c r="AD98" i="2"/>
  <c r="AD176" i="2"/>
  <c r="AD148" i="2"/>
  <c r="AD19" i="2"/>
  <c r="AD64" i="2"/>
  <c r="AD120" i="2"/>
  <c r="AD192" i="2"/>
  <c r="AD111" i="2"/>
  <c r="AD10" i="2"/>
  <c r="AD104" i="2"/>
  <c r="AD163" i="2"/>
  <c r="AD183" i="2"/>
  <c r="AD101" i="2"/>
  <c r="AD35" i="2"/>
  <c r="AD94" i="2"/>
  <c r="AD166" i="2"/>
  <c r="AD71" i="2"/>
  <c r="AD151" i="2"/>
  <c r="AD24" i="2"/>
  <c r="AD6" i="2"/>
  <c r="AD11" i="2"/>
  <c r="AD47" i="2"/>
  <c r="AD23" i="2"/>
  <c r="AD126" i="2"/>
  <c r="AD198" i="2"/>
  <c r="AD125" i="2"/>
  <c r="AD62" i="2"/>
  <c r="AD12" i="2"/>
  <c r="AD162" i="2"/>
  <c r="AD200" i="2"/>
  <c r="AD178" i="2"/>
  <c r="AD15" i="2"/>
  <c r="AD113" i="2"/>
  <c r="AD196" i="2"/>
  <c r="AD85" i="2"/>
  <c r="AD103" i="2"/>
  <c r="AD119" i="2"/>
  <c r="AD181" i="2"/>
  <c r="AD55" i="2"/>
  <c r="AD81" i="2"/>
  <c r="AD116" i="2"/>
  <c r="AD174" i="2"/>
  <c r="AD112" i="2"/>
  <c r="AD63" i="2"/>
  <c r="AD133" i="2"/>
  <c r="AD41" i="2"/>
  <c r="AD152" i="2"/>
  <c r="AD46" i="2"/>
  <c r="AD51" i="2"/>
  <c r="AD118" i="2"/>
  <c r="AD134" i="2"/>
  <c r="AD9" i="2"/>
  <c r="AD26" i="2"/>
  <c r="AD91" i="2"/>
  <c r="AD31" i="2"/>
  <c r="AD75" i="2"/>
  <c r="AD87" i="2"/>
  <c r="AD156" i="2"/>
  <c r="AD130" i="2"/>
  <c r="AD123" i="2"/>
  <c r="AD7" i="2"/>
  <c r="AD37" i="2"/>
  <c r="AD73" i="2"/>
  <c r="AD108" i="2"/>
  <c r="AD127" i="2"/>
  <c r="AD69" i="2"/>
  <c r="AD18" i="2"/>
  <c r="AD29" i="2"/>
  <c r="AD44" i="2"/>
  <c r="AD76" i="2"/>
  <c r="AD67" i="2"/>
  <c r="AD21" i="2"/>
  <c r="AD65" i="2"/>
  <c r="AD93" i="2"/>
  <c r="AD121" i="2"/>
  <c r="AD43" i="2"/>
  <c r="AD28" i="2"/>
  <c r="AD22" i="2"/>
  <c r="AD50" i="2"/>
  <c r="AD42" i="2"/>
  <c r="AD40" i="2"/>
  <c r="AD33" i="2"/>
  <c r="AD38" i="2"/>
  <c r="AD20" i="2"/>
  <c r="AD16" i="2"/>
  <c r="AD109" i="2"/>
  <c r="AD5" i="2"/>
  <c r="AD58" i="2"/>
  <c r="AD132" i="2"/>
  <c r="AD179" i="2"/>
  <c r="AD172" i="2"/>
  <c r="AD52" i="2"/>
  <c r="AD80" i="2"/>
  <c r="AD117" i="2"/>
  <c r="AD128" i="2"/>
  <c r="AD48" i="2"/>
  <c r="AD169" i="2"/>
  <c r="AD17" i="2"/>
  <c r="AD131" i="2"/>
  <c r="AD92" i="2"/>
  <c r="AD106" i="2"/>
  <c r="AD149" i="2"/>
  <c r="AD180" i="2"/>
  <c r="AD39" i="2"/>
  <c r="AD150" i="2"/>
  <c r="AD175" i="2"/>
  <c r="AD57" i="2"/>
  <c r="AD83" i="2"/>
  <c r="BF76" i="2" l="1"/>
  <c r="BE76" i="2"/>
  <c r="BE23" i="2"/>
  <c r="BF23" i="2"/>
  <c r="BF58" i="2"/>
  <c r="BE58" i="2"/>
  <c r="BE191" i="2"/>
  <c r="BF191" i="2"/>
  <c r="BF32" i="2"/>
  <c r="BE32" i="2"/>
  <c r="BF74" i="2"/>
  <c r="BE74" i="2"/>
  <c r="BE75" i="2"/>
  <c r="BF75" i="2"/>
  <c r="BE155" i="2"/>
  <c r="BF155" i="2"/>
  <c r="BE153" i="2"/>
  <c r="BF153" i="2"/>
  <c r="BF97" i="2"/>
  <c r="BE97" i="2"/>
  <c r="BF42" i="2"/>
  <c r="BE42" i="2"/>
  <c r="BF65" i="2"/>
  <c r="BE65" i="2"/>
  <c r="BF34" i="2"/>
  <c r="BE34" i="2"/>
  <c r="BE166" i="2"/>
  <c r="BF166" i="2"/>
  <c r="BE46" i="2"/>
  <c r="BF46" i="2"/>
  <c r="BE71" i="2"/>
  <c r="BF71" i="2"/>
  <c r="BF133" i="2"/>
  <c r="BE133" i="2"/>
  <c r="BE105" i="2"/>
  <c r="BF105" i="2"/>
  <c r="BF119" i="2"/>
  <c r="BE119" i="2"/>
  <c r="BF29" i="2"/>
  <c r="BE29" i="2"/>
  <c r="BF98" i="2"/>
  <c r="BF131" i="2"/>
  <c r="BE131" i="2"/>
  <c r="BF170" i="2"/>
  <c r="BE170" i="2"/>
  <c r="BE145" i="2"/>
  <c r="BF145" i="2"/>
  <c r="BF14" i="2"/>
  <c r="BE14" i="2"/>
  <c r="BF45" i="2"/>
  <c r="BE45" i="2"/>
  <c r="BF17" i="2"/>
  <c r="BE17" i="2"/>
  <c r="BF18" i="2"/>
  <c r="BE18" i="2"/>
  <c r="BE164" i="2"/>
  <c r="BF164" i="2"/>
  <c r="BF114" i="2"/>
  <c r="BE114" i="2"/>
  <c r="BF198" i="2"/>
  <c r="BE198" i="2"/>
  <c r="BE79" i="2"/>
  <c r="BF79" i="2"/>
  <c r="BF183" i="2"/>
  <c r="BE183" i="2"/>
  <c r="BE99" i="2"/>
  <c r="BF99" i="2"/>
  <c r="BF101" i="2"/>
  <c r="BE101" i="2"/>
  <c r="BF82" i="2"/>
  <c r="BE82" i="2"/>
  <c r="BE69" i="2"/>
  <c r="BF69" i="2"/>
  <c r="BF9" i="2"/>
  <c r="BE9" i="2"/>
  <c r="BF175" i="2"/>
  <c r="BE175" i="2"/>
  <c r="BF196" i="2"/>
  <c r="BE196" i="2"/>
  <c r="BF159" i="2"/>
  <c r="BE159" i="2"/>
  <c r="BE184" i="2"/>
  <c r="BF184" i="2"/>
  <c r="BE120" i="2"/>
  <c r="BF120" i="2"/>
  <c r="BE194" i="2"/>
  <c r="BF194" i="2"/>
  <c r="BF169" i="2"/>
  <c r="BE169" i="2"/>
  <c r="BE77" i="2"/>
  <c r="BF77" i="2"/>
  <c r="BF174" i="2"/>
  <c r="BE174" i="2"/>
  <c r="BE178" i="2"/>
  <c r="BF178" i="2"/>
  <c r="BE121" i="2"/>
  <c r="BF121" i="2"/>
  <c r="BF7" i="2"/>
  <c r="BE7" i="2"/>
  <c r="BF4" i="2"/>
  <c r="BE4" i="2"/>
  <c r="BF6" i="2"/>
  <c r="BE6" i="2"/>
  <c r="BF87" i="2"/>
  <c r="BE87" i="2"/>
  <c r="BF12" i="2"/>
  <c r="BE12" i="2"/>
  <c r="BE68" i="2"/>
  <c r="BF68" i="2"/>
  <c r="BF31" i="2"/>
  <c r="BE31" i="2"/>
  <c r="BF63" i="2"/>
  <c r="BE63" i="2"/>
  <c r="BE86" i="2"/>
  <c r="BF86" i="2"/>
  <c r="BF38" i="2"/>
  <c r="BE38" i="2"/>
  <c r="BE111" i="2"/>
  <c r="BF111" i="2"/>
  <c r="BF55" i="2"/>
  <c r="BE55" i="2"/>
  <c r="BE172" i="2"/>
  <c r="BF172" i="2"/>
  <c r="BE181" i="2"/>
  <c r="BF181" i="2"/>
  <c r="BE187" i="2"/>
  <c r="BF187" i="2"/>
  <c r="BF109" i="2"/>
  <c r="BE109" i="2"/>
  <c r="BE98" i="2"/>
  <c r="BE199" i="2"/>
  <c r="BF199" i="2"/>
  <c r="BF125" i="2"/>
  <c r="BE125" i="2"/>
  <c r="BF168" i="2"/>
  <c r="BE168" i="2"/>
  <c r="BE136" i="2"/>
  <c r="BF136" i="2"/>
  <c r="BF151" i="2"/>
  <c r="BE151" i="2"/>
  <c r="BE25" i="2"/>
  <c r="BF25" i="2"/>
  <c r="BF132" i="2"/>
  <c r="BE132" i="2"/>
  <c r="BF66" i="2"/>
  <c r="BE66" i="2"/>
  <c r="BE47" i="2"/>
  <c r="BF47" i="2"/>
  <c r="BF186" i="2"/>
  <c r="BE186" i="2"/>
  <c r="BF142" i="2"/>
  <c r="BE142" i="2"/>
  <c r="BF195" i="2"/>
  <c r="BE195" i="2"/>
  <c r="BF163" i="2"/>
  <c r="BE163" i="2"/>
  <c r="BE85" i="2"/>
  <c r="BF85" i="2"/>
  <c r="BE60" i="2"/>
  <c r="BF60" i="2"/>
  <c r="BE112" i="2"/>
  <c r="BF112" i="2"/>
  <c r="BE171" i="2"/>
  <c r="BF171" i="2"/>
  <c r="BE8" i="2"/>
  <c r="BF8" i="2"/>
  <c r="BF144" i="2"/>
  <c r="BE144" i="2"/>
  <c r="BF103" i="2"/>
  <c r="BE103" i="2"/>
  <c r="BE117" i="2"/>
  <c r="BF117" i="2"/>
  <c r="BE137" i="2"/>
  <c r="BF137" i="2"/>
  <c r="BF90" i="2"/>
  <c r="BE90" i="2"/>
  <c r="BE141" i="2"/>
  <c r="BF141" i="2"/>
  <c r="BE180" i="2"/>
  <c r="BF180" i="2"/>
  <c r="BF83" i="2"/>
  <c r="BE83" i="2"/>
  <c r="BF138" i="2"/>
  <c r="BE138" i="2"/>
  <c r="BE102" i="2"/>
  <c r="BF102" i="2"/>
  <c r="BF116" i="2"/>
  <c r="BE116" i="2"/>
  <c r="BF108" i="2"/>
  <c r="BE108" i="2"/>
  <c r="BE13" i="2"/>
  <c r="BF13" i="2"/>
  <c r="BF148" i="2"/>
  <c r="BE148" i="2"/>
  <c r="BF56" i="2"/>
  <c r="BE56" i="2"/>
  <c r="BE21" i="2"/>
  <c r="BF21" i="2"/>
  <c r="BF113" i="2"/>
  <c r="BE113" i="2"/>
  <c r="BF173" i="2"/>
  <c r="BE173" i="2"/>
  <c r="BE106" i="2"/>
  <c r="BF106" i="2"/>
  <c r="BF59" i="2"/>
  <c r="BE59" i="2"/>
  <c r="BF122" i="2"/>
  <c r="BE122" i="2"/>
  <c r="BF70" i="2"/>
  <c r="BE70" i="2"/>
  <c r="BF177" i="2"/>
  <c r="BE177" i="2"/>
  <c r="BE110" i="2"/>
  <c r="BF110" i="2"/>
  <c r="BF152" i="2"/>
  <c r="BE152" i="2"/>
  <c r="BE123" i="2"/>
  <c r="BF123" i="2"/>
  <c r="BE39" i="2"/>
  <c r="BF39" i="2"/>
  <c r="BE36" i="2"/>
  <c r="BF36" i="2"/>
  <c r="BF147" i="2"/>
  <c r="BE147" i="2"/>
  <c r="BE50" i="2"/>
  <c r="BF50" i="2"/>
  <c r="BE26" i="2"/>
  <c r="BF26" i="2"/>
  <c r="BE27" i="2"/>
  <c r="BF27" i="2"/>
  <c r="BE37" i="2"/>
  <c r="BF37" i="2"/>
  <c r="BF48" i="2"/>
  <c r="BE48" i="2"/>
  <c r="BF30" i="2"/>
  <c r="BE30" i="2"/>
  <c r="BF78" i="2"/>
  <c r="BE78" i="2"/>
  <c r="BF94" i="2"/>
  <c r="BE94" i="2"/>
  <c r="BF126" i="2"/>
  <c r="BE126" i="2"/>
  <c r="BF15" i="2"/>
  <c r="BE15" i="2"/>
  <c r="BF162" i="2"/>
  <c r="BE162" i="2"/>
  <c r="BF64" i="2"/>
  <c r="BE64" i="2"/>
  <c r="BF43" i="2"/>
  <c r="BE43" i="2"/>
  <c r="BE16" i="2"/>
  <c r="BF16" i="2"/>
  <c r="BF149" i="2"/>
  <c r="BE149" i="2"/>
  <c r="BF51" i="2"/>
  <c r="BE51" i="2"/>
  <c r="BF176" i="2"/>
  <c r="BE176" i="2"/>
  <c r="BE129" i="2"/>
  <c r="BF129" i="2"/>
  <c r="BF40" i="2"/>
  <c r="BE40" i="2"/>
  <c r="BE107" i="2"/>
  <c r="BF107" i="2"/>
  <c r="BE5" i="2"/>
  <c r="BF5" i="2"/>
  <c r="BF182" i="2"/>
  <c r="BE182" i="2"/>
  <c r="BF28" i="2"/>
  <c r="BE28" i="2"/>
  <c r="BF160" i="2"/>
  <c r="BE160" i="2"/>
  <c r="BF154" i="2"/>
  <c r="BE154" i="2"/>
  <c r="BF11" i="2"/>
  <c r="BE11" i="2"/>
  <c r="BE54" i="2"/>
  <c r="BF54" i="2"/>
  <c r="BE179" i="2"/>
  <c r="BF179" i="2"/>
  <c r="BE88" i="2"/>
  <c r="BF88" i="2"/>
  <c r="BE192" i="2"/>
  <c r="BF192" i="2"/>
  <c r="BF100" i="2"/>
  <c r="BE100" i="2"/>
  <c r="BF93" i="2"/>
  <c r="BE93" i="2"/>
  <c r="BE134" i="2"/>
  <c r="BF134" i="2"/>
  <c r="BE143" i="2"/>
  <c r="BF143" i="2"/>
  <c r="BE41" i="2"/>
  <c r="BF41" i="2"/>
  <c r="BE161" i="2"/>
  <c r="BF161" i="2"/>
  <c r="BE124" i="2"/>
  <c r="BF124" i="2"/>
  <c r="BF185" i="2"/>
  <c r="BE185" i="2"/>
  <c r="BE118" i="2"/>
  <c r="BF118" i="2"/>
  <c r="BF67" i="2"/>
  <c r="BE67" i="2"/>
  <c r="BE188" i="2"/>
  <c r="BF188" i="2"/>
  <c r="BE146" i="2"/>
  <c r="BF146" i="2"/>
  <c r="BE128" i="2"/>
  <c r="BF128" i="2"/>
  <c r="BF197" i="2"/>
  <c r="BE197" i="2"/>
  <c r="BF53" i="2"/>
  <c r="BE53" i="2"/>
  <c r="BF44" i="2"/>
  <c r="BE44" i="2"/>
  <c r="BF130" i="2"/>
  <c r="BE130" i="2"/>
  <c r="BE200" i="2"/>
  <c r="BF200" i="2"/>
  <c r="BE190" i="2"/>
  <c r="BF190" i="2"/>
  <c r="BF33" i="2"/>
  <c r="BE33" i="2"/>
  <c r="BE115" i="2"/>
  <c r="BF115" i="2"/>
  <c r="BF193" i="2"/>
  <c r="BE193" i="2"/>
  <c r="BE95" i="2"/>
  <c r="BF95" i="2"/>
  <c r="BF62" i="2"/>
  <c r="BE62" i="2"/>
  <c r="BF189" i="2"/>
  <c r="BE189" i="2"/>
  <c r="BE35" i="2"/>
  <c r="BF35" i="2"/>
  <c r="BF139" i="2"/>
  <c r="BE139" i="2"/>
  <c r="BE49" i="2"/>
  <c r="BF49" i="2"/>
  <c r="BE73" i="2"/>
  <c r="BF73" i="2"/>
  <c r="BF24" i="2"/>
  <c r="BE24" i="2"/>
  <c r="BF165" i="2"/>
  <c r="BE165" i="2"/>
  <c r="BF72" i="2"/>
  <c r="BE72" i="2"/>
  <c r="BE81" i="2"/>
  <c r="BF81" i="2"/>
  <c r="BE61" i="2"/>
  <c r="BF61" i="2"/>
  <c r="BF89" i="2"/>
  <c r="BE89" i="2"/>
  <c r="BE10" i="2"/>
  <c r="BF10" i="2"/>
  <c r="BF22" i="2"/>
  <c r="BE22" i="2"/>
  <c r="BF20" i="2"/>
  <c r="BE20" i="2"/>
  <c r="BF127" i="2"/>
  <c r="BE127" i="2"/>
  <c r="BF156" i="2"/>
  <c r="BE156" i="2"/>
  <c r="BE158" i="2"/>
  <c r="BF158" i="2"/>
  <c r="BE104" i="2"/>
  <c r="BF104" i="2"/>
  <c r="BE91" i="2"/>
  <c r="BF91" i="2"/>
  <c r="BF157" i="2"/>
  <c r="BE157" i="2"/>
  <c r="BF84" i="2"/>
  <c r="BE84" i="2"/>
  <c r="BE92" i="2"/>
  <c r="BF92" i="2"/>
  <c r="BE135" i="2"/>
  <c r="BF135" i="2"/>
  <c r="BF80" i="2"/>
  <c r="BE80" i="2"/>
  <c r="BE150" i="2"/>
  <c r="BF150" i="2"/>
  <c r="BE19" i="2"/>
  <c r="BF19" i="2"/>
  <c r="BF167" i="2"/>
  <c r="BE167" i="2"/>
  <c r="BF57" i="2"/>
  <c r="BE57" i="2"/>
  <c r="BE52" i="2"/>
  <c r="BF52" i="2"/>
  <c r="BF96" i="2"/>
  <c r="BE96" i="2"/>
  <c r="BF140" i="2"/>
  <c r="BE140" i="2"/>
  <c r="AH165" i="2"/>
  <c r="AY96" i="2"/>
  <c r="BO41" i="2"/>
  <c r="AH113" i="2"/>
  <c r="AN147" i="2"/>
  <c r="AM61" i="2"/>
  <c r="AY51" i="2"/>
  <c r="BR105" i="2"/>
  <c r="BI112" i="2"/>
  <c r="AY38" i="2"/>
  <c r="AN145" i="2"/>
  <c r="X75" i="2"/>
  <c r="BI136" i="2"/>
  <c r="BN160" i="2"/>
  <c r="BN129" i="2"/>
  <c r="BR148" i="2"/>
  <c r="BN11" i="2"/>
  <c r="BR94" i="2"/>
  <c r="X189" i="2"/>
  <c r="BN79" i="2"/>
  <c r="AM166" i="2"/>
  <c r="BR173" i="2"/>
  <c r="BI149" i="2"/>
  <c r="AN64" i="2"/>
  <c r="BI163" i="2"/>
  <c r="BO62" i="2"/>
  <c r="AH187" i="2"/>
  <c r="BR150" i="2"/>
  <c r="BR126" i="2"/>
  <c r="BR138" i="2"/>
  <c r="AY184" i="2"/>
  <c r="BI144" i="2"/>
  <c r="BI28" i="2"/>
  <c r="AH157" i="2"/>
  <c r="BO9" i="2"/>
  <c r="BI130" i="2"/>
  <c r="BR4" i="2"/>
  <c r="BI135" i="2"/>
  <c r="BN36" i="2"/>
  <c r="BN73" i="2"/>
  <c r="BR43" i="2"/>
  <c r="AM186" i="2"/>
  <c r="AM86" i="2"/>
  <c r="BO53" i="2"/>
  <c r="BR193" i="2"/>
  <c r="AM116" i="2"/>
  <c r="BI29" i="2"/>
  <c r="AY154" i="2"/>
  <c r="BN21" i="2"/>
  <c r="BO173" i="2"/>
  <c r="BR124" i="2"/>
  <c r="BN168" i="2"/>
  <c r="BO179" i="2"/>
  <c r="BN107" i="2"/>
  <c r="BI88" i="2"/>
  <c r="AM68" i="2"/>
  <c r="BR32" i="2"/>
  <c r="BO129" i="2"/>
  <c r="AM140" i="2"/>
  <c r="BI90" i="2"/>
  <c r="BN183" i="2"/>
  <c r="AY94" i="2"/>
  <c r="AN99" i="2"/>
  <c r="BO196" i="2"/>
  <c r="AN54" i="2"/>
  <c r="AH196" i="2"/>
  <c r="AM51" i="2"/>
  <c r="BO167" i="2"/>
  <c r="I159" i="2"/>
  <c r="BR66" i="2"/>
  <c r="I54" i="2"/>
  <c r="AY140" i="2"/>
  <c r="BI183" i="2"/>
  <c r="AH79" i="2"/>
  <c r="AM150" i="2"/>
  <c r="AN148" i="2"/>
  <c r="BI38" i="2"/>
  <c r="AM128" i="2"/>
  <c r="X171" i="2"/>
  <c r="I144" i="2"/>
  <c r="AY183" i="2"/>
  <c r="BN136" i="2"/>
  <c r="AY151" i="2"/>
  <c r="AN167" i="2"/>
  <c r="AN13" i="2"/>
  <c r="AH37" i="2"/>
  <c r="AH178" i="2"/>
  <c r="X162" i="2"/>
  <c r="BO153" i="2"/>
  <c r="AH98" i="2"/>
  <c r="BI169" i="2"/>
  <c r="AM126" i="2"/>
  <c r="BR25" i="2"/>
  <c r="BR48" i="2"/>
  <c r="D191" i="2"/>
  <c r="AN49" i="2"/>
  <c r="AH170" i="2"/>
  <c r="X54" i="2"/>
  <c r="X151" i="2"/>
  <c r="AY39" i="2"/>
  <c r="AY176" i="2"/>
  <c r="BO27" i="2"/>
  <c r="AM193" i="2"/>
  <c r="E200" i="2"/>
  <c r="BN167" i="2"/>
  <c r="BO68" i="2"/>
  <c r="AM62" i="2"/>
  <c r="BN57" i="2"/>
  <c r="BO163" i="2"/>
  <c r="AH70" i="2"/>
  <c r="BR167" i="2"/>
  <c r="AH192" i="2"/>
  <c r="BI128" i="2"/>
  <c r="E40" i="2"/>
  <c r="BN80" i="2"/>
  <c r="BO42" i="2"/>
  <c r="BO79" i="2"/>
  <c r="E90" i="2"/>
  <c r="AH15" i="2"/>
  <c r="BO34" i="2"/>
  <c r="D199" i="2"/>
  <c r="AN20" i="2"/>
  <c r="AN47" i="2"/>
  <c r="AH146" i="2"/>
  <c r="AN61" i="2"/>
  <c r="BN59" i="2"/>
  <c r="AM88" i="2"/>
  <c r="BO19" i="2"/>
  <c r="BN126" i="2"/>
  <c r="D179" i="2"/>
  <c r="BN19" i="2"/>
  <c r="X39" i="2"/>
  <c r="BO43" i="2"/>
  <c r="BR93" i="2"/>
  <c r="AY74" i="2"/>
  <c r="BO95" i="2"/>
  <c r="BO32" i="2"/>
  <c r="BI99" i="2"/>
  <c r="BR50" i="2"/>
  <c r="BI49" i="2"/>
  <c r="BO110" i="2"/>
  <c r="BR47" i="2"/>
  <c r="BR108" i="2"/>
  <c r="BO171" i="2"/>
  <c r="BO101" i="2"/>
  <c r="BI118" i="2"/>
  <c r="BN171" i="2"/>
  <c r="BR17" i="2"/>
  <c r="BO151" i="2"/>
  <c r="BO189" i="2"/>
  <c r="AN94" i="2"/>
  <c r="BR107" i="2"/>
  <c r="BI40" i="2"/>
  <c r="BN189" i="2"/>
  <c r="AY85" i="2"/>
  <c r="BN77" i="2"/>
  <c r="BO125" i="2"/>
  <c r="AM48" i="2"/>
  <c r="AY119" i="2"/>
  <c r="BO48" i="2"/>
  <c r="BR117" i="2"/>
  <c r="AY9" i="2"/>
  <c r="BN89" i="2"/>
  <c r="BI137" i="2"/>
  <c r="BI20" i="2"/>
  <c r="X73" i="2"/>
  <c r="BR155" i="2"/>
  <c r="BR89" i="2"/>
  <c r="AY41" i="2"/>
  <c r="BN84" i="2"/>
  <c r="BI114" i="2"/>
  <c r="BR165" i="2"/>
  <c r="BR56" i="2"/>
  <c r="AY117" i="2"/>
  <c r="BR45" i="2"/>
  <c r="AY55" i="2"/>
  <c r="BN148" i="2"/>
  <c r="BN13" i="2"/>
  <c r="BI185" i="2"/>
  <c r="AM149" i="2"/>
  <c r="BO51" i="2"/>
  <c r="BN95" i="2"/>
  <c r="BO120" i="2"/>
  <c r="BR51" i="2"/>
  <c r="X4" i="2"/>
  <c r="BN174" i="2"/>
  <c r="BR46" i="2"/>
  <c r="BI175" i="2"/>
  <c r="BI22" i="2"/>
  <c r="BR33" i="2"/>
  <c r="BR116" i="2"/>
  <c r="BR53" i="2"/>
  <c r="BO181" i="2"/>
  <c r="X111" i="2"/>
  <c r="BN72" i="2"/>
  <c r="BN109" i="2"/>
  <c r="AN91" i="2"/>
  <c r="AN198" i="2"/>
  <c r="BI80" i="2"/>
  <c r="X128" i="2"/>
  <c r="BN46" i="2"/>
  <c r="AM195" i="2"/>
  <c r="AY14" i="2"/>
  <c r="AH69" i="2"/>
  <c r="BN20" i="2"/>
  <c r="AM81" i="2"/>
  <c r="BN99" i="2"/>
  <c r="AN14" i="2"/>
  <c r="AY197" i="2"/>
  <c r="AY12" i="2"/>
  <c r="X156" i="2"/>
  <c r="AM160" i="2"/>
  <c r="BO185" i="2"/>
  <c r="X60" i="2"/>
  <c r="AY141" i="2"/>
  <c r="AH136" i="2"/>
  <c r="AM171" i="2"/>
  <c r="AH150" i="2"/>
  <c r="BN86" i="2"/>
  <c r="AY23" i="2"/>
  <c r="I102" i="2"/>
  <c r="X47" i="2"/>
  <c r="E163" i="2"/>
  <c r="AH12" i="2"/>
  <c r="AH111" i="2"/>
  <c r="AH149" i="2"/>
  <c r="AH7" i="2"/>
  <c r="BN88" i="2"/>
  <c r="AN129" i="2"/>
  <c r="BI117" i="2"/>
  <c r="BO17" i="2"/>
  <c r="BR180" i="2"/>
  <c r="BI13" i="2"/>
  <c r="BI11" i="2"/>
  <c r="BO146" i="2"/>
  <c r="BN31" i="2"/>
  <c r="AY87" i="2"/>
  <c r="AM169" i="2"/>
  <c r="BR78" i="2"/>
  <c r="BO46" i="2"/>
  <c r="AN37" i="2"/>
  <c r="AN116" i="2"/>
  <c r="BI8" i="2"/>
  <c r="BO76" i="2"/>
  <c r="BI173" i="2"/>
  <c r="AM156" i="2"/>
  <c r="BO121" i="2"/>
  <c r="BR80" i="2"/>
  <c r="BN194" i="2"/>
  <c r="BR24" i="2"/>
  <c r="BI187" i="2"/>
  <c r="X174" i="2"/>
  <c r="BI189" i="2"/>
  <c r="AN136" i="2"/>
  <c r="BI197" i="2"/>
  <c r="BN38" i="2"/>
  <c r="AM117" i="2"/>
  <c r="BN37" i="2"/>
  <c r="BN54" i="2"/>
  <c r="AN21" i="2"/>
  <c r="AM7" i="2"/>
  <c r="BN47" i="2"/>
  <c r="BR92" i="2"/>
  <c r="BI152" i="2"/>
  <c r="AY81" i="2"/>
  <c r="AY178" i="2"/>
  <c r="AY54" i="2"/>
  <c r="BN125" i="2"/>
  <c r="X129" i="2"/>
  <c r="BO187" i="2"/>
  <c r="BR106" i="2"/>
  <c r="AY17" i="2"/>
  <c r="AY116" i="2"/>
  <c r="BI60" i="2"/>
  <c r="BN187" i="2"/>
  <c r="BO186" i="2"/>
  <c r="BO176" i="2"/>
  <c r="BI54" i="2"/>
  <c r="BN66" i="2"/>
  <c r="AY8" i="2"/>
  <c r="AY115" i="2"/>
  <c r="BI184" i="2"/>
  <c r="AH182" i="2"/>
  <c r="BI91" i="2"/>
  <c r="BN108" i="2"/>
  <c r="BN198" i="2"/>
  <c r="BR29" i="2"/>
  <c r="X113" i="2"/>
  <c r="AY110" i="2"/>
  <c r="BR44" i="2"/>
  <c r="AH5" i="2"/>
  <c r="BO50" i="2"/>
  <c r="BR136" i="2"/>
  <c r="BN175" i="2"/>
  <c r="BN191" i="2"/>
  <c r="BN97" i="2"/>
  <c r="BO147" i="2"/>
  <c r="X13" i="2"/>
  <c r="BR77" i="2"/>
  <c r="BO80" i="2"/>
  <c r="BI86" i="2"/>
  <c r="BR52" i="2"/>
  <c r="BN192" i="2"/>
  <c r="BI76" i="2"/>
  <c r="BO117" i="2"/>
  <c r="AY100" i="2"/>
  <c r="AH33" i="2"/>
  <c r="BN18" i="2"/>
  <c r="BO184" i="2"/>
  <c r="BN55" i="2"/>
  <c r="AY60" i="2"/>
  <c r="BR20" i="2"/>
  <c r="BR90" i="2"/>
  <c r="AN95" i="2"/>
  <c r="BR133" i="2"/>
  <c r="BI19" i="2"/>
  <c r="AH168" i="2"/>
  <c r="AM20" i="2"/>
  <c r="BO52" i="2"/>
  <c r="BI143" i="2"/>
  <c r="AM199" i="2"/>
  <c r="AH137" i="2"/>
  <c r="AY86" i="2"/>
  <c r="BN91" i="2"/>
  <c r="BO182" i="2"/>
  <c r="AY32" i="2"/>
  <c r="BN28" i="2"/>
  <c r="BI105" i="2"/>
  <c r="AY16" i="2"/>
  <c r="BO66" i="2"/>
  <c r="BI44" i="2"/>
  <c r="BI98" i="2"/>
  <c r="BI145" i="2"/>
  <c r="BO128" i="2"/>
  <c r="BR192" i="2"/>
  <c r="BI23" i="2"/>
  <c r="AY83" i="2"/>
  <c r="BN25" i="2"/>
  <c r="AY46" i="2"/>
  <c r="BO178" i="2"/>
  <c r="AY77" i="2"/>
  <c r="BO84" i="2"/>
  <c r="BO199" i="2"/>
  <c r="AH31" i="2"/>
  <c r="BN157" i="2"/>
  <c r="BO30" i="2"/>
  <c r="BO105" i="2"/>
  <c r="X110" i="2"/>
  <c r="AH6" i="2"/>
  <c r="BI30" i="2"/>
  <c r="BO18" i="2"/>
  <c r="X91" i="2"/>
  <c r="BR49" i="2"/>
  <c r="BI51" i="2"/>
  <c r="BR61" i="2"/>
  <c r="BN29" i="2"/>
  <c r="BI103" i="2"/>
  <c r="AY98" i="2"/>
  <c r="BR31" i="2"/>
  <c r="BO73" i="2"/>
  <c r="BO4" i="2"/>
  <c r="BO61" i="2"/>
  <c r="BO31" i="2"/>
  <c r="X144" i="2"/>
  <c r="AM60" i="2"/>
  <c r="AH181" i="2"/>
  <c r="AN140" i="2"/>
  <c r="BN70" i="2"/>
  <c r="BO81" i="2"/>
  <c r="AM163" i="2"/>
  <c r="BR18" i="2"/>
  <c r="BI27" i="2"/>
  <c r="BO165" i="2"/>
  <c r="BN33" i="2"/>
  <c r="AN12" i="2"/>
  <c r="BI6" i="2"/>
  <c r="AY171" i="2"/>
  <c r="BR164" i="2"/>
  <c r="BI151" i="2"/>
  <c r="BO78" i="2"/>
  <c r="X55" i="2"/>
  <c r="BO192" i="2"/>
  <c r="BR146" i="2"/>
  <c r="AN8" i="2"/>
  <c r="BO160" i="2"/>
  <c r="AN56" i="2"/>
  <c r="AY56" i="2"/>
  <c r="BR55" i="2"/>
  <c r="BN185" i="2"/>
  <c r="BO180" i="2"/>
  <c r="AM107" i="2"/>
  <c r="AY75" i="2"/>
  <c r="BR140" i="2"/>
  <c r="BO93" i="2"/>
  <c r="BR188" i="2"/>
  <c r="BI119" i="2"/>
  <c r="BI55" i="2"/>
  <c r="AH81" i="2"/>
  <c r="AN10" i="2"/>
  <c r="AY70" i="2"/>
  <c r="AN112" i="2"/>
  <c r="BN65" i="2"/>
  <c r="AH30" i="2"/>
  <c r="AY59" i="2"/>
  <c r="D116" i="2"/>
  <c r="BI58" i="2"/>
  <c r="BR40" i="2"/>
  <c r="X132" i="2"/>
  <c r="AN71" i="2"/>
  <c r="BI37" i="2"/>
  <c r="BN103" i="2"/>
  <c r="AN96" i="2"/>
  <c r="X146" i="2"/>
  <c r="BN98" i="2"/>
  <c r="AH74" i="2"/>
  <c r="BO65" i="2"/>
  <c r="AN33" i="2"/>
  <c r="BI146" i="2"/>
  <c r="AN74" i="2"/>
  <c r="BO190" i="2"/>
  <c r="X9" i="2"/>
  <c r="AH99" i="2"/>
  <c r="BR95" i="2"/>
  <c r="D138" i="2"/>
  <c r="AY169" i="2"/>
  <c r="X178" i="2"/>
  <c r="BR147" i="2"/>
  <c r="AN98" i="2"/>
  <c r="BN44" i="2"/>
  <c r="X163" i="2"/>
  <c r="AN19" i="2"/>
  <c r="BO111" i="2"/>
  <c r="BR134" i="2"/>
  <c r="BI59" i="2"/>
  <c r="BI200" i="2"/>
  <c r="E124" i="2"/>
  <c r="AH73" i="2"/>
  <c r="BR13" i="2"/>
  <c r="I147" i="2"/>
  <c r="AN66" i="2"/>
  <c r="AH11" i="2"/>
  <c r="AY95" i="2"/>
  <c r="BI126" i="2"/>
  <c r="AM69" i="2"/>
  <c r="BR68" i="2"/>
  <c r="AN161" i="2"/>
  <c r="X57" i="2"/>
  <c r="AY186" i="2"/>
  <c r="AY26" i="2"/>
  <c r="BR11" i="2"/>
  <c r="BI166" i="2"/>
  <c r="AM49" i="2"/>
  <c r="BR194" i="2"/>
  <c r="BI85" i="2"/>
  <c r="E193" i="2"/>
  <c r="D129" i="2"/>
  <c r="BR101" i="2"/>
  <c r="AM4" i="2"/>
  <c r="D70" i="2"/>
  <c r="BR64" i="2"/>
  <c r="AY97" i="2"/>
  <c r="BN7" i="2"/>
  <c r="AH126" i="2"/>
  <c r="BR144" i="2"/>
  <c r="BI92" i="2"/>
  <c r="AY190" i="2"/>
  <c r="BN10" i="2"/>
  <c r="BO152" i="2"/>
  <c r="BR83" i="2"/>
  <c r="AM106" i="2"/>
  <c r="AY139" i="2"/>
  <c r="AY155" i="2"/>
  <c r="BR179" i="2"/>
  <c r="AY76" i="2"/>
  <c r="BN110" i="2"/>
  <c r="AN159" i="2"/>
  <c r="AH23" i="2"/>
  <c r="BN199" i="2"/>
  <c r="BO100" i="2"/>
  <c r="BO133" i="2"/>
  <c r="X131" i="2"/>
  <c r="BO87" i="2"/>
  <c r="X179" i="2"/>
  <c r="AY168" i="2"/>
  <c r="BI153" i="2"/>
  <c r="BO74" i="2"/>
  <c r="BI131" i="2"/>
  <c r="BN134" i="2"/>
  <c r="AM45" i="2"/>
  <c r="BN81" i="2"/>
  <c r="AN52" i="2"/>
  <c r="X92" i="2"/>
  <c r="AN84" i="2"/>
  <c r="BO15" i="2"/>
  <c r="BR176" i="2"/>
  <c r="BR157" i="2"/>
  <c r="BR35" i="2"/>
  <c r="BI154" i="2"/>
  <c r="BO114" i="2"/>
  <c r="AY65" i="2"/>
  <c r="BN120" i="2"/>
  <c r="AH17" i="2"/>
  <c r="BN132" i="2"/>
  <c r="BI164" i="2"/>
  <c r="AY69" i="2"/>
  <c r="AH47" i="2"/>
  <c r="BN102" i="2"/>
  <c r="AY30" i="2"/>
  <c r="BR161" i="2"/>
  <c r="BN105" i="2"/>
  <c r="AM111" i="2"/>
  <c r="BR162" i="2"/>
  <c r="BO169" i="2"/>
  <c r="BR12" i="2"/>
  <c r="AM139" i="2"/>
  <c r="BO193" i="2"/>
  <c r="BN45" i="2"/>
  <c r="BN156" i="2"/>
  <c r="AH158" i="2"/>
  <c r="AY37" i="2"/>
  <c r="BR58" i="2"/>
  <c r="AY143" i="2"/>
  <c r="AH139" i="2"/>
  <c r="AH8" i="2"/>
  <c r="BI113" i="2"/>
  <c r="E43" i="2"/>
  <c r="BR139" i="2"/>
  <c r="AH80" i="2"/>
  <c r="AM105" i="2"/>
  <c r="AM172" i="2"/>
  <c r="AY146" i="2"/>
  <c r="AY126" i="2"/>
  <c r="BI157" i="2"/>
  <c r="BN85" i="2"/>
  <c r="BR7" i="2"/>
  <c r="AY18" i="2"/>
  <c r="AH172" i="2"/>
  <c r="AN53" i="2"/>
  <c r="AY21" i="2"/>
  <c r="AM167" i="2"/>
  <c r="AY92" i="2"/>
  <c r="X120" i="2"/>
  <c r="X6" i="2"/>
  <c r="BI199" i="2"/>
  <c r="BO64" i="2"/>
  <c r="AM31" i="2"/>
  <c r="BN137" i="2"/>
  <c r="X154" i="2"/>
  <c r="AN190" i="2"/>
  <c r="BI32" i="2"/>
  <c r="AN102" i="2"/>
  <c r="AY113" i="2"/>
  <c r="BO109" i="2"/>
  <c r="I184" i="2"/>
  <c r="AY195" i="2"/>
  <c r="AM67" i="2"/>
  <c r="AN70" i="2"/>
  <c r="D200" i="2"/>
  <c r="BN67" i="2"/>
  <c r="BR156" i="2"/>
  <c r="AY73" i="2"/>
  <c r="BO104" i="2"/>
  <c r="AH41" i="2"/>
  <c r="AN51" i="2"/>
  <c r="BO8" i="2"/>
  <c r="BN188" i="2"/>
  <c r="BO198" i="2"/>
  <c r="AY193" i="2"/>
  <c r="AY163" i="2"/>
  <c r="I100" i="2"/>
  <c r="L171" i="2"/>
  <c r="BI138" i="2"/>
  <c r="AN80" i="2"/>
  <c r="AM109" i="2"/>
  <c r="AY90" i="2"/>
  <c r="BR154" i="2"/>
  <c r="I87" i="2"/>
  <c r="AH199" i="2"/>
  <c r="AH96" i="2"/>
  <c r="E19" i="2"/>
  <c r="BR85" i="2"/>
  <c r="AN184" i="2"/>
  <c r="X152" i="2"/>
  <c r="AY105" i="2"/>
  <c r="AM146" i="2"/>
  <c r="AN83" i="2"/>
  <c r="BN144" i="2"/>
  <c r="BI67" i="2"/>
  <c r="BN153" i="2"/>
  <c r="BN17" i="2"/>
  <c r="BO63" i="2"/>
  <c r="BI162" i="2"/>
  <c r="BN122" i="2"/>
  <c r="BO7" i="2"/>
  <c r="BO155" i="2"/>
  <c r="AM102" i="2"/>
  <c r="BI176" i="2"/>
  <c r="BN139" i="2"/>
  <c r="AN35" i="2"/>
  <c r="AM154" i="2"/>
  <c r="BI127" i="2"/>
  <c r="BN142" i="2"/>
  <c r="AY19" i="2"/>
  <c r="BO98" i="2"/>
  <c r="BO99" i="2"/>
  <c r="BN196" i="2"/>
  <c r="X26" i="2"/>
  <c r="BN64" i="2"/>
  <c r="AN119" i="2"/>
  <c r="AN169" i="2"/>
  <c r="AY158" i="2"/>
  <c r="AY132" i="2"/>
  <c r="BI120" i="2"/>
  <c r="AM38" i="2"/>
  <c r="BI116" i="2"/>
  <c r="BO143" i="2"/>
  <c r="BR189" i="2"/>
  <c r="BI124" i="2"/>
  <c r="BN163" i="2"/>
  <c r="BI87" i="2"/>
  <c r="BO142" i="2"/>
  <c r="L160" i="2"/>
  <c r="L87" i="2"/>
  <c r="X27" i="2"/>
  <c r="AY156" i="2"/>
  <c r="BR98" i="2"/>
  <c r="BN112" i="2"/>
  <c r="AM173" i="2"/>
  <c r="BO138" i="2"/>
  <c r="AN106" i="2"/>
  <c r="BI89" i="2"/>
  <c r="AH152" i="2"/>
  <c r="X58" i="2"/>
  <c r="AN168" i="2"/>
  <c r="E166" i="2"/>
  <c r="AY172" i="2"/>
  <c r="E62" i="2"/>
  <c r="D75" i="2"/>
  <c r="D147" i="2"/>
  <c r="BI134" i="2"/>
  <c r="AN173" i="2"/>
  <c r="AM18" i="2"/>
  <c r="AN108" i="2"/>
  <c r="BO13" i="2"/>
  <c r="AM97" i="2"/>
  <c r="AH32" i="2"/>
  <c r="X65" i="2"/>
  <c r="BI5" i="2"/>
  <c r="AN58" i="2"/>
  <c r="AY160" i="2"/>
  <c r="BR121" i="2"/>
  <c r="X31" i="2"/>
  <c r="AH61" i="2"/>
  <c r="AH90" i="2"/>
  <c r="BI182" i="2"/>
  <c r="BN100" i="2"/>
  <c r="E4" i="2"/>
  <c r="X87" i="2"/>
  <c r="BO164" i="2"/>
  <c r="AM151" i="2"/>
  <c r="X5" i="2"/>
  <c r="BO70" i="2"/>
  <c r="X115" i="2"/>
  <c r="AM181" i="2"/>
  <c r="X50" i="2"/>
  <c r="BO132" i="2"/>
  <c r="BI133" i="2"/>
  <c r="E32" i="2"/>
  <c r="BR153" i="2"/>
  <c r="AN6" i="2"/>
  <c r="BO119" i="2"/>
  <c r="AN178" i="2"/>
  <c r="BN49" i="2"/>
  <c r="AM124" i="2"/>
  <c r="D148" i="2"/>
  <c r="L28" i="2"/>
  <c r="AH169" i="2"/>
  <c r="BR152" i="2"/>
  <c r="E188" i="2"/>
  <c r="AH110" i="2"/>
  <c r="AH25" i="2"/>
  <c r="X29" i="2"/>
  <c r="AM165" i="2"/>
  <c r="AY200" i="2"/>
  <c r="BO148" i="2"/>
  <c r="BN111" i="2"/>
  <c r="BI190" i="2"/>
  <c r="BO33" i="2"/>
  <c r="AM16" i="2"/>
  <c r="AY159" i="2"/>
  <c r="BN162" i="2"/>
  <c r="AM94" i="2"/>
  <c r="BN12" i="2"/>
  <c r="BO166" i="2"/>
  <c r="BN94" i="2"/>
  <c r="AH89" i="2"/>
  <c r="BO140" i="2"/>
  <c r="BR184" i="2"/>
  <c r="BO115" i="2"/>
  <c r="BI72" i="2"/>
  <c r="X97" i="2"/>
  <c r="BO137" i="2"/>
  <c r="BR112" i="2"/>
  <c r="BO116" i="2"/>
  <c r="BI4" i="2"/>
  <c r="E100" i="2"/>
  <c r="BN74" i="2"/>
  <c r="AM138" i="2"/>
  <c r="AH65" i="2"/>
  <c r="BR127" i="2"/>
  <c r="AH107" i="2"/>
  <c r="BI62" i="2"/>
  <c r="BR54" i="2"/>
  <c r="AY107" i="2"/>
  <c r="L6" i="2"/>
  <c r="BN76" i="2"/>
  <c r="AY111" i="2"/>
  <c r="AM92" i="2"/>
  <c r="BO200" i="2"/>
  <c r="BO168" i="2"/>
  <c r="X173" i="2"/>
  <c r="BR57" i="2"/>
  <c r="BN41" i="2"/>
  <c r="BN182" i="2"/>
  <c r="BR62" i="2"/>
  <c r="BR73" i="2"/>
  <c r="AN7" i="2"/>
  <c r="AM183" i="2"/>
  <c r="AM178" i="2"/>
  <c r="AM164" i="2"/>
  <c r="AH180" i="2"/>
  <c r="AN146" i="2"/>
  <c r="AN185" i="2"/>
  <c r="X38" i="2"/>
  <c r="AM59" i="2"/>
  <c r="AH143" i="2"/>
  <c r="BN123" i="2"/>
  <c r="AM112" i="2"/>
  <c r="X56" i="2"/>
  <c r="BR137" i="2"/>
  <c r="L108" i="2"/>
  <c r="BO28" i="2"/>
  <c r="AH78" i="2"/>
  <c r="AM158" i="2"/>
  <c r="BN24" i="2"/>
  <c r="AM5" i="2"/>
  <c r="L66" i="2"/>
  <c r="AY89" i="2"/>
  <c r="AM103" i="2"/>
  <c r="AN107" i="2"/>
  <c r="BO5" i="2"/>
  <c r="BI109" i="2"/>
  <c r="I139" i="2"/>
  <c r="AY72" i="2"/>
  <c r="BI47" i="2"/>
  <c r="AH175" i="2"/>
  <c r="BR142" i="2"/>
  <c r="AY122" i="2"/>
  <c r="BO188" i="2"/>
  <c r="AN26" i="2"/>
  <c r="L74" i="2"/>
  <c r="AY123" i="2"/>
  <c r="D133" i="2"/>
  <c r="BN56" i="2"/>
  <c r="AM56" i="2"/>
  <c r="AM12" i="2"/>
  <c r="BO71" i="2"/>
  <c r="BN113" i="2"/>
  <c r="E29" i="2"/>
  <c r="I167" i="2"/>
  <c r="X153" i="2"/>
  <c r="AH97" i="2"/>
  <c r="I124" i="2"/>
  <c r="L126" i="2"/>
  <c r="D150" i="2"/>
  <c r="I111" i="2"/>
  <c r="E10" i="2"/>
  <c r="L193" i="2"/>
  <c r="X10" i="2"/>
  <c r="X90" i="2"/>
  <c r="F87" i="2"/>
  <c r="AM184" i="2"/>
  <c r="AN65" i="2"/>
  <c r="E111" i="2"/>
  <c r="I108" i="2"/>
  <c r="D25" i="2"/>
  <c r="AN28" i="2"/>
  <c r="BI198" i="2"/>
  <c r="AM44" i="2"/>
  <c r="AM19" i="2"/>
  <c r="BR113" i="2"/>
  <c r="X99" i="2"/>
  <c r="L72" i="2"/>
  <c r="L75" i="2"/>
  <c r="E30" i="2"/>
  <c r="D58" i="2"/>
  <c r="D184" i="2"/>
  <c r="AN130" i="2"/>
  <c r="X98" i="2"/>
  <c r="BI41" i="2"/>
  <c r="AN141" i="2"/>
  <c r="AN197" i="2"/>
  <c r="D35" i="2"/>
  <c r="E128" i="2"/>
  <c r="X83" i="2"/>
  <c r="AM115" i="2"/>
  <c r="AY136" i="2"/>
  <c r="AH103" i="2"/>
  <c r="D7" i="2"/>
  <c r="BN128" i="2"/>
  <c r="BO72" i="2"/>
  <c r="BI12" i="2"/>
  <c r="BI172" i="2"/>
  <c r="BI161" i="2"/>
  <c r="AY44" i="2"/>
  <c r="BR174" i="2"/>
  <c r="AY166" i="2"/>
  <c r="BR5" i="2"/>
  <c r="AM147" i="2"/>
  <c r="BO60" i="2"/>
  <c r="BR175" i="2"/>
  <c r="BO24" i="2"/>
  <c r="BN161" i="2"/>
  <c r="BI140" i="2"/>
  <c r="BO77" i="2"/>
  <c r="BO107" i="2"/>
  <c r="AH13" i="2"/>
  <c r="BR42" i="2"/>
  <c r="BI159" i="2"/>
  <c r="AH58" i="2"/>
  <c r="BI191" i="2"/>
  <c r="AM170" i="2"/>
  <c r="AM57" i="2"/>
  <c r="BR141" i="2"/>
  <c r="AM76" i="2"/>
  <c r="BR21" i="2"/>
  <c r="AH24" i="2"/>
  <c r="BI186" i="2"/>
  <c r="BI68" i="2"/>
  <c r="BN143" i="2"/>
  <c r="AM182" i="2"/>
  <c r="BO194" i="2"/>
  <c r="BO183" i="2"/>
  <c r="AY82" i="2"/>
  <c r="BR119" i="2"/>
  <c r="AN59" i="2"/>
  <c r="AM66" i="2"/>
  <c r="AY45" i="2"/>
  <c r="I51" i="2"/>
  <c r="BI188" i="2"/>
  <c r="X169" i="2"/>
  <c r="E108" i="2"/>
  <c r="BO37" i="2"/>
  <c r="BR172" i="2"/>
  <c r="BI96" i="2"/>
  <c r="D4" i="2"/>
  <c r="BI104" i="2"/>
  <c r="E76" i="2"/>
  <c r="AH185" i="2"/>
  <c r="AN42" i="2"/>
  <c r="BR118" i="2"/>
  <c r="BO29" i="2"/>
  <c r="BI56" i="2"/>
  <c r="AN132" i="2"/>
  <c r="BI102" i="2"/>
  <c r="AM37" i="2"/>
  <c r="AM24" i="2"/>
  <c r="AH56" i="2"/>
  <c r="BO22" i="2"/>
  <c r="BO82" i="2"/>
  <c r="AY174" i="2"/>
  <c r="BO108" i="2"/>
  <c r="BN180" i="2"/>
  <c r="D82" i="2"/>
  <c r="AN38" i="2"/>
  <c r="AN39" i="2"/>
  <c r="AH173" i="2"/>
  <c r="BO88" i="2"/>
  <c r="BR9" i="2"/>
  <c r="I15" i="2"/>
  <c r="BN15" i="2"/>
  <c r="AY6" i="2"/>
  <c r="E56" i="2"/>
  <c r="BN42" i="2"/>
  <c r="AM32" i="2"/>
  <c r="AH174" i="2"/>
  <c r="AM13" i="2"/>
  <c r="AY135" i="2"/>
  <c r="BO135" i="2"/>
  <c r="BI69" i="2"/>
  <c r="AN100" i="2"/>
  <c r="BR39" i="2"/>
  <c r="AM64" i="2"/>
  <c r="AY167" i="2"/>
  <c r="BI36" i="2"/>
  <c r="AM136" i="2"/>
  <c r="L150" i="2"/>
  <c r="AY50" i="2"/>
  <c r="X48" i="2"/>
  <c r="L196" i="2"/>
  <c r="BI141" i="2"/>
  <c r="BR131" i="2"/>
  <c r="L89" i="2"/>
  <c r="I79" i="2"/>
  <c r="X19" i="2"/>
  <c r="BR171" i="2"/>
  <c r="AM174" i="2"/>
  <c r="X16" i="2"/>
  <c r="X100" i="2"/>
  <c r="AY162" i="2"/>
  <c r="E144" i="2"/>
  <c r="L45" i="2"/>
  <c r="L125" i="2"/>
  <c r="AM52" i="2"/>
  <c r="D187" i="2"/>
  <c r="X59" i="2"/>
  <c r="X61" i="2"/>
  <c r="E15" i="2"/>
  <c r="BO141" i="2"/>
  <c r="BR23" i="2"/>
  <c r="X62" i="2"/>
  <c r="BR41" i="2"/>
  <c r="AH14" i="2"/>
  <c r="AN135" i="2"/>
  <c r="AM142" i="2"/>
  <c r="I166" i="2"/>
  <c r="AM22" i="2"/>
  <c r="BR36" i="2"/>
  <c r="AN32" i="2"/>
  <c r="AH166" i="2"/>
  <c r="AN68" i="2"/>
  <c r="AY80" i="2"/>
  <c r="I63" i="2"/>
  <c r="BN87" i="2"/>
  <c r="AN87" i="2"/>
  <c r="D57" i="2"/>
  <c r="AH120" i="2"/>
  <c r="AM17" i="2"/>
  <c r="BO11" i="2"/>
  <c r="BR102" i="2"/>
  <c r="BN93" i="2"/>
  <c r="BR166" i="2"/>
  <c r="AY148" i="2"/>
  <c r="BO122" i="2"/>
  <c r="BI10" i="2"/>
  <c r="AM89" i="2"/>
  <c r="BN4" i="2"/>
  <c r="AY108" i="2"/>
  <c r="BO90" i="2"/>
  <c r="BN34" i="2"/>
  <c r="BN178" i="2"/>
  <c r="BN22" i="2"/>
  <c r="BI129" i="2"/>
  <c r="AY114" i="2"/>
  <c r="AY88" i="2"/>
  <c r="AM43" i="2"/>
  <c r="AY153" i="2"/>
  <c r="AH193" i="2"/>
  <c r="BO161" i="2"/>
  <c r="AY173" i="2"/>
  <c r="BR88" i="2"/>
  <c r="AY7" i="2"/>
  <c r="AM42" i="2"/>
  <c r="X45" i="2"/>
  <c r="AN142" i="2"/>
  <c r="AM70" i="2"/>
  <c r="AH124" i="2"/>
  <c r="BO123" i="2"/>
  <c r="BN8" i="2"/>
  <c r="BI97" i="2"/>
  <c r="X14" i="2"/>
  <c r="BR71" i="2"/>
  <c r="X184" i="2"/>
  <c r="AH42" i="2"/>
  <c r="X15" i="2"/>
  <c r="AY11" i="2"/>
  <c r="BI178" i="2"/>
  <c r="AH109" i="2"/>
  <c r="E187" i="2"/>
  <c r="BI75" i="2"/>
  <c r="AM25" i="2"/>
  <c r="E142" i="2"/>
  <c r="X143" i="2"/>
  <c r="BN119" i="2"/>
  <c r="AH135" i="2"/>
  <c r="AY84" i="2"/>
  <c r="BR8" i="2"/>
  <c r="BR34" i="2"/>
  <c r="AH82" i="2"/>
  <c r="BN150" i="2"/>
  <c r="BN124" i="2"/>
  <c r="X191" i="2"/>
  <c r="AY130" i="2"/>
  <c r="AM34" i="2"/>
  <c r="X17" i="2"/>
  <c r="AH59" i="2"/>
  <c r="AY125" i="2"/>
  <c r="BR195" i="2"/>
  <c r="AY68" i="2"/>
  <c r="AM21" i="2"/>
  <c r="AM23" i="2"/>
  <c r="AN124" i="2"/>
  <c r="BI9" i="2"/>
  <c r="BN155" i="2"/>
  <c r="AN166" i="2"/>
  <c r="BN164" i="2"/>
  <c r="BN90" i="2"/>
  <c r="BN151" i="2"/>
  <c r="AY53" i="2"/>
  <c r="BN152" i="2"/>
  <c r="AY102" i="2"/>
  <c r="BO158" i="2"/>
  <c r="BR60" i="2"/>
  <c r="AY52" i="2"/>
  <c r="AN180" i="2"/>
  <c r="BN9" i="2"/>
  <c r="E25" i="2"/>
  <c r="I171" i="2"/>
  <c r="BO10" i="2"/>
  <c r="AM120" i="2"/>
  <c r="BR198" i="2"/>
  <c r="AH144" i="2"/>
  <c r="AN174" i="2"/>
  <c r="I65" i="2"/>
  <c r="L154" i="2"/>
  <c r="L139" i="2"/>
  <c r="F17" i="2"/>
  <c r="D170" i="2"/>
  <c r="AM114" i="2"/>
  <c r="E117" i="2"/>
  <c r="E48" i="2"/>
  <c r="BR67" i="2"/>
  <c r="AM47" i="2"/>
  <c r="AN5" i="2"/>
  <c r="I58" i="2"/>
  <c r="AY179" i="2"/>
  <c r="AN149" i="2"/>
  <c r="E11" i="2"/>
  <c r="AM11" i="2"/>
  <c r="L36" i="2"/>
  <c r="AH147" i="2"/>
  <c r="AH195" i="2"/>
  <c r="I43" i="2"/>
  <c r="AM91" i="2"/>
  <c r="I156" i="2"/>
  <c r="BI150" i="2"/>
  <c r="D136" i="2"/>
  <c r="X159" i="2"/>
  <c r="AN125" i="2"/>
  <c r="E98" i="2"/>
  <c r="L33" i="2"/>
  <c r="I53" i="2"/>
  <c r="AN60" i="2"/>
  <c r="D59" i="2"/>
  <c r="D154" i="2"/>
  <c r="L25" i="2"/>
  <c r="AM101" i="2"/>
  <c r="AY112" i="2"/>
  <c r="L8" i="2"/>
  <c r="BN147" i="2"/>
  <c r="BN35" i="2"/>
  <c r="E72" i="2"/>
  <c r="X34" i="2"/>
  <c r="AM159" i="2"/>
  <c r="BO174" i="2"/>
  <c r="BN32" i="2"/>
  <c r="AM141" i="2"/>
  <c r="BN96" i="2"/>
  <c r="AH88" i="2"/>
  <c r="BR200" i="2"/>
  <c r="BO159" i="2"/>
  <c r="BO55" i="2"/>
  <c r="BI121" i="2"/>
  <c r="BN26" i="2"/>
  <c r="AH125" i="2"/>
  <c r="BN173" i="2"/>
  <c r="BO118" i="2"/>
  <c r="BI73" i="2"/>
  <c r="BO44" i="2"/>
  <c r="BN50" i="2"/>
  <c r="AN69" i="2"/>
  <c r="AN154" i="2"/>
  <c r="AH177" i="2"/>
  <c r="X70" i="2"/>
  <c r="BR14" i="2"/>
  <c r="AH127" i="2"/>
  <c r="X121" i="2"/>
  <c r="BO49" i="2"/>
  <c r="AN76" i="2"/>
  <c r="AY33" i="2"/>
  <c r="AY62" i="2"/>
  <c r="BR123" i="2"/>
  <c r="AY78" i="2"/>
  <c r="BN82" i="2"/>
  <c r="BR129" i="2"/>
  <c r="BN172" i="2"/>
  <c r="BO35" i="2"/>
  <c r="BN200" i="2"/>
  <c r="AH140" i="2"/>
  <c r="BI78" i="2"/>
  <c r="E176" i="2"/>
  <c r="BN78" i="2"/>
  <c r="BN92" i="2"/>
  <c r="BR63" i="2"/>
  <c r="X35" i="2"/>
  <c r="AH95" i="2"/>
  <c r="AH36" i="2"/>
  <c r="BR186" i="2"/>
  <c r="D132" i="2"/>
  <c r="AN139" i="2"/>
  <c r="AY188" i="2"/>
  <c r="X8" i="2"/>
  <c r="X95" i="2"/>
  <c r="AY99" i="2"/>
  <c r="BI122" i="2"/>
  <c r="X108" i="2"/>
  <c r="BI196" i="2"/>
  <c r="X23" i="2"/>
  <c r="AM87" i="2"/>
  <c r="BI14" i="2"/>
  <c r="BO113" i="2"/>
  <c r="AY103" i="2"/>
  <c r="E159" i="2"/>
  <c r="BN141" i="2"/>
  <c r="BR22" i="2"/>
  <c r="BN104" i="2"/>
  <c r="BR37" i="2"/>
  <c r="BN138" i="2"/>
  <c r="X122" i="2"/>
  <c r="AM110" i="2"/>
  <c r="AM177" i="2"/>
  <c r="D198" i="2"/>
  <c r="AM144" i="2"/>
  <c r="BN83" i="2"/>
  <c r="BR125" i="2"/>
  <c r="BN40" i="2"/>
  <c r="BN62" i="2"/>
  <c r="BR115" i="2"/>
  <c r="AH116" i="2"/>
  <c r="AH167" i="2"/>
  <c r="AM192" i="2"/>
  <c r="AH156" i="2"/>
  <c r="X12" i="2"/>
  <c r="BO26" i="2"/>
  <c r="BI70" i="2"/>
  <c r="AM153" i="2"/>
  <c r="AH198" i="2"/>
  <c r="AY150" i="2"/>
  <c r="AN73" i="2"/>
  <c r="X36" i="2"/>
  <c r="AM6" i="2"/>
  <c r="E153" i="2"/>
  <c r="AN101" i="2"/>
  <c r="D10" i="2"/>
  <c r="AN92" i="2"/>
  <c r="AN41" i="2"/>
  <c r="AY131" i="2"/>
  <c r="D139" i="2"/>
  <c r="E36" i="2"/>
  <c r="AM41" i="2"/>
  <c r="D11" i="2"/>
  <c r="X93" i="2"/>
  <c r="BN135" i="2"/>
  <c r="X78" i="2"/>
  <c r="I4" i="2"/>
  <c r="AY101" i="2"/>
  <c r="X30" i="2"/>
  <c r="I21" i="2"/>
  <c r="AH194" i="2"/>
  <c r="AH130" i="2"/>
  <c r="D19" i="2"/>
  <c r="AH183" i="2"/>
  <c r="AY161" i="2"/>
  <c r="X52" i="2"/>
  <c r="L115" i="2"/>
  <c r="D151" i="2"/>
  <c r="BN130" i="2"/>
  <c r="BI66" i="2"/>
  <c r="X127" i="2"/>
  <c r="D14" i="2"/>
  <c r="L166" i="2"/>
  <c r="I130" i="2"/>
  <c r="I86" i="2"/>
  <c r="D15" i="2"/>
  <c r="D41" i="2"/>
  <c r="AN45" i="2"/>
  <c r="AH114" i="2"/>
  <c r="BI125" i="2"/>
  <c r="X147" i="2"/>
  <c r="AM100" i="2"/>
  <c r="AY58" i="2"/>
  <c r="BN60" i="2"/>
  <c r="BI132" i="2"/>
  <c r="BO134" i="2"/>
  <c r="AY15" i="2"/>
  <c r="BO127" i="2"/>
  <c r="AH45" i="2"/>
  <c r="BN195" i="2"/>
  <c r="AY79" i="2"/>
  <c r="BI179" i="2"/>
  <c r="BR187" i="2"/>
  <c r="BI48" i="2"/>
  <c r="X89" i="2"/>
  <c r="BO58" i="2"/>
  <c r="BR87" i="2"/>
  <c r="BI50" i="2"/>
  <c r="BN170" i="2"/>
  <c r="AM85" i="2"/>
  <c r="BI81" i="2"/>
  <c r="BR72" i="2"/>
  <c r="BO39" i="2"/>
  <c r="BO112" i="2"/>
  <c r="BI142" i="2"/>
  <c r="BO6" i="2"/>
  <c r="AN187" i="2"/>
  <c r="AN195" i="2"/>
  <c r="AN36" i="2"/>
  <c r="AY165" i="2"/>
  <c r="BR197" i="2"/>
  <c r="BR190" i="2"/>
  <c r="BR27" i="2"/>
  <c r="AM145" i="2"/>
  <c r="D79" i="2"/>
  <c r="X71" i="2"/>
  <c r="L15" i="2"/>
  <c r="BI181" i="2"/>
  <c r="AN113" i="2"/>
  <c r="E103" i="2"/>
  <c r="BI195" i="2"/>
  <c r="AH138" i="2"/>
  <c r="AM131" i="2"/>
  <c r="AN114" i="2"/>
  <c r="AM54" i="2"/>
  <c r="BO36" i="2"/>
  <c r="AN11" i="2"/>
  <c r="AY35" i="2"/>
  <c r="E42" i="2"/>
  <c r="AN75" i="2"/>
  <c r="X20" i="2"/>
  <c r="BR143" i="2"/>
  <c r="BO139" i="2"/>
  <c r="BR183" i="2"/>
  <c r="BO145" i="2"/>
  <c r="I165" i="2"/>
  <c r="AM161" i="2"/>
  <c r="AH112" i="2"/>
  <c r="BR97" i="2"/>
  <c r="AM14" i="2"/>
  <c r="AM26" i="2"/>
  <c r="E23" i="2"/>
  <c r="BN106" i="2"/>
  <c r="AY164" i="2"/>
  <c r="BO25" i="2"/>
  <c r="AH163" i="2"/>
  <c r="AY145" i="2"/>
  <c r="BO40" i="2"/>
  <c r="BR181" i="2"/>
  <c r="AH22" i="2"/>
  <c r="E14" i="2"/>
  <c r="BO154" i="2"/>
  <c r="I76" i="2"/>
  <c r="BO69" i="2"/>
  <c r="AY170" i="2"/>
  <c r="X79" i="2"/>
  <c r="D109" i="2"/>
  <c r="BI16" i="2"/>
  <c r="D113" i="2"/>
  <c r="AY25" i="2"/>
  <c r="AM187" i="2"/>
  <c r="X85" i="2"/>
  <c r="BI106" i="2"/>
  <c r="E110" i="2"/>
  <c r="AH4" i="2"/>
  <c r="AH162" i="2"/>
  <c r="BR158" i="2"/>
  <c r="BN101" i="2"/>
  <c r="BN149" i="2"/>
  <c r="AN186" i="2"/>
  <c r="BO106" i="2"/>
  <c r="BO177" i="2"/>
  <c r="AY66" i="2"/>
  <c r="BN61" i="2"/>
  <c r="AY124" i="2"/>
  <c r="BN16" i="2"/>
  <c r="AY36" i="2"/>
  <c r="BN75" i="2"/>
  <c r="BN69" i="2"/>
  <c r="BO175" i="2"/>
  <c r="BI42" i="2"/>
  <c r="BN179" i="2"/>
  <c r="BO102" i="2"/>
  <c r="BO131" i="2"/>
  <c r="BR169" i="2"/>
  <c r="BR84" i="2"/>
  <c r="BO45" i="2"/>
  <c r="E192" i="2"/>
  <c r="BR109" i="2"/>
  <c r="X157" i="2"/>
  <c r="BR159" i="2"/>
  <c r="AM190" i="2"/>
  <c r="BO150" i="2"/>
  <c r="BO16" i="2"/>
  <c r="AY34" i="2"/>
  <c r="E147" i="2"/>
  <c r="AH46" i="2"/>
  <c r="BN176" i="2"/>
  <c r="AY40" i="2"/>
  <c r="AM15" i="2"/>
  <c r="BR160" i="2"/>
  <c r="D30" i="2"/>
  <c r="BR74" i="2"/>
  <c r="AH188" i="2"/>
  <c r="AN162" i="2"/>
  <c r="BN154" i="2"/>
  <c r="AM71" i="2"/>
  <c r="AY127" i="2"/>
  <c r="AH34" i="2"/>
  <c r="AM185" i="2"/>
  <c r="AN82" i="2"/>
  <c r="BR81" i="2"/>
  <c r="BR10" i="2"/>
  <c r="AY20" i="2"/>
  <c r="BI167" i="2"/>
  <c r="AM125" i="2"/>
  <c r="AH53" i="2"/>
  <c r="BR82" i="2"/>
  <c r="BN14" i="2"/>
  <c r="AY42" i="2"/>
  <c r="AM122" i="2"/>
  <c r="BR120" i="2"/>
  <c r="X94" i="2"/>
  <c r="BO86" i="2"/>
  <c r="AH186" i="2"/>
  <c r="BO162" i="2"/>
  <c r="AN110" i="2"/>
  <c r="E8" i="2"/>
  <c r="BI101" i="2"/>
  <c r="X185" i="2"/>
  <c r="AH18" i="2"/>
  <c r="BN68" i="2"/>
  <c r="BN177" i="2"/>
  <c r="L184" i="2"/>
  <c r="BN197" i="2"/>
  <c r="BI65" i="2"/>
  <c r="BO47" i="2"/>
  <c r="BR185" i="2"/>
  <c r="AH10" i="2"/>
  <c r="BN53" i="2"/>
  <c r="BI15" i="2"/>
  <c r="BO23" i="2"/>
  <c r="I14" i="2"/>
  <c r="BR135" i="2"/>
  <c r="BI45" i="2"/>
  <c r="BI63" i="2"/>
  <c r="X104" i="2"/>
  <c r="AY137" i="2"/>
  <c r="AH123" i="2"/>
  <c r="X81" i="2"/>
  <c r="L79" i="2"/>
  <c r="L131" i="2"/>
  <c r="AH128" i="2"/>
  <c r="D100" i="2"/>
  <c r="AM127" i="2"/>
  <c r="E186" i="2"/>
  <c r="BR30" i="2"/>
  <c r="L200" i="2"/>
  <c r="D124" i="2"/>
  <c r="AH85" i="2"/>
  <c r="AH200" i="2"/>
  <c r="E164" i="2"/>
  <c r="I175" i="2"/>
  <c r="BN140" i="2"/>
  <c r="AM33" i="2"/>
  <c r="I70" i="2"/>
  <c r="AY129" i="2"/>
  <c r="E185" i="2"/>
  <c r="E67" i="2"/>
  <c r="I6" i="2"/>
  <c r="AY180" i="2"/>
  <c r="E31" i="2"/>
  <c r="X195" i="2"/>
  <c r="D12" i="2"/>
  <c r="E169" i="2"/>
  <c r="AH189" i="2"/>
  <c r="AH9" i="2"/>
  <c r="L188" i="2"/>
  <c r="X138" i="2"/>
  <c r="BR110" i="2"/>
  <c r="I73" i="2"/>
  <c r="X82" i="2"/>
  <c r="E190" i="2"/>
  <c r="D155" i="2"/>
  <c r="L113" i="2"/>
  <c r="AH153" i="2"/>
  <c r="L162" i="2"/>
  <c r="L98" i="2"/>
  <c r="AN88" i="2"/>
  <c r="BI64" i="2"/>
  <c r="AN175" i="2"/>
  <c r="E65" i="2"/>
  <c r="AN153" i="2"/>
  <c r="D26" i="2"/>
  <c r="X74" i="2"/>
  <c r="E5" i="2"/>
  <c r="E52" i="2"/>
  <c r="AN193" i="2"/>
  <c r="D165" i="2"/>
  <c r="D72" i="2"/>
  <c r="AY189" i="2"/>
  <c r="E80" i="2"/>
  <c r="AH155" i="2"/>
  <c r="X180" i="2"/>
  <c r="I112" i="2"/>
  <c r="E172" i="2"/>
  <c r="I154" i="2"/>
  <c r="AM191" i="2"/>
  <c r="L136" i="2"/>
  <c r="F115" i="2"/>
  <c r="AN85" i="2"/>
  <c r="AH26" i="2"/>
  <c r="L19" i="2"/>
  <c r="D117" i="2"/>
  <c r="AN171" i="2"/>
  <c r="I50" i="2"/>
  <c r="X126" i="2"/>
  <c r="E146" i="2"/>
  <c r="E123" i="2"/>
  <c r="I60" i="2"/>
  <c r="AM162" i="2"/>
  <c r="I37" i="2"/>
  <c r="AM175" i="2"/>
  <c r="AM137" i="2"/>
  <c r="AH54" i="2"/>
  <c r="E79" i="2"/>
  <c r="L51" i="2"/>
  <c r="D185" i="2"/>
  <c r="E160" i="2"/>
  <c r="I20" i="2"/>
  <c r="I83" i="2"/>
  <c r="BI194" i="2"/>
  <c r="E140" i="2"/>
  <c r="L145" i="2"/>
  <c r="D166" i="2"/>
  <c r="H131" i="2"/>
  <c r="X114" i="2"/>
  <c r="L9" i="2"/>
  <c r="E129" i="2"/>
  <c r="AH19" i="2"/>
  <c r="H80" i="2"/>
  <c r="L158" i="2"/>
  <c r="F21" i="2"/>
  <c r="F141" i="2"/>
  <c r="F110" i="2"/>
  <c r="F86" i="2"/>
  <c r="I164" i="2"/>
  <c r="X199" i="2"/>
  <c r="D55" i="2"/>
  <c r="I8" i="2"/>
  <c r="H68" i="2"/>
  <c r="H145" i="2"/>
  <c r="D84" i="2"/>
  <c r="L56" i="2"/>
  <c r="BN71" i="2"/>
  <c r="BO94" i="2"/>
  <c r="AY71" i="2"/>
  <c r="BI21" i="2"/>
  <c r="AY147" i="2"/>
  <c r="AN57" i="2"/>
  <c r="BR168" i="2"/>
  <c r="BI108" i="2"/>
  <c r="AH67" i="2"/>
  <c r="AY157" i="2"/>
  <c r="AH29" i="2"/>
  <c r="BI25" i="2"/>
  <c r="AY5" i="2"/>
  <c r="I174" i="2"/>
  <c r="BR145" i="2"/>
  <c r="E86" i="2"/>
  <c r="L133" i="2"/>
  <c r="BO149" i="2"/>
  <c r="H176" i="2"/>
  <c r="BO20" i="2"/>
  <c r="AN4" i="2"/>
  <c r="D125" i="2"/>
  <c r="BR38" i="2"/>
  <c r="X24" i="2"/>
  <c r="D5" i="2"/>
  <c r="AN200" i="2"/>
  <c r="I107" i="2"/>
  <c r="E156" i="2"/>
  <c r="D16" i="2"/>
  <c r="AM77" i="2"/>
  <c r="AN103" i="2"/>
  <c r="X200" i="2"/>
  <c r="AH64" i="2"/>
  <c r="X170" i="2"/>
  <c r="L23" i="2"/>
  <c r="E171" i="2"/>
  <c r="AH39" i="2"/>
  <c r="AN172" i="2"/>
  <c r="AM27" i="2"/>
  <c r="X124" i="2"/>
  <c r="E133" i="2"/>
  <c r="I56" i="2"/>
  <c r="E158" i="2"/>
  <c r="F49" i="2"/>
  <c r="BR76" i="2"/>
  <c r="AH164" i="2"/>
  <c r="AH122" i="2"/>
  <c r="AH57" i="2"/>
  <c r="D167" i="2"/>
  <c r="AN189" i="2"/>
  <c r="AN152" i="2"/>
  <c r="L181" i="2"/>
  <c r="L71" i="2"/>
  <c r="L26" i="2"/>
  <c r="X150" i="2"/>
  <c r="BI158" i="2"/>
  <c r="D88" i="2"/>
  <c r="I190" i="2"/>
  <c r="H93" i="2"/>
  <c r="BO130" i="2"/>
  <c r="BR114" i="2"/>
  <c r="AN155" i="2"/>
  <c r="I13" i="2"/>
  <c r="BR91" i="2"/>
  <c r="L46" i="2"/>
  <c r="BI155" i="2"/>
  <c r="L122" i="2"/>
  <c r="BI82" i="2"/>
  <c r="AM118" i="2"/>
  <c r="L140" i="2"/>
  <c r="AH151" i="2"/>
  <c r="L37" i="2"/>
  <c r="X125" i="2"/>
  <c r="AN79" i="2"/>
  <c r="D23" i="2"/>
  <c r="BO57" i="2"/>
  <c r="AM108" i="2"/>
  <c r="E184" i="2"/>
  <c r="X134" i="2"/>
  <c r="L194" i="2"/>
  <c r="AH68" i="2"/>
  <c r="BI46" i="2"/>
  <c r="BO91" i="2"/>
  <c r="BN146" i="2"/>
  <c r="I104" i="2"/>
  <c r="BR170" i="2"/>
  <c r="AN63" i="2"/>
  <c r="L59" i="2"/>
  <c r="E16" i="2"/>
  <c r="X196" i="2"/>
  <c r="I25" i="2"/>
  <c r="D20" i="2"/>
  <c r="L147" i="2"/>
  <c r="D98" i="2"/>
  <c r="I94" i="2"/>
  <c r="AY27" i="2"/>
  <c r="E141" i="2"/>
  <c r="E118" i="2"/>
  <c r="H126" i="2"/>
  <c r="AH38" i="2"/>
  <c r="H116" i="2"/>
  <c r="AM129" i="2"/>
  <c r="F85" i="2"/>
  <c r="F67" i="2"/>
  <c r="E122" i="2"/>
  <c r="I39" i="2"/>
  <c r="F31" i="2"/>
  <c r="I36" i="2"/>
  <c r="L149" i="2"/>
  <c r="H77" i="2"/>
  <c r="H107" i="2"/>
  <c r="I10" i="2"/>
  <c r="AM157" i="2"/>
  <c r="D43" i="2"/>
  <c r="D27" i="2"/>
  <c r="BO59" i="2"/>
  <c r="F183" i="2"/>
  <c r="X194" i="2"/>
  <c r="I146" i="2"/>
  <c r="F153" i="2"/>
  <c r="AN62" i="2"/>
  <c r="H38" i="2"/>
  <c r="AY61" i="2"/>
  <c r="AY63" i="2"/>
  <c r="AM46" i="2"/>
  <c r="L148" i="2"/>
  <c r="AM148" i="2"/>
  <c r="D193" i="2"/>
  <c r="BO157" i="2"/>
  <c r="E119" i="2"/>
  <c r="AY67" i="2"/>
  <c r="AN170" i="2"/>
  <c r="BN116" i="2"/>
  <c r="AY28" i="2"/>
  <c r="AH21" i="2"/>
  <c r="E28" i="2"/>
  <c r="L54" i="2"/>
  <c r="I191" i="2"/>
  <c r="AN182" i="2"/>
  <c r="BR69" i="2"/>
  <c r="L60" i="2"/>
  <c r="AH40" i="2"/>
  <c r="E46" i="2"/>
  <c r="E68" i="2"/>
  <c r="D74" i="2"/>
  <c r="BN43" i="2"/>
  <c r="D66" i="2"/>
  <c r="D9" i="2"/>
  <c r="L164" i="2"/>
  <c r="X66" i="2"/>
  <c r="AY194" i="2"/>
  <c r="D63" i="2"/>
  <c r="H90" i="2"/>
  <c r="AM78" i="2"/>
  <c r="AN72" i="2"/>
  <c r="X109" i="2"/>
  <c r="D108" i="2"/>
  <c r="AY182" i="2"/>
  <c r="D31" i="2"/>
  <c r="BN63" i="2"/>
  <c r="BO170" i="2"/>
  <c r="I185" i="2"/>
  <c r="D8" i="2"/>
  <c r="BR99" i="2"/>
  <c r="AN16" i="2"/>
  <c r="D164" i="2"/>
  <c r="AY47" i="2"/>
  <c r="BN27" i="2"/>
  <c r="BN131" i="2"/>
  <c r="E78" i="2"/>
  <c r="D102" i="2"/>
  <c r="L175" i="2"/>
  <c r="AM197" i="2"/>
  <c r="D50" i="2"/>
  <c r="D171" i="2"/>
  <c r="E182" i="2"/>
  <c r="I195" i="2"/>
  <c r="D65" i="2"/>
  <c r="AY175" i="2"/>
  <c r="I178" i="2"/>
  <c r="L16" i="2"/>
  <c r="BI171" i="2"/>
  <c r="X172" i="2"/>
  <c r="AM180" i="2"/>
  <c r="L83" i="2"/>
  <c r="AN179" i="2"/>
  <c r="E44" i="2"/>
  <c r="D195" i="2"/>
  <c r="L17" i="2"/>
  <c r="X161" i="2"/>
  <c r="AM196" i="2"/>
  <c r="AH115" i="2"/>
  <c r="AM155" i="2"/>
  <c r="D37" i="2"/>
  <c r="L165" i="2"/>
  <c r="H187" i="2"/>
  <c r="E194" i="2"/>
  <c r="BI107" i="2"/>
  <c r="AY109" i="2"/>
  <c r="L42" i="2"/>
  <c r="L155" i="2"/>
  <c r="L69" i="2"/>
  <c r="E126" i="2"/>
  <c r="E21" i="2"/>
  <c r="E26" i="2"/>
  <c r="E120" i="2"/>
  <c r="I158" i="2"/>
  <c r="BN127" i="2"/>
  <c r="D56" i="2"/>
  <c r="AY142" i="2"/>
  <c r="AY104" i="2"/>
  <c r="D80" i="2"/>
  <c r="L50" i="2"/>
  <c r="AY29" i="2"/>
  <c r="X68" i="2"/>
  <c r="D95" i="2"/>
  <c r="L141" i="2"/>
  <c r="X105" i="2"/>
  <c r="BI24" i="2"/>
  <c r="I197" i="2"/>
  <c r="H139" i="2"/>
  <c r="AN27" i="2"/>
  <c r="AM90" i="2"/>
  <c r="AN86" i="2"/>
  <c r="AH119" i="2"/>
  <c r="E24" i="2"/>
  <c r="BI79" i="2"/>
  <c r="F131" i="2"/>
  <c r="F136" i="2"/>
  <c r="E135" i="2"/>
  <c r="AH52" i="2"/>
  <c r="E199" i="2"/>
  <c r="F186" i="2"/>
  <c r="F19" i="2"/>
  <c r="L190" i="2"/>
  <c r="L132" i="2"/>
  <c r="H168" i="2"/>
  <c r="E34" i="2"/>
  <c r="L99" i="2"/>
  <c r="X118" i="2"/>
  <c r="F194" i="2"/>
  <c r="F26" i="2"/>
  <c r="I145" i="2"/>
  <c r="I45" i="2"/>
  <c r="BI77" i="2"/>
  <c r="F158" i="2"/>
  <c r="F172" i="2"/>
  <c r="E37" i="2"/>
  <c r="E85" i="2"/>
  <c r="BN121" i="2"/>
  <c r="BO156" i="2"/>
  <c r="AN93" i="2"/>
  <c r="E178" i="2"/>
  <c r="BR16" i="2"/>
  <c r="AM30" i="2"/>
  <c r="BI192" i="2"/>
  <c r="AN9" i="2"/>
  <c r="E99" i="2"/>
  <c r="BR130" i="2"/>
  <c r="X155" i="2"/>
  <c r="L68" i="2"/>
  <c r="BI139" i="2"/>
  <c r="AM123" i="2"/>
  <c r="D161" i="2"/>
  <c r="L110" i="2"/>
  <c r="I151" i="2"/>
  <c r="L81" i="2"/>
  <c r="AN121" i="2"/>
  <c r="L43" i="2"/>
  <c r="I11" i="2"/>
  <c r="AY24" i="2"/>
  <c r="BO92" i="2"/>
  <c r="AM179" i="2"/>
  <c r="AH118" i="2"/>
  <c r="X181" i="2"/>
  <c r="AM95" i="2"/>
  <c r="L105" i="2"/>
  <c r="AM8" i="2"/>
  <c r="X88" i="2"/>
  <c r="X102" i="2"/>
  <c r="AN17" i="2"/>
  <c r="I91" i="2"/>
  <c r="L100" i="2"/>
  <c r="E17" i="2"/>
  <c r="AH154" i="2"/>
  <c r="BN181" i="2"/>
  <c r="D123" i="2"/>
  <c r="AN164" i="2"/>
  <c r="D99" i="2"/>
  <c r="X133" i="2"/>
  <c r="X72" i="2"/>
  <c r="L13" i="2"/>
  <c r="F134" i="2"/>
  <c r="BR103" i="2"/>
  <c r="AY120" i="2"/>
  <c r="L156" i="2"/>
  <c r="AH63" i="2"/>
  <c r="X139" i="2"/>
  <c r="L191" i="2"/>
  <c r="AN48" i="2"/>
  <c r="E168" i="2"/>
  <c r="AM39" i="2"/>
  <c r="AY199" i="2"/>
  <c r="AN43" i="2"/>
  <c r="E53" i="2"/>
  <c r="AM130" i="2"/>
  <c r="D178" i="2"/>
  <c r="H22" i="2"/>
  <c r="X148" i="2"/>
  <c r="AM135" i="2"/>
  <c r="AM133" i="2"/>
  <c r="AY93" i="2"/>
  <c r="L52" i="2"/>
  <c r="BR19" i="2"/>
  <c r="BO97" i="2"/>
  <c r="BI83" i="2"/>
  <c r="L24" i="2"/>
  <c r="BR15" i="2"/>
  <c r="E6" i="2"/>
  <c r="E154" i="2"/>
  <c r="BI26" i="2"/>
  <c r="AH134" i="2"/>
  <c r="F4" i="2"/>
  <c r="BO197" i="2"/>
  <c r="BR6" i="2"/>
  <c r="AH117" i="2"/>
  <c r="E75" i="2"/>
  <c r="E92" i="2"/>
  <c r="AH44" i="2"/>
  <c r="D21" i="2"/>
  <c r="E69" i="2"/>
  <c r="D107" i="2"/>
  <c r="BI148" i="2"/>
  <c r="BN159" i="2"/>
  <c r="X190" i="2"/>
  <c r="X165" i="2"/>
  <c r="BI74" i="2"/>
  <c r="D29" i="2"/>
  <c r="L192" i="2"/>
  <c r="AM72" i="2"/>
  <c r="L90" i="2"/>
  <c r="AH141" i="2"/>
  <c r="X197" i="2"/>
  <c r="AH132" i="2"/>
  <c r="I113" i="2"/>
  <c r="AN150" i="2"/>
  <c r="E114" i="2"/>
  <c r="L85" i="2"/>
  <c r="BI156" i="2"/>
  <c r="I200" i="2"/>
  <c r="H178" i="2"/>
  <c r="H134" i="2"/>
  <c r="L5" i="2"/>
  <c r="H143" i="2"/>
  <c r="D126" i="2"/>
  <c r="AM65" i="2"/>
  <c r="F38" i="2"/>
  <c r="H21" i="2"/>
  <c r="F45" i="2"/>
  <c r="F93" i="2"/>
  <c r="H194" i="2"/>
  <c r="D34" i="2"/>
  <c r="F78" i="2"/>
  <c r="L84" i="2"/>
  <c r="BN117" i="2"/>
  <c r="H39" i="2"/>
  <c r="I180" i="2"/>
  <c r="L142" i="2"/>
  <c r="E174" i="2"/>
  <c r="BN23" i="2"/>
  <c r="BR182" i="2"/>
  <c r="I160" i="2"/>
  <c r="E105" i="2"/>
  <c r="AY48" i="2"/>
  <c r="BR111" i="2"/>
  <c r="E22" i="2"/>
  <c r="BI111" i="2"/>
  <c r="AH83" i="2"/>
  <c r="BO54" i="2"/>
  <c r="BR196" i="2"/>
  <c r="AM84" i="2"/>
  <c r="AH106" i="2"/>
  <c r="L92" i="2"/>
  <c r="I18" i="2"/>
  <c r="I9" i="2"/>
  <c r="L103" i="2"/>
  <c r="AH148" i="2"/>
  <c r="D196" i="2"/>
  <c r="AN123" i="2"/>
  <c r="BO124" i="2"/>
  <c r="D127" i="2"/>
  <c r="E175" i="2"/>
  <c r="AM99" i="2"/>
  <c r="BR151" i="2"/>
  <c r="I97" i="2"/>
  <c r="H35" i="2"/>
  <c r="BI31" i="2"/>
  <c r="L82" i="2"/>
  <c r="AH131" i="2"/>
  <c r="E131" i="2"/>
  <c r="E179" i="2"/>
  <c r="I28" i="2"/>
  <c r="AH84" i="2"/>
  <c r="AN90" i="2"/>
  <c r="I92" i="2"/>
  <c r="BI17" i="2"/>
  <c r="I106" i="2"/>
  <c r="AY177" i="2"/>
  <c r="E167" i="2"/>
  <c r="E107" i="2"/>
  <c r="X64" i="2"/>
  <c r="AM63" i="2"/>
  <c r="AM40" i="2"/>
  <c r="AN188" i="2"/>
  <c r="AH20" i="2"/>
  <c r="I177" i="2"/>
  <c r="X175" i="2"/>
  <c r="AM55" i="2"/>
  <c r="AN24" i="2"/>
  <c r="D142" i="2"/>
  <c r="E96" i="2"/>
  <c r="L94" i="2"/>
  <c r="I85" i="2"/>
  <c r="F39" i="2"/>
  <c r="L135" i="2"/>
  <c r="AH121" i="2"/>
  <c r="L22" i="2"/>
  <c r="F90" i="2"/>
  <c r="BN169" i="2"/>
  <c r="D33" i="2"/>
  <c r="D192" i="2"/>
  <c r="AH142" i="2"/>
  <c r="AH197" i="2"/>
  <c r="L104" i="2"/>
  <c r="D73" i="2"/>
  <c r="X141" i="2"/>
  <c r="I172" i="2"/>
  <c r="E81" i="2"/>
  <c r="X198" i="2"/>
  <c r="AN199" i="2"/>
  <c r="I57" i="2"/>
  <c r="BR178" i="2"/>
  <c r="BR100" i="2"/>
  <c r="AH100" i="2"/>
  <c r="BN39" i="2"/>
  <c r="AH91" i="2"/>
  <c r="AN104" i="2"/>
  <c r="AN22" i="2"/>
  <c r="L138" i="2"/>
  <c r="BR132" i="2"/>
  <c r="L112" i="2"/>
  <c r="BR122" i="2"/>
  <c r="I109" i="2"/>
  <c r="AY149" i="2"/>
  <c r="BN193" i="2"/>
  <c r="AN50" i="2"/>
  <c r="I183" i="2"/>
  <c r="I162" i="2"/>
  <c r="D103" i="2"/>
  <c r="L76" i="2"/>
  <c r="D36" i="2"/>
  <c r="E58" i="2"/>
  <c r="E189" i="2"/>
  <c r="E196" i="2"/>
  <c r="L77" i="2"/>
  <c r="D128" i="2"/>
  <c r="D81" i="2"/>
  <c r="F47" i="2"/>
  <c r="D68" i="2"/>
  <c r="X193" i="2"/>
  <c r="AN44" i="2"/>
  <c r="F195" i="2"/>
  <c r="F24" i="2"/>
  <c r="L177" i="2"/>
  <c r="I33" i="2"/>
  <c r="F30" i="2"/>
  <c r="D145" i="2"/>
  <c r="L40" i="2"/>
  <c r="F62" i="2"/>
  <c r="F139" i="2"/>
  <c r="X44" i="2"/>
  <c r="BO89" i="2"/>
  <c r="L39" i="2"/>
  <c r="F191" i="2"/>
  <c r="I46" i="2"/>
  <c r="AH77" i="2"/>
  <c r="H73" i="2"/>
  <c r="H9" i="2"/>
  <c r="I22" i="2"/>
  <c r="F25" i="2"/>
  <c r="I132" i="2"/>
  <c r="BI174" i="2"/>
  <c r="BI93" i="2"/>
  <c r="BR59" i="2"/>
  <c r="AH86" i="2"/>
  <c r="BR28" i="2"/>
  <c r="BI165" i="2"/>
  <c r="BN166" i="2"/>
  <c r="BI170" i="2"/>
  <c r="AH28" i="2"/>
  <c r="BO126" i="2"/>
  <c r="BN115" i="2"/>
  <c r="D67" i="2"/>
  <c r="BO136" i="2"/>
  <c r="BI177" i="2"/>
  <c r="I110" i="2"/>
  <c r="AM132" i="2"/>
  <c r="E12" i="2"/>
  <c r="AN89" i="2"/>
  <c r="AY4" i="2"/>
  <c r="AY57" i="2"/>
  <c r="I66" i="2"/>
  <c r="E73" i="2"/>
  <c r="I29" i="2"/>
  <c r="BR70" i="2"/>
  <c r="E138" i="2"/>
  <c r="AN126" i="2"/>
  <c r="L21" i="2"/>
  <c r="I153" i="2"/>
  <c r="E91" i="2"/>
  <c r="D190" i="2"/>
  <c r="BR191" i="2"/>
  <c r="L14" i="2"/>
  <c r="L73" i="2"/>
  <c r="X51" i="2"/>
  <c r="E77" i="2"/>
  <c r="AH87" i="2"/>
  <c r="F166" i="2"/>
  <c r="D172" i="2"/>
  <c r="E173" i="2"/>
  <c r="AN158" i="2"/>
  <c r="D173" i="2"/>
  <c r="I69" i="2"/>
  <c r="I141" i="2"/>
  <c r="BI53" i="2"/>
  <c r="AM35" i="2"/>
  <c r="AY133" i="2"/>
  <c r="BO83" i="2"/>
  <c r="L114" i="2"/>
  <c r="E125" i="2"/>
  <c r="AN177" i="2"/>
  <c r="AN55" i="2"/>
  <c r="AM121" i="2"/>
  <c r="BN52" i="2"/>
  <c r="I27" i="2"/>
  <c r="AN157" i="2"/>
  <c r="E70" i="2"/>
  <c r="E191" i="2"/>
  <c r="E198" i="2"/>
  <c r="BO75" i="2"/>
  <c r="BN5" i="2"/>
  <c r="AM189" i="2"/>
  <c r="E112" i="2"/>
  <c r="D22" i="2"/>
  <c r="X11" i="2"/>
  <c r="E161" i="2"/>
  <c r="X164" i="2"/>
  <c r="AY134" i="2"/>
  <c r="BN58" i="2"/>
  <c r="D143" i="2"/>
  <c r="E13" i="2"/>
  <c r="D47" i="2"/>
  <c r="AM73" i="2"/>
  <c r="H78" i="2"/>
  <c r="I61" i="2"/>
  <c r="AM188" i="2"/>
  <c r="AN23" i="2"/>
  <c r="E195" i="2"/>
  <c r="BI52" i="2"/>
  <c r="BR26" i="2"/>
  <c r="BI100" i="2"/>
  <c r="AN138" i="2"/>
  <c r="AH75" i="2"/>
  <c r="E183" i="2"/>
  <c r="X160" i="2"/>
  <c r="AN156" i="2"/>
  <c r="X106" i="2"/>
  <c r="D104" i="2"/>
  <c r="X42" i="2"/>
  <c r="E74" i="2"/>
  <c r="AN15" i="2"/>
  <c r="X25" i="2"/>
  <c r="D83" i="2"/>
  <c r="BI180" i="2"/>
  <c r="AN163" i="2"/>
  <c r="E109" i="2"/>
  <c r="I96" i="2"/>
  <c r="D45" i="2"/>
  <c r="D69" i="2"/>
  <c r="E139" i="2"/>
  <c r="E27" i="2"/>
  <c r="L30" i="2"/>
  <c r="X49" i="2"/>
  <c r="D130" i="2"/>
  <c r="D181" i="2"/>
  <c r="F157" i="2"/>
  <c r="I196" i="2"/>
  <c r="X112" i="2"/>
  <c r="AH49" i="2"/>
  <c r="F60" i="2"/>
  <c r="F199" i="2"/>
  <c r="F106" i="2"/>
  <c r="AH27" i="2"/>
  <c r="I82" i="2"/>
  <c r="D91" i="2"/>
  <c r="D169" i="2"/>
  <c r="F182" i="2"/>
  <c r="D13" i="2"/>
  <c r="D156" i="2"/>
  <c r="E104" i="2"/>
  <c r="E137" i="2"/>
  <c r="I129" i="2"/>
  <c r="E101" i="2"/>
  <c r="X187" i="2"/>
  <c r="H41" i="2"/>
  <c r="E116" i="2"/>
  <c r="D180" i="2"/>
  <c r="E152" i="2"/>
  <c r="AN127" i="2"/>
  <c r="BR128" i="2"/>
  <c r="AY121" i="2"/>
  <c r="BN184" i="2"/>
  <c r="AY106" i="2"/>
  <c r="AM29" i="2"/>
  <c r="AY181" i="2"/>
  <c r="BI43" i="2"/>
  <c r="AM168" i="2"/>
  <c r="BR104" i="2"/>
  <c r="AH72" i="2"/>
  <c r="AY10" i="2"/>
  <c r="AH94" i="2"/>
  <c r="AH129" i="2"/>
  <c r="AH190" i="2"/>
  <c r="I194" i="2"/>
  <c r="X116" i="2"/>
  <c r="D110" i="2"/>
  <c r="AY185" i="2"/>
  <c r="L47" i="2"/>
  <c r="I72" i="2"/>
  <c r="I140" i="2"/>
  <c r="L198" i="2"/>
  <c r="BI57" i="2"/>
  <c r="BI33" i="2"/>
  <c r="X43" i="2"/>
  <c r="BR199" i="2"/>
  <c r="AY64" i="2"/>
  <c r="X18" i="2"/>
  <c r="BN118" i="2"/>
  <c r="BO21" i="2"/>
  <c r="L80" i="2"/>
  <c r="X80" i="2"/>
  <c r="E148" i="2"/>
  <c r="L88" i="2"/>
  <c r="AN115" i="2"/>
  <c r="X188" i="2"/>
  <c r="BR75" i="2"/>
  <c r="BI123" i="2"/>
  <c r="AN192" i="2"/>
  <c r="D197" i="2"/>
  <c r="I188" i="2"/>
  <c r="X186" i="2"/>
  <c r="AM134" i="2"/>
  <c r="BI84" i="2"/>
  <c r="E60" i="2"/>
  <c r="D162" i="2"/>
  <c r="L169" i="2"/>
  <c r="I163" i="2"/>
  <c r="D120" i="2"/>
  <c r="AM143" i="2"/>
  <c r="AN122" i="2"/>
  <c r="X107" i="2"/>
  <c r="D153" i="2"/>
  <c r="AY192" i="2"/>
  <c r="E63" i="2"/>
  <c r="L199" i="2"/>
  <c r="E155" i="2"/>
  <c r="AM104" i="2"/>
  <c r="AN67" i="2"/>
  <c r="AN77" i="2"/>
  <c r="E47" i="2"/>
  <c r="X130" i="2"/>
  <c r="E49" i="2"/>
  <c r="AN117" i="2"/>
  <c r="AH104" i="2"/>
  <c r="F154" i="2"/>
  <c r="X137" i="2"/>
  <c r="L55" i="2"/>
  <c r="AH145" i="2"/>
  <c r="E145" i="2"/>
  <c r="AN34" i="2"/>
  <c r="I44" i="2"/>
  <c r="H162" i="2"/>
  <c r="X32" i="2"/>
  <c r="BR149" i="2"/>
  <c r="AN105" i="2"/>
  <c r="E165" i="2"/>
  <c r="D62" i="2"/>
  <c r="D174" i="2"/>
  <c r="X46" i="2"/>
  <c r="AN196" i="2"/>
  <c r="D78" i="2"/>
  <c r="BO172" i="2"/>
  <c r="BO103" i="2"/>
  <c r="AY43" i="2"/>
  <c r="BO56" i="2"/>
  <c r="AM9" i="2"/>
  <c r="I189" i="2"/>
  <c r="X167" i="2"/>
  <c r="AH71" i="2"/>
  <c r="L195" i="2"/>
  <c r="AN111" i="2"/>
  <c r="L86" i="2"/>
  <c r="I133" i="2"/>
  <c r="E143" i="2"/>
  <c r="E66" i="2"/>
  <c r="BI7" i="2"/>
  <c r="D152" i="2"/>
  <c r="F57" i="2"/>
  <c r="L178" i="2"/>
  <c r="F32" i="2"/>
  <c r="I192" i="2"/>
  <c r="X22" i="2"/>
  <c r="E149" i="2"/>
  <c r="F171" i="2"/>
  <c r="L157" i="2"/>
  <c r="AH159" i="2"/>
  <c r="H159" i="2"/>
  <c r="F84" i="2"/>
  <c r="H13" i="2"/>
  <c r="AN31" i="2"/>
  <c r="H170" i="2"/>
  <c r="H197" i="2"/>
  <c r="F189" i="2"/>
  <c r="E106" i="2"/>
  <c r="F142" i="2"/>
  <c r="I170" i="2"/>
  <c r="F36" i="2"/>
  <c r="BN133" i="2"/>
  <c r="AY191" i="2"/>
  <c r="I150" i="2"/>
  <c r="AH93" i="2"/>
  <c r="AM152" i="2"/>
  <c r="D122" i="2"/>
  <c r="X192" i="2"/>
  <c r="L109" i="2"/>
  <c r="AN128" i="2"/>
  <c r="D46" i="2"/>
  <c r="D38" i="2"/>
  <c r="I78" i="2"/>
  <c r="L119" i="2"/>
  <c r="F71" i="2"/>
  <c r="L153" i="2"/>
  <c r="I128" i="2"/>
  <c r="L97" i="2"/>
  <c r="H165" i="2"/>
  <c r="AM113" i="2"/>
  <c r="F169" i="2"/>
  <c r="D194" i="2"/>
  <c r="AY13" i="2"/>
  <c r="H64" i="2"/>
  <c r="F109" i="2"/>
  <c r="D137" i="2"/>
  <c r="D71" i="2"/>
  <c r="AM10" i="2"/>
  <c r="D157" i="2"/>
  <c r="AN144" i="2"/>
  <c r="E61" i="2"/>
  <c r="H129" i="2"/>
  <c r="D119" i="2"/>
  <c r="L96" i="2"/>
  <c r="I35" i="2"/>
  <c r="F35" i="2"/>
  <c r="BI61" i="2"/>
  <c r="L185" i="2"/>
  <c r="I71" i="2"/>
  <c r="D159" i="2"/>
  <c r="I99" i="2"/>
  <c r="D18" i="2"/>
  <c r="AY144" i="2"/>
  <c r="F181" i="2"/>
  <c r="L123" i="2"/>
  <c r="AH51" i="2"/>
  <c r="F151" i="2"/>
  <c r="I88" i="2"/>
  <c r="E151" i="2"/>
  <c r="F178" i="2"/>
  <c r="X69" i="2"/>
  <c r="I169" i="2"/>
  <c r="BR79" i="2"/>
  <c r="D134" i="2"/>
  <c r="I137" i="2"/>
  <c r="H191" i="2"/>
  <c r="H121" i="2"/>
  <c r="F15" i="2"/>
  <c r="H5" i="2"/>
  <c r="F92" i="2"/>
  <c r="L144" i="2"/>
  <c r="L143" i="2"/>
  <c r="D168" i="2"/>
  <c r="AN134" i="2"/>
  <c r="I16" i="2"/>
  <c r="F40" i="2"/>
  <c r="I23" i="2"/>
  <c r="BN30" i="2"/>
  <c r="F63" i="2"/>
  <c r="F29" i="2"/>
  <c r="E55" i="2"/>
  <c r="X135" i="2"/>
  <c r="I74" i="2"/>
  <c r="H190" i="2"/>
  <c r="E132" i="2"/>
  <c r="F156" i="2"/>
  <c r="X101" i="2"/>
  <c r="H40" i="2"/>
  <c r="F14" i="2"/>
  <c r="H155" i="2"/>
  <c r="H154" i="2"/>
  <c r="I135" i="2"/>
  <c r="H61" i="2"/>
  <c r="D135" i="2"/>
  <c r="H50" i="2"/>
  <c r="I179" i="2"/>
  <c r="I31" i="2"/>
  <c r="H125" i="2"/>
  <c r="F64" i="2"/>
  <c r="F155" i="2"/>
  <c r="D163" i="2"/>
  <c r="E130" i="2"/>
  <c r="BI193" i="2"/>
  <c r="BI168" i="2"/>
  <c r="I12" i="2"/>
  <c r="E94" i="2"/>
  <c r="E102" i="2"/>
  <c r="AY128" i="2"/>
  <c r="E71" i="2"/>
  <c r="F146" i="2"/>
  <c r="L35" i="2"/>
  <c r="H94" i="2"/>
  <c r="D85" i="2"/>
  <c r="I52" i="2"/>
  <c r="L170" i="2"/>
  <c r="AH108" i="2"/>
  <c r="AN165" i="2"/>
  <c r="I186" i="2"/>
  <c r="F177" i="2"/>
  <c r="X168" i="2"/>
  <c r="D89" i="2"/>
  <c r="AN137" i="2"/>
  <c r="L107" i="2"/>
  <c r="L129" i="2"/>
  <c r="D177" i="2"/>
  <c r="L197" i="2"/>
  <c r="F10" i="2"/>
  <c r="E97" i="2"/>
  <c r="E51" i="2"/>
  <c r="D77" i="2"/>
  <c r="AM50" i="2"/>
  <c r="H186" i="2"/>
  <c r="L61" i="2"/>
  <c r="L151" i="2"/>
  <c r="L130" i="2"/>
  <c r="F55" i="2"/>
  <c r="H11" i="2"/>
  <c r="AN151" i="2"/>
  <c r="I98" i="2"/>
  <c r="X182" i="2"/>
  <c r="I24" i="2"/>
  <c r="H173" i="2"/>
  <c r="H48" i="2"/>
  <c r="AH55" i="2"/>
  <c r="I95" i="2"/>
  <c r="L102" i="2"/>
  <c r="H101" i="2"/>
  <c r="H88" i="2"/>
  <c r="D44" i="2"/>
  <c r="F174" i="2"/>
  <c r="AN191" i="2"/>
  <c r="BI71" i="2"/>
  <c r="BI34" i="2"/>
  <c r="H103" i="2"/>
  <c r="L168" i="2"/>
  <c r="H189" i="2"/>
  <c r="E89" i="2"/>
  <c r="F34" i="2"/>
  <c r="D175" i="2"/>
  <c r="H175" i="2"/>
  <c r="H34" i="2"/>
  <c r="X28" i="2"/>
  <c r="X117" i="2"/>
  <c r="AN109" i="2"/>
  <c r="AN120" i="2"/>
  <c r="H105" i="2"/>
  <c r="H85" i="2"/>
  <c r="AH62" i="2"/>
  <c r="I131" i="2"/>
  <c r="D92" i="2"/>
  <c r="E38" i="2"/>
  <c r="F185" i="2"/>
  <c r="I42" i="2"/>
  <c r="I38" i="2"/>
  <c r="L44" i="2"/>
  <c r="H54" i="2"/>
  <c r="H18" i="2"/>
  <c r="H153" i="2"/>
  <c r="H36" i="2"/>
  <c r="F96" i="2"/>
  <c r="H58" i="2"/>
  <c r="I48" i="2"/>
  <c r="D97" i="2"/>
  <c r="E177" i="2"/>
  <c r="F76" i="2"/>
  <c r="F66" i="2"/>
  <c r="D17" i="2"/>
  <c r="H74" i="2"/>
  <c r="H114" i="2"/>
  <c r="F77" i="2"/>
  <c r="F130" i="2"/>
  <c r="F197" i="2"/>
  <c r="L116" i="2"/>
  <c r="H86" i="2"/>
  <c r="F102" i="2"/>
  <c r="H111" i="2"/>
  <c r="AH133" i="2"/>
  <c r="AM53" i="2"/>
  <c r="AY138" i="2"/>
  <c r="D189" i="2"/>
  <c r="AN133" i="2"/>
  <c r="L78" i="2"/>
  <c r="BI95" i="2"/>
  <c r="AH171" i="2"/>
  <c r="AM74" i="2"/>
  <c r="BR86" i="2"/>
  <c r="AM79" i="2"/>
  <c r="BO85" i="2"/>
  <c r="AH60" i="2"/>
  <c r="F198" i="2"/>
  <c r="AM80" i="2"/>
  <c r="X37" i="2"/>
  <c r="L187" i="2"/>
  <c r="L93" i="2"/>
  <c r="AM58" i="2"/>
  <c r="H140" i="2"/>
  <c r="H196" i="2"/>
  <c r="H151" i="2"/>
  <c r="D96" i="2"/>
  <c r="F95" i="2"/>
  <c r="H26" i="2"/>
  <c r="AH48" i="2"/>
  <c r="D6" i="2"/>
  <c r="AN181" i="2"/>
  <c r="F54" i="2"/>
  <c r="I149" i="2"/>
  <c r="H136" i="2"/>
  <c r="L32" i="2"/>
  <c r="F59" i="2"/>
  <c r="L57" i="2"/>
  <c r="H161" i="2"/>
  <c r="D160" i="2"/>
  <c r="L63" i="2"/>
  <c r="F125" i="2"/>
  <c r="F28" i="2"/>
  <c r="H57" i="2"/>
  <c r="AN18" i="2"/>
  <c r="H106" i="2"/>
  <c r="F103" i="2"/>
  <c r="E150" i="2"/>
  <c r="H157" i="2"/>
  <c r="F170" i="2"/>
  <c r="AN176" i="2"/>
  <c r="F91" i="2"/>
  <c r="F65" i="2"/>
  <c r="H115" i="2"/>
  <c r="I89" i="2"/>
  <c r="E50" i="2"/>
  <c r="L53" i="2"/>
  <c r="L118" i="2"/>
  <c r="I181" i="2"/>
  <c r="F81" i="2"/>
  <c r="D48" i="2"/>
  <c r="H45" i="2"/>
  <c r="H147" i="2"/>
  <c r="F168" i="2"/>
  <c r="F132" i="2"/>
  <c r="AM119" i="2"/>
  <c r="I127" i="2"/>
  <c r="F147" i="2"/>
  <c r="I93" i="2"/>
  <c r="X7" i="2"/>
  <c r="H33" i="2"/>
  <c r="I41" i="2"/>
  <c r="I84" i="2"/>
  <c r="H30" i="2"/>
  <c r="E93" i="2"/>
  <c r="H28" i="2"/>
  <c r="F192" i="2"/>
  <c r="BN186" i="2"/>
  <c r="F83" i="2"/>
  <c r="F53" i="2"/>
  <c r="H71" i="2"/>
  <c r="F108" i="2"/>
  <c r="AN194" i="2"/>
  <c r="L12" i="2"/>
  <c r="F159" i="2"/>
  <c r="F50" i="2"/>
  <c r="H42" i="2"/>
  <c r="H183" i="2"/>
  <c r="H181" i="2"/>
  <c r="F163" i="2"/>
  <c r="I152" i="2"/>
  <c r="X123" i="2"/>
  <c r="H99" i="2"/>
  <c r="F126" i="2"/>
  <c r="I117" i="2"/>
  <c r="F13" i="2"/>
  <c r="AH92" i="2"/>
  <c r="AH66" i="2"/>
  <c r="AH179" i="2"/>
  <c r="BN6" i="2"/>
  <c r="L179" i="2"/>
  <c r="AN25" i="2"/>
  <c r="L137" i="2"/>
  <c r="AM36" i="2"/>
  <c r="X53" i="2"/>
  <c r="BO195" i="2"/>
  <c r="E170" i="2"/>
  <c r="AH102" i="2"/>
  <c r="I118" i="2"/>
  <c r="D111" i="2"/>
  <c r="H52" i="2"/>
  <c r="BN158" i="2"/>
  <c r="E9" i="2"/>
  <c r="F18" i="2"/>
  <c r="I26" i="2"/>
  <c r="L182" i="2"/>
  <c r="L174" i="2"/>
  <c r="F72" i="2"/>
  <c r="F143" i="2"/>
  <c r="H141" i="2"/>
  <c r="F43" i="2"/>
  <c r="AM176" i="2"/>
  <c r="E115" i="2"/>
  <c r="F33" i="2"/>
  <c r="D144" i="2"/>
  <c r="I134" i="2"/>
  <c r="I136" i="2"/>
  <c r="F179" i="2"/>
  <c r="H6" i="2"/>
  <c r="F107" i="2"/>
  <c r="F111" i="2"/>
  <c r="D176" i="2"/>
  <c r="D86" i="2"/>
  <c r="I142" i="2"/>
  <c r="BI160" i="2"/>
  <c r="H172" i="2"/>
  <c r="F73" i="2"/>
  <c r="I55" i="2"/>
  <c r="L134" i="2"/>
  <c r="F48" i="2"/>
  <c r="F100" i="2"/>
  <c r="F11" i="2"/>
  <c r="D115" i="2"/>
  <c r="H67" i="2"/>
  <c r="I176" i="2"/>
  <c r="AH191" i="2"/>
  <c r="L29" i="2"/>
  <c r="L167" i="2"/>
  <c r="E121" i="2"/>
  <c r="H60" i="2"/>
  <c r="D188" i="2"/>
  <c r="L189" i="2"/>
  <c r="I122" i="2"/>
  <c r="I198" i="2"/>
  <c r="F135" i="2"/>
  <c r="X176" i="2"/>
  <c r="I126" i="2"/>
  <c r="H182" i="2"/>
  <c r="F127" i="2"/>
  <c r="I119" i="2"/>
  <c r="D114" i="2"/>
  <c r="AN30" i="2"/>
  <c r="F104" i="2"/>
  <c r="F133" i="2"/>
  <c r="E162" i="2"/>
  <c r="H4" i="2"/>
  <c r="L10" i="2"/>
  <c r="F46" i="2"/>
  <c r="I116" i="2"/>
  <c r="H96" i="2"/>
  <c r="F42" i="2"/>
  <c r="AH76" i="2"/>
  <c r="F173" i="2"/>
  <c r="AH101" i="2"/>
  <c r="F16" i="2"/>
  <c r="H70" i="2"/>
  <c r="AH35" i="2"/>
  <c r="H55" i="2"/>
  <c r="H160" i="2"/>
  <c r="F82" i="2"/>
  <c r="F167" i="2"/>
  <c r="X40" i="2"/>
  <c r="L128" i="2"/>
  <c r="X140" i="2"/>
  <c r="H119" i="2"/>
  <c r="F6" i="2"/>
  <c r="H169" i="2"/>
  <c r="H108" i="2"/>
  <c r="X183" i="2"/>
  <c r="AY91" i="2"/>
  <c r="BI147" i="2"/>
  <c r="F187" i="2"/>
  <c r="E45" i="2"/>
  <c r="BN48" i="2"/>
  <c r="AH160" i="2"/>
  <c r="BI39" i="2"/>
  <c r="AM28" i="2"/>
  <c r="AH105" i="2"/>
  <c r="I75" i="2"/>
  <c r="L106" i="2"/>
  <c r="H124" i="2"/>
  <c r="L120" i="2"/>
  <c r="H16" i="2"/>
  <c r="H100" i="2"/>
  <c r="D87" i="2"/>
  <c r="L20" i="2"/>
  <c r="F94" i="2"/>
  <c r="H163" i="2"/>
  <c r="F44" i="2"/>
  <c r="I59" i="2"/>
  <c r="D141" i="2"/>
  <c r="E95" i="2"/>
  <c r="D183" i="2"/>
  <c r="D52" i="2"/>
  <c r="L91" i="2"/>
  <c r="D118" i="2"/>
  <c r="H49" i="2"/>
  <c r="X86" i="2"/>
  <c r="F5" i="2"/>
  <c r="H87" i="2"/>
  <c r="BR65" i="2"/>
  <c r="AH184" i="2"/>
  <c r="AY152" i="2"/>
  <c r="BO12" i="2"/>
  <c r="D105" i="2"/>
  <c r="BI115" i="2"/>
  <c r="L7" i="2"/>
  <c r="H89" i="2"/>
  <c r="L161" i="2"/>
  <c r="F41" i="2"/>
  <c r="E180" i="2"/>
  <c r="F122" i="2"/>
  <c r="H118" i="2"/>
  <c r="I161" i="2"/>
  <c r="L124" i="2"/>
  <c r="H63" i="2"/>
  <c r="F112" i="2"/>
  <c r="F22" i="2"/>
  <c r="H79" i="2"/>
  <c r="H144" i="2"/>
  <c r="BI94" i="2"/>
  <c r="AY187" i="2"/>
  <c r="X76" i="2"/>
  <c r="I115" i="2"/>
  <c r="F138" i="2"/>
  <c r="D106" i="2"/>
  <c r="L65" i="2"/>
  <c r="AH176" i="2"/>
  <c r="L62" i="2"/>
  <c r="I90" i="2"/>
  <c r="I168" i="2"/>
  <c r="F184" i="2"/>
  <c r="L4" i="2"/>
  <c r="D93" i="2"/>
  <c r="AM82" i="2"/>
  <c r="I101" i="2"/>
  <c r="F123" i="2"/>
  <c r="I105" i="2"/>
  <c r="F129" i="2"/>
  <c r="H164" i="2"/>
  <c r="H8" i="2"/>
  <c r="AN29" i="2"/>
  <c r="F165" i="2"/>
  <c r="H75" i="2"/>
  <c r="F105" i="2"/>
  <c r="E82" i="2"/>
  <c r="H29" i="2"/>
  <c r="F58" i="2"/>
  <c r="L152" i="2"/>
  <c r="I123" i="2"/>
  <c r="F148" i="2"/>
  <c r="I143" i="2"/>
  <c r="E157" i="2"/>
  <c r="H102" i="2"/>
  <c r="L95" i="2"/>
  <c r="F161" i="2"/>
  <c r="H184" i="2"/>
  <c r="H76" i="2"/>
  <c r="L186" i="2"/>
  <c r="D54" i="2"/>
  <c r="F116" i="2"/>
  <c r="H180" i="2"/>
  <c r="J7" i="2"/>
  <c r="I148" i="2"/>
  <c r="X77" i="2"/>
  <c r="D28" i="2"/>
  <c r="E87" i="2"/>
  <c r="AM194" i="2"/>
  <c r="D76" i="2"/>
  <c r="F23" i="2"/>
  <c r="L27" i="2"/>
  <c r="L117" i="2"/>
  <c r="E35" i="2"/>
  <c r="AY31" i="2"/>
  <c r="AM200" i="2"/>
  <c r="F121" i="2"/>
  <c r="H142" i="2"/>
  <c r="AN46" i="2"/>
  <c r="X41" i="2"/>
  <c r="F79" i="2"/>
  <c r="I64" i="2"/>
  <c r="F20" i="2"/>
  <c r="I81" i="2"/>
  <c r="E57" i="2"/>
  <c r="AH50" i="2"/>
  <c r="H82" i="2"/>
  <c r="F193" i="2"/>
  <c r="D39" i="2"/>
  <c r="I80" i="2"/>
  <c r="F119" i="2"/>
  <c r="X21" i="2"/>
  <c r="AN78" i="2"/>
  <c r="H92" i="2"/>
  <c r="L70" i="2"/>
  <c r="H44" i="2"/>
  <c r="F128" i="2"/>
  <c r="H152" i="2"/>
  <c r="H188" i="2"/>
  <c r="D186" i="2"/>
  <c r="I68" i="2"/>
  <c r="F144" i="2"/>
  <c r="E7" i="2"/>
  <c r="BN51" i="2"/>
  <c r="AM96" i="2"/>
  <c r="H150" i="2"/>
  <c r="D90" i="2"/>
  <c r="H174" i="2"/>
  <c r="F176" i="2"/>
  <c r="H171" i="2"/>
  <c r="D158" i="2"/>
  <c r="AM83" i="2"/>
  <c r="AN81" i="2"/>
  <c r="F190" i="2"/>
  <c r="H192" i="2"/>
  <c r="H109" i="2"/>
  <c r="D32" i="2"/>
  <c r="I47" i="2"/>
  <c r="D53" i="2"/>
  <c r="E64" i="2"/>
  <c r="H104" i="2"/>
  <c r="BO14" i="2"/>
  <c r="L58" i="2"/>
  <c r="H133" i="2"/>
  <c r="I67" i="2"/>
  <c r="I193" i="2"/>
  <c r="AM198" i="2"/>
  <c r="E83" i="2"/>
  <c r="AN143" i="2"/>
  <c r="X103" i="2"/>
  <c r="H14" i="2"/>
  <c r="H7" i="2"/>
  <c r="L31" i="2"/>
  <c r="L159" i="2"/>
  <c r="H27" i="2"/>
  <c r="E197" i="2"/>
  <c r="L64" i="2"/>
  <c r="L101" i="2"/>
  <c r="H43" i="2"/>
  <c r="H19" i="2"/>
  <c r="D24" i="2"/>
  <c r="F150" i="2"/>
  <c r="F200" i="2"/>
  <c r="F61" i="2"/>
  <c r="F162" i="2"/>
  <c r="F180" i="2"/>
  <c r="L48" i="2"/>
  <c r="I30" i="2"/>
  <c r="AM75" i="2"/>
  <c r="E39" i="2"/>
  <c r="H135" i="2"/>
  <c r="H69" i="2"/>
  <c r="H149" i="2"/>
  <c r="F37" i="2"/>
  <c r="D146" i="2"/>
  <c r="AY49" i="2"/>
  <c r="AH161" i="2"/>
  <c r="BR96" i="2"/>
  <c r="X158" i="2"/>
  <c r="L127" i="2"/>
  <c r="I19" i="2"/>
  <c r="I49" i="2"/>
  <c r="AH16" i="2"/>
  <c r="L49" i="2"/>
  <c r="D60" i="2"/>
  <c r="L67" i="2"/>
  <c r="L111" i="2"/>
  <c r="H130" i="2"/>
  <c r="AN118" i="2"/>
  <c r="F124" i="2"/>
  <c r="BN165" i="2"/>
  <c r="F164" i="2"/>
  <c r="X145" i="2"/>
  <c r="E84" i="2"/>
  <c r="H127" i="2"/>
  <c r="H25" i="2"/>
  <c r="D42" i="2"/>
  <c r="H53" i="2"/>
  <c r="AY22" i="2"/>
  <c r="BI18" i="2"/>
  <c r="L38" i="2"/>
  <c r="I199" i="2"/>
  <c r="L146" i="2"/>
  <c r="H198" i="2"/>
  <c r="I17" i="2"/>
  <c r="I103" i="2"/>
  <c r="H51" i="2"/>
  <c r="D51" i="2"/>
  <c r="H193" i="2"/>
  <c r="H199" i="2"/>
  <c r="BI110" i="2"/>
  <c r="BN190" i="2"/>
  <c r="E59" i="2"/>
  <c r="F51" i="2"/>
  <c r="AN40" i="2"/>
  <c r="L173" i="2"/>
  <c r="L163" i="2"/>
  <c r="H20" i="2"/>
  <c r="F70" i="2"/>
  <c r="H156" i="2"/>
  <c r="E54" i="2"/>
  <c r="L34" i="2"/>
  <c r="F175" i="2"/>
  <c r="E33" i="2"/>
  <c r="F117" i="2"/>
  <c r="H24" i="2"/>
  <c r="AY196" i="2"/>
  <c r="H65" i="2"/>
  <c r="X96" i="2"/>
  <c r="AM93" i="2"/>
  <c r="D61" i="2"/>
  <c r="I138" i="2"/>
  <c r="L18" i="2"/>
  <c r="H138" i="2"/>
  <c r="L176" i="2"/>
  <c r="H122" i="2"/>
  <c r="H117" i="2"/>
  <c r="H47" i="2"/>
  <c r="H179" i="2"/>
  <c r="BO38" i="2"/>
  <c r="AY198" i="2"/>
  <c r="X63" i="2"/>
  <c r="F98" i="2"/>
  <c r="F68" i="2"/>
  <c r="H46" i="2"/>
  <c r="H37" i="2"/>
  <c r="X166" i="2"/>
  <c r="F75" i="2"/>
  <c r="F56" i="2"/>
  <c r="H110" i="2"/>
  <c r="E20" i="2"/>
  <c r="H97" i="2"/>
  <c r="X33" i="2"/>
  <c r="I182" i="2"/>
  <c r="F101" i="2"/>
  <c r="F152" i="2"/>
  <c r="F99" i="2"/>
  <c r="F80" i="2"/>
  <c r="X136" i="2"/>
  <c r="D182" i="2"/>
  <c r="H72" i="2"/>
  <c r="H31" i="2"/>
  <c r="F196" i="2"/>
  <c r="E88" i="2"/>
  <c r="H177" i="2"/>
  <c r="F89" i="2"/>
  <c r="H95" i="2"/>
  <c r="X84" i="2"/>
  <c r="AN97" i="2"/>
  <c r="H146" i="2"/>
  <c r="BO191" i="2"/>
  <c r="L172" i="2"/>
  <c r="F160" i="2"/>
  <c r="H120" i="2"/>
  <c r="E127" i="2"/>
  <c r="H12" i="2"/>
  <c r="I157" i="2"/>
  <c r="J155" i="2"/>
  <c r="H195" i="2"/>
  <c r="H62" i="2"/>
  <c r="F97" i="2"/>
  <c r="H56" i="2"/>
  <c r="F118" i="2"/>
  <c r="BN145" i="2"/>
  <c r="BR163" i="2"/>
  <c r="E41" i="2"/>
  <c r="F137" i="2"/>
  <c r="F7" i="2"/>
  <c r="L11" i="2"/>
  <c r="D94" i="2"/>
  <c r="F69" i="2"/>
  <c r="D64" i="2"/>
  <c r="D101" i="2"/>
  <c r="H132" i="2"/>
  <c r="X149" i="2"/>
  <c r="F140" i="2"/>
  <c r="H128" i="2"/>
  <c r="I32" i="2"/>
  <c r="I120" i="2"/>
  <c r="AH43" i="2"/>
  <c r="I40" i="2"/>
  <c r="BN114" i="2"/>
  <c r="AM98" i="2"/>
  <c r="L121" i="2"/>
  <c r="H23" i="2"/>
  <c r="X119" i="2"/>
  <c r="X177" i="2"/>
  <c r="X142" i="2"/>
  <c r="F27" i="2"/>
  <c r="H185" i="2"/>
  <c r="H123" i="2"/>
  <c r="H17" i="2"/>
  <c r="F88" i="2"/>
  <c r="I62" i="2"/>
  <c r="H15" i="2"/>
  <c r="H91" i="2"/>
  <c r="H166" i="2"/>
  <c r="X67" i="2"/>
  <c r="BO144" i="2"/>
  <c r="E113" i="2"/>
  <c r="E18" i="2"/>
  <c r="L180" i="2"/>
  <c r="AN183" i="2"/>
  <c r="D149" i="2"/>
  <c r="I34" i="2"/>
  <c r="L183" i="2"/>
  <c r="BO67" i="2"/>
  <c r="H200" i="2"/>
  <c r="D49" i="2"/>
  <c r="E136" i="2"/>
  <c r="F8" i="2"/>
  <c r="H158" i="2"/>
  <c r="D140" i="2"/>
  <c r="H10" i="2"/>
  <c r="H148" i="2"/>
  <c r="F113" i="2"/>
  <c r="H32" i="2"/>
  <c r="L41" i="2"/>
  <c r="F74" i="2"/>
  <c r="H137" i="2"/>
  <c r="D40" i="2"/>
  <c r="H113" i="2"/>
  <c r="BO96" i="2"/>
  <c r="BR177" i="2"/>
  <c r="F120" i="2"/>
  <c r="E181" i="2"/>
  <c r="H83" i="2"/>
  <c r="D121" i="2"/>
  <c r="F114" i="2"/>
  <c r="D131" i="2"/>
  <c r="D112" i="2"/>
  <c r="F12" i="2"/>
  <c r="H84" i="2"/>
  <c r="I187" i="2"/>
  <c r="I173" i="2"/>
  <c r="E134" i="2"/>
  <c r="H112" i="2"/>
  <c r="I114" i="2"/>
  <c r="F149" i="2"/>
  <c r="AY118" i="2"/>
  <c r="F9" i="2"/>
  <c r="H59" i="2"/>
  <c r="I121" i="2"/>
  <c r="F145" i="2"/>
  <c r="AN131" i="2"/>
  <c r="I77" i="2"/>
  <c r="I5" i="2"/>
  <c r="I125" i="2"/>
  <c r="H167" i="2"/>
  <c r="AN160" i="2"/>
  <c r="F52" i="2"/>
  <c r="F188" i="2"/>
  <c r="BI35" i="2"/>
  <c r="H98" i="2"/>
  <c r="H81" i="2"/>
  <c r="H66" i="2"/>
  <c r="BX41" i="2" l="1"/>
  <c r="BX183" i="2"/>
  <c r="BX180" i="2"/>
  <c r="BX121" i="2"/>
  <c r="CA98" i="2"/>
  <c r="BX11" i="2"/>
  <c r="BX172" i="2"/>
  <c r="BX176" i="2"/>
  <c r="BX18" i="2"/>
  <c r="CA93" i="2"/>
  <c r="BX34" i="2"/>
  <c r="BX163" i="2"/>
  <c r="BX173" i="2"/>
  <c r="BX146" i="2"/>
  <c r="BX38" i="2"/>
  <c r="BX111" i="2"/>
  <c r="BX67" i="2"/>
  <c r="BX49" i="2"/>
  <c r="BX127" i="2"/>
  <c r="CA75" i="2"/>
  <c r="BX48" i="2"/>
  <c r="BX101" i="2"/>
  <c r="BX64" i="2"/>
  <c r="BX159" i="2"/>
  <c r="BX31" i="2"/>
  <c r="CA198" i="2"/>
  <c r="BX58" i="2"/>
  <c r="CA83" i="2"/>
  <c r="CA96" i="2"/>
  <c r="BX70" i="2"/>
  <c r="CA200" i="2"/>
  <c r="BX117" i="2"/>
  <c r="BX27" i="2"/>
  <c r="CA194" i="2"/>
  <c r="BX186" i="2"/>
  <c r="BX95" i="2"/>
  <c r="BX152" i="2"/>
  <c r="CA82" i="2"/>
  <c r="BX4" i="2"/>
  <c r="BX62" i="2"/>
  <c r="BX65" i="2"/>
  <c r="BX124" i="2"/>
  <c r="BX161" i="2"/>
  <c r="BX7" i="2"/>
  <c r="BX91" i="2"/>
  <c r="BX20" i="2"/>
  <c r="BX120" i="2"/>
  <c r="BX106" i="2"/>
  <c r="CA28" i="2"/>
  <c r="BX128" i="2"/>
  <c r="BX10" i="2"/>
  <c r="BX189" i="2"/>
  <c r="BX167" i="2"/>
  <c r="BX29" i="2"/>
  <c r="BX134" i="2"/>
  <c r="CA176" i="2"/>
  <c r="BX174" i="2"/>
  <c r="BX182" i="2"/>
  <c r="CA36" i="2"/>
  <c r="BX137" i="2"/>
  <c r="BX179" i="2"/>
  <c r="BX12" i="2"/>
  <c r="CA119" i="2"/>
  <c r="BX118" i="2"/>
  <c r="BX53" i="2"/>
  <c r="BX63" i="2"/>
  <c r="BX57" i="2"/>
  <c r="BX32" i="2"/>
  <c r="CA58" i="2"/>
  <c r="BX93" i="2"/>
  <c r="BX187" i="2"/>
  <c r="CA80" i="2"/>
  <c r="CA79" i="2"/>
  <c r="CA74" i="2"/>
  <c r="BX78" i="2"/>
  <c r="CA53" i="2"/>
  <c r="BX116" i="2"/>
  <c r="BX44" i="2"/>
  <c r="BX168" i="2"/>
  <c r="BX102" i="2"/>
  <c r="BX130" i="2"/>
  <c r="BX151" i="2"/>
  <c r="BX61" i="2"/>
  <c r="CA50" i="2"/>
  <c r="BX197" i="2"/>
  <c r="BX129" i="2"/>
  <c r="BX107" i="2"/>
  <c r="BX170" i="2"/>
  <c r="BX35" i="2"/>
  <c r="BX143" i="2"/>
  <c r="BX144" i="2"/>
  <c r="BX123" i="2"/>
  <c r="BX185" i="2"/>
  <c r="BX96" i="2"/>
  <c r="CA10" i="2"/>
  <c r="CA113" i="2"/>
  <c r="BX97" i="2"/>
  <c r="BX153" i="2"/>
  <c r="BX119" i="2"/>
  <c r="BX109" i="2"/>
  <c r="CA152" i="2"/>
  <c r="BX157" i="2"/>
  <c r="BX178" i="2"/>
  <c r="BX86" i="2"/>
  <c r="BX195" i="2"/>
  <c r="CA9" i="2"/>
  <c r="BX55" i="2"/>
  <c r="CA104" i="2"/>
  <c r="BX199" i="2"/>
  <c r="CA143" i="2"/>
  <c r="BX169" i="2"/>
  <c r="CA134" i="2"/>
  <c r="BX88" i="2"/>
  <c r="BX80" i="2"/>
  <c r="BX198" i="2"/>
  <c r="BX47" i="2"/>
  <c r="CA168" i="2"/>
  <c r="CA29" i="2"/>
  <c r="BX30" i="2"/>
  <c r="CA188" i="2"/>
  <c r="CA73" i="2"/>
  <c r="CA189" i="2"/>
  <c r="CA121" i="2"/>
  <c r="BX114" i="2"/>
  <c r="CA35" i="2"/>
  <c r="BX73" i="2"/>
  <c r="BX14" i="2"/>
  <c r="BX21" i="2"/>
  <c r="CA132" i="2"/>
  <c r="BX39" i="2"/>
  <c r="BX40" i="2"/>
  <c r="BX177" i="2"/>
  <c r="BX77" i="2"/>
  <c r="BX76" i="2"/>
  <c r="BX112" i="2"/>
  <c r="BX138" i="2"/>
  <c r="BX104" i="2"/>
  <c r="BX22" i="2"/>
  <c r="BX135" i="2"/>
  <c r="BX94" i="2"/>
  <c r="CA55" i="2"/>
  <c r="CA40" i="2"/>
  <c r="CA63" i="2"/>
  <c r="BX82" i="2"/>
  <c r="CA99" i="2"/>
  <c r="BX103" i="2"/>
  <c r="BX92" i="2"/>
  <c r="CA84" i="2"/>
  <c r="BX142" i="2"/>
  <c r="BX84" i="2"/>
  <c r="CA65" i="2"/>
  <c r="BX5" i="2"/>
  <c r="BX85" i="2"/>
  <c r="BX90" i="2"/>
  <c r="CA72" i="2"/>
  <c r="BX192" i="2"/>
  <c r="BX24" i="2"/>
  <c r="BX52" i="2"/>
  <c r="CA133" i="2"/>
  <c r="CA135" i="2"/>
  <c r="CA130" i="2"/>
  <c r="CA39" i="2"/>
  <c r="BX191" i="2"/>
  <c r="BX156" i="2"/>
  <c r="BX13" i="2"/>
  <c r="BX100" i="2"/>
  <c r="CA8" i="2"/>
  <c r="BX105" i="2"/>
  <c r="CA95" i="2"/>
  <c r="CA179" i="2"/>
  <c r="BX43" i="2"/>
  <c r="BX81" i="2"/>
  <c r="BX110" i="2"/>
  <c r="CA123" i="2"/>
  <c r="BX68" i="2"/>
  <c r="CA30" i="2"/>
  <c r="BX99" i="2"/>
  <c r="BX132" i="2"/>
  <c r="BX190" i="2"/>
  <c r="CA90" i="2"/>
  <c r="BX141" i="2"/>
  <c r="BX50" i="2"/>
  <c r="BX69" i="2"/>
  <c r="BX155" i="2"/>
  <c r="BX42" i="2"/>
  <c r="BX165" i="2"/>
  <c r="CA155" i="2"/>
  <c r="CA196" i="2"/>
  <c r="BX17" i="2"/>
  <c r="BX83" i="2"/>
  <c r="CA180" i="2"/>
  <c r="BX16" i="2"/>
  <c r="CA197" i="2"/>
  <c r="BX175" i="2"/>
  <c r="CA78" i="2"/>
  <c r="BX164" i="2"/>
  <c r="BX60" i="2"/>
  <c r="BX54" i="2"/>
  <c r="CA148" i="2"/>
  <c r="BX148" i="2"/>
  <c r="CA46" i="2"/>
  <c r="CA157" i="2"/>
  <c r="BX149" i="2"/>
  <c r="CA129" i="2"/>
  <c r="BX147" i="2"/>
  <c r="BX59" i="2"/>
  <c r="BX194" i="2"/>
  <c r="CA108" i="2"/>
  <c r="BX37" i="2"/>
  <c r="BX140" i="2"/>
  <c r="CA118" i="2"/>
  <c r="BX122" i="2"/>
  <c r="BX46" i="2"/>
  <c r="BX26" i="2"/>
  <c r="BX71" i="2"/>
  <c r="BX181" i="2"/>
  <c r="CA27" i="2"/>
  <c r="BX23" i="2"/>
  <c r="CA77" i="2"/>
  <c r="BX133" i="2"/>
  <c r="BX56" i="2"/>
  <c r="BX158" i="2"/>
  <c r="BX9" i="2"/>
  <c r="BX145" i="2"/>
  <c r="BX51" i="2"/>
  <c r="CA137" i="2"/>
  <c r="CA175" i="2"/>
  <c r="CA162" i="2"/>
  <c r="BX19" i="2"/>
  <c r="BX136" i="2"/>
  <c r="CA191" i="2"/>
  <c r="BX98" i="2"/>
  <c r="BX162" i="2"/>
  <c r="BX113" i="2"/>
  <c r="BX188" i="2"/>
  <c r="CA33" i="2"/>
  <c r="BX200" i="2"/>
  <c r="CA127" i="2"/>
  <c r="BX131" i="2"/>
  <c r="BX79" i="2"/>
  <c r="BX184" i="2"/>
  <c r="CA122" i="2"/>
  <c r="CA125" i="2"/>
  <c r="CA185" i="2"/>
  <c r="CA71" i="2"/>
  <c r="CA15" i="2"/>
  <c r="CA190" i="2"/>
  <c r="CA187" i="2"/>
  <c r="CA26" i="2"/>
  <c r="CA14" i="2"/>
  <c r="CA161" i="2"/>
  <c r="CA54" i="2"/>
  <c r="CA131" i="2"/>
  <c r="BX15" i="2"/>
  <c r="CA145" i="2"/>
  <c r="CA85" i="2"/>
  <c r="CA100" i="2"/>
  <c r="BX166" i="2"/>
  <c r="BX115" i="2"/>
  <c r="CA41" i="2"/>
  <c r="CA6" i="2"/>
  <c r="CA153" i="2"/>
  <c r="CA192" i="2"/>
  <c r="CA144" i="2"/>
  <c r="CA177" i="2"/>
  <c r="CA110" i="2"/>
  <c r="CA87" i="2"/>
  <c r="CA141" i="2"/>
  <c r="CA159" i="2"/>
  <c r="BX8" i="2"/>
  <c r="CA101" i="2"/>
  <c r="BX25" i="2"/>
  <c r="BX33" i="2"/>
  <c r="CA91" i="2"/>
  <c r="BX36" i="2"/>
  <c r="CA11" i="2"/>
  <c r="CA47" i="2"/>
  <c r="CA114" i="2"/>
  <c r="BX139" i="2"/>
  <c r="BX154" i="2"/>
  <c r="CA120" i="2"/>
  <c r="CA23" i="2"/>
  <c r="CA21" i="2"/>
  <c r="CA34" i="2"/>
  <c r="CA25" i="2"/>
  <c r="CA70" i="2"/>
  <c r="CA42" i="2"/>
  <c r="CA43" i="2"/>
  <c r="CA89" i="2"/>
  <c r="CA17" i="2"/>
  <c r="CA22" i="2"/>
  <c r="CA142" i="2"/>
  <c r="CA52" i="2"/>
  <c r="BX125" i="2"/>
  <c r="BX45" i="2"/>
  <c r="CA174" i="2"/>
  <c r="BX89" i="2"/>
  <c r="BX196" i="2"/>
  <c r="BX150" i="2"/>
  <c r="CA136" i="2"/>
  <c r="CA64" i="2"/>
  <c r="CA13" i="2"/>
  <c r="CA32" i="2"/>
  <c r="CA24" i="2"/>
  <c r="CA37" i="2"/>
  <c r="CA66" i="2"/>
  <c r="CA182" i="2"/>
  <c r="CA76" i="2"/>
  <c r="CA57" i="2"/>
  <c r="CA170" i="2"/>
  <c r="CA147" i="2"/>
  <c r="CA115" i="2"/>
  <c r="BX75" i="2"/>
  <c r="BX72" i="2"/>
  <c r="CA19" i="2"/>
  <c r="CA44" i="2"/>
  <c r="CA184" i="2"/>
  <c r="BX193" i="2"/>
  <c r="BX126" i="2"/>
  <c r="CA12" i="2"/>
  <c r="CA56" i="2"/>
  <c r="BX74" i="2"/>
  <c r="CA103" i="2"/>
  <c r="BX66" i="2"/>
  <c r="CA5" i="2"/>
  <c r="CA158" i="2"/>
  <c r="BX108" i="2"/>
  <c r="CA112" i="2"/>
  <c r="CA59" i="2"/>
  <c r="CA164" i="2"/>
  <c r="CA178" i="2"/>
  <c r="CA183" i="2"/>
  <c r="CA92" i="2"/>
  <c r="BX6" i="2"/>
  <c r="CA138" i="2"/>
  <c r="CA94" i="2"/>
  <c r="CA16" i="2"/>
  <c r="CA165" i="2"/>
  <c r="BX28" i="2"/>
  <c r="CA124" i="2"/>
  <c r="CA181" i="2"/>
  <c r="CA151" i="2"/>
  <c r="CA97" i="2"/>
  <c r="CA18" i="2"/>
  <c r="CA173" i="2"/>
  <c r="BX87" i="2"/>
  <c r="BX160" i="2"/>
  <c r="CA38" i="2"/>
  <c r="CA154" i="2"/>
  <c r="CA102" i="2"/>
  <c r="CA146" i="2"/>
  <c r="CA109" i="2"/>
  <c r="BX171" i="2"/>
  <c r="CA67" i="2"/>
  <c r="CA31" i="2"/>
  <c r="CA167" i="2"/>
  <c r="CA172" i="2"/>
  <c r="CA105" i="2"/>
  <c r="CA139" i="2"/>
  <c r="CA111" i="2"/>
  <c r="CA45" i="2"/>
  <c r="CA106" i="2"/>
  <c r="CA4" i="2"/>
  <c r="CA49" i="2"/>
  <c r="CA69" i="2"/>
  <c r="CA107" i="2"/>
  <c r="CA163" i="2"/>
  <c r="CA60" i="2"/>
  <c r="CA199" i="2"/>
  <c r="CA20" i="2"/>
  <c r="CA7" i="2"/>
  <c r="CA117" i="2"/>
  <c r="CA156" i="2"/>
  <c r="CA169" i="2"/>
  <c r="CA171" i="2"/>
  <c r="CA160" i="2"/>
  <c r="CA81" i="2"/>
  <c r="CA195" i="2"/>
  <c r="CA149" i="2"/>
  <c r="CA48" i="2"/>
  <c r="CA88" i="2"/>
  <c r="CA62" i="2"/>
  <c r="CA193" i="2"/>
  <c r="CA126" i="2"/>
  <c r="CA128" i="2"/>
  <c r="CA150" i="2"/>
  <c r="CA51" i="2"/>
  <c r="CA140" i="2"/>
  <c r="CA68" i="2"/>
  <c r="CA116" i="2"/>
  <c r="CA86" i="2"/>
  <c r="CA186" i="2"/>
  <c r="CA166" i="2"/>
  <c r="CA61" i="2"/>
  <c r="BY118" i="2"/>
  <c r="BV67" i="2"/>
  <c r="BV142" i="2"/>
  <c r="BV177" i="2"/>
  <c r="BV119" i="2"/>
  <c r="BV149" i="2"/>
  <c r="BV84" i="2"/>
  <c r="BV136" i="2"/>
  <c r="BV33" i="2"/>
  <c r="BV166" i="2"/>
  <c r="BV63" i="2"/>
  <c r="BY198" i="2"/>
  <c r="BV96" i="2"/>
  <c r="BY196" i="2"/>
  <c r="BY22" i="2"/>
  <c r="BV145" i="2"/>
  <c r="BV158" i="2"/>
  <c r="BY49" i="2"/>
  <c r="BV103" i="2"/>
  <c r="BV21" i="2"/>
  <c r="BV41" i="2"/>
  <c r="BY31" i="2"/>
  <c r="BV77" i="2"/>
  <c r="BV76" i="2"/>
  <c r="BY187" i="2"/>
  <c r="BY152" i="2"/>
  <c r="BV86" i="2"/>
  <c r="BY91" i="2"/>
  <c r="BV183" i="2"/>
  <c r="BV140" i="2"/>
  <c r="BV40" i="2"/>
  <c r="BV176" i="2"/>
  <c r="BV53" i="2"/>
  <c r="BV123" i="2"/>
  <c r="BV7" i="2"/>
  <c r="BV37" i="2"/>
  <c r="BY138" i="2"/>
  <c r="BV117" i="2"/>
  <c r="BV28" i="2"/>
  <c r="BV182" i="2"/>
  <c r="BV168" i="2"/>
  <c r="BY128" i="2"/>
  <c r="BV101" i="2"/>
  <c r="BV135" i="2"/>
  <c r="BV69" i="2"/>
  <c r="BY144" i="2"/>
  <c r="BY13" i="2"/>
  <c r="BV192" i="2"/>
  <c r="BY191" i="2"/>
  <c r="BV22" i="2"/>
  <c r="BV167" i="2"/>
  <c r="BY43" i="2"/>
  <c r="BV46" i="2"/>
  <c r="BV32" i="2"/>
  <c r="BV137" i="2"/>
  <c r="BV130" i="2"/>
  <c r="BY192" i="2"/>
  <c r="BV107" i="2"/>
  <c r="BV186" i="2"/>
  <c r="BV188" i="2"/>
  <c r="BV80" i="2"/>
  <c r="BV18" i="2"/>
  <c r="BY64" i="2"/>
  <c r="BV43" i="2"/>
  <c r="BY185" i="2"/>
  <c r="BV116" i="2"/>
  <c r="BY10" i="2"/>
  <c r="BY181" i="2"/>
  <c r="BY106" i="2"/>
  <c r="BY121" i="2"/>
  <c r="BV187" i="2"/>
  <c r="BV112" i="2"/>
  <c r="BV49" i="2"/>
  <c r="BV25" i="2"/>
  <c r="BV42" i="2"/>
  <c r="BV106" i="2"/>
  <c r="BV160" i="2"/>
  <c r="BY134" i="2"/>
  <c r="BV164" i="2"/>
  <c r="BV11" i="2"/>
  <c r="BY133" i="2"/>
  <c r="BV51" i="2"/>
  <c r="BY57" i="2"/>
  <c r="BY4" i="2"/>
  <c r="BV44" i="2"/>
  <c r="BV193" i="2"/>
  <c r="BY149" i="2"/>
  <c r="BV198" i="2"/>
  <c r="BV141" i="2"/>
  <c r="BV175" i="2"/>
  <c r="BV64" i="2"/>
  <c r="BY177" i="2"/>
  <c r="BY48" i="2"/>
  <c r="BV197" i="2"/>
  <c r="BV165" i="2"/>
  <c r="BV190" i="2"/>
  <c r="BY93" i="2"/>
  <c r="BV148" i="2"/>
  <c r="BY199" i="2"/>
  <c r="BV139" i="2"/>
  <c r="BY120" i="2"/>
  <c r="BV72" i="2"/>
  <c r="BV133" i="2"/>
  <c r="BV102" i="2"/>
  <c r="BV88" i="2"/>
  <c r="BV181" i="2"/>
  <c r="BY24" i="2"/>
  <c r="BV155" i="2"/>
  <c r="BV118" i="2"/>
  <c r="BV105" i="2"/>
  <c r="BV68" i="2"/>
  <c r="BY29" i="2"/>
  <c r="BY104" i="2"/>
  <c r="BY142" i="2"/>
  <c r="BY109" i="2"/>
  <c r="BV161" i="2"/>
  <c r="BV172" i="2"/>
  <c r="BY175" i="2"/>
  <c r="BY47" i="2"/>
  <c r="BY182" i="2"/>
  <c r="BV109" i="2"/>
  <c r="BY194" i="2"/>
  <c r="BV66" i="2"/>
  <c r="BY28" i="2"/>
  <c r="BY67" i="2"/>
  <c r="BY63" i="2"/>
  <c r="BY61" i="2"/>
  <c r="BV194" i="2"/>
  <c r="BY27" i="2"/>
  <c r="BV196" i="2"/>
  <c r="BV134" i="2"/>
  <c r="BV125" i="2"/>
  <c r="BV150" i="2"/>
  <c r="BV124" i="2"/>
  <c r="BV170" i="2"/>
  <c r="BV200" i="2"/>
  <c r="BV24" i="2"/>
  <c r="BY5" i="2"/>
  <c r="BY157" i="2"/>
  <c r="BY147" i="2"/>
  <c r="BY71" i="2"/>
  <c r="BV199" i="2"/>
  <c r="BV114" i="2"/>
  <c r="BV126" i="2"/>
  <c r="BV180" i="2"/>
  <c r="BY189" i="2"/>
  <c r="BV74" i="2"/>
  <c r="BV82" i="2"/>
  <c r="BV138" i="2"/>
  <c r="BV195" i="2"/>
  <c r="BY180" i="2"/>
  <c r="BY129" i="2"/>
  <c r="BV81" i="2"/>
  <c r="BY137" i="2"/>
  <c r="BV104" i="2"/>
  <c r="BV185" i="2"/>
  <c r="BV94" i="2"/>
  <c r="BY42" i="2"/>
  <c r="BY20" i="2"/>
  <c r="BY127" i="2"/>
  <c r="BY40" i="2"/>
  <c r="BY34" i="2"/>
  <c r="BV157" i="2"/>
  <c r="BY36" i="2"/>
  <c r="BY124" i="2"/>
  <c r="BY66" i="2"/>
  <c r="BV85" i="2"/>
  <c r="BY25" i="2"/>
  <c r="BV79" i="2"/>
  <c r="BY170" i="2"/>
  <c r="BY145" i="2"/>
  <c r="BY164" i="2"/>
  <c r="BV20" i="2"/>
  <c r="BY35" i="2"/>
  <c r="BV71" i="2"/>
  <c r="BY165" i="2"/>
  <c r="BV89" i="2"/>
  <c r="BY79" i="2"/>
  <c r="BY15" i="2"/>
  <c r="BY58" i="2"/>
  <c r="BV147" i="2"/>
  <c r="BV127" i="2"/>
  <c r="BV52" i="2"/>
  <c r="BY161" i="2"/>
  <c r="BV30" i="2"/>
  <c r="BY101" i="2"/>
  <c r="BV78" i="2"/>
  <c r="BV93" i="2"/>
  <c r="BY131" i="2"/>
  <c r="BV36" i="2"/>
  <c r="BY150" i="2"/>
  <c r="BV12" i="2"/>
  <c r="BV122" i="2"/>
  <c r="BY103" i="2"/>
  <c r="BV23" i="2"/>
  <c r="BV108" i="2"/>
  <c r="BY99" i="2"/>
  <c r="BV95" i="2"/>
  <c r="BV8" i="2"/>
  <c r="BY188" i="2"/>
  <c r="BV35" i="2"/>
  <c r="BY78" i="2"/>
  <c r="BY62" i="2"/>
  <c r="BY33" i="2"/>
  <c r="BV121" i="2"/>
  <c r="BV70" i="2"/>
  <c r="BV34" i="2"/>
  <c r="BY112" i="2"/>
  <c r="BV159" i="2"/>
  <c r="BY179" i="2"/>
  <c r="BY52" i="2"/>
  <c r="BY102" i="2"/>
  <c r="BY53" i="2"/>
  <c r="BY68" i="2"/>
  <c r="BY125" i="2"/>
  <c r="BV17" i="2"/>
  <c r="BY130" i="2"/>
  <c r="BV191" i="2"/>
  <c r="BY84" i="2"/>
  <c r="BV143" i="2"/>
  <c r="BY11" i="2"/>
  <c r="BV15" i="2"/>
  <c r="BV184" i="2"/>
  <c r="BV14" i="2"/>
  <c r="BV45" i="2"/>
  <c r="BY7" i="2"/>
  <c r="BY173" i="2"/>
  <c r="BY153" i="2"/>
  <c r="BY88" i="2"/>
  <c r="BY114" i="2"/>
  <c r="BY108" i="2"/>
  <c r="BY148" i="2"/>
  <c r="BY80" i="2"/>
  <c r="BV62" i="2"/>
  <c r="BV61" i="2"/>
  <c r="BV59" i="2"/>
  <c r="BY162" i="2"/>
  <c r="BV100" i="2"/>
  <c r="BV16" i="2"/>
  <c r="BV19" i="2"/>
  <c r="BV48" i="2"/>
  <c r="BY50" i="2"/>
  <c r="BY167" i="2"/>
  <c r="BY135" i="2"/>
  <c r="BY6" i="2"/>
  <c r="BY174" i="2"/>
  <c r="BV169" i="2"/>
  <c r="BY45" i="2"/>
  <c r="BY82" i="2"/>
  <c r="BY166" i="2"/>
  <c r="BY44" i="2"/>
  <c r="BY136" i="2"/>
  <c r="BV83" i="2"/>
  <c r="BV98" i="2"/>
  <c r="BV99" i="2"/>
  <c r="BV90" i="2"/>
  <c r="BV10" i="2"/>
  <c r="BV153" i="2"/>
  <c r="BY123" i="2"/>
  <c r="BY122" i="2"/>
  <c r="BY72" i="2"/>
  <c r="BY89" i="2"/>
  <c r="BV56" i="2"/>
  <c r="BV38" i="2"/>
  <c r="BV173" i="2"/>
  <c r="BY111" i="2"/>
  <c r="BY107" i="2"/>
  <c r="BV97" i="2"/>
  <c r="BY159" i="2"/>
  <c r="BY200" i="2"/>
  <c r="BV29" i="2"/>
  <c r="BV50" i="2"/>
  <c r="BV115" i="2"/>
  <c r="BV5" i="2"/>
  <c r="BV87" i="2"/>
  <c r="BV31" i="2"/>
  <c r="BY160" i="2"/>
  <c r="BV65" i="2"/>
  <c r="BY172" i="2"/>
  <c r="BV58" i="2"/>
  <c r="BY156" i="2"/>
  <c r="BV27" i="2"/>
  <c r="BY132" i="2"/>
  <c r="BY158" i="2"/>
  <c r="BV26" i="2"/>
  <c r="BY19" i="2"/>
  <c r="BY105" i="2"/>
  <c r="BV152" i="2"/>
  <c r="BY90" i="2"/>
  <c r="BY163" i="2"/>
  <c r="BY193" i="2"/>
  <c r="BY73" i="2"/>
  <c r="BY195" i="2"/>
  <c r="BY113" i="2"/>
  <c r="BV154" i="2"/>
  <c r="BV6" i="2"/>
  <c r="BV120" i="2"/>
  <c r="BY92" i="2"/>
  <c r="BY21" i="2"/>
  <c r="BY18" i="2"/>
  <c r="BY126" i="2"/>
  <c r="BY146" i="2"/>
  <c r="BY143" i="2"/>
  <c r="BY37" i="2"/>
  <c r="BY30" i="2"/>
  <c r="BY69" i="2"/>
  <c r="BY65" i="2"/>
  <c r="BV92" i="2"/>
  <c r="BY168" i="2"/>
  <c r="BV179" i="2"/>
  <c r="BV131" i="2"/>
  <c r="BY76" i="2"/>
  <c r="BY155" i="2"/>
  <c r="BY139" i="2"/>
  <c r="BY190" i="2"/>
  <c r="BY97" i="2"/>
  <c r="BY26" i="2"/>
  <c r="BY186" i="2"/>
  <c r="BV57" i="2"/>
  <c r="BY95" i="2"/>
  <c r="BV163" i="2"/>
  <c r="BV178" i="2"/>
  <c r="BY169" i="2"/>
  <c r="BV9" i="2"/>
  <c r="BV146" i="2"/>
  <c r="BV132" i="2"/>
  <c r="BY59" i="2"/>
  <c r="BY70" i="2"/>
  <c r="BY75" i="2"/>
  <c r="BY56" i="2"/>
  <c r="BV55" i="2"/>
  <c r="BY171" i="2"/>
  <c r="BV144" i="2"/>
  <c r="BY98" i="2"/>
  <c r="BV91" i="2"/>
  <c r="BV110" i="2"/>
  <c r="BY77" i="2"/>
  <c r="BY46" i="2"/>
  <c r="BY83" i="2"/>
  <c r="BY16" i="2"/>
  <c r="BY32" i="2"/>
  <c r="BY86" i="2"/>
  <c r="BY60" i="2"/>
  <c r="BY100" i="2"/>
  <c r="BV13" i="2"/>
  <c r="BY110" i="2"/>
  <c r="BV113" i="2"/>
  <c r="BY115" i="2"/>
  <c r="BY8" i="2"/>
  <c r="BY116" i="2"/>
  <c r="BY17" i="2"/>
  <c r="BV129" i="2"/>
  <c r="BY54" i="2"/>
  <c r="BY178" i="2"/>
  <c r="BY81" i="2"/>
  <c r="BV174" i="2"/>
  <c r="BY87" i="2"/>
  <c r="BV47" i="2"/>
  <c r="BY23" i="2"/>
  <c r="BY141" i="2"/>
  <c r="BV60" i="2"/>
  <c r="BV156" i="2"/>
  <c r="BY12" i="2"/>
  <c r="BY197" i="2"/>
  <c r="BY14" i="2"/>
  <c r="BV128" i="2"/>
  <c r="BV111" i="2"/>
  <c r="BV4" i="2"/>
  <c r="BY55" i="2"/>
  <c r="BY117" i="2"/>
  <c r="BY41" i="2"/>
  <c r="BV73" i="2"/>
  <c r="BY9" i="2"/>
  <c r="BY119" i="2"/>
  <c r="BY85" i="2"/>
  <c r="BY74" i="2"/>
  <c r="BV39" i="2"/>
  <c r="BY176" i="2"/>
  <c r="BY39" i="2"/>
  <c r="BV151" i="2"/>
  <c r="BV54" i="2"/>
  <c r="BV162" i="2"/>
  <c r="BY151" i="2"/>
  <c r="BY183" i="2"/>
  <c r="BV171" i="2"/>
  <c r="BY140" i="2"/>
  <c r="BY94" i="2"/>
  <c r="BY154" i="2"/>
  <c r="BY184" i="2"/>
  <c r="BV189" i="2"/>
  <c r="BV75" i="2"/>
  <c r="BY38" i="2"/>
  <c r="BY51" i="2"/>
  <c r="BY96" i="2"/>
  <c r="BM35" i="2"/>
  <c r="BJ35" i="2"/>
  <c r="BL35" i="2"/>
  <c r="BK35" i="2"/>
  <c r="BC118" i="2"/>
  <c r="AB19" i="5" s="1"/>
  <c r="AZ118" i="2"/>
  <c r="BB118" i="2"/>
  <c r="BA118" i="2"/>
  <c r="AG112" i="2"/>
  <c r="AF112" i="2"/>
  <c r="BG112" i="2"/>
  <c r="BH112" i="2"/>
  <c r="AG131" i="2"/>
  <c r="AF131" i="2"/>
  <c r="BH131" i="2"/>
  <c r="BG131" i="2"/>
  <c r="BH121" i="2"/>
  <c r="AG121" i="2"/>
  <c r="AF121" i="2"/>
  <c r="BG121" i="2"/>
  <c r="BP96" i="2"/>
  <c r="BQ96" i="2"/>
  <c r="AG40" i="2"/>
  <c r="AF40" i="2"/>
  <c r="BH40" i="2"/>
  <c r="BG40" i="2"/>
  <c r="N41" i="2"/>
  <c r="L66" i="5"/>
  <c r="S41" i="2"/>
  <c r="BG140" i="2"/>
  <c r="BH140" i="2"/>
  <c r="AF140" i="2"/>
  <c r="AG140" i="2"/>
  <c r="AF49" i="2"/>
  <c r="BH49" i="2"/>
  <c r="BG49" i="2"/>
  <c r="AG49" i="2"/>
  <c r="BQ67" i="2"/>
  <c r="BP67" i="2"/>
  <c r="L180" i="5"/>
  <c r="S183" i="2"/>
  <c r="N183" i="2"/>
  <c r="BG149" i="2"/>
  <c r="AG149" i="2"/>
  <c r="AF149" i="2"/>
  <c r="BH149" i="2"/>
  <c r="L58" i="5"/>
  <c r="S180" i="2"/>
  <c r="N180" i="2"/>
  <c r="BQ144" i="2"/>
  <c r="BP144" i="2"/>
  <c r="P11" i="5"/>
  <c r="AB67" i="2"/>
  <c r="R11" i="5" s="1"/>
  <c r="Z67" i="2"/>
  <c r="AA67" i="2"/>
  <c r="Y67" i="2"/>
  <c r="AA142" i="2"/>
  <c r="Z142" i="2"/>
  <c r="AB142" i="2"/>
  <c r="Y142" i="2"/>
  <c r="P88" i="5"/>
  <c r="P125" i="5"/>
  <c r="AB177" i="2"/>
  <c r="R125" i="5" s="1"/>
  <c r="Z177" i="2"/>
  <c r="AA177" i="2"/>
  <c r="Y177" i="2"/>
  <c r="AB119" i="2"/>
  <c r="Z119" i="2"/>
  <c r="AA119" i="2"/>
  <c r="P17" i="5"/>
  <c r="Y119" i="2"/>
  <c r="L135" i="5"/>
  <c r="S121" i="2"/>
  <c r="N121" i="2"/>
  <c r="AT98" i="2"/>
  <c r="AO98" i="2"/>
  <c r="AI43" i="2"/>
  <c r="AJ43" i="2"/>
  <c r="AL43" i="2"/>
  <c r="AK43" i="2"/>
  <c r="P28" i="5"/>
  <c r="AB149" i="2"/>
  <c r="Z149" i="2"/>
  <c r="AA149" i="2"/>
  <c r="Y149" i="2"/>
  <c r="AG101" i="2"/>
  <c r="AF101" i="2"/>
  <c r="BH101" i="2"/>
  <c r="BG101" i="2"/>
  <c r="AG64" i="2"/>
  <c r="AF64" i="2"/>
  <c r="BH64" i="2"/>
  <c r="BG64" i="2"/>
  <c r="BG94" i="2"/>
  <c r="AG94" i="2"/>
  <c r="AF94" i="2"/>
  <c r="BH94" i="2"/>
  <c r="L63" i="5"/>
  <c r="S11" i="2"/>
  <c r="N11" i="2"/>
  <c r="L171" i="5"/>
  <c r="N172" i="2"/>
  <c r="S172" i="2"/>
  <c r="BQ191" i="2"/>
  <c r="BP191" i="2"/>
  <c r="P77" i="5"/>
  <c r="Z84" i="2"/>
  <c r="AB84" i="2"/>
  <c r="Y84" i="2"/>
  <c r="AA84" i="2"/>
  <c r="AG182" i="2"/>
  <c r="AF182" i="2"/>
  <c r="BH182" i="2"/>
  <c r="BG182" i="2"/>
  <c r="P82" i="5"/>
  <c r="Z136" i="2"/>
  <c r="AB136" i="2"/>
  <c r="AA136" i="2"/>
  <c r="Y136" i="2"/>
  <c r="Z33" i="2"/>
  <c r="P152" i="5"/>
  <c r="AA33" i="2"/>
  <c r="Y33" i="2"/>
  <c r="AB33" i="2"/>
  <c r="R152" i="5" s="1"/>
  <c r="P120" i="5"/>
  <c r="AB166" i="2"/>
  <c r="R120" i="5" s="1"/>
  <c r="Z166" i="2"/>
  <c r="Y166" i="2"/>
  <c r="AA166" i="2"/>
  <c r="AB63" i="2"/>
  <c r="Z63" i="2"/>
  <c r="Y63" i="2"/>
  <c r="AA63" i="2"/>
  <c r="P65" i="5"/>
  <c r="BC198" i="2"/>
  <c r="AB198" i="5" s="1"/>
  <c r="BB198" i="2"/>
  <c r="AZ198" i="2"/>
  <c r="BA198" i="2"/>
  <c r="BP38" i="2"/>
  <c r="BQ38" i="2"/>
  <c r="L109" i="5"/>
  <c r="N176" i="2"/>
  <c r="S176" i="2"/>
  <c r="N18" i="2"/>
  <c r="S18" i="2"/>
  <c r="L56" i="5"/>
  <c r="AG61" i="2"/>
  <c r="AF61" i="2"/>
  <c r="BG61" i="2"/>
  <c r="BH61" i="2"/>
  <c r="AT93" i="2"/>
  <c r="AO93" i="2"/>
  <c r="P123" i="5"/>
  <c r="Z96" i="2"/>
  <c r="AB96" i="2"/>
  <c r="Y96" i="2"/>
  <c r="AA96" i="2"/>
  <c r="AZ196" i="2"/>
  <c r="BB196" i="2"/>
  <c r="BA196" i="2"/>
  <c r="BC196" i="2"/>
  <c r="S34" i="2"/>
  <c r="L106" i="5"/>
  <c r="N34" i="2"/>
  <c r="N163" i="2"/>
  <c r="S163" i="2"/>
  <c r="L188" i="5"/>
  <c r="L194" i="5"/>
  <c r="N173" i="2"/>
  <c r="S173" i="2"/>
  <c r="BJ110" i="2"/>
  <c r="BK110" i="2"/>
  <c r="BL110" i="2"/>
  <c r="BM110" i="2"/>
  <c r="AF51" i="2"/>
  <c r="AG51" i="2"/>
  <c r="T118" i="5" s="1"/>
  <c r="BH51" i="2"/>
  <c r="BG51" i="2"/>
  <c r="L14" i="5"/>
  <c r="S146" i="2"/>
  <c r="N146" i="2"/>
  <c r="L25" i="5"/>
  <c r="S38" i="2"/>
  <c r="N38" i="2"/>
  <c r="BK18" i="2"/>
  <c r="BJ18" i="2"/>
  <c r="BM18" i="2"/>
  <c r="BL18" i="2"/>
  <c r="BB22" i="2"/>
  <c r="AZ22" i="2"/>
  <c r="BA22" i="2"/>
  <c r="BC22" i="2"/>
  <c r="AG42" i="2"/>
  <c r="AF42" i="2"/>
  <c r="BH42" i="2"/>
  <c r="BG42" i="2"/>
  <c r="P10" i="5"/>
  <c r="AB145" i="2"/>
  <c r="Z145" i="2"/>
  <c r="Y145" i="2"/>
  <c r="AA145" i="2"/>
  <c r="L21" i="5"/>
  <c r="N111" i="2"/>
  <c r="S111" i="2"/>
  <c r="S67" i="2"/>
  <c r="L11" i="5"/>
  <c r="N67" i="2"/>
  <c r="AF60" i="2"/>
  <c r="BH60" i="2"/>
  <c r="BG60" i="2"/>
  <c r="AG60" i="2"/>
  <c r="N49" i="2"/>
  <c r="L50" i="5"/>
  <c r="S49" i="2"/>
  <c r="AI16" i="2"/>
  <c r="AK16" i="2"/>
  <c r="AL16" i="2"/>
  <c r="AJ16" i="2"/>
  <c r="L38" i="5"/>
  <c r="S127" i="2"/>
  <c r="N127" i="2"/>
  <c r="P84" i="5"/>
  <c r="AB158" i="2"/>
  <c r="AA158" i="2"/>
  <c r="Z158" i="2"/>
  <c r="Y158" i="2"/>
  <c r="AI161" i="2"/>
  <c r="AJ161" i="2"/>
  <c r="AL161" i="2"/>
  <c r="AK161" i="2"/>
  <c r="BA49" i="2"/>
  <c r="AZ49" i="2"/>
  <c r="BB49" i="2"/>
  <c r="BC49" i="2"/>
  <c r="AG146" i="2"/>
  <c r="AF146" i="2"/>
  <c r="BG146" i="2"/>
  <c r="BH146" i="2"/>
  <c r="AO75" i="2"/>
  <c r="AT75" i="2"/>
  <c r="L71" i="5"/>
  <c r="S48" i="2"/>
  <c r="N48" i="2"/>
  <c r="AG24" i="2"/>
  <c r="AF24" i="2"/>
  <c r="BG24" i="2"/>
  <c r="BH24" i="2"/>
  <c r="L42" i="5"/>
  <c r="S101" i="2"/>
  <c r="N101" i="2"/>
  <c r="L16" i="5"/>
  <c r="N64" i="2"/>
  <c r="S64" i="2"/>
  <c r="L164" i="5"/>
  <c r="S159" i="2"/>
  <c r="N159" i="2"/>
  <c r="L57" i="5"/>
  <c r="N31" i="2"/>
  <c r="S31" i="2"/>
  <c r="AA103" i="2"/>
  <c r="P111" i="5"/>
  <c r="Z103" i="2"/>
  <c r="AB103" i="2"/>
  <c r="R111" i="5" s="1"/>
  <c r="Y103" i="2"/>
  <c r="AT198" i="2"/>
  <c r="AO198" i="2"/>
  <c r="L107" i="5"/>
  <c r="S58" i="2"/>
  <c r="N58" i="2"/>
  <c r="BP14" i="2"/>
  <c r="BQ14" i="2"/>
  <c r="AG53" i="2"/>
  <c r="BH53" i="2"/>
  <c r="BG53" i="2"/>
  <c r="AF53" i="2"/>
  <c r="BH32" i="2"/>
  <c r="AG32" i="2"/>
  <c r="AF32" i="2"/>
  <c r="BG32" i="2"/>
  <c r="AT83" i="2"/>
  <c r="AO83" i="2"/>
  <c r="AG158" i="2"/>
  <c r="AF158" i="2"/>
  <c r="BG158" i="2"/>
  <c r="BH158" i="2"/>
  <c r="AF90" i="2"/>
  <c r="BG90" i="2"/>
  <c r="BH90" i="2"/>
  <c r="AG90" i="2"/>
  <c r="AO96" i="2"/>
  <c r="AT96" i="2"/>
  <c r="AG186" i="2"/>
  <c r="BH186" i="2"/>
  <c r="AF186" i="2"/>
  <c r="BG186" i="2"/>
  <c r="S70" i="2"/>
  <c r="L12" i="5"/>
  <c r="N70" i="2"/>
  <c r="Y21" i="2"/>
  <c r="AA21" i="2"/>
  <c r="P69" i="5"/>
  <c r="Z21" i="2"/>
  <c r="AB21" i="2"/>
  <c r="R69" i="5" s="1"/>
  <c r="BG39" i="2"/>
  <c r="AF39" i="2"/>
  <c r="AG39" i="2"/>
  <c r="BH39" i="2"/>
  <c r="AJ50" i="2"/>
  <c r="AI50" i="2"/>
  <c r="AL50" i="2"/>
  <c r="AK50" i="2"/>
  <c r="Y41" i="2"/>
  <c r="P66" i="5"/>
  <c r="AB41" i="2"/>
  <c r="AA41" i="2"/>
  <c r="Z41" i="2"/>
  <c r="AO200" i="2"/>
  <c r="AT200" i="2"/>
  <c r="BC31" i="2"/>
  <c r="AB57" i="5" s="1"/>
  <c r="BB31" i="2"/>
  <c r="AZ31" i="2"/>
  <c r="BA31" i="2"/>
  <c r="L43" i="5"/>
  <c r="N117" i="2"/>
  <c r="S117" i="2"/>
  <c r="L94" i="5"/>
  <c r="N27" i="2"/>
  <c r="S27" i="2"/>
  <c r="AF76" i="2"/>
  <c r="AG76" i="2"/>
  <c r="BG76" i="2"/>
  <c r="BH76" i="2"/>
  <c r="AO194" i="2"/>
  <c r="AT194" i="2"/>
  <c r="AG28" i="2"/>
  <c r="AF28" i="2"/>
  <c r="BH28" i="2"/>
  <c r="BG28" i="2"/>
  <c r="P104" i="5"/>
  <c r="AB77" i="2"/>
  <c r="Z77" i="2"/>
  <c r="Y77" i="2"/>
  <c r="AA77" i="2"/>
  <c r="AG54" i="2"/>
  <c r="AF54" i="2"/>
  <c r="BH54" i="2"/>
  <c r="BG54" i="2"/>
  <c r="L159" i="5"/>
  <c r="N186" i="2"/>
  <c r="S186" i="2"/>
  <c r="L165" i="5"/>
  <c r="S95" i="2"/>
  <c r="N95" i="2"/>
  <c r="L168" i="5"/>
  <c r="S152" i="2"/>
  <c r="N152" i="2"/>
  <c r="AO82" i="2"/>
  <c r="AT82" i="2"/>
  <c r="BH93" i="2"/>
  <c r="AG93" i="2"/>
  <c r="T93" i="5" s="1"/>
  <c r="AF93" i="2"/>
  <c r="BG93" i="2"/>
  <c r="L33" i="5"/>
  <c r="N4" i="2"/>
  <c r="S4" i="2"/>
  <c r="S62" i="2"/>
  <c r="L22" i="5"/>
  <c r="N62" i="2"/>
  <c r="AJ176" i="2"/>
  <c r="AI176" i="2"/>
  <c r="AL176" i="2"/>
  <c r="AK176" i="2"/>
  <c r="L103" i="5"/>
  <c r="N65" i="2"/>
  <c r="S65" i="2"/>
  <c r="BH106" i="2"/>
  <c r="AG106" i="2"/>
  <c r="AF106" i="2"/>
  <c r="BG106" i="2"/>
  <c r="AB76" i="2"/>
  <c r="R102" i="5" s="1"/>
  <c r="Z76" i="2"/>
  <c r="AA76" i="2"/>
  <c r="Y76" i="2"/>
  <c r="P102" i="5"/>
  <c r="BB187" i="2"/>
  <c r="AZ187" i="2"/>
  <c r="BC187" i="2"/>
  <c r="BA187" i="2"/>
  <c r="AD141" i="5"/>
  <c r="BK94" i="2"/>
  <c r="BJ94" i="2"/>
  <c r="BL94" i="2"/>
  <c r="BM94" i="2"/>
  <c r="L49" i="5"/>
  <c r="S124" i="2"/>
  <c r="N124" i="2"/>
  <c r="L62" i="5"/>
  <c r="N161" i="2"/>
  <c r="S161" i="2"/>
  <c r="L39" i="5"/>
  <c r="N7" i="2"/>
  <c r="S7" i="2"/>
  <c r="BM115" i="2"/>
  <c r="BL115" i="2"/>
  <c r="BJ115" i="2"/>
  <c r="BK115" i="2"/>
  <c r="BH105" i="2"/>
  <c r="BG105" i="2"/>
  <c r="AG105" i="2"/>
  <c r="T46" i="5" s="1"/>
  <c r="AF105" i="2"/>
  <c r="BQ12" i="2"/>
  <c r="BP12" i="2"/>
  <c r="BC152" i="2"/>
  <c r="AB168" i="5" s="1"/>
  <c r="BA152" i="2"/>
  <c r="AZ152" i="2"/>
  <c r="BB152" i="2"/>
  <c r="AL184" i="2"/>
  <c r="AI184" i="2"/>
  <c r="AJ184" i="2"/>
  <c r="AK184" i="2"/>
  <c r="P67" i="5"/>
  <c r="Y86" i="2"/>
  <c r="AB86" i="2"/>
  <c r="R67" i="5" s="1"/>
  <c r="Z86" i="2"/>
  <c r="AA86" i="2"/>
  <c r="AF118" i="2"/>
  <c r="BH118" i="2"/>
  <c r="BG118" i="2"/>
  <c r="AG118" i="2"/>
  <c r="S91" i="2"/>
  <c r="L163" i="5"/>
  <c r="N91" i="2"/>
  <c r="AG52" i="2"/>
  <c r="AF52" i="2"/>
  <c r="BH52" i="2"/>
  <c r="BG52" i="2"/>
  <c r="BG183" i="2"/>
  <c r="AF183" i="2"/>
  <c r="BH183" i="2"/>
  <c r="AG183" i="2"/>
  <c r="BG141" i="2"/>
  <c r="AG141" i="2"/>
  <c r="AF141" i="2"/>
  <c r="BH141" i="2"/>
  <c r="L5" i="5"/>
  <c r="S20" i="2"/>
  <c r="N20" i="2"/>
  <c r="BG87" i="2"/>
  <c r="AG87" i="2"/>
  <c r="BH87" i="2"/>
  <c r="AF87" i="2"/>
  <c r="N120" i="2"/>
  <c r="S120" i="2"/>
  <c r="L130" i="5"/>
  <c r="N106" i="2"/>
  <c r="S106" i="2"/>
  <c r="L144" i="5"/>
  <c r="AK105" i="2"/>
  <c r="AI105" i="2"/>
  <c r="AJ105" i="2"/>
  <c r="AL105" i="2"/>
  <c r="AO28" i="2"/>
  <c r="AT28" i="2"/>
  <c r="BJ39" i="2"/>
  <c r="BK39" i="2"/>
  <c r="BM39" i="2"/>
  <c r="AD6" i="5"/>
  <c r="BL39" i="2"/>
  <c r="AK160" i="2"/>
  <c r="AJ160" i="2"/>
  <c r="AL160" i="2"/>
  <c r="AI160" i="2"/>
  <c r="BM147" i="2"/>
  <c r="BL147" i="2"/>
  <c r="BJ147" i="2"/>
  <c r="BK147" i="2"/>
  <c r="AZ91" i="2"/>
  <c r="BC91" i="2"/>
  <c r="BA91" i="2"/>
  <c r="BB91" i="2"/>
  <c r="Y183" i="2"/>
  <c r="AB183" i="2"/>
  <c r="R180" i="5" s="1"/>
  <c r="Z183" i="2"/>
  <c r="AA183" i="2"/>
  <c r="P180" i="5"/>
  <c r="P113" i="5"/>
  <c r="Z140" i="2"/>
  <c r="AB140" i="2"/>
  <c r="Y140" i="2"/>
  <c r="AA140" i="2"/>
  <c r="L187" i="5"/>
  <c r="N128" i="2"/>
  <c r="S128" i="2"/>
  <c r="P15" i="5"/>
  <c r="AB40" i="2"/>
  <c r="Y40" i="2"/>
  <c r="Z40" i="2"/>
  <c r="AA40" i="2"/>
  <c r="AJ35" i="2"/>
  <c r="AI35" i="2"/>
  <c r="AK35" i="2"/>
  <c r="AL35" i="2"/>
  <c r="T42" i="5"/>
  <c r="AK101" i="2"/>
  <c r="AL101" i="2"/>
  <c r="AJ101" i="2"/>
  <c r="AI101" i="2"/>
  <c r="AJ76" i="2"/>
  <c r="T102" i="5"/>
  <c r="AK76" i="2"/>
  <c r="AL76" i="2"/>
  <c r="AI76" i="2"/>
  <c r="L35" i="5"/>
  <c r="S10" i="2"/>
  <c r="N10" i="2"/>
  <c r="AG114" i="2"/>
  <c r="AF114" i="2"/>
  <c r="BH114" i="2"/>
  <c r="BG114" i="2"/>
  <c r="Y176" i="2"/>
  <c r="P109" i="5"/>
  <c r="AB176" i="2"/>
  <c r="R109" i="5" s="1"/>
  <c r="Z176" i="2"/>
  <c r="AA176" i="2"/>
  <c r="L160" i="5"/>
  <c r="N189" i="2"/>
  <c r="S189" i="2"/>
  <c r="AF188" i="2"/>
  <c r="BG188" i="2"/>
  <c r="BH188" i="2"/>
  <c r="AG188" i="2"/>
  <c r="L114" i="5"/>
  <c r="N167" i="2"/>
  <c r="S167" i="2"/>
  <c r="L34" i="5"/>
  <c r="S29" i="2"/>
  <c r="N29" i="2"/>
  <c r="AL191" i="2"/>
  <c r="AJ191" i="2"/>
  <c r="AI191" i="2"/>
  <c r="AK191" i="2"/>
  <c r="AG115" i="2"/>
  <c r="AF115" i="2"/>
  <c r="BH115" i="2"/>
  <c r="AD37" i="5" s="1"/>
  <c r="BG115" i="2"/>
  <c r="L78" i="5"/>
  <c r="S134" i="2"/>
  <c r="N134" i="2"/>
  <c r="BK160" i="2"/>
  <c r="BJ160" i="2"/>
  <c r="BM160" i="2"/>
  <c r="BL160" i="2"/>
  <c r="BG86" i="2"/>
  <c r="BH86" i="2"/>
  <c r="AG86" i="2"/>
  <c r="AF86" i="2"/>
  <c r="AF176" i="2"/>
  <c r="BH176" i="2"/>
  <c r="AG176" i="2"/>
  <c r="T109" i="5" s="1"/>
  <c r="BG176" i="2"/>
  <c r="BH144" i="2"/>
  <c r="AG144" i="2"/>
  <c r="AF144" i="2"/>
  <c r="BG144" i="2"/>
  <c r="AT176" i="2"/>
  <c r="AO176" i="2"/>
  <c r="V109" i="5"/>
  <c r="L197" i="5"/>
  <c r="N174" i="2"/>
  <c r="S174" i="2"/>
  <c r="L178" i="5"/>
  <c r="N182" i="2"/>
  <c r="S182" i="2"/>
  <c r="BH111" i="2"/>
  <c r="BG111" i="2"/>
  <c r="AF111" i="2"/>
  <c r="AG111" i="2"/>
  <c r="AL102" i="2"/>
  <c r="AJ102" i="2"/>
  <c r="AI102" i="2"/>
  <c r="AK102" i="2"/>
  <c r="BQ195" i="2"/>
  <c r="BP195" i="2"/>
  <c r="P48" i="5"/>
  <c r="AB53" i="2"/>
  <c r="R48" i="5" s="1"/>
  <c r="Z53" i="2"/>
  <c r="Y53" i="2"/>
  <c r="AA53" i="2"/>
  <c r="AO36" i="2"/>
  <c r="AT36" i="2"/>
  <c r="L154" i="5"/>
  <c r="N137" i="2"/>
  <c r="S137" i="2"/>
  <c r="S179" i="2"/>
  <c r="N179" i="2"/>
  <c r="L161" i="5"/>
  <c r="AL179" i="2"/>
  <c r="AJ179" i="2"/>
  <c r="AI179" i="2"/>
  <c r="AK179" i="2"/>
  <c r="AJ66" i="2"/>
  <c r="AK66" i="2"/>
  <c r="AI66" i="2"/>
  <c r="AL66" i="2"/>
  <c r="AI92" i="2"/>
  <c r="AL92" i="2"/>
  <c r="AJ92" i="2"/>
  <c r="AK92" i="2"/>
  <c r="P44" i="5"/>
  <c r="AB123" i="2"/>
  <c r="R44" i="5" s="1"/>
  <c r="Z123" i="2"/>
  <c r="Y123" i="2"/>
  <c r="AA123" i="2"/>
  <c r="L47" i="5"/>
  <c r="N12" i="2"/>
  <c r="S12" i="2"/>
  <c r="P39" i="5"/>
  <c r="AB7" i="2"/>
  <c r="R39" i="5" s="1"/>
  <c r="Z7" i="2"/>
  <c r="Y7" i="2"/>
  <c r="AA7" i="2"/>
  <c r="AT119" i="2"/>
  <c r="AO119" i="2"/>
  <c r="AG48" i="2"/>
  <c r="AF48" i="2"/>
  <c r="BH48" i="2"/>
  <c r="BG48" i="2"/>
  <c r="L19" i="5"/>
  <c r="N118" i="2"/>
  <c r="S118" i="2"/>
  <c r="S53" i="2"/>
  <c r="L48" i="5"/>
  <c r="N53" i="2"/>
  <c r="N63" i="2"/>
  <c r="L65" i="5"/>
  <c r="S63" i="2"/>
  <c r="AF160" i="2"/>
  <c r="BG160" i="2"/>
  <c r="AG160" i="2"/>
  <c r="T191" i="5" s="1"/>
  <c r="BH160" i="2"/>
  <c r="AD191" i="5" s="1"/>
  <c r="L51" i="5"/>
  <c r="S57" i="2"/>
  <c r="N57" i="2"/>
  <c r="L70" i="5"/>
  <c r="N32" i="2"/>
  <c r="S32" i="2"/>
  <c r="BG6" i="2"/>
  <c r="AG6" i="2"/>
  <c r="AF6" i="2"/>
  <c r="BH6" i="2"/>
  <c r="AJ48" i="2"/>
  <c r="AI48" i="2"/>
  <c r="AL48" i="2"/>
  <c r="AK48" i="2"/>
  <c r="AF96" i="2"/>
  <c r="BH96" i="2"/>
  <c r="BG96" i="2"/>
  <c r="AG96" i="2"/>
  <c r="AO58" i="2"/>
  <c r="AT58" i="2"/>
  <c r="L93" i="5"/>
  <c r="S93" i="2"/>
  <c r="N93" i="2"/>
  <c r="S187" i="2"/>
  <c r="N187" i="2"/>
  <c r="L76" i="5"/>
  <c r="P143" i="5"/>
  <c r="AB37" i="2"/>
  <c r="Z37" i="2"/>
  <c r="Y37" i="2"/>
  <c r="AA37" i="2"/>
  <c r="AT80" i="2"/>
  <c r="AO80" i="2"/>
  <c r="T52" i="5"/>
  <c r="AI60" i="2"/>
  <c r="AJ60" i="2"/>
  <c r="AL60" i="2"/>
  <c r="AK60" i="2"/>
  <c r="BQ85" i="2"/>
  <c r="BP85" i="2"/>
  <c r="AO79" i="2"/>
  <c r="AT79" i="2"/>
  <c r="AO74" i="2"/>
  <c r="AT74" i="2"/>
  <c r="AJ171" i="2"/>
  <c r="AI171" i="2"/>
  <c r="AL171" i="2"/>
  <c r="AK171" i="2"/>
  <c r="BJ95" i="2"/>
  <c r="BL95" i="2"/>
  <c r="BM95" i="2"/>
  <c r="BK95" i="2"/>
  <c r="S78" i="2"/>
  <c r="L97" i="5"/>
  <c r="N78" i="2"/>
  <c r="AF189" i="2"/>
  <c r="AG189" i="2"/>
  <c r="BH189" i="2"/>
  <c r="BG189" i="2"/>
  <c r="BB138" i="2"/>
  <c r="BC138" i="2"/>
  <c r="AZ138" i="2"/>
  <c r="BA138" i="2"/>
  <c r="AO53" i="2"/>
  <c r="AT53" i="2"/>
  <c r="AI133" i="2"/>
  <c r="AL133" i="2"/>
  <c r="AJ133" i="2"/>
  <c r="AK133" i="2"/>
  <c r="S116" i="2"/>
  <c r="N116" i="2"/>
  <c r="L122" i="5"/>
  <c r="AF17" i="2"/>
  <c r="AG17" i="2"/>
  <c r="BH17" i="2"/>
  <c r="BG17" i="2"/>
  <c r="AG97" i="2"/>
  <c r="AF97" i="2"/>
  <c r="BG97" i="2"/>
  <c r="BH97" i="2"/>
  <c r="S44" i="2"/>
  <c r="N44" i="2"/>
  <c r="L80" i="5"/>
  <c r="AG92" i="2"/>
  <c r="T145" i="5" s="1"/>
  <c r="AF92" i="2"/>
  <c r="BG92" i="2"/>
  <c r="BH92" i="2"/>
  <c r="AI62" i="2"/>
  <c r="AK62" i="2"/>
  <c r="AL62" i="2"/>
  <c r="AJ62" i="2"/>
  <c r="P43" i="5"/>
  <c r="Z117" i="2"/>
  <c r="AB117" i="2"/>
  <c r="AA117" i="2"/>
  <c r="Y117" i="2"/>
  <c r="P61" i="5"/>
  <c r="AB28" i="2"/>
  <c r="Z28" i="2"/>
  <c r="Y28" i="2"/>
  <c r="AA28" i="2"/>
  <c r="BG175" i="2"/>
  <c r="AG175" i="2"/>
  <c r="AF175" i="2"/>
  <c r="BH175" i="2"/>
  <c r="L128" i="5"/>
  <c r="S168" i="2"/>
  <c r="N168" i="2"/>
  <c r="BL34" i="2"/>
  <c r="BK34" i="2"/>
  <c r="BJ34" i="2"/>
  <c r="BM34" i="2"/>
  <c r="BJ71" i="2"/>
  <c r="BL71" i="2"/>
  <c r="BK71" i="2"/>
  <c r="BM71" i="2"/>
  <c r="AG44" i="2"/>
  <c r="AF44" i="2"/>
  <c r="BG44" i="2"/>
  <c r="BH44" i="2"/>
  <c r="L173" i="5"/>
  <c r="N102" i="2"/>
  <c r="S102" i="2"/>
  <c r="AI55" i="2"/>
  <c r="AK55" i="2"/>
  <c r="AL55" i="2"/>
  <c r="V32" i="5" s="1"/>
  <c r="AJ55" i="2"/>
  <c r="P178" i="5"/>
  <c r="AA182" i="2"/>
  <c r="Y182" i="2"/>
  <c r="AB182" i="2"/>
  <c r="Z182" i="2"/>
  <c r="N130" i="2"/>
  <c r="L18" i="5"/>
  <c r="S130" i="2"/>
  <c r="N151" i="2"/>
  <c r="L148" i="5"/>
  <c r="S151" i="2"/>
  <c r="S61" i="2"/>
  <c r="L95" i="5"/>
  <c r="N61" i="2"/>
  <c r="AT50" i="2"/>
  <c r="V105" i="5"/>
  <c r="AO50" i="2"/>
  <c r="AG77" i="2"/>
  <c r="AF77" i="2"/>
  <c r="BG77" i="2"/>
  <c r="BH77" i="2"/>
  <c r="L176" i="5"/>
  <c r="N197" i="2"/>
  <c r="S197" i="2"/>
  <c r="BH177" i="2"/>
  <c r="AD125" i="5" s="1"/>
  <c r="AG177" i="2"/>
  <c r="AF177" i="2"/>
  <c r="BG177" i="2"/>
  <c r="L151" i="5"/>
  <c r="S129" i="2"/>
  <c r="N129" i="2"/>
  <c r="L89" i="5"/>
  <c r="N107" i="2"/>
  <c r="S107" i="2"/>
  <c r="AG89" i="2"/>
  <c r="AF89" i="2"/>
  <c r="BG89" i="2"/>
  <c r="BH89" i="2"/>
  <c r="P128" i="5"/>
  <c r="Z168" i="2"/>
  <c r="AB168" i="2"/>
  <c r="R128" i="5" s="1"/>
  <c r="Y168" i="2"/>
  <c r="AA168" i="2"/>
  <c r="AL108" i="2"/>
  <c r="AI108" i="2"/>
  <c r="AK108" i="2"/>
  <c r="AJ108" i="2"/>
  <c r="S170" i="2"/>
  <c r="L175" i="5"/>
  <c r="N170" i="2"/>
  <c r="AG85" i="2"/>
  <c r="BH85" i="2"/>
  <c r="BG85" i="2"/>
  <c r="AF85" i="2"/>
  <c r="L131" i="5"/>
  <c r="N35" i="2"/>
  <c r="S35" i="2"/>
  <c r="BA128" i="2"/>
  <c r="BB128" i="2"/>
  <c r="BC128" i="2"/>
  <c r="AB187" i="5" s="1"/>
  <c r="AZ128" i="2"/>
  <c r="BM168" i="2"/>
  <c r="BK168" i="2"/>
  <c r="BJ168" i="2"/>
  <c r="BL168" i="2"/>
  <c r="BM193" i="2"/>
  <c r="BK193" i="2"/>
  <c r="BJ193" i="2"/>
  <c r="BL193" i="2"/>
  <c r="AG163" i="2"/>
  <c r="AF163" i="2"/>
  <c r="BG163" i="2"/>
  <c r="BH163" i="2"/>
  <c r="AG135" i="2"/>
  <c r="AF135" i="2"/>
  <c r="BH135" i="2"/>
  <c r="BG135" i="2"/>
  <c r="AA101" i="2"/>
  <c r="P42" i="5"/>
  <c r="AB101" i="2"/>
  <c r="Z101" i="2"/>
  <c r="Y101" i="2"/>
  <c r="Z135" i="2"/>
  <c r="AB135" i="2"/>
  <c r="Y135" i="2"/>
  <c r="AA135" i="2"/>
  <c r="P23" i="5"/>
  <c r="AG168" i="2"/>
  <c r="AF168" i="2"/>
  <c r="BH168" i="2"/>
  <c r="BG168" i="2"/>
  <c r="AD128" i="5" s="1"/>
  <c r="S143" i="2"/>
  <c r="L91" i="5"/>
  <c r="N143" i="2"/>
  <c r="S144" i="2"/>
  <c r="L142" i="5"/>
  <c r="N144" i="2"/>
  <c r="AF134" i="2"/>
  <c r="BH134" i="2"/>
  <c r="BG134" i="2"/>
  <c r="AG134" i="2"/>
  <c r="Z69" i="2"/>
  <c r="AA69" i="2"/>
  <c r="Y69" i="2"/>
  <c r="P31" i="5"/>
  <c r="AB69" i="2"/>
  <c r="AI51" i="2"/>
  <c r="AJ51" i="2"/>
  <c r="AK51" i="2"/>
  <c r="AL51" i="2"/>
  <c r="L44" i="5"/>
  <c r="N123" i="2"/>
  <c r="S123" i="2"/>
  <c r="AZ144" i="2"/>
  <c r="BA144" i="2"/>
  <c r="BB144" i="2"/>
  <c r="BC144" i="2"/>
  <c r="AB142" i="5" s="1"/>
  <c r="AF18" i="2"/>
  <c r="AG18" i="2"/>
  <c r="BG18" i="2"/>
  <c r="BH18" i="2"/>
  <c r="AD56" i="5" s="1"/>
  <c r="AG159" i="2"/>
  <c r="AF159" i="2"/>
  <c r="BH159" i="2"/>
  <c r="BG159" i="2"/>
  <c r="L110" i="5"/>
  <c r="N185" i="2"/>
  <c r="S185" i="2"/>
  <c r="BM61" i="2"/>
  <c r="BL61" i="2"/>
  <c r="BJ61" i="2"/>
  <c r="BK61" i="2"/>
  <c r="AD95" i="5"/>
  <c r="S96" i="2"/>
  <c r="L123" i="5"/>
  <c r="N96" i="2"/>
  <c r="AF119" i="2"/>
  <c r="BH119" i="2"/>
  <c r="BG119" i="2"/>
  <c r="AG119" i="2"/>
  <c r="AF157" i="2"/>
  <c r="AG157" i="2"/>
  <c r="BG157" i="2"/>
  <c r="BH157" i="2"/>
  <c r="AT10" i="2"/>
  <c r="AO10" i="2"/>
  <c r="AG71" i="2"/>
  <c r="AF71" i="2"/>
  <c r="BH71" i="2"/>
  <c r="BG71" i="2"/>
  <c r="AF137" i="2"/>
  <c r="AG137" i="2"/>
  <c r="BG137" i="2"/>
  <c r="BH137" i="2"/>
  <c r="BB13" i="2"/>
  <c r="BC13" i="2"/>
  <c r="AB157" i="5" s="1"/>
  <c r="BA13" i="2"/>
  <c r="AZ13" i="2"/>
  <c r="AG194" i="2"/>
  <c r="AF194" i="2"/>
  <c r="BH194" i="2"/>
  <c r="BG194" i="2"/>
  <c r="AT113" i="2"/>
  <c r="AO113" i="2"/>
  <c r="L129" i="5"/>
  <c r="S97" i="2"/>
  <c r="N97" i="2"/>
  <c r="L127" i="5"/>
  <c r="N153" i="2"/>
  <c r="S153" i="2"/>
  <c r="L17" i="5"/>
  <c r="N119" i="2"/>
  <c r="S119" i="2"/>
  <c r="AG38" i="2"/>
  <c r="AF38" i="2"/>
  <c r="BG38" i="2"/>
  <c r="BH38" i="2"/>
  <c r="AF46" i="2"/>
  <c r="BH46" i="2"/>
  <c r="BG46" i="2"/>
  <c r="AG46" i="2"/>
  <c r="L179" i="5"/>
  <c r="N109" i="2"/>
  <c r="S109" i="2"/>
  <c r="Z192" i="2"/>
  <c r="Y192" i="2"/>
  <c r="AA192" i="2"/>
  <c r="P186" i="5"/>
  <c r="AB192" i="2"/>
  <c r="R186" i="5" s="1"/>
  <c r="BG122" i="2"/>
  <c r="BH122" i="2"/>
  <c r="AG122" i="2"/>
  <c r="T86" i="5" s="1"/>
  <c r="AF122" i="2"/>
  <c r="AO152" i="2"/>
  <c r="AT152" i="2"/>
  <c r="AJ93" i="2"/>
  <c r="AI93" i="2"/>
  <c r="AK93" i="2"/>
  <c r="AL93" i="2"/>
  <c r="BA191" i="2"/>
  <c r="BB191" i="2"/>
  <c r="AZ191" i="2"/>
  <c r="BC191" i="2"/>
  <c r="AB170" i="5" s="1"/>
  <c r="AL159" i="2"/>
  <c r="AJ159" i="2"/>
  <c r="AK159" i="2"/>
  <c r="AI159" i="2"/>
  <c r="S157" i="2"/>
  <c r="N157" i="2"/>
  <c r="L117" i="5"/>
  <c r="P7" i="5"/>
  <c r="AB22" i="2"/>
  <c r="R7" i="5" s="1"/>
  <c r="Y22" i="2"/>
  <c r="Z22" i="2"/>
  <c r="AA22" i="2"/>
  <c r="N178" i="2"/>
  <c r="L162" i="5"/>
  <c r="S178" i="2"/>
  <c r="AF152" i="2"/>
  <c r="BG152" i="2"/>
  <c r="AG152" i="2"/>
  <c r="BH152" i="2"/>
  <c r="BM7" i="2"/>
  <c r="BK7" i="2"/>
  <c r="BL7" i="2"/>
  <c r="BJ7" i="2"/>
  <c r="L67" i="5"/>
  <c r="S86" i="2"/>
  <c r="N86" i="2"/>
  <c r="L182" i="5"/>
  <c r="N195" i="2"/>
  <c r="S195" i="2"/>
  <c r="AL71" i="2"/>
  <c r="AJ71" i="2"/>
  <c r="AI71" i="2"/>
  <c r="AK71" i="2"/>
  <c r="Z167" i="2"/>
  <c r="Y167" i="2"/>
  <c r="P114" i="5"/>
  <c r="AB167" i="2"/>
  <c r="AA167" i="2"/>
  <c r="AO9" i="2"/>
  <c r="AT9" i="2"/>
  <c r="BQ56" i="2"/>
  <c r="BP56" i="2"/>
  <c r="BA43" i="2"/>
  <c r="BC43" i="2"/>
  <c r="AZ43" i="2"/>
  <c r="BB43" i="2"/>
  <c r="BQ103" i="2"/>
  <c r="BP103" i="2"/>
  <c r="BQ172" i="2"/>
  <c r="BP172" i="2"/>
  <c r="AG78" i="2"/>
  <c r="AF78" i="2"/>
  <c r="BH78" i="2"/>
  <c r="BG78" i="2"/>
  <c r="AA46" i="2"/>
  <c r="AB46" i="2"/>
  <c r="R60" i="5" s="1"/>
  <c r="Z46" i="2"/>
  <c r="Y46" i="2"/>
  <c r="P60" i="5"/>
  <c r="BG174" i="2"/>
  <c r="BH174" i="2"/>
  <c r="AG174" i="2"/>
  <c r="AF174" i="2"/>
  <c r="AG62" i="2"/>
  <c r="AF62" i="2"/>
  <c r="BH62" i="2"/>
  <c r="BG62" i="2"/>
  <c r="P70" i="5"/>
  <c r="AB32" i="2"/>
  <c r="Z32" i="2"/>
  <c r="AA32" i="2"/>
  <c r="Y32" i="2"/>
  <c r="AK145" i="2"/>
  <c r="AJ145" i="2"/>
  <c r="AI145" i="2"/>
  <c r="AL145" i="2"/>
  <c r="V10" i="5" s="1"/>
  <c r="S55" i="2"/>
  <c r="N55" i="2"/>
  <c r="L32" i="5"/>
  <c r="P154" i="5"/>
  <c r="AB137" i="2"/>
  <c r="R154" i="5" s="1"/>
  <c r="Y137" i="2"/>
  <c r="Z137" i="2"/>
  <c r="AA137" i="2"/>
  <c r="AJ104" i="2"/>
  <c r="AL104" i="2"/>
  <c r="AK104" i="2"/>
  <c r="AI104" i="2"/>
  <c r="AB130" i="2"/>
  <c r="R18" i="5" s="1"/>
  <c r="Z130" i="2"/>
  <c r="AA130" i="2"/>
  <c r="P18" i="5"/>
  <c r="Y130" i="2"/>
  <c r="AT104" i="2"/>
  <c r="AO104" i="2"/>
  <c r="N199" i="2"/>
  <c r="L189" i="5"/>
  <c r="S199" i="2"/>
  <c r="BB192" i="2"/>
  <c r="BA192" i="2"/>
  <c r="BC192" i="2"/>
  <c r="AB186" i="5" s="1"/>
  <c r="AZ192" i="2"/>
  <c r="AG153" i="2"/>
  <c r="BG153" i="2"/>
  <c r="BH153" i="2"/>
  <c r="AF153" i="2"/>
  <c r="P89" i="5"/>
  <c r="AB107" i="2"/>
  <c r="Z107" i="2"/>
  <c r="Y107" i="2"/>
  <c r="AA107" i="2"/>
  <c r="AO143" i="2"/>
  <c r="AT143" i="2"/>
  <c r="BH120" i="2"/>
  <c r="AG120" i="2"/>
  <c r="AF120" i="2"/>
  <c r="BG120" i="2"/>
  <c r="L99" i="5"/>
  <c r="S169" i="2"/>
  <c r="N169" i="2"/>
  <c r="BH162" i="2"/>
  <c r="BG162" i="2"/>
  <c r="AG162" i="2"/>
  <c r="T185" i="5" s="1"/>
  <c r="AF162" i="2"/>
  <c r="BJ84" i="2"/>
  <c r="BL84" i="2"/>
  <c r="BM84" i="2"/>
  <c r="BK84" i="2"/>
  <c r="AT134" i="2"/>
  <c r="AO134" i="2"/>
  <c r="P159" i="5"/>
  <c r="Z186" i="2"/>
  <c r="AB186" i="2"/>
  <c r="Y186" i="2"/>
  <c r="AA186" i="2"/>
  <c r="BH197" i="2"/>
  <c r="BG197" i="2"/>
  <c r="AG197" i="2"/>
  <c r="AF197" i="2"/>
  <c r="BL123" i="2"/>
  <c r="BM123" i="2"/>
  <c r="BK123" i="2"/>
  <c r="BJ123" i="2"/>
  <c r="AB188" i="2"/>
  <c r="R147" i="5" s="1"/>
  <c r="Z188" i="2"/>
  <c r="AA188" i="2"/>
  <c r="P147" i="5"/>
  <c r="Y188" i="2"/>
  <c r="L121" i="5"/>
  <c r="N88" i="2"/>
  <c r="S88" i="2"/>
  <c r="Z80" i="2"/>
  <c r="AA80" i="2"/>
  <c r="Y80" i="2"/>
  <c r="P81" i="5"/>
  <c r="AB80" i="2"/>
  <c r="R81" i="5" s="1"/>
  <c r="N80" i="2"/>
  <c r="L81" i="5"/>
  <c r="S80" i="2"/>
  <c r="BQ21" i="2"/>
  <c r="BP21" i="2"/>
  <c r="Y18" i="2"/>
  <c r="AB18" i="2"/>
  <c r="P56" i="5"/>
  <c r="Z18" i="2"/>
  <c r="AA18" i="2"/>
  <c r="BB64" i="2"/>
  <c r="BC64" i="2"/>
  <c r="AZ64" i="2"/>
  <c r="BA64" i="2"/>
  <c r="Z43" i="2"/>
  <c r="P27" i="5"/>
  <c r="AB43" i="2"/>
  <c r="R27" i="5" s="1"/>
  <c r="AA43" i="2"/>
  <c r="Y43" i="2"/>
  <c r="BJ33" i="2"/>
  <c r="BK33" i="2"/>
  <c r="BM33" i="2"/>
  <c r="BL33" i="2"/>
  <c r="BK57" i="2"/>
  <c r="BL57" i="2"/>
  <c r="BJ57" i="2"/>
  <c r="BM57" i="2"/>
  <c r="S198" i="2"/>
  <c r="N198" i="2"/>
  <c r="L198" i="5"/>
  <c r="L29" i="5"/>
  <c r="S47" i="2"/>
  <c r="N47" i="2"/>
  <c r="BC185" i="2"/>
  <c r="AB110" i="5" s="1"/>
  <c r="AZ185" i="2"/>
  <c r="BB185" i="2"/>
  <c r="BA185" i="2"/>
  <c r="AG110" i="2"/>
  <c r="AF110" i="2"/>
  <c r="BH110" i="2"/>
  <c r="BG110" i="2"/>
  <c r="P122" i="5"/>
  <c r="Z116" i="2"/>
  <c r="AB116" i="2"/>
  <c r="R122" i="5" s="1"/>
  <c r="AA116" i="2"/>
  <c r="Y116" i="2"/>
  <c r="AK190" i="2"/>
  <c r="AL190" i="2"/>
  <c r="AI190" i="2"/>
  <c r="AJ190" i="2"/>
  <c r="AL129" i="2"/>
  <c r="AI129" i="2"/>
  <c r="AK129" i="2"/>
  <c r="AJ129" i="2"/>
  <c r="AJ94" i="2"/>
  <c r="AI94" i="2"/>
  <c r="T141" i="5"/>
  <c r="AL94" i="2"/>
  <c r="AK94" i="2"/>
  <c r="BC10" i="2"/>
  <c r="BA10" i="2"/>
  <c r="AZ10" i="2"/>
  <c r="BB10" i="2"/>
  <c r="AL72" i="2"/>
  <c r="AI72" i="2"/>
  <c r="AK72" i="2"/>
  <c r="AJ72" i="2"/>
  <c r="AO168" i="2"/>
  <c r="AT168" i="2"/>
  <c r="BM43" i="2"/>
  <c r="BK43" i="2"/>
  <c r="BJ43" i="2"/>
  <c r="BL43" i="2"/>
  <c r="AZ181" i="2"/>
  <c r="BB181" i="2"/>
  <c r="BC181" i="2"/>
  <c r="BA181" i="2"/>
  <c r="AT29" i="2"/>
  <c r="AO29" i="2"/>
  <c r="BA106" i="2"/>
  <c r="AZ106" i="2"/>
  <c r="BC106" i="2"/>
  <c r="AB144" i="5" s="1"/>
  <c r="BB106" i="2"/>
  <c r="BC121" i="2"/>
  <c r="AB135" i="5" s="1"/>
  <c r="BB121" i="2"/>
  <c r="BA121" i="2"/>
  <c r="AZ121" i="2"/>
  <c r="AF180" i="2"/>
  <c r="BG180" i="2"/>
  <c r="BH180" i="2"/>
  <c r="AD58" i="5" s="1"/>
  <c r="AG180" i="2"/>
  <c r="P76" i="5"/>
  <c r="AB187" i="2"/>
  <c r="Z187" i="2"/>
  <c r="AA187" i="2"/>
  <c r="Y187" i="2"/>
  <c r="AF156" i="2"/>
  <c r="AG156" i="2"/>
  <c r="BG156" i="2"/>
  <c r="BH156" i="2"/>
  <c r="AG13" i="2"/>
  <c r="AF13" i="2"/>
  <c r="BG13" i="2"/>
  <c r="BH13" i="2"/>
  <c r="AG169" i="2"/>
  <c r="AF169" i="2"/>
  <c r="BH169" i="2"/>
  <c r="BG169" i="2"/>
  <c r="BG91" i="2"/>
  <c r="BH91" i="2"/>
  <c r="AF91" i="2"/>
  <c r="AG91" i="2"/>
  <c r="AK27" i="2"/>
  <c r="AI27" i="2"/>
  <c r="AL27" i="2"/>
  <c r="AJ27" i="2"/>
  <c r="T50" i="5"/>
  <c r="AJ49" i="2"/>
  <c r="AI49" i="2"/>
  <c r="AK49" i="2"/>
  <c r="AL49" i="2"/>
  <c r="P166" i="5"/>
  <c r="Z112" i="2"/>
  <c r="AB112" i="2"/>
  <c r="R166" i="5" s="1"/>
  <c r="AA112" i="2"/>
  <c r="Y112" i="2"/>
  <c r="AF181" i="2"/>
  <c r="BH181" i="2"/>
  <c r="AG181" i="2"/>
  <c r="BG181" i="2"/>
  <c r="BH130" i="2"/>
  <c r="AF130" i="2"/>
  <c r="AG130" i="2"/>
  <c r="BG130" i="2"/>
  <c r="P50" i="5"/>
  <c r="AB49" i="2"/>
  <c r="R50" i="5" s="1"/>
  <c r="Z49" i="2"/>
  <c r="Y49" i="2"/>
  <c r="AA49" i="2"/>
  <c r="L64" i="5"/>
  <c r="S30" i="2"/>
  <c r="N30" i="2"/>
  <c r="AF69" i="2"/>
  <c r="AG69" i="2"/>
  <c r="BG69" i="2"/>
  <c r="BH69" i="2"/>
  <c r="AG45" i="2"/>
  <c r="AF45" i="2"/>
  <c r="BG45" i="2"/>
  <c r="BH45" i="2"/>
  <c r="BJ180" i="2"/>
  <c r="BM180" i="2"/>
  <c r="BK180" i="2"/>
  <c r="BL180" i="2"/>
  <c r="AF83" i="2"/>
  <c r="BG83" i="2"/>
  <c r="BH83" i="2"/>
  <c r="AG83" i="2"/>
  <c r="T139" i="5" s="1"/>
  <c r="Z25" i="2"/>
  <c r="AB25" i="2"/>
  <c r="R172" i="5" s="1"/>
  <c r="P172" i="5"/>
  <c r="Y25" i="2"/>
  <c r="AA25" i="2"/>
  <c r="AB42" i="2"/>
  <c r="Z42" i="2"/>
  <c r="Y42" i="2"/>
  <c r="AA42" i="2"/>
  <c r="P13" i="5"/>
  <c r="BH104" i="2"/>
  <c r="BG104" i="2"/>
  <c r="AG104" i="2"/>
  <c r="T169" i="5" s="1"/>
  <c r="AF104" i="2"/>
  <c r="P144" i="5"/>
  <c r="AB106" i="2"/>
  <c r="Z106" i="2"/>
  <c r="Y106" i="2"/>
  <c r="AA106" i="2"/>
  <c r="AB160" i="2"/>
  <c r="R191" i="5" s="1"/>
  <c r="Z160" i="2"/>
  <c r="Y160" i="2"/>
  <c r="AA160" i="2"/>
  <c r="P191" i="5"/>
  <c r="AJ75" i="2"/>
  <c r="AK75" i="2"/>
  <c r="AL75" i="2"/>
  <c r="AI75" i="2"/>
  <c r="BM100" i="2"/>
  <c r="BK100" i="2"/>
  <c r="BJ100" i="2"/>
  <c r="BL100" i="2"/>
  <c r="AD90" i="5"/>
  <c r="BJ52" i="2"/>
  <c r="BM52" i="2"/>
  <c r="BK52" i="2"/>
  <c r="BL52" i="2"/>
  <c r="AT188" i="2"/>
  <c r="AO188" i="2"/>
  <c r="AO73" i="2"/>
  <c r="AT73" i="2"/>
  <c r="BG47" i="2"/>
  <c r="AG47" i="2"/>
  <c r="AF47" i="2"/>
  <c r="BH47" i="2"/>
  <c r="AG143" i="2"/>
  <c r="AF143" i="2"/>
  <c r="BH143" i="2"/>
  <c r="BG143" i="2"/>
  <c r="AZ134" i="2"/>
  <c r="BC134" i="2"/>
  <c r="AB78" i="5" s="1"/>
  <c r="BB134" i="2"/>
  <c r="BA134" i="2"/>
  <c r="AB164" i="2"/>
  <c r="P75" i="5"/>
  <c r="AA164" i="2"/>
  <c r="Y164" i="2"/>
  <c r="Z164" i="2"/>
  <c r="P63" i="5"/>
  <c r="AB11" i="2"/>
  <c r="R63" i="5" s="1"/>
  <c r="AA11" i="2"/>
  <c r="Z11" i="2"/>
  <c r="Y11" i="2"/>
  <c r="AG22" i="2"/>
  <c r="T7" i="5" s="1"/>
  <c r="BG22" i="2"/>
  <c r="BH22" i="2"/>
  <c r="AF22" i="2"/>
  <c r="AO189" i="2"/>
  <c r="AT189" i="2"/>
  <c r="BQ75" i="2"/>
  <c r="BP75" i="2"/>
  <c r="AO121" i="2"/>
  <c r="AT121" i="2"/>
  <c r="N114" i="2"/>
  <c r="S114" i="2"/>
  <c r="L9" i="5"/>
  <c r="BQ83" i="2"/>
  <c r="BP83" i="2"/>
  <c r="BA133" i="2"/>
  <c r="AZ133" i="2"/>
  <c r="BB133" i="2"/>
  <c r="BC133" i="2"/>
  <c r="AT35" i="2"/>
  <c r="AO35" i="2"/>
  <c r="V131" i="5"/>
  <c r="AD48" i="5"/>
  <c r="BK53" i="2"/>
  <c r="BL53" i="2"/>
  <c r="BM53" i="2"/>
  <c r="BJ53" i="2"/>
  <c r="AG173" i="2"/>
  <c r="AF173" i="2"/>
  <c r="BH173" i="2"/>
  <c r="BG173" i="2"/>
  <c r="AF172" i="2"/>
  <c r="BG172" i="2"/>
  <c r="AG172" i="2"/>
  <c r="BH172" i="2"/>
  <c r="AI87" i="2"/>
  <c r="AJ87" i="2"/>
  <c r="AK87" i="2"/>
  <c r="T183" i="5"/>
  <c r="AL87" i="2"/>
  <c r="P118" i="5"/>
  <c r="AA51" i="2"/>
  <c r="AB51" i="2"/>
  <c r="Z51" i="2"/>
  <c r="Y51" i="2"/>
  <c r="N73" i="2"/>
  <c r="S73" i="2"/>
  <c r="L126" i="5"/>
  <c r="N14" i="2"/>
  <c r="L167" i="5"/>
  <c r="S14" i="2"/>
  <c r="AF190" i="2"/>
  <c r="T195" i="5" s="1"/>
  <c r="AG190" i="2"/>
  <c r="BG190" i="2"/>
  <c r="BH190" i="2"/>
  <c r="L69" i="5"/>
  <c r="N21" i="2"/>
  <c r="S21" i="2"/>
  <c r="BA57" i="2"/>
  <c r="BC57" i="2"/>
  <c r="AB51" i="5" s="1"/>
  <c r="AZ57" i="2"/>
  <c r="BB57" i="2"/>
  <c r="BC4" i="2"/>
  <c r="BA4" i="2"/>
  <c r="BB4" i="2"/>
  <c r="AZ4" i="2"/>
  <c r="V174" i="5"/>
  <c r="AT132" i="2"/>
  <c r="AO132" i="2"/>
  <c r="BJ177" i="2"/>
  <c r="BM177" i="2"/>
  <c r="BL177" i="2"/>
  <c r="BK177" i="2"/>
  <c r="BQ136" i="2"/>
  <c r="BP136" i="2"/>
  <c r="BH67" i="2"/>
  <c r="AF67" i="2"/>
  <c r="BG67" i="2"/>
  <c r="AG67" i="2"/>
  <c r="BQ126" i="2"/>
  <c r="BP126" i="2"/>
  <c r="AI28" i="2"/>
  <c r="T61" i="5"/>
  <c r="AL28" i="2"/>
  <c r="V61" i="5" s="1"/>
  <c r="AK28" i="2"/>
  <c r="AJ28" i="2"/>
  <c r="BM170" i="2"/>
  <c r="BK170" i="2"/>
  <c r="BJ170" i="2"/>
  <c r="BL170" i="2"/>
  <c r="BJ165" i="2"/>
  <c r="BK165" i="2"/>
  <c r="BM165" i="2"/>
  <c r="BL165" i="2"/>
  <c r="AK86" i="2"/>
  <c r="AL86" i="2"/>
  <c r="T67" i="5"/>
  <c r="AI86" i="2"/>
  <c r="AJ86" i="2"/>
  <c r="BL93" i="2"/>
  <c r="AD93" i="5"/>
  <c r="BM93" i="2"/>
  <c r="BJ93" i="2"/>
  <c r="BK93" i="2"/>
  <c r="AD197" i="5"/>
  <c r="BL174" i="2"/>
  <c r="BK174" i="2"/>
  <c r="BJ174" i="2"/>
  <c r="BM174" i="2"/>
  <c r="T104" i="5"/>
  <c r="AL77" i="2"/>
  <c r="AK77" i="2"/>
  <c r="AI77" i="2"/>
  <c r="AJ77" i="2"/>
  <c r="L6" i="5"/>
  <c r="N39" i="2"/>
  <c r="S39" i="2"/>
  <c r="BQ89" i="2"/>
  <c r="BP89" i="2"/>
  <c r="P80" i="5"/>
  <c r="AB44" i="2"/>
  <c r="R80" i="5" s="1"/>
  <c r="Z44" i="2"/>
  <c r="AA44" i="2"/>
  <c r="Y44" i="2"/>
  <c r="L15" i="5"/>
  <c r="S40" i="2"/>
  <c r="N40" i="2"/>
  <c r="AF145" i="2"/>
  <c r="AG145" i="2"/>
  <c r="T10" i="5" s="1"/>
  <c r="BH145" i="2"/>
  <c r="BG145" i="2"/>
  <c r="L125" i="5"/>
  <c r="S177" i="2"/>
  <c r="N177" i="2"/>
  <c r="AA193" i="2"/>
  <c r="P181" i="5"/>
  <c r="AB193" i="2"/>
  <c r="R181" i="5" s="1"/>
  <c r="Z193" i="2"/>
  <c r="Y193" i="2"/>
  <c r="BG68" i="2"/>
  <c r="AG68" i="2"/>
  <c r="AF68" i="2"/>
  <c r="BH68" i="2"/>
  <c r="AG81" i="2"/>
  <c r="AF81" i="2"/>
  <c r="BH81" i="2"/>
  <c r="BG81" i="2"/>
  <c r="AG128" i="2"/>
  <c r="AF128" i="2"/>
  <c r="BG128" i="2"/>
  <c r="BH128" i="2"/>
  <c r="L104" i="5"/>
  <c r="N77" i="2"/>
  <c r="S77" i="2"/>
  <c r="AF36" i="2"/>
  <c r="BH36" i="2"/>
  <c r="AG36" i="2"/>
  <c r="BG36" i="2"/>
  <c r="L102" i="5"/>
  <c r="N76" i="2"/>
  <c r="S76" i="2"/>
  <c r="BG103" i="2"/>
  <c r="AG103" i="2"/>
  <c r="AF103" i="2"/>
  <c r="BH103" i="2"/>
  <c r="BB149" i="2"/>
  <c r="AZ149" i="2"/>
  <c r="BA149" i="2"/>
  <c r="BC149" i="2"/>
  <c r="AB28" i="5" s="1"/>
  <c r="S112" i="2"/>
  <c r="N112" i="2"/>
  <c r="L166" i="5"/>
  <c r="L100" i="5"/>
  <c r="S138" i="2"/>
  <c r="N138" i="2"/>
  <c r="AI91" i="2"/>
  <c r="AJ91" i="2"/>
  <c r="T163" i="5"/>
  <c r="AK91" i="2"/>
  <c r="AL91" i="2"/>
  <c r="AI100" i="2"/>
  <c r="AJ100" i="2"/>
  <c r="AK100" i="2"/>
  <c r="AL100" i="2"/>
  <c r="V156" i="5" s="1"/>
  <c r="P198" i="5"/>
  <c r="AB198" i="2"/>
  <c r="R198" i="5" s="1"/>
  <c r="Z198" i="2"/>
  <c r="Y198" i="2"/>
  <c r="AA198" i="2"/>
  <c r="AB141" i="2"/>
  <c r="Y141" i="2"/>
  <c r="AA141" i="2"/>
  <c r="P36" i="5"/>
  <c r="Z141" i="2"/>
  <c r="AF73" i="2"/>
  <c r="AG73" i="2"/>
  <c r="BG73" i="2"/>
  <c r="BH73" i="2"/>
  <c r="N104" i="2"/>
  <c r="S104" i="2"/>
  <c r="L169" i="5"/>
  <c r="AI197" i="2"/>
  <c r="AJ197" i="2"/>
  <c r="AK197" i="2"/>
  <c r="AL197" i="2"/>
  <c r="AJ142" i="2"/>
  <c r="AI142" i="2"/>
  <c r="AK142" i="2"/>
  <c r="AL142" i="2"/>
  <c r="AG192" i="2"/>
  <c r="AF192" i="2"/>
  <c r="BG192" i="2"/>
  <c r="BH192" i="2"/>
  <c r="BH33" i="2"/>
  <c r="AG33" i="2"/>
  <c r="AF33" i="2"/>
  <c r="BG33" i="2"/>
  <c r="S22" i="2"/>
  <c r="L7" i="5"/>
  <c r="N22" i="2"/>
  <c r="AI121" i="2"/>
  <c r="AL121" i="2"/>
  <c r="AK121" i="2"/>
  <c r="T135" i="5"/>
  <c r="AJ121" i="2"/>
  <c r="L23" i="5"/>
  <c r="S135" i="2"/>
  <c r="N135" i="2"/>
  <c r="L141" i="5"/>
  <c r="S94" i="2"/>
  <c r="N94" i="2"/>
  <c r="AG142" i="2"/>
  <c r="AF142" i="2"/>
  <c r="BG142" i="2"/>
  <c r="BH142" i="2"/>
  <c r="AO55" i="2"/>
  <c r="AT55" i="2"/>
  <c r="P177" i="5"/>
  <c r="AB175" i="2"/>
  <c r="R177" i="5" s="1"/>
  <c r="Z175" i="2"/>
  <c r="Y175" i="2"/>
  <c r="AA175" i="2"/>
  <c r="AI20" i="2"/>
  <c r="AJ20" i="2"/>
  <c r="AK20" i="2"/>
  <c r="AL20" i="2"/>
  <c r="AO40" i="2"/>
  <c r="AT40" i="2"/>
  <c r="AT63" i="2"/>
  <c r="AO63" i="2"/>
  <c r="AB64" i="2"/>
  <c r="Z64" i="2"/>
  <c r="Y64" i="2"/>
  <c r="AA64" i="2"/>
  <c r="P16" i="5"/>
  <c r="AZ177" i="2"/>
  <c r="BA177" i="2"/>
  <c r="BB177" i="2"/>
  <c r="BC177" i="2"/>
  <c r="BJ17" i="2"/>
  <c r="AD98" i="5"/>
  <c r="BL17" i="2"/>
  <c r="BM17" i="2"/>
  <c r="BK17" i="2"/>
  <c r="AI84" i="2"/>
  <c r="AL84" i="2"/>
  <c r="AJ84" i="2"/>
  <c r="AK84" i="2"/>
  <c r="T40" i="5"/>
  <c r="AI131" i="2"/>
  <c r="AJ131" i="2"/>
  <c r="AK131" i="2"/>
  <c r="AL131" i="2"/>
  <c r="S82" i="2"/>
  <c r="L87" i="5"/>
  <c r="N82" i="2"/>
  <c r="BM31" i="2"/>
  <c r="BJ31" i="2"/>
  <c r="BL31" i="2"/>
  <c r="BK31" i="2"/>
  <c r="AO99" i="2"/>
  <c r="AT99" i="2"/>
  <c r="BH127" i="2"/>
  <c r="BG127" i="2"/>
  <c r="AG127" i="2"/>
  <c r="AF127" i="2"/>
  <c r="BP124" i="2"/>
  <c r="BQ124" i="2"/>
  <c r="AG196" i="2"/>
  <c r="AF196" i="2"/>
  <c r="BG196" i="2"/>
  <c r="BH196" i="2"/>
  <c r="AI148" i="2"/>
  <c r="AJ148" i="2"/>
  <c r="AL148" i="2"/>
  <c r="AK148" i="2"/>
  <c r="L111" i="5"/>
  <c r="S103" i="2"/>
  <c r="N103" i="2"/>
  <c r="L145" i="5"/>
  <c r="S92" i="2"/>
  <c r="N92" i="2"/>
  <c r="AK106" i="2"/>
  <c r="AL106" i="2"/>
  <c r="AJ106" i="2"/>
  <c r="T144" i="5"/>
  <c r="AI106" i="2"/>
  <c r="AT84" i="2"/>
  <c r="V77" i="5"/>
  <c r="AO84" i="2"/>
  <c r="BQ54" i="2"/>
  <c r="BP54" i="2"/>
  <c r="AJ83" i="2"/>
  <c r="AI83" i="2"/>
  <c r="AL83" i="2"/>
  <c r="AK83" i="2"/>
  <c r="BK111" i="2"/>
  <c r="AD21" i="5"/>
  <c r="BM111" i="2"/>
  <c r="BL111" i="2"/>
  <c r="BJ111" i="2"/>
  <c r="AZ48" i="2"/>
  <c r="BA48" i="2"/>
  <c r="BB48" i="2"/>
  <c r="BC48" i="2"/>
  <c r="AB71" i="5" s="1"/>
  <c r="S142" i="2"/>
  <c r="N142" i="2"/>
  <c r="L88" i="5"/>
  <c r="S84" i="2"/>
  <c r="N84" i="2"/>
  <c r="L77" i="5"/>
  <c r="BG34" i="2"/>
  <c r="AG34" i="2"/>
  <c r="BH34" i="2"/>
  <c r="AD106" i="5" s="1"/>
  <c r="AF34" i="2"/>
  <c r="AO65" i="2"/>
  <c r="AT65" i="2"/>
  <c r="AF126" i="2"/>
  <c r="BH126" i="2"/>
  <c r="BG126" i="2"/>
  <c r="AG126" i="2"/>
  <c r="L101" i="5"/>
  <c r="S5" i="2"/>
  <c r="N5" i="2"/>
  <c r="BM156" i="2"/>
  <c r="BJ156" i="2"/>
  <c r="BL156" i="2"/>
  <c r="BK156" i="2"/>
  <c r="L137" i="5"/>
  <c r="S85" i="2"/>
  <c r="N85" i="2"/>
  <c r="AL132" i="2"/>
  <c r="AK132" i="2"/>
  <c r="AI132" i="2"/>
  <c r="AJ132" i="2"/>
  <c r="AB197" i="2"/>
  <c r="AA197" i="2"/>
  <c r="Y197" i="2"/>
  <c r="P176" i="5"/>
  <c r="Z197" i="2"/>
  <c r="AK141" i="2"/>
  <c r="T36" i="5"/>
  <c r="AJ141" i="2"/>
  <c r="AI141" i="2"/>
  <c r="AL141" i="2"/>
  <c r="N90" i="2"/>
  <c r="L30" i="5"/>
  <c r="S90" i="2"/>
  <c r="V54" i="5"/>
  <c r="AT72" i="2"/>
  <c r="AO72" i="2"/>
  <c r="L186" i="5"/>
  <c r="S192" i="2"/>
  <c r="N192" i="2"/>
  <c r="AG29" i="2"/>
  <c r="AF29" i="2"/>
  <c r="BH29" i="2"/>
  <c r="BG29" i="2"/>
  <c r="BM74" i="2"/>
  <c r="BK74" i="2"/>
  <c r="BJ74" i="2"/>
  <c r="BL74" i="2"/>
  <c r="AA165" i="2"/>
  <c r="Z165" i="2"/>
  <c r="Y165" i="2"/>
  <c r="P116" i="5"/>
  <c r="AB165" i="2"/>
  <c r="P195" i="5"/>
  <c r="Z190" i="2"/>
  <c r="Y190" i="2"/>
  <c r="AA190" i="2"/>
  <c r="AB190" i="2"/>
  <c r="BL148" i="2"/>
  <c r="BJ148" i="2"/>
  <c r="BM148" i="2"/>
  <c r="BK148" i="2"/>
  <c r="AG107" i="2"/>
  <c r="AF107" i="2"/>
  <c r="BH107" i="2"/>
  <c r="AD89" i="5" s="1"/>
  <c r="BG107" i="2"/>
  <c r="BG21" i="2"/>
  <c r="AG21" i="2"/>
  <c r="AF21" i="2"/>
  <c r="BH21" i="2"/>
  <c r="AJ44" i="2"/>
  <c r="AL44" i="2"/>
  <c r="AK44" i="2"/>
  <c r="AI44" i="2"/>
  <c r="AK117" i="2"/>
  <c r="AL117" i="2"/>
  <c r="AI117" i="2"/>
  <c r="AJ117" i="2"/>
  <c r="BQ197" i="2"/>
  <c r="BP197" i="2"/>
  <c r="T78" i="5"/>
  <c r="AI134" i="2"/>
  <c r="AL134" i="2"/>
  <c r="AK134" i="2"/>
  <c r="AJ134" i="2"/>
  <c r="BL26" i="2"/>
  <c r="BM26" i="2"/>
  <c r="BJ26" i="2"/>
  <c r="BK26" i="2"/>
  <c r="L85" i="5"/>
  <c r="S24" i="2"/>
  <c r="N24" i="2"/>
  <c r="BL83" i="2"/>
  <c r="AD139" i="5"/>
  <c r="BM83" i="2"/>
  <c r="BJ83" i="2"/>
  <c r="BK83" i="2"/>
  <c r="BP97" i="2"/>
  <c r="BQ97" i="2"/>
  <c r="L90" i="5"/>
  <c r="N52" i="2"/>
  <c r="S52" i="2"/>
  <c r="BC93" i="2"/>
  <c r="AB93" i="5" s="1"/>
  <c r="BB93" i="2"/>
  <c r="AZ93" i="2"/>
  <c r="BA93" i="2"/>
  <c r="AT133" i="2"/>
  <c r="AO133" i="2"/>
  <c r="V45" i="5"/>
  <c r="AT135" i="2"/>
  <c r="AO135" i="2"/>
  <c r="P190" i="5"/>
  <c r="AA148" i="2"/>
  <c r="Z148" i="2"/>
  <c r="AB148" i="2"/>
  <c r="Y148" i="2"/>
  <c r="BG178" i="2"/>
  <c r="BH178" i="2"/>
  <c r="AG178" i="2"/>
  <c r="AF178" i="2"/>
  <c r="AT130" i="2"/>
  <c r="AO130" i="2"/>
  <c r="BB199" i="2"/>
  <c r="AZ199" i="2"/>
  <c r="BC199" i="2"/>
  <c r="AB189" i="5" s="1"/>
  <c r="BA199" i="2"/>
  <c r="AO39" i="2"/>
  <c r="AT39" i="2"/>
  <c r="S191" i="2"/>
  <c r="L170" i="5"/>
  <c r="N191" i="2"/>
  <c r="AA139" i="2"/>
  <c r="Y139" i="2"/>
  <c r="AB139" i="2"/>
  <c r="R138" i="5" s="1"/>
  <c r="Z139" i="2"/>
  <c r="P138" i="5"/>
  <c r="AJ63" i="2"/>
  <c r="AK63" i="2"/>
  <c r="AL63" i="2"/>
  <c r="AI63" i="2"/>
  <c r="S156" i="2"/>
  <c r="N156" i="2"/>
  <c r="L26" i="5"/>
  <c r="BA120" i="2"/>
  <c r="AZ120" i="2"/>
  <c r="BC120" i="2"/>
  <c r="AB130" i="5" s="1"/>
  <c r="BB120" i="2"/>
  <c r="L157" i="5"/>
  <c r="S13" i="2"/>
  <c r="N13" i="2"/>
  <c r="Y72" i="2"/>
  <c r="P54" i="5"/>
  <c r="Z72" i="2"/>
  <c r="AA72" i="2"/>
  <c r="AB72" i="2"/>
  <c r="P45" i="5"/>
  <c r="AB133" i="2"/>
  <c r="Z133" i="2"/>
  <c r="AA133" i="2"/>
  <c r="Y133" i="2"/>
  <c r="AG99" i="2"/>
  <c r="AF99" i="2"/>
  <c r="BG99" i="2"/>
  <c r="BH99" i="2"/>
  <c r="BH123" i="2"/>
  <c r="AD44" i="5" s="1"/>
  <c r="BG123" i="2"/>
  <c r="AG123" i="2"/>
  <c r="T44" i="5" s="1"/>
  <c r="AF123" i="2"/>
  <c r="AJ154" i="2"/>
  <c r="AI154" i="2"/>
  <c r="AL154" i="2"/>
  <c r="AK154" i="2"/>
  <c r="N100" i="2"/>
  <c r="L156" i="5"/>
  <c r="S100" i="2"/>
  <c r="P173" i="5"/>
  <c r="Z102" i="2"/>
  <c r="AA102" i="2"/>
  <c r="AB102" i="2"/>
  <c r="Y102" i="2"/>
  <c r="Y88" i="2"/>
  <c r="P121" i="5"/>
  <c r="AA88" i="2"/>
  <c r="AB88" i="2"/>
  <c r="Z88" i="2"/>
  <c r="AO8" i="2"/>
  <c r="AT8" i="2"/>
  <c r="L46" i="5"/>
  <c r="N105" i="2"/>
  <c r="S105" i="2"/>
  <c r="AO95" i="2"/>
  <c r="AT95" i="2"/>
  <c r="P136" i="5"/>
  <c r="AA181" i="2"/>
  <c r="Y181" i="2"/>
  <c r="AB181" i="2"/>
  <c r="Z181" i="2"/>
  <c r="AI118" i="2"/>
  <c r="AJ118" i="2"/>
  <c r="AL118" i="2"/>
  <c r="AK118" i="2"/>
  <c r="V19" i="5" s="1"/>
  <c r="T19" i="5"/>
  <c r="AT179" i="2"/>
  <c r="V161" i="5"/>
  <c r="AO179" i="2"/>
  <c r="BQ92" i="2"/>
  <c r="BP92" i="2"/>
  <c r="AZ24" i="2"/>
  <c r="BB24" i="2"/>
  <c r="BA24" i="2"/>
  <c r="BC24" i="2"/>
  <c r="L27" i="5"/>
  <c r="N43" i="2"/>
  <c r="S43" i="2"/>
  <c r="N81" i="2"/>
  <c r="L108" i="5"/>
  <c r="S81" i="2"/>
  <c r="N110" i="2"/>
  <c r="S110" i="2"/>
  <c r="L196" i="5"/>
  <c r="BH161" i="2"/>
  <c r="BG161" i="2"/>
  <c r="AG161" i="2"/>
  <c r="T62" i="5" s="1"/>
  <c r="AF161" i="2"/>
  <c r="AO123" i="2"/>
  <c r="AT123" i="2"/>
  <c r="BK139" i="2"/>
  <c r="BL139" i="2"/>
  <c r="BM139" i="2"/>
  <c r="BJ139" i="2"/>
  <c r="N68" i="2"/>
  <c r="S68" i="2"/>
  <c r="L79" i="5"/>
  <c r="P53" i="5"/>
  <c r="Y155" i="2"/>
  <c r="AA155" i="2"/>
  <c r="AB155" i="2"/>
  <c r="R53" i="5" s="1"/>
  <c r="Z155" i="2"/>
  <c r="BL192" i="2"/>
  <c r="BK192" i="2"/>
  <c r="BJ192" i="2"/>
  <c r="AD186" i="5"/>
  <c r="BM192" i="2"/>
  <c r="AT30" i="2"/>
  <c r="AO30" i="2"/>
  <c r="BQ156" i="2"/>
  <c r="BP156" i="2"/>
  <c r="AD104" i="5"/>
  <c r="BL77" i="2"/>
  <c r="BK77" i="2"/>
  <c r="BM77" i="2"/>
  <c r="BJ77" i="2"/>
  <c r="Y118" i="2"/>
  <c r="P19" i="5"/>
  <c r="AB118" i="2"/>
  <c r="R19" i="5" s="1"/>
  <c r="AA118" i="2"/>
  <c r="Z118" i="2"/>
  <c r="L140" i="5"/>
  <c r="S99" i="2"/>
  <c r="N99" i="2"/>
  <c r="L174" i="5"/>
  <c r="S132" i="2"/>
  <c r="N132" i="2"/>
  <c r="L195" i="5"/>
  <c r="N190" i="2"/>
  <c r="S190" i="2"/>
  <c r="AL52" i="2"/>
  <c r="T90" i="5"/>
  <c r="AI52" i="2"/>
  <c r="AK52" i="2"/>
  <c r="AJ52" i="2"/>
  <c r="BM79" i="2"/>
  <c r="BK79" i="2"/>
  <c r="BL79" i="2"/>
  <c r="BJ79" i="2"/>
  <c r="T17" i="5"/>
  <c r="AJ119" i="2"/>
  <c r="AI119" i="2"/>
  <c r="AK119" i="2"/>
  <c r="AL119" i="2"/>
  <c r="AT90" i="2"/>
  <c r="AO90" i="2"/>
  <c r="BK24" i="2"/>
  <c r="BM24" i="2"/>
  <c r="BJ24" i="2"/>
  <c r="BL24" i="2"/>
  <c r="AD85" i="5"/>
  <c r="AB105" i="2"/>
  <c r="R46" i="5" s="1"/>
  <c r="Z105" i="2"/>
  <c r="AA105" i="2"/>
  <c r="Y105" i="2"/>
  <c r="P46" i="5"/>
  <c r="S141" i="2"/>
  <c r="N141" i="2"/>
  <c r="L36" i="5"/>
  <c r="AF95" i="2"/>
  <c r="BG95" i="2"/>
  <c r="BH95" i="2"/>
  <c r="AG95" i="2"/>
  <c r="AB68" i="2"/>
  <c r="Z68" i="2"/>
  <c r="P79" i="5"/>
  <c r="AA68" i="2"/>
  <c r="Y68" i="2"/>
  <c r="BC29" i="2"/>
  <c r="AB34" i="5" s="1"/>
  <c r="BB29" i="2"/>
  <c r="AZ29" i="2"/>
  <c r="BA29" i="2"/>
  <c r="S50" i="2"/>
  <c r="L105" i="5"/>
  <c r="N50" i="2"/>
  <c r="BH80" i="2"/>
  <c r="BG80" i="2"/>
  <c r="AG80" i="2"/>
  <c r="AF80" i="2"/>
  <c r="BC104" i="2"/>
  <c r="BA104" i="2"/>
  <c r="AZ104" i="2"/>
  <c r="BB104" i="2"/>
  <c r="BB142" i="2"/>
  <c r="AZ142" i="2"/>
  <c r="BA142" i="2"/>
  <c r="BC142" i="2"/>
  <c r="AF56" i="2"/>
  <c r="AG56" i="2"/>
  <c r="BH56" i="2"/>
  <c r="BG56" i="2"/>
  <c r="L31" i="5"/>
  <c r="S69" i="2"/>
  <c r="N69" i="2"/>
  <c r="L53" i="5"/>
  <c r="S155" i="2"/>
  <c r="N155" i="2"/>
  <c r="S42" i="2"/>
  <c r="L13" i="5"/>
  <c r="N42" i="2"/>
  <c r="AZ109" i="2"/>
  <c r="BC109" i="2"/>
  <c r="AB179" i="5" s="1"/>
  <c r="BB109" i="2"/>
  <c r="BA109" i="2"/>
  <c r="BK107" i="2"/>
  <c r="BL107" i="2"/>
  <c r="BM107" i="2"/>
  <c r="BJ107" i="2"/>
  <c r="L116" i="5"/>
  <c r="N165" i="2"/>
  <c r="S165" i="2"/>
  <c r="BH37" i="2"/>
  <c r="BG37" i="2"/>
  <c r="AG37" i="2"/>
  <c r="AF37" i="2"/>
  <c r="AT155" i="2"/>
  <c r="AO155" i="2"/>
  <c r="AJ115" i="2"/>
  <c r="AL115" i="2"/>
  <c r="AK115" i="2"/>
  <c r="T37" i="5"/>
  <c r="AI115" i="2"/>
  <c r="AO196" i="2"/>
  <c r="AT196" i="2"/>
  <c r="P62" i="5"/>
  <c r="AB161" i="2"/>
  <c r="Z161" i="2"/>
  <c r="AA161" i="2"/>
  <c r="Y161" i="2"/>
  <c r="L98" i="5"/>
  <c r="N17" i="2"/>
  <c r="S17" i="2"/>
  <c r="AG195" i="2"/>
  <c r="T182" i="5" s="1"/>
  <c r="AF195" i="2"/>
  <c r="BG195" i="2"/>
  <c r="BH195" i="2"/>
  <c r="S83" i="2"/>
  <c r="N83" i="2"/>
  <c r="L139" i="5"/>
  <c r="AT180" i="2"/>
  <c r="AO180" i="2"/>
  <c r="P171" i="5"/>
  <c r="AB172" i="2"/>
  <c r="Z172" i="2"/>
  <c r="AA172" i="2"/>
  <c r="Y172" i="2"/>
  <c r="BJ171" i="2"/>
  <c r="BK171" i="2"/>
  <c r="BL171" i="2"/>
  <c r="BM171" i="2"/>
  <c r="L4" i="5"/>
  <c r="S16" i="2"/>
  <c r="N16" i="2"/>
  <c r="BA175" i="2"/>
  <c r="BC175" i="2"/>
  <c r="AB177" i="5" s="1"/>
  <c r="BB175" i="2"/>
  <c r="AZ175" i="2"/>
  <c r="AF65" i="2"/>
  <c r="BH65" i="2"/>
  <c r="BG65" i="2"/>
  <c r="AG65" i="2"/>
  <c r="AG171" i="2"/>
  <c r="T193" i="5" s="1"/>
  <c r="BH171" i="2"/>
  <c r="AD193" i="5" s="1"/>
  <c r="BG171" i="2"/>
  <c r="AF171" i="2"/>
  <c r="AG50" i="2"/>
  <c r="AF50" i="2"/>
  <c r="BH50" i="2"/>
  <c r="BG50" i="2"/>
  <c r="AO197" i="2"/>
  <c r="V176" i="5"/>
  <c r="AT197" i="2"/>
  <c r="L177" i="5"/>
  <c r="S175" i="2"/>
  <c r="N175" i="2"/>
  <c r="AG102" i="2"/>
  <c r="AF102" i="2"/>
  <c r="BH102" i="2"/>
  <c r="BG102" i="2"/>
  <c r="BC47" i="2"/>
  <c r="AB29" i="5" s="1"/>
  <c r="BB47" i="2"/>
  <c r="AZ47" i="2"/>
  <c r="BA47" i="2"/>
  <c r="AG164" i="2"/>
  <c r="AF164" i="2"/>
  <c r="T75" i="5" s="1"/>
  <c r="BH164" i="2"/>
  <c r="BG164" i="2"/>
  <c r="AF8" i="2"/>
  <c r="BG8" i="2"/>
  <c r="AG8" i="2"/>
  <c r="BH8" i="2"/>
  <c r="BQ170" i="2"/>
  <c r="BP170" i="2"/>
  <c r="AG31" i="2"/>
  <c r="BG31" i="2"/>
  <c r="BH31" i="2"/>
  <c r="AF31" i="2"/>
  <c r="AZ182" i="2"/>
  <c r="BC182" i="2"/>
  <c r="AB178" i="5" s="1"/>
  <c r="BB182" i="2"/>
  <c r="BA182" i="2"/>
  <c r="BH108" i="2"/>
  <c r="AF108" i="2"/>
  <c r="BG108" i="2"/>
  <c r="AD153" i="5" s="1"/>
  <c r="AG108" i="2"/>
  <c r="P179" i="5"/>
  <c r="AB109" i="2"/>
  <c r="Y109" i="2"/>
  <c r="Z109" i="2"/>
  <c r="AA109" i="2"/>
  <c r="AT78" i="2"/>
  <c r="AO78" i="2"/>
  <c r="AG63" i="2"/>
  <c r="BG63" i="2"/>
  <c r="AF63" i="2"/>
  <c r="BH63" i="2"/>
  <c r="BC194" i="2"/>
  <c r="AB158" i="5" s="1"/>
  <c r="BB194" i="2"/>
  <c r="AZ194" i="2"/>
  <c r="BA194" i="2"/>
  <c r="AB66" i="2"/>
  <c r="P96" i="5"/>
  <c r="Z66" i="2"/>
  <c r="Y66" i="2"/>
  <c r="AA66" i="2"/>
  <c r="N164" i="2"/>
  <c r="L75" i="5"/>
  <c r="S164" i="2"/>
  <c r="AG9" i="2"/>
  <c r="T74" i="5" s="1"/>
  <c r="AF9" i="2"/>
  <c r="BG9" i="2"/>
  <c r="BH9" i="2"/>
  <c r="AG66" i="2"/>
  <c r="T96" i="5" s="1"/>
  <c r="AF66" i="2"/>
  <c r="BH66" i="2"/>
  <c r="BG66" i="2"/>
  <c r="AF74" i="2"/>
  <c r="BH74" i="2"/>
  <c r="BG74" i="2"/>
  <c r="AG74" i="2"/>
  <c r="AK40" i="2"/>
  <c r="AI40" i="2"/>
  <c r="AJ40" i="2"/>
  <c r="T15" i="5"/>
  <c r="AL40" i="2"/>
  <c r="L52" i="5"/>
  <c r="S60" i="2"/>
  <c r="N60" i="2"/>
  <c r="L133" i="5"/>
  <c r="N54" i="2"/>
  <c r="S54" i="2"/>
  <c r="AK21" i="2"/>
  <c r="T69" i="5"/>
  <c r="AJ21" i="2"/>
  <c r="AL21" i="2"/>
  <c r="AI21" i="2"/>
  <c r="AZ28" i="2"/>
  <c r="BB28" i="2"/>
  <c r="BA28" i="2"/>
  <c r="BC28" i="2"/>
  <c r="BC67" i="2"/>
  <c r="AB11" i="5" s="1"/>
  <c r="BA67" i="2"/>
  <c r="AZ67" i="2"/>
  <c r="BB67" i="2"/>
  <c r="BQ157" i="2"/>
  <c r="BP157" i="2"/>
  <c r="AG193" i="2"/>
  <c r="BG193" i="2"/>
  <c r="AD181" i="5" s="1"/>
  <c r="AF193" i="2"/>
  <c r="BH193" i="2"/>
  <c r="AO148" i="2"/>
  <c r="V190" i="5"/>
  <c r="AT148" i="2"/>
  <c r="S148" i="2"/>
  <c r="N148" i="2"/>
  <c r="L190" i="5"/>
  <c r="AT46" i="2"/>
  <c r="AO46" i="2"/>
  <c r="BC63" i="2"/>
  <c r="AB65" i="5" s="1"/>
  <c r="BB63" i="2"/>
  <c r="AZ63" i="2"/>
  <c r="BA63" i="2"/>
  <c r="BB61" i="2"/>
  <c r="AZ61" i="2"/>
  <c r="BA61" i="2"/>
  <c r="BC61" i="2"/>
  <c r="P158" i="5"/>
  <c r="AB194" i="2"/>
  <c r="Z194" i="2"/>
  <c r="AA194" i="2"/>
  <c r="Y194" i="2"/>
  <c r="BP59" i="2"/>
  <c r="BQ59" i="2"/>
  <c r="AG27" i="2"/>
  <c r="AF27" i="2"/>
  <c r="BG27" i="2"/>
  <c r="BH27" i="2"/>
  <c r="AF43" i="2"/>
  <c r="AG43" i="2"/>
  <c r="T27" i="5" s="1"/>
  <c r="BH43" i="2"/>
  <c r="AD27" i="5" s="1"/>
  <c r="BG43" i="2"/>
  <c r="AT157" i="2"/>
  <c r="AO157" i="2"/>
  <c r="L28" i="5"/>
  <c r="N149" i="2"/>
  <c r="S149" i="2"/>
  <c r="AT129" i="2"/>
  <c r="V151" i="5"/>
  <c r="AO129" i="2"/>
  <c r="AI38" i="2"/>
  <c r="AL38" i="2"/>
  <c r="T25" i="5"/>
  <c r="AJ38" i="2"/>
  <c r="AK38" i="2"/>
  <c r="AZ27" i="2"/>
  <c r="BA27" i="2"/>
  <c r="BB27" i="2"/>
  <c r="BC27" i="2"/>
  <c r="AG98" i="2"/>
  <c r="BH98" i="2"/>
  <c r="BG98" i="2"/>
  <c r="AF98" i="2"/>
  <c r="S147" i="2"/>
  <c r="L184" i="5"/>
  <c r="N147" i="2"/>
  <c r="BG20" i="2"/>
  <c r="AG20" i="2"/>
  <c r="T5" i="5" s="1"/>
  <c r="AF20" i="2"/>
  <c r="BH20" i="2"/>
  <c r="P112" i="5"/>
  <c r="AB196" i="2"/>
  <c r="R112" i="5" s="1"/>
  <c r="Z196" i="2"/>
  <c r="Y196" i="2"/>
  <c r="AA196" i="2"/>
  <c r="N59" i="2"/>
  <c r="S59" i="2"/>
  <c r="L41" i="5"/>
  <c r="BP91" i="2"/>
  <c r="BQ91" i="2"/>
  <c r="AD60" i="5"/>
  <c r="BJ46" i="2"/>
  <c r="BL46" i="2"/>
  <c r="BK46" i="2"/>
  <c r="BM46" i="2"/>
  <c r="T79" i="5"/>
  <c r="AJ68" i="2"/>
  <c r="AI68" i="2"/>
  <c r="AL68" i="2"/>
  <c r="AK68" i="2"/>
  <c r="S194" i="2"/>
  <c r="L158" i="5"/>
  <c r="N194" i="2"/>
  <c r="P78" i="5"/>
  <c r="AB134" i="2"/>
  <c r="R78" i="5" s="1"/>
  <c r="Z134" i="2"/>
  <c r="AA134" i="2"/>
  <c r="Y134" i="2"/>
  <c r="V153" i="5"/>
  <c r="AO108" i="2"/>
  <c r="AT108" i="2"/>
  <c r="BP57" i="2"/>
  <c r="BQ57" i="2"/>
  <c r="AG23" i="2"/>
  <c r="AF23" i="2"/>
  <c r="BH23" i="2"/>
  <c r="BG23" i="2"/>
  <c r="P83" i="5"/>
  <c r="AB125" i="2"/>
  <c r="Y125" i="2"/>
  <c r="AA125" i="2"/>
  <c r="Z125" i="2"/>
  <c r="L143" i="5"/>
  <c r="N37" i="2"/>
  <c r="S37" i="2"/>
  <c r="AI151" i="2"/>
  <c r="AL151" i="2"/>
  <c r="AK151" i="2"/>
  <c r="AJ151" i="2"/>
  <c r="L113" i="5"/>
  <c r="N140" i="2"/>
  <c r="S140" i="2"/>
  <c r="AT118" i="2"/>
  <c r="AO118" i="2"/>
  <c r="BM82" i="2"/>
  <c r="BK82" i="2"/>
  <c r="BL82" i="2"/>
  <c r="BJ82" i="2"/>
  <c r="N122" i="2"/>
  <c r="L86" i="5"/>
  <c r="S122" i="2"/>
  <c r="BK155" i="2"/>
  <c r="BM155" i="2"/>
  <c r="BL155" i="2"/>
  <c r="BJ155" i="2"/>
  <c r="L60" i="5"/>
  <c r="N46" i="2"/>
  <c r="S46" i="2"/>
  <c r="BP130" i="2"/>
  <c r="BQ130" i="2"/>
  <c r="AF88" i="2"/>
  <c r="BH88" i="2"/>
  <c r="BG88" i="2"/>
  <c r="AG88" i="2"/>
  <c r="BJ158" i="2"/>
  <c r="BM158" i="2"/>
  <c r="AD84" i="5"/>
  <c r="BL158" i="2"/>
  <c r="BK158" i="2"/>
  <c r="Y150" i="2"/>
  <c r="Z150" i="2"/>
  <c r="AB150" i="2"/>
  <c r="R68" i="5" s="1"/>
  <c r="AA150" i="2"/>
  <c r="P68" i="5"/>
  <c r="L132" i="5"/>
  <c r="N26" i="2"/>
  <c r="S26" i="2"/>
  <c r="N71" i="2"/>
  <c r="L24" i="5"/>
  <c r="S71" i="2"/>
  <c r="N181" i="2"/>
  <c r="L136" i="5"/>
  <c r="S181" i="2"/>
  <c r="BH167" i="2"/>
  <c r="AF167" i="2"/>
  <c r="BG167" i="2"/>
  <c r="AG167" i="2"/>
  <c r="AK57" i="2"/>
  <c r="AJ57" i="2"/>
  <c r="AI57" i="2"/>
  <c r="AL57" i="2"/>
  <c r="AJ122" i="2"/>
  <c r="AI122" i="2"/>
  <c r="AK122" i="2"/>
  <c r="AL122" i="2"/>
  <c r="AJ164" i="2"/>
  <c r="AL164" i="2"/>
  <c r="V75" i="5" s="1"/>
  <c r="AK164" i="2"/>
  <c r="AI164" i="2"/>
  <c r="AB124" i="2"/>
  <c r="R49" i="5" s="1"/>
  <c r="Z124" i="2"/>
  <c r="Y124" i="2"/>
  <c r="P49" i="5"/>
  <c r="AA124" i="2"/>
  <c r="V94" i="5"/>
  <c r="AT27" i="2"/>
  <c r="AO27" i="2"/>
  <c r="AL39" i="2"/>
  <c r="V6" i="5" s="1"/>
  <c r="AK39" i="2"/>
  <c r="AI39" i="2"/>
  <c r="AJ39" i="2"/>
  <c r="T6" i="5"/>
  <c r="L146" i="5"/>
  <c r="N23" i="2"/>
  <c r="S23" i="2"/>
  <c r="Y170" i="2"/>
  <c r="AA170" i="2"/>
  <c r="AB170" i="2"/>
  <c r="P175" i="5"/>
  <c r="Z170" i="2"/>
  <c r="AK64" i="2"/>
  <c r="AL64" i="2"/>
  <c r="AI64" i="2"/>
  <c r="AJ64" i="2"/>
  <c r="T16" i="5"/>
  <c r="AB200" i="2"/>
  <c r="R199" i="5" s="1"/>
  <c r="Y200" i="2"/>
  <c r="P199" i="5"/>
  <c r="Z200" i="2"/>
  <c r="AA200" i="2"/>
  <c r="V104" i="5"/>
  <c r="AO77" i="2"/>
  <c r="AT77" i="2"/>
  <c r="AF16" i="2"/>
  <c r="AG16" i="2"/>
  <c r="BH16" i="2"/>
  <c r="BG16" i="2"/>
  <c r="AG5" i="2"/>
  <c r="AF5" i="2"/>
  <c r="BH5" i="2"/>
  <c r="BG5" i="2"/>
  <c r="P85" i="5"/>
  <c r="AB24" i="2"/>
  <c r="Z24" i="2"/>
  <c r="AA24" i="2"/>
  <c r="Y24" i="2"/>
  <c r="AF125" i="2"/>
  <c r="BG125" i="2"/>
  <c r="BH125" i="2"/>
  <c r="AG125" i="2"/>
  <c r="BQ20" i="2"/>
  <c r="BP20" i="2"/>
  <c r="BQ149" i="2"/>
  <c r="BP149" i="2"/>
  <c r="L45" i="5"/>
  <c r="N133" i="2"/>
  <c r="S133" i="2"/>
  <c r="AZ5" i="2"/>
  <c r="BB5" i="2"/>
  <c r="BC5" i="2"/>
  <c r="BA5" i="2"/>
  <c r="BK25" i="2"/>
  <c r="BJ25" i="2"/>
  <c r="BL25" i="2"/>
  <c r="BM25" i="2"/>
  <c r="AI29" i="2"/>
  <c r="AL29" i="2"/>
  <c r="T34" i="5"/>
  <c r="AJ29" i="2"/>
  <c r="AK29" i="2"/>
  <c r="BA157" i="2"/>
  <c r="AZ157" i="2"/>
  <c r="BC157" i="2"/>
  <c r="AB117" i="5" s="1"/>
  <c r="BB157" i="2"/>
  <c r="AI67" i="2"/>
  <c r="T11" i="5"/>
  <c r="AJ67" i="2"/>
  <c r="AL67" i="2"/>
  <c r="AK67" i="2"/>
  <c r="BM108" i="2"/>
  <c r="BL108" i="2"/>
  <c r="BK108" i="2"/>
  <c r="BJ108" i="2"/>
  <c r="BB147" i="2"/>
  <c r="AZ147" i="2"/>
  <c r="BA147" i="2"/>
  <c r="BC147" i="2"/>
  <c r="AB184" i="5" s="1"/>
  <c r="AD69" i="5"/>
  <c r="BL21" i="2"/>
  <c r="BM21" i="2"/>
  <c r="BK21" i="2"/>
  <c r="BJ21" i="2"/>
  <c r="BA71" i="2"/>
  <c r="BC71" i="2"/>
  <c r="BB71" i="2"/>
  <c r="AZ71" i="2"/>
  <c r="BP94" i="2"/>
  <c r="BQ94" i="2"/>
  <c r="L119" i="5"/>
  <c r="S56" i="2"/>
  <c r="N56" i="2"/>
  <c r="BH84" i="2"/>
  <c r="BG84" i="2"/>
  <c r="AF84" i="2"/>
  <c r="AG84" i="2"/>
  <c r="AG55" i="2"/>
  <c r="T32" i="5" s="1"/>
  <c r="AF55" i="2"/>
  <c r="BG55" i="2"/>
  <c r="BH55" i="2"/>
  <c r="AD32" i="5" s="1"/>
  <c r="Z199" i="2"/>
  <c r="Y199" i="2"/>
  <c r="AA199" i="2"/>
  <c r="AB199" i="2"/>
  <c r="P189" i="5"/>
  <c r="N158" i="2"/>
  <c r="S158" i="2"/>
  <c r="L84" i="5"/>
  <c r="AK19" i="2"/>
  <c r="AI19" i="2"/>
  <c r="AJ19" i="2"/>
  <c r="AL19" i="2"/>
  <c r="S9" i="2"/>
  <c r="L74" i="5"/>
  <c r="N9" i="2"/>
  <c r="P9" i="5"/>
  <c r="AB114" i="2"/>
  <c r="R9" i="5" s="1"/>
  <c r="Z114" i="2"/>
  <c r="AA114" i="2"/>
  <c r="Y114" i="2"/>
  <c r="AG166" i="2"/>
  <c r="AF166" i="2"/>
  <c r="BH166" i="2"/>
  <c r="BG166" i="2"/>
  <c r="L10" i="5"/>
  <c r="N145" i="2"/>
  <c r="S145" i="2"/>
  <c r="BK194" i="2"/>
  <c r="AD158" i="5"/>
  <c r="BM194" i="2"/>
  <c r="BJ194" i="2"/>
  <c r="BL194" i="2"/>
  <c r="AF185" i="2"/>
  <c r="BG185" i="2"/>
  <c r="AG185" i="2"/>
  <c r="BH185" i="2"/>
  <c r="S51" i="2"/>
  <c r="N51" i="2"/>
  <c r="L118" i="5"/>
  <c r="AI54" i="2"/>
  <c r="AK54" i="2"/>
  <c r="V133" i="5" s="1"/>
  <c r="AL54" i="2"/>
  <c r="T133" i="5"/>
  <c r="AJ54" i="2"/>
  <c r="AO137" i="2"/>
  <c r="AT137" i="2"/>
  <c r="AT175" i="2"/>
  <c r="AO175" i="2"/>
  <c r="AO162" i="2"/>
  <c r="AT162" i="2"/>
  <c r="AB126" i="2"/>
  <c r="R55" i="5" s="1"/>
  <c r="Z126" i="2"/>
  <c r="Y126" i="2"/>
  <c r="AA126" i="2"/>
  <c r="P55" i="5"/>
  <c r="BG117" i="2"/>
  <c r="AG117" i="2"/>
  <c r="T43" i="5" s="1"/>
  <c r="AF117" i="2"/>
  <c r="BH117" i="2"/>
  <c r="L3" i="5"/>
  <c r="S19" i="2"/>
  <c r="N19" i="2"/>
  <c r="AJ26" i="2"/>
  <c r="AK26" i="2"/>
  <c r="AL26" i="2"/>
  <c r="V132" i="5" s="1"/>
  <c r="AI26" i="2"/>
  <c r="N136" i="2"/>
  <c r="S136" i="2"/>
  <c r="L82" i="5"/>
  <c r="V170" i="5"/>
  <c r="AO191" i="2"/>
  <c r="AT191" i="2"/>
  <c r="AA180" i="2"/>
  <c r="Z180" i="2"/>
  <c r="AB180" i="2"/>
  <c r="Y180" i="2"/>
  <c r="P58" i="5"/>
  <c r="AJ155" i="2"/>
  <c r="AK155" i="2"/>
  <c r="AL155" i="2"/>
  <c r="AI155" i="2"/>
  <c r="BB189" i="2"/>
  <c r="AZ189" i="2"/>
  <c r="BC189" i="2"/>
  <c r="BA189" i="2"/>
  <c r="BH72" i="2"/>
  <c r="AF72" i="2"/>
  <c r="BG72" i="2"/>
  <c r="AG72" i="2"/>
  <c r="T54" i="5" s="1"/>
  <c r="AF165" i="2"/>
  <c r="AG165" i="2"/>
  <c r="BH165" i="2"/>
  <c r="AD116" i="5" s="1"/>
  <c r="BG165" i="2"/>
  <c r="Y74" i="2"/>
  <c r="P72" i="5"/>
  <c r="AB74" i="2"/>
  <c r="AA74" i="2"/>
  <c r="Z74" i="2"/>
  <c r="BH26" i="2"/>
  <c r="AD132" i="5" s="1"/>
  <c r="AG26" i="2"/>
  <c r="T132" i="5" s="1"/>
  <c r="AF26" i="2"/>
  <c r="BG26" i="2"/>
  <c r="BL64" i="2"/>
  <c r="AD16" i="5"/>
  <c r="BJ64" i="2"/>
  <c r="BK64" i="2"/>
  <c r="BM64" i="2"/>
  <c r="N98" i="2"/>
  <c r="L150" i="5"/>
  <c r="S98" i="2"/>
  <c r="N162" i="2"/>
  <c r="L185" i="5"/>
  <c r="S162" i="2"/>
  <c r="T127" i="5"/>
  <c r="AK153" i="2"/>
  <c r="AL153" i="2"/>
  <c r="AI153" i="2"/>
  <c r="AJ153" i="2"/>
  <c r="L155" i="5"/>
  <c r="N113" i="2"/>
  <c r="S113" i="2"/>
  <c r="AG155" i="2"/>
  <c r="AF155" i="2"/>
  <c r="BH155" i="2"/>
  <c r="AD53" i="5" s="1"/>
  <c r="BG155" i="2"/>
  <c r="Z82" i="2"/>
  <c r="Y82" i="2"/>
  <c r="AA82" i="2"/>
  <c r="P87" i="5"/>
  <c r="AB82" i="2"/>
  <c r="R87" i="5" s="1"/>
  <c r="Y138" i="2"/>
  <c r="P100" i="5"/>
  <c r="AB138" i="2"/>
  <c r="R100" i="5" s="1"/>
  <c r="AA138" i="2"/>
  <c r="Z138" i="2"/>
  <c r="S188" i="2"/>
  <c r="N188" i="2"/>
  <c r="L147" i="5"/>
  <c r="AJ9" i="2"/>
  <c r="AI9" i="2"/>
  <c r="AK9" i="2"/>
  <c r="AL9" i="2"/>
  <c r="V74" i="5" s="1"/>
  <c r="T160" i="5"/>
  <c r="AJ189" i="2"/>
  <c r="AL189" i="2"/>
  <c r="AK189" i="2"/>
  <c r="AI189" i="2"/>
  <c r="BG12" i="2"/>
  <c r="BH12" i="2"/>
  <c r="AG12" i="2"/>
  <c r="AF12" i="2"/>
  <c r="Z195" i="2"/>
  <c r="AB195" i="2"/>
  <c r="R182" i="5" s="1"/>
  <c r="Y195" i="2"/>
  <c r="P182" i="5"/>
  <c r="AA195" i="2"/>
  <c r="BC180" i="2"/>
  <c r="AZ180" i="2"/>
  <c r="BB180" i="2"/>
  <c r="BA180" i="2"/>
  <c r="BC129" i="2"/>
  <c r="AB151" i="5" s="1"/>
  <c r="AZ129" i="2"/>
  <c r="BB129" i="2"/>
  <c r="BA129" i="2"/>
  <c r="AO33" i="2"/>
  <c r="AT33" i="2"/>
  <c r="AJ200" i="2"/>
  <c r="AI200" i="2"/>
  <c r="AL200" i="2"/>
  <c r="V199" i="5" s="1"/>
  <c r="AK200" i="2"/>
  <c r="T137" i="5"/>
  <c r="AI85" i="2"/>
  <c r="AJ85" i="2"/>
  <c r="AL85" i="2"/>
  <c r="V137" i="5" s="1"/>
  <c r="AK85" i="2"/>
  <c r="AG124" i="2"/>
  <c r="T49" i="5" s="1"/>
  <c r="AF124" i="2"/>
  <c r="BG124" i="2"/>
  <c r="BH124" i="2"/>
  <c r="L199" i="5"/>
  <c r="S200" i="2"/>
  <c r="N200" i="2"/>
  <c r="AT127" i="2"/>
  <c r="AO127" i="2"/>
  <c r="BH100" i="2"/>
  <c r="AD156" i="5" s="1"/>
  <c r="AG100" i="2"/>
  <c r="T156" i="5" s="1"/>
  <c r="AF100" i="2"/>
  <c r="BG100" i="2"/>
  <c r="AJ128" i="2"/>
  <c r="AL128" i="2"/>
  <c r="AK128" i="2"/>
  <c r="T187" i="5"/>
  <c r="AI128" i="2"/>
  <c r="N131" i="2"/>
  <c r="S131" i="2"/>
  <c r="L40" i="5"/>
  <c r="S79" i="2"/>
  <c r="L124" i="5"/>
  <c r="N79" i="2"/>
  <c r="AB81" i="2"/>
  <c r="R108" i="5" s="1"/>
  <c r="Z81" i="2"/>
  <c r="Y81" i="2"/>
  <c r="AA81" i="2"/>
  <c r="P108" i="5"/>
  <c r="AI123" i="2"/>
  <c r="AK123" i="2"/>
  <c r="AL123" i="2"/>
  <c r="AJ123" i="2"/>
  <c r="BB137" i="2"/>
  <c r="AZ137" i="2"/>
  <c r="BC137" i="2"/>
  <c r="BA137" i="2"/>
  <c r="P169" i="5"/>
  <c r="AB104" i="2"/>
  <c r="R169" i="5" s="1"/>
  <c r="AA104" i="2"/>
  <c r="Y104" i="2"/>
  <c r="Z104" i="2"/>
  <c r="AD65" i="5"/>
  <c r="BL63" i="2"/>
  <c r="BK63" i="2"/>
  <c r="BJ63" i="2"/>
  <c r="BM63" i="2"/>
  <c r="BM45" i="2"/>
  <c r="BL45" i="2"/>
  <c r="BJ45" i="2"/>
  <c r="AD115" i="5"/>
  <c r="BK45" i="2"/>
  <c r="BQ23" i="2"/>
  <c r="BP23" i="2"/>
  <c r="BJ15" i="2"/>
  <c r="BK15" i="2"/>
  <c r="BM15" i="2"/>
  <c r="BL15" i="2"/>
  <c r="AK10" i="2"/>
  <c r="AI10" i="2"/>
  <c r="AL10" i="2"/>
  <c r="AJ10" i="2"/>
  <c r="BP47" i="2"/>
  <c r="BQ47" i="2"/>
  <c r="BJ65" i="2"/>
  <c r="BL65" i="2"/>
  <c r="AD103" i="5"/>
  <c r="BK65" i="2"/>
  <c r="BM65" i="2"/>
  <c r="N184" i="2"/>
  <c r="S184" i="2"/>
  <c r="L192" i="5"/>
  <c r="AI18" i="2"/>
  <c r="AJ18" i="2"/>
  <c r="T56" i="5"/>
  <c r="AK18" i="2"/>
  <c r="AL18" i="2"/>
  <c r="P110" i="5"/>
  <c r="AB185" i="2"/>
  <c r="Z185" i="2"/>
  <c r="AA185" i="2"/>
  <c r="Y185" i="2"/>
  <c r="BM101" i="2"/>
  <c r="BL101" i="2"/>
  <c r="AD42" i="5"/>
  <c r="BK101" i="2"/>
  <c r="BJ101" i="2"/>
  <c r="BQ162" i="2"/>
  <c r="BP162" i="2"/>
  <c r="AI186" i="2"/>
  <c r="AJ186" i="2"/>
  <c r="AK186" i="2"/>
  <c r="AL186" i="2"/>
  <c r="T159" i="5"/>
  <c r="BP86" i="2"/>
  <c r="BQ86" i="2"/>
  <c r="AA94" i="2"/>
  <c r="P141" i="5"/>
  <c r="AB94" i="2"/>
  <c r="Z94" i="2"/>
  <c r="Y94" i="2"/>
  <c r="AT122" i="2"/>
  <c r="AO122" i="2"/>
  <c r="AZ42" i="2"/>
  <c r="BC42" i="2"/>
  <c r="BB42" i="2"/>
  <c r="BA42" i="2"/>
  <c r="T48" i="5"/>
  <c r="AJ53" i="2"/>
  <c r="AI53" i="2"/>
  <c r="AL53" i="2"/>
  <c r="AK53" i="2"/>
  <c r="AO125" i="2"/>
  <c r="AT125" i="2"/>
  <c r="AD114" i="5"/>
  <c r="BJ167" i="2"/>
  <c r="BM167" i="2"/>
  <c r="BL167" i="2"/>
  <c r="BK167" i="2"/>
  <c r="BC20" i="2"/>
  <c r="BA20" i="2"/>
  <c r="BB20" i="2"/>
  <c r="AZ20" i="2"/>
  <c r="AT185" i="2"/>
  <c r="AO185" i="2"/>
  <c r="T106" i="5"/>
  <c r="AK34" i="2"/>
  <c r="AJ34" i="2"/>
  <c r="AI34" i="2"/>
  <c r="AL34" i="2"/>
  <c r="BC127" i="2"/>
  <c r="AB38" i="5" s="1"/>
  <c r="BA127" i="2"/>
  <c r="AZ127" i="2"/>
  <c r="BB127" i="2"/>
  <c r="AO71" i="2"/>
  <c r="V24" i="5"/>
  <c r="AT71" i="2"/>
  <c r="AJ188" i="2"/>
  <c r="T147" i="5"/>
  <c r="AI188" i="2"/>
  <c r="AL188" i="2"/>
  <c r="AK188" i="2"/>
  <c r="AG30" i="2"/>
  <c r="AF30" i="2"/>
  <c r="BH30" i="2"/>
  <c r="BG30" i="2"/>
  <c r="AO15" i="2"/>
  <c r="AT15" i="2"/>
  <c r="BB40" i="2"/>
  <c r="BC40" i="2"/>
  <c r="AB15" i="5" s="1"/>
  <c r="BA40" i="2"/>
  <c r="AZ40" i="2"/>
  <c r="AK46" i="2"/>
  <c r="AL46" i="2"/>
  <c r="V60" i="5" s="1"/>
  <c r="T60" i="5"/>
  <c r="AI46" i="2"/>
  <c r="AJ46" i="2"/>
  <c r="BA34" i="2"/>
  <c r="BB34" i="2"/>
  <c r="AZ34" i="2"/>
  <c r="BC34" i="2"/>
  <c r="AB106" i="5" s="1"/>
  <c r="BQ16" i="2"/>
  <c r="BP16" i="2"/>
  <c r="BP150" i="2"/>
  <c r="BQ150" i="2"/>
  <c r="AT190" i="2"/>
  <c r="V195" i="5"/>
  <c r="AO190" i="2"/>
  <c r="P117" i="5"/>
  <c r="AB157" i="2"/>
  <c r="R117" i="5" s="1"/>
  <c r="AA157" i="2"/>
  <c r="Z157" i="2"/>
  <c r="Y157" i="2"/>
  <c r="BQ45" i="2"/>
  <c r="BP45" i="2"/>
  <c r="BQ131" i="2"/>
  <c r="BP131" i="2"/>
  <c r="BQ102" i="2"/>
  <c r="BP102" i="2"/>
  <c r="BK42" i="2"/>
  <c r="AD13" i="5"/>
  <c r="BL42" i="2"/>
  <c r="BJ42" i="2"/>
  <c r="BM42" i="2"/>
  <c r="BQ175" i="2"/>
  <c r="BP175" i="2"/>
  <c r="BC36" i="2"/>
  <c r="AB92" i="5" s="1"/>
  <c r="BA36" i="2"/>
  <c r="BB36" i="2"/>
  <c r="AZ36" i="2"/>
  <c r="BB124" i="2"/>
  <c r="BA124" i="2"/>
  <c r="BC124" i="2"/>
  <c r="AB49" i="5" s="1"/>
  <c r="AZ124" i="2"/>
  <c r="BC66" i="2"/>
  <c r="AB96" i="5" s="1"/>
  <c r="BA66" i="2"/>
  <c r="AZ66" i="2"/>
  <c r="BB66" i="2"/>
  <c r="BQ177" i="2"/>
  <c r="BP177" i="2"/>
  <c r="BQ106" i="2"/>
  <c r="BP106" i="2"/>
  <c r="AI162" i="2"/>
  <c r="AK162" i="2"/>
  <c r="AL162" i="2"/>
  <c r="V185" i="5" s="1"/>
  <c r="AJ162" i="2"/>
  <c r="AI4" i="2"/>
  <c r="AJ4" i="2"/>
  <c r="AK4" i="2"/>
  <c r="AL4" i="2"/>
  <c r="AD144" i="5"/>
  <c r="BJ106" i="2"/>
  <c r="BK106" i="2"/>
  <c r="BM106" i="2"/>
  <c r="BL106" i="2"/>
  <c r="P137" i="5"/>
  <c r="AB85" i="2"/>
  <c r="R137" i="5" s="1"/>
  <c r="AA85" i="2"/>
  <c r="Z85" i="2"/>
  <c r="Y85" i="2"/>
  <c r="AT187" i="2"/>
  <c r="AO187" i="2"/>
  <c r="BA25" i="2"/>
  <c r="AZ25" i="2"/>
  <c r="BC25" i="2"/>
  <c r="AB172" i="5" s="1"/>
  <c r="BB25" i="2"/>
  <c r="AG113" i="2"/>
  <c r="AF113" i="2"/>
  <c r="BH113" i="2"/>
  <c r="BG113" i="2"/>
  <c r="BM16" i="2"/>
  <c r="BL16" i="2"/>
  <c r="BK16" i="2"/>
  <c r="BJ16" i="2"/>
  <c r="AF109" i="2"/>
  <c r="BG109" i="2"/>
  <c r="BH109" i="2"/>
  <c r="AG109" i="2"/>
  <c r="Y79" i="2"/>
  <c r="P124" i="5"/>
  <c r="Z79" i="2"/>
  <c r="AA79" i="2"/>
  <c r="AB79" i="2"/>
  <c r="BA170" i="2"/>
  <c r="BC170" i="2"/>
  <c r="AB175" i="5" s="1"/>
  <c r="BB170" i="2"/>
  <c r="AZ170" i="2"/>
  <c r="BQ69" i="2"/>
  <c r="BP69" i="2"/>
  <c r="BQ154" i="2"/>
  <c r="BP154" i="2"/>
  <c r="AK22" i="2"/>
  <c r="AJ22" i="2"/>
  <c r="AI22" i="2"/>
  <c r="AL22" i="2"/>
  <c r="BQ40" i="2"/>
  <c r="BP40" i="2"/>
  <c r="BC145" i="2"/>
  <c r="AB10" i="5" s="1"/>
  <c r="BB145" i="2"/>
  <c r="BA145" i="2"/>
  <c r="AZ145" i="2"/>
  <c r="AL163" i="2"/>
  <c r="V188" i="5" s="1"/>
  <c r="T188" i="5"/>
  <c r="AI163" i="2"/>
  <c r="AJ163" i="2"/>
  <c r="AK163" i="2"/>
  <c r="BQ25" i="2"/>
  <c r="BP25" i="2"/>
  <c r="BC164" i="2"/>
  <c r="AZ164" i="2"/>
  <c r="BB164" i="2"/>
  <c r="BA164" i="2"/>
  <c r="AT26" i="2"/>
  <c r="AO26" i="2"/>
  <c r="AO14" i="2"/>
  <c r="AT14" i="2"/>
  <c r="AL112" i="2"/>
  <c r="AK112" i="2"/>
  <c r="T166" i="5"/>
  <c r="AJ112" i="2"/>
  <c r="AI112" i="2"/>
  <c r="AO161" i="2"/>
  <c r="AT161" i="2"/>
  <c r="V62" i="5"/>
  <c r="BQ145" i="2"/>
  <c r="BP145" i="2"/>
  <c r="BQ139" i="2"/>
  <c r="BP139" i="2"/>
  <c r="Y20" i="2"/>
  <c r="AA20" i="2"/>
  <c r="P5" i="5"/>
  <c r="AB20" i="2"/>
  <c r="R5" i="5" s="1"/>
  <c r="Z20" i="2"/>
  <c r="BC35" i="2"/>
  <c r="BA35" i="2"/>
  <c r="BB35" i="2"/>
  <c r="AZ35" i="2"/>
  <c r="BP36" i="2"/>
  <c r="BQ36" i="2"/>
  <c r="AO54" i="2"/>
  <c r="AT54" i="2"/>
  <c r="AT131" i="2"/>
  <c r="AO131" i="2"/>
  <c r="AI138" i="2"/>
  <c r="AL138" i="2"/>
  <c r="AJ138" i="2"/>
  <c r="AK138" i="2"/>
  <c r="BL195" i="2"/>
  <c r="BJ195" i="2"/>
  <c r="BM195" i="2"/>
  <c r="BK195" i="2"/>
  <c r="BJ181" i="2"/>
  <c r="BK181" i="2"/>
  <c r="AD136" i="5"/>
  <c r="BM181" i="2"/>
  <c r="BL181" i="2"/>
  <c r="S15" i="2"/>
  <c r="N15" i="2"/>
  <c r="L8" i="5"/>
  <c r="Y71" i="2"/>
  <c r="P24" i="5"/>
  <c r="AB71" i="2"/>
  <c r="Z71" i="2"/>
  <c r="AA71" i="2"/>
  <c r="BH79" i="2"/>
  <c r="AG79" i="2"/>
  <c r="T124" i="5" s="1"/>
  <c r="AF79" i="2"/>
  <c r="BG79" i="2"/>
  <c r="AT145" i="2"/>
  <c r="AO145" i="2"/>
  <c r="BA165" i="2"/>
  <c r="BB165" i="2"/>
  <c r="AZ165" i="2"/>
  <c r="BC165" i="2"/>
  <c r="AB116" i="5" s="1"/>
  <c r="BQ6" i="2"/>
  <c r="BP6" i="2"/>
  <c r="BK142" i="2"/>
  <c r="BM142" i="2"/>
  <c r="BJ142" i="2"/>
  <c r="BL142" i="2"/>
  <c r="AD88" i="5"/>
  <c r="BP112" i="2"/>
  <c r="BQ112" i="2"/>
  <c r="BQ39" i="2"/>
  <c r="BP39" i="2"/>
  <c r="BK81" i="2"/>
  <c r="BM81" i="2"/>
  <c r="AD108" i="5"/>
  <c r="BL81" i="2"/>
  <c r="BJ81" i="2"/>
  <c r="AT85" i="2"/>
  <c r="AO85" i="2"/>
  <c r="BK50" i="2"/>
  <c r="BL50" i="2"/>
  <c r="BJ50" i="2"/>
  <c r="BM50" i="2"/>
  <c r="BQ58" i="2"/>
  <c r="BP58" i="2"/>
  <c r="P73" i="5"/>
  <c r="Y89" i="2"/>
  <c r="AB89" i="2"/>
  <c r="Z89" i="2"/>
  <c r="AA89" i="2"/>
  <c r="BK48" i="2"/>
  <c r="AD71" i="5"/>
  <c r="BL48" i="2"/>
  <c r="BJ48" i="2"/>
  <c r="BM48" i="2"/>
  <c r="BK179" i="2"/>
  <c r="BL179" i="2"/>
  <c r="BM179" i="2"/>
  <c r="BJ179" i="2"/>
  <c r="BC79" i="2"/>
  <c r="AB124" i="5" s="1"/>
  <c r="BB79" i="2"/>
  <c r="BA79" i="2"/>
  <c r="AZ79" i="2"/>
  <c r="AK45" i="2"/>
  <c r="AL45" i="2"/>
  <c r="AJ45" i="2"/>
  <c r="AI45" i="2"/>
  <c r="T115" i="5"/>
  <c r="BQ127" i="2"/>
  <c r="BP127" i="2"/>
  <c r="BA15" i="2"/>
  <c r="AZ15" i="2"/>
  <c r="BC15" i="2"/>
  <c r="BB15" i="2"/>
  <c r="BQ134" i="2"/>
  <c r="BP134" i="2"/>
  <c r="BJ132" i="2"/>
  <c r="BL132" i="2"/>
  <c r="BM132" i="2"/>
  <c r="BK132" i="2"/>
  <c r="BB58" i="2"/>
  <c r="BC58" i="2"/>
  <c r="AB107" i="5" s="1"/>
  <c r="AZ58" i="2"/>
  <c r="BA58" i="2"/>
  <c r="AO100" i="2"/>
  <c r="AT100" i="2"/>
  <c r="AA147" i="2"/>
  <c r="Y147" i="2"/>
  <c r="AB147" i="2"/>
  <c r="R184" i="5" s="1"/>
  <c r="P184" i="5"/>
  <c r="Z147" i="2"/>
  <c r="BK125" i="2"/>
  <c r="BJ125" i="2"/>
  <c r="BM125" i="2"/>
  <c r="AD83" i="5"/>
  <c r="BL125" i="2"/>
  <c r="AI114" i="2"/>
  <c r="AJ114" i="2"/>
  <c r="AL114" i="2"/>
  <c r="T9" i="5"/>
  <c r="AK114" i="2"/>
  <c r="AG41" i="2"/>
  <c r="AF41" i="2"/>
  <c r="BG41" i="2"/>
  <c r="BH41" i="2"/>
  <c r="AD66" i="5" s="1"/>
  <c r="AF15" i="2"/>
  <c r="AG15" i="2"/>
  <c r="BH15" i="2"/>
  <c r="AD8" i="5" s="1"/>
  <c r="BG15" i="2"/>
  <c r="N166" i="2"/>
  <c r="S166" i="2"/>
  <c r="L120" i="5"/>
  <c r="AG14" i="2"/>
  <c r="AF14" i="2"/>
  <c r="T167" i="5" s="1"/>
  <c r="BG14" i="2"/>
  <c r="BH14" i="2"/>
  <c r="P38" i="5"/>
  <c r="AB127" i="2"/>
  <c r="Y127" i="2"/>
  <c r="Z127" i="2"/>
  <c r="AA127" i="2"/>
  <c r="BM66" i="2"/>
  <c r="AD96" i="5"/>
  <c r="BK66" i="2"/>
  <c r="BL66" i="2"/>
  <c r="BJ66" i="2"/>
  <c r="BG151" i="2"/>
  <c r="AG151" i="2"/>
  <c r="AF151" i="2"/>
  <c r="BH151" i="2"/>
  <c r="N115" i="2"/>
  <c r="S115" i="2"/>
  <c r="L37" i="5"/>
  <c r="Y52" i="2"/>
  <c r="P90" i="5"/>
  <c r="Z52" i="2"/>
  <c r="AB52" i="2"/>
  <c r="AA52" i="2"/>
  <c r="BB161" i="2"/>
  <c r="BA161" i="2"/>
  <c r="AZ161" i="2"/>
  <c r="BC161" i="2"/>
  <c r="AB62" i="5" s="1"/>
  <c r="AJ183" i="2"/>
  <c r="AK183" i="2"/>
  <c r="AL183" i="2"/>
  <c r="V180" i="5" s="1"/>
  <c r="T180" i="5"/>
  <c r="AI183" i="2"/>
  <c r="BH19" i="2"/>
  <c r="AD3" i="5" s="1"/>
  <c r="BG19" i="2"/>
  <c r="AG19" i="2"/>
  <c r="T3" i="5" s="1"/>
  <c r="AF19" i="2"/>
  <c r="T18" i="5"/>
  <c r="AJ130" i="2"/>
  <c r="AI130" i="2"/>
  <c r="AK130" i="2"/>
  <c r="AL130" i="2"/>
  <c r="T158" i="5"/>
  <c r="AJ194" i="2"/>
  <c r="AI194" i="2"/>
  <c r="AK194" i="2"/>
  <c r="AL194" i="2"/>
  <c r="V158" i="5" s="1"/>
  <c r="P64" i="5"/>
  <c r="AB30" i="2"/>
  <c r="R64" i="5" s="1"/>
  <c r="Z30" i="2"/>
  <c r="AA30" i="2"/>
  <c r="Y30" i="2"/>
  <c r="BB101" i="2"/>
  <c r="BA101" i="2"/>
  <c r="AZ101" i="2"/>
  <c r="BC101" i="2"/>
  <c r="AB42" i="5" s="1"/>
  <c r="P97" i="5"/>
  <c r="AB78" i="2"/>
  <c r="Z78" i="2"/>
  <c r="Y78" i="2"/>
  <c r="AA78" i="2"/>
  <c r="P93" i="5"/>
  <c r="Y93" i="2"/>
  <c r="AA93" i="2"/>
  <c r="AB93" i="2"/>
  <c r="Z93" i="2"/>
  <c r="BG11" i="2"/>
  <c r="AG11" i="2"/>
  <c r="AF11" i="2"/>
  <c r="BH11" i="2"/>
  <c r="AT41" i="2"/>
  <c r="AO41" i="2"/>
  <c r="BH139" i="2"/>
  <c r="AD138" i="5" s="1"/>
  <c r="BG139" i="2"/>
  <c r="AG139" i="2"/>
  <c r="AF139" i="2"/>
  <c r="AZ131" i="2"/>
  <c r="BA131" i="2"/>
  <c r="BC131" i="2"/>
  <c r="BB131" i="2"/>
  <c r="AF10" i="2"/>
  <c r="BG10" i="2"/>
  <c r="BH10" i="2"/>
  <c r="AG10" i="2"/>
  <c r="AT6" i="2"/>
  <c r="AO6" i="2"/>
  <c r="Z36" i="2"/>
  <c r="AA36" i="2"/>
  <c r="Y36" i="2"/>
  <c r="P92" i="5"/>
  <c r="AB36" i="2"/>
  <c r="BB150" i="2"/>
  <c r="BA150" i="2"/>
  <c r="AZ150" i="2"/>
  <c r="BC150" i="2"/>
  <c r="AB68" i="5" s="1"/>
  <c r="AL198" i="2"/>
  <c r="V198" i="5" s="1"/>
  <c r="AK198" i="2"/>
  <c r="AI198" i="2"/>
  <c r="AJ198" i="2"/>
  <c r="V127" i="5"/>
  <c r="AT153" i="2"/>
  <c r="AO153" i="2"/>
  <c r="BK70" i="2"/>
  <c r="BJ70" i="2"/>
  <c r="BL70" i="2"/>
  <c r="BM70" i="2"/>
  <c r="BP26" i="2"/>
  <c r="BQ26" i="2"/>
  <c r="P47" i="5"/>
  <c r="AB12" i="2"/>
  <c r="AA12" i="2"/>
  <c r="Y12" i="2"/>
  <c r="Z12" i="2"/>
  <c r="AK156" i="2"/>
  <c r="AL156" i="2"/>
  <c r="AJ156" i="2"/>
  <c r="AI156" i="2"/>
  <c r="T26" i="5"/>
  <c r="AT192" i="2"/>
  <c r="AO192" i="2"/>
  <c r="AI167" i="2"/>
  <c r="AL167" i="2"/>
  <c r="AJ167" i="2"/>
  <c r="AK167" i="2"/>
  <c r="AK116" i="2"/>
  <c r="AL116" i="2"/>
  <c r="AI116" i="2"/>
  <c r="AJ116" i="2"/>
  <c r="AT144" i="2"/>
  <c r="AO144" i="2"/>
  <c r="AG198" i="2"/>
  <c r="BH198" i="2"/>
  <c r="AF198" i="2"/>
  <c r="T198" i="5" s="1"/>
  <c r="BG198" i="2"/>
  <c r="AD198" i="5" s="1"/>
  <c r="AO177" i="2"/>
  <c r="AT177" i="2"/>
  <c r="AO110" i="2"/>
  <c r="AT110" i="2"/>
  <c r="Y122" i="2"/>
  <c r="P86" i="5"/>
  <c r="AB122" i="2"/>
  <c r="R86" i="5" s="1"/>
  <c r="Z122" i="2"/>
  <c r="AA122" i="2"/>
  <c r="BC103" i="2"/>
  <c r="BB103" i="2"/>
  <c r="BA103" i="2"/>
  <c r="AZ103" i="2"/>
  <c r="BQ113" i="2"/>
  <c r="BP113" i="2"/>
  <c r="BK14" i="2"/>
  <c r="BJ14" i="2"/>
  <c r="BM14" i="2"/>
  <c r="BL14" i="2"/>
  <c r="AO87" i="2"/>
  <c r="V183" i="5"/>
  <c r="AT87" i="2"/>
  <c r="AB23" i="2"/>
  <c r="R146" i="5" s="1"/>
  <c r="Z23" i="2"/>
  <c r="AA23" i="2"/>
  <c r="Y23" i="2"/>
  <c r="P146" i="5"/>
  <c r="BK196" i="2"/>
  <c r="BL196" i="2"/>
  <c r="AD112" i="5"/>
  <c r="BJ196" i="2"/>
  <c r="BM196" i="2"/>
  <c r="Z108" i="2"/>
  <c r="AB108" i="2"/>
  <c r="Y108" i="2"/>
  <c r="AA108" i="2"/>
  <c r="P153" i="5"/>
  <c r="AD86" i="5"/>
  <c r="BM122" i="2"/>
  <c r="BL122" i="2"/>
  <c r="BK122" i="2"/>
  <c r="BJ122" i="2"/>
  <c r="BB99" i="2"/>
  <c r="BA99" i="2"/>
  <c r="AZ99" i="2"/>
  <c r="BC99" i="2"/>
  <c r="AB140" i="5" s="1"/>
  <c r="Z95" i="2"/>
  <c r="AA95" i="2"/>
  <c r="Y95" i="2"/>
  <c r="P165" i="5"/>
  <c r="AB95" i="2"/>
  <c r="R165" i="5" s="1"/>
  <c r="AA8" i="2"/>
  <c r="P20" i="5"/>
  <c r="Z8" i="2"/>
  <c r="AB8" i="2"/>
  <c r="R20" i="5" s="1"/>
  <c r="Y8" i="2"/>
  <c r="AZ188" i="2"/>
  <c r="BC188" i="2"/>
  <c r="BB188" i="2"/>
  <c r="BA188" i="2"/>
  <c r="AF132" i="2"/>
  <c r="BH132" i="2"/>
  <c r="BG132" i="2"/>
  <c r="AD174" i="5" s="1"/>
  <c r="AG132" i="2"/>
  <c r="T92" i="5"/>
  <c r="AJ36" i="2"/>
  <c r="AI36" i="2"/>
  <c r="AK36" i="2"/>
  <c r="AL36" i="2"/>
  <c r="V92" i="5" s="1"/>
  <c r="T165" i="5"/>
  <c r="AJ95" i="2"/>
  <c r="AL95" i="2"/>
  <c r="V165" i="5" s="1"/>
  <c r="AI95" i="2"/>
  <c r="AK95" i="2"/>
  <c r="Z35" i="2"/>
  <c r="AA35" i="2"/>
  <c r="P131" i="5"/>
  <c r="AB35" i="2"/>
  <c r="R131" i="5" s="1"/>
  <c r="Y35" i="2"/>
  <c r="BJ78" i="2"/>
  <c r="AD97" i="5"/>
  <c r="BL78" i="2"/>
  <c r="BK78" i="2"/>
  <c r="BM78" i="2"/>
  <c r="AL140" i="2"/>
  <c r="AJ140" i="2"/>
  <c r="AI140" i="2"/>
  <c r="AK140" i="2"/>
  <c r="T113" i="5"/>
  <c r="BP35" i="2"/>
  <c r="BQ35" i="2"/>
  <c r="AZ78" i="2"/>
  <c r="BA78" i="2"/>
  <c r="BC78" i="2"/>
  <c r="BB78" i="2"/>
  <c r="BC62" i="2"/>
  <c r="AB22" i="5" s="1"/>
  <c r="AZ62" i="2"/>
  <c r="BB62" i="2"/>
  <c r="BA62" i="2"/>
  <c r="AZ33" i="2"/>
  <c r="BA33" i="2"/>
  <c r="BC33" i="2"/>
  <c r="BB33" i="2"/>
  <c r="BQ49" i="2"/>
  <c r="BP49" i="2"/>
  <c r="Y121" i="2"/>
  <c r="AA121" i="2"/>
  <c r="P135" i="5"/>
  <c r="AB121" i="2"/>
  <c r="R135" i="5" s="1"/>
  <c r="Z121" i="2"/>
  <c r="AJ127" i="2"/>
  <c r="AK127" i="2"/>
  <c r="AL127" i="2"/>
  <c r="T38" i="5"/>
  <c r="AI127" i="2"/>
  <c r="Y70" i="2"/>
  <c r="Z70" i="2"/>
  <c r="AA70" i="2"/>
  <c r="P12" i="5"/>
  <c r="AB70" i="2"/>
  <c r="AL177" i="2"/>
  <c r="AJ177" i="2"/>
  <c r="T125" i="5"/>
  <c r="AI177" i="2"/>
  <c r="AK177" i="2"/>
  <c r="BP44" i="2"/>
  <c r="BQ44" i="2"/>
  <c r="BL73" i="2"/>
  <c r="AD126" i="5"/>
  <c r="BM73" i="2"/>
  <c r="BJ73" i="2"/>
  <c r="BK73" i="2"/>
  <c r="BQ118" i="2"/>
  <c r="BP118" i="2"/>
  <c r="AJ125" i="2"/>
  <c r="T83" i="5"/>
  <c r="AI125" i="2"/>
  <c r="AL125" i="2"/>
  <c r="AK125" i="2"/>
  <c r="AD135" i="5"/>
  <c r="BJ121" i="2"/>
  <c r="BM121" i="2"/>
  <c r="BK121" i="2"/>
  <c r="BL121" i="2"/>
  <c r="BQ55" i="2"/>
  <c r="BP55" i="2"/>
  <c r="BQ159" i="2"/>
  <c r="BP159" i="2"/>
  <c r="AJ88" i="2"/>
  <c r="AI88" i="2"/>
  <c r="T121" i="5"/>
  <c r="AK88" i="2"/>
  <c r="AL88" i="2"/>
  <c r="AO141" i="2"/>
  <c r="AT141" i="2"/>
  <c r="V36" i="5"/>
  <c r="BQ174" i="2"/>
  <c r="BP174" i="2"/>
  <c r="AO159" i="2"/>
  <c r="V164" i="5"/>
  <c r="AT159" i="2"/>
  <c r="AA34" i="2"/>
  <c r="Y34" i="2"/>
  <c r="AB34" i="2"/>
  <c r="R106" i="5" s="1"/>
  <c r="P106" i="5"/>
  <c r="Z34" i="2"/>
  <c r="N8" i="2"/>
  <c r="L20" i="5"/>
  <c r="S8" i="2"/>
  <c r="BA112" i="2"/>
  <c r="BC112" i="2"/>
  <c r="AB166" i="5" s="1"/>
  <c r="BB112" i="2"/>
  <c r="AZ112" i="2"/>
  <c r="V42" i="5"/>
  <c r="AO101" i="2"/>
  <c r="AT101" i="2"/>
  <c r="N25" i="2"/>
  <c r="L172" i="5"/>
  <c r="S25" i="2"/>
  <c r="BG154" i="2"/>
  <c r="AG154" i="2"/>
  <c r="AF154" i="2"/>
  <c r="BH154" i="2"/>
  <c r="AF59" i="2"/>
  <c r="AG59" i="2"/>
  <c r="T41" i="5" s="1"/>
  <c r="BG59" i="2"/>
  <c r="BH59" i="2"/>
  <c r="N33" i="2"/>
  <c r="L152" i="5"/>
  <c r="S33" i="2"/>
  <c r="P164" i="5"/>
  <c r="AB159" i="2"/>
  <c r="Z159" i="2"/>
  <c r="Y159" i="2"/>
  <c r="AA159" i="2"/>
  <c r="AG136" i="2"/>
  <c r="AF136" i="2"/>
  <c r="BH136" i="2"/>
  <c r="BG136" i="2"/>
  <c r="BJ150" i="2"/>
  <c r="BM150" i="2"/>
  <c r="BL150" i="2"/>
  <c r="BK150" i="2"/>
  <c r="V163" i="5"/>
  <c r="AO91" i="2"/>
  <c r="AT91" i="2"/>
  <c r="AI195" i="2"/>
  <c r="AJ195" i="2"/>
  <c r="AL195" i="2"/>
  <c r="V182" i="5" s="1"/>
  <c r="AK195" i="2"/>
  <c r="AJ147" i="2"/>
  <c r="AI147" i="2"/>
  <c r="AK147" i="2"/>
  <c r="AL147" i="2"/>
  <c r="L92" i="5"/>
  <c r="S36" i="2"/>
  <c r="N36" i="2"/>
  <c r="AT11" i="2"/>
  <c r="AO11" i="2"/>
  <c r="BB179" i="2"/>
  <c r="BA179" i="2"/>
  <c r="BC179" i="2"/>
  <c r="AZ179" i="2"/>
  <c r="AO47" i="2"/>
  <c r="AT47" i="2"/>
  <c r="V9" i="5"/>
  <c r="AO114" i="2"/>
  <c r="AT114" i="2"/>
  <c r="AG170" i="2"/>
  <c r="AF170" i="2"/>
  <c r="BG170" i="2"/>
  <c r="BH170" i="2"/>
  <c r="AD175" i="5" s="1"/>
  <c r="N139" i="2"/>
  <c r="S139" i="2"/>
  <c r="L138" i="5"/>
  <c r="L149" i="5"/>
  <c r="N154" i="2"/>
  <c r="S154" i="2"/>
  <c r="T142" i="5"/>
  <c r="AJ144" i="2"/>
  <c r="AI144" i="2"/>
  <c r="AK144" i="2"/>
  <c r="AL144" i="2"/>
  <c r="V142" i="5" s="1"/>
  <c r="AT120" i="2"/>
  <c r="AO120" i="2"/>
  <c r="BP10" i="2"/>
  <c r="BQ10" i="2"/>
  <c r="BB52" i="2"/>
  <c r="AZ52" i="2"/>
  <c r="BA52" i="2"/>
  <c r="BC52" i="2"/>
  <c r="AB90" i="5" s="1"/>
  <c r="BP158" i="2"/>
  <c r="BQ158" i="2"/>
  <c r="AZ102" i="2"/>
  <c r="BB102" i="2"/>
  <c r="BC102" i="2"/>
  <c r="AB173" i="5" s="1"/>
  <c r="BA102" i="2"/>
  <c r="BB53" i="2"/>
  <c r="BA53" i="2"/>
  <c r="BC53" i="2"/>
  <c r="AB48" i="5" s="1"/>
  <c r="AZ53" i="2"/>
  <c r="BM9" i="2"/>
  <c r="BL9" i="2"/>
  <c r="AD74" i="5"/>
  <c r="BJ9" i="2"/>
  <c r="BK9" i="2"/>
  <c r="AT23" i="2"/>
  <c r="AO23" i="2"/>
  <c r="V69" i="5"/>
  <c r="AO21" i="2"/>
  <c r="AT21" i="2"/>
  <c r="AZ68" i="2"/>
  <c r="BA68" i="2"/>
  <c r="BC68" i="2"/>
  <c r="BB68" i="2"/>
  <c r="BC125" i="2"/>
  <c r="AB83" i="5" s="1"/>
  <c r="BB125" i="2"/>
  <c r="BA125" i="2"/>
  <c r="AZ125" i="2"/>
  <c r="AI59" i="2"/>
  <c r="AJ59" i="2"/>
  <c r="AL59" i="2"/>
  <c r="AK59" i="2"/>
  <c r="P98" i="5"/>
  <c r="AB17" i="2"/>
  <c r="Z17" i="2"/>
  <c r="AA17" i="2"/>
  <c r="Y17" i="2"/>
  <c r="AT34" i="2"/>
  <c r="V106" i="5"/>
  <c r="AO34" i="2"/>
  <c r="BB130" i="2"/>
  <c r="AZ130" i="2"/>
  <c r="BA130" i="2"/>
  <c r="BC130" i="2"/>
  <c r="P170" i="5"/>
  <c r="AB191" i="2"/>
  <c r="Z191" i="2"/>
  <c r="AA191" i="2"/>
  <c r="Y191" i="2"/>
  <c r="AL82" i="2"/>
  <c r="AI82" i="2"/>
  <c r="AJ82" i="2"/>
  <c r="AK82" i="2"/>
  <c r="BC84" i="2"/>
  <c r="AB77" i="5" s="1"/>
  <c r="BA84" i="2"/>
  <c r="AZ84" i="2"/>
  <c r="BB84" i="2"/>
  <c r="AI135" i="2"/>
  <c r="AJ135" i="2"/>
  <c r="T23" i="5"/>
  <c r="AK135" i="2"/>
  <c r="AL135" i="2"/>
  <c r="V23" i="5" s="1"/>
  <c r="Y143" i="2"/>
  <c r="P91" i="5"/>
  <c r="AB143" i="2"/>
  <c r="Z143" i="2"/>
  <c r="AA143" i="2"/>
  <c r="AO25" i="2"/>
  <c r="AT25" i="2"/>
  <c r="BM75" i="2"/>
  <c r="BL75" i="2"/>
  <c r="BK75" i="2"/>
  <c r="BJ75" i="2"/>
  <c r="AJ109" i="2"/>
  <c r="AK109" i="2"/>
  <c r="T179" i="5"/>
  <c r="AI109" i="2"/>
  <c r="AL109" i="2"/>
  <c r="AD162" i="5"/>
  <c r="BL178" i="2"/>
  <c r="BM178" i="2"/>
  <c r="BK178" i="2"/>
  <c r="BJ178" i="2"/>
  <c r="BC11" i="2"/>
  <c r="BA11" i="2"/>
  <c r="AZ11" i="2"/>
  <c r="BB11" i="2"/>
  <c r="Z15" i="2"/>
  <c r="AA15" i="2"/>
  <c r="Y15" i="2"/>
  <c r="P8" i="5"/>
  <c r="AB15" i="2"/>
  <c r="R8" i="5" s="1"/>
  <c r="AI42" i="2"/>
  <c r="AK42" i="2"/>
  <c r="V13" i="5" s="1"/>
  <c r="T13" i="5"/>
  <c r="AJ42" i="2"/>
  <c r="AL42" i="2"/>
  <c r="AB184" i="2"/>
  <c r="Y184" i="2"/>
  <c r="P192" i="5"/>
  <c r="Z184" i="2"/>
  <c r="AA184" i="2"/>
  <c r="AA14" i="2"/>
  <c r="Y14" i="2"/>
  <c r="P167" i="5"/>
  <c r="AB14" i="2"/>
  <c r="Z14" i="2"/>
  <c r="BJ97" i="2"/>
  <c r="BL97" i="2"/>
  <c r="BM97" i="2"/>
  <c r="BK97" i="2"/>
  <c r="AD129" i="5"/>
  <c r="BP123" i="2"/>
  <c r="BQ123" i="2"/>
  <c r="AI124" i="2"/>
  <c r="AJ124" i="2"/>
  <c r="AL124" i="2"/>
  <c r="V49" i="5" s="1"/>
  <c r="AK124" i="2"/>
  <c r="AT70" i="2"/>
  <c r="AO70" i="2"/>
  <c r="P115" i="5"/>
  <c r="AB45" i="2"/>
  <c r="Z45" i="2"/>
  <c r="Y45" i="2"/>
  <c r="AA45" i="2"/>
  <c r="AO42" i="2"/>
  <c r="AT42" i="2"/>
  <c r="AZ7" i="2"/>
  <c r="BB7" i="2"/>
  <c r="BA7" i="2"/>
  <c r="BC7" i="2"/>
  <c r="AB39" i="5" s="1"/>
  <c r="BC173" i="2"/>
  <c r="AB194" i="5" s="1"/>
  <c r="BA173" i="2"/>
  <c r="BB173" i="2"/>
  <c r="AZ173" i="2"/>
  <c r="BQ161" i="2"/>
  <c r="BP161" i="2"/>
  <c r="AJ193" i="2"/>
  <c r="AK193" i="2"/>
  <c r="AL193" i="2"/>
  <c r="V181" i="5" s="1"/>
  <c r="T181" i="5"/>
  <c r="AI193" i="2"/>
  <c r="BA153" i="2"/>
  <c r="BB153" i="2"/>
  <c r="AZ153" i="2"/>
  <c r="BC153" i="2"/>
  <c r="AB127" i="5" s="1"/>
  <c r="V27" i="5"/>
  <c r="AO43" i="2"/>
  <c r="AT43" i="2"/>
  <c r="BA88" i="2"/>
  <c r="BB88" i="2"/>
  <c r="AZ88" i="2"/>
  <c r="BC88" i="2"/>
  <c r="AB121" i="5" s="1"/>
  <c r="BC114" i="2"/>
  <c r="BA114" i="2"/>
  <c r="AZ114" i="2"/>
  <c r="BB114" i="2"/>
  <c r="BM129" i="2"/>
  <c r="BK129" i="2"/>
  <c r="BJ129" i="2"/>
  <c r="BL129" i="2"/>
  <c r="BP90" i="2"/>
  <c r="BQ90" i="2"/>
  <c r="AZ108" i="2"/>
  <c r="BB108" i="2"/>
  <c r="BA108" i="2"/>
  <c r="BC108" i="2"/>
  <c r="AT89" i="2"/>
  <c r="AO89" i="2"/>
  <c r="AD35" i="5"/>
  <c r="BJ10" i="2"/>
  <c r="BM10" i="2"/>
  <c r="BL10" i="2"/>
  <c r="BK10" i="2"/>
  <c r="BP122" i="2"/>
  <c r="BQ122" i="2"/>
  <c r="BA148" i="2"/>
  <c r="AZ148" i="2"/>
  <c r="BB148" i="2"/>
  <c r="BC148" i="2"/>
  <c r="AB190" i="5" s="1"/>
  <c r="BP11" i="2"/>
  <c r="BQ11" i="2"/>
  <c r="AT17" i="2"/>
  <c r="AO17" i="2"/>
  <c r="AL120" i="2"/>
  <c r="T130" i="5"/>
  <c r="AJ120" i="2"/>
  <c r="AI120" i="2"/>
  <c r="AK120" i="2"/>
  <c r="V130" i="5" s="1"/>
  <c r="AF57" i="2"/>
  <c r="AG57" i="2"/>
  <c r="T51" i="5" s="1"/>
  <c r="BG57" i="2"/>
  <c r="BH57" i="2"/>
  <c r="AD51" i="5" s="1"/>
  <c r="BA80" i="2"/>
  <c r="BC80" i="2"/>
  <c r="AB81" i="5" s="1"/>
  <c r="AZ80" i="2"/>
  <c r="BB80" i="2"/>
  <c r="AI166" i="2"/>
  <c r="T120" i="5"/>
  <c r="AJ166" i="2"/>
  <c r="AK166" i="2"/>
  <c r="AL166" i="2"/>
  <c r="V120" i="5" s="1"/>
  <c r="V7" i="5"/>
  <c r="AT22" i="2"/>
  <c r="AO22" i="2"/>
  <c r="AT142" i="2"/>
  <c r="AO142" i="2"/>
  <c r="V88" i="5"/>
  <c r="AI14" i="2"/>
  <c r="AJ14" i="2"/>
  <c r="AK14" i="2"/>
  <c r="AL14" i="2"/>
  <c r="V167" i="5" s="1"/>
  <c r="AB62" i="2"/>
  <c r="Z62" i="2"/>
  <c r="AA62" i="2"/>
  <c r="Y62" i="2"/>
  <c r="P22" i="5"/>
  <c r="BQ141" i="2"/>
  <c r="BP141" i="2"/>
  <c r="Y61" i="2"/>
  <c r="AA61" i="2"/>
  <c r="P95" i="5"/>
  <c r="AB61" i="2"/>
  <c r="R95" i="5" s="1"/>
  <c r="Z61" i="2"/>
  <c r="P41" i="5"/>
  <c r="AB59" i="2"/>
  <c r="R41" i="5" s="1"/>
  <c r="Z59" i="2"/>
  <c r="Y59" i="2"/>
  <c r="AA59" i="2"/>
  <c r="BG187" i="2"/>
  <c r="AG187" i="2"/>
  <c r="AF187" i="2"/>
  <c r="BH187" i="2"/>
  <c r="AD76" i="5" s="1"/>
  <c r="AO52" i="2"/>
  <c r="AT52" i="2"/>
  <c r="V90" i="5"/>
  <c r="L83" i="5"/>
  <c r="S125" i="2"/>
  <c r="N125" i="2"/>
  <c r="L115" i="5"/>
  <c r="S45" i="2"/>
  <c r="N45" i="2"/>
  <c r="BB162" i="2"/>
  <c r="AZ162" i="2"/>
  <c r="BA162" i="2"/>
  <c r="BC162" i="2"/>
  <c r="AA100" i="2"/>
  <c r="P156" i="5"/>
  <c r="AB100" i="2"/>
  <c r="R156" i="5" s="1"/>
  <c r="Z100" i="2"/>
  <c r="Y100" i="2"/>
  <c r="P4" i="5"/>
  <c r="AA16" i="2"/>
  <c r="AB16" i="2"/>
  <c r="R4" i="5" s="1"/>
  <c r="Y16" i="2"/>
  <c r="Z16" i="2"/>
  <c r="AO174" i="2"/>
  <c r="AT174" i="2"/>
  <c r="P3" i="5"/>
  <c r="Z19" i="2"/>
  <c r="AB19" i="2"/>
  <c r="R3" i="5" s="1"/>
  <c r="AA19" i="2"/>
  <c r="Y19" i="2"/>
  <c r="L73" i="5"/>
  <c r="N89" i="2"/>
  <c r="S89" i="2"/>
  <c r="BK141" i="2"/>
  <c r="BJ141" i="2"/>
  <c r="AD36" i="5"/>
  <c r="BM141" i="2"/>
  <c r="BL141" i="2"/>
  <c r="L112" i="5"/>
  <c r="N196" i="2"/>
  <c r="S196" i="2"/>
  <c r="P71" i="5"/>
  <c r="AB48" i="2"/>
  <c r="AA48" i="2"/>
  <c r="Z48" i="2"/>
  <c r="Y48" i="2"/>
  <c r="BA50" i="2"/>
  <c r="BB50" i="2"/>
  <c r="AZ50" i="2"/>
  <c r="BC50" i="2"/>
  <c r="L68" i="5"/>
  <c r="N150" i="2"/>
  <c r="S150" i="2"/>
  <c r="AT136" i="2"/>
  <c r="AO136" i="2"/>
  <c r="BM36" i="2"/>
  <c r="BL36" i="2"/>
  <c r="BJ36" i="2"/>
  <c r="AD92" i="5"/>
  <c r="BK36" i="2"/>
  <c r="BB167" i="2"/>
  <c r="AZ167" i="2"/>
  <c r="BA167" i="2"/>
  <c r="BC167" i="2"/>
  <c r="AB114" i="5" s="1"/>
  <c r="AO64" i="2"/>
  <c r="AT64" i="2"/>
  <c r="V16" i="5"/>
  <c r="BJ69" i="2"/>
  <c r="AD31" i="5"/>
  <c r="BL69" i="2"/>
  <c r="BK69" i="2"/>
  <c r="BM69" i="2"/>
  <c r="BQ135" i="2"/>
  <c r="BP135" i="2"/>
  <c r="AZ135" i="2"/>
  <c r="BC135" i="2"/>
  <c r="AB23" i="5" s="1"/>
  <c r="BB135" i="2"/>
  <c r="BA135" i="2"/>
  <c r="AO13" i="2"/>
  <c r="AT13" i="2"/>
  <c r="AJ174" i="2"/>
  <c r="T197" i="5"/>
  <c r="AI174" i="2"/>
  <c r="AL174" i="2"/>
  <c r="V197" i="5" s="1"/>
  <c r="AK174" i="2"/>
  <c r="AO32" i="2"/>
  <c r="AT32" i="2"/>
  <c r="BA6" i="2"/>
  <c r="BB6" i="2"/>
  <c r="BC6" i="2"/>
  <c r="AZ6" i="2"/>
  <c r="BQ88" i="2"/>
  <c r="BP88" i="2"/>
  <c r="AJ173" i="2"/>
  <c r="T194" i="5"/>
  <c r="AI173" i="2"/>
  <c r="AK173" i="2"/>
  <c r="AL173" i="2"/>
  <c r="AG82" i="2"/>
  <c r="AF82" i="2"/>
  <c r="BH82" i="2"/>
  <c r="BG82" i="2"/>
  <c r="BQ108" i="2"/>
  <c r="BP108" i="2"/>
  <c r="BB174" i="2"/>
  <c r="AZ174" i="2"/>
  <c r="BA174" i="2"/>
  <c r="BC174" i="2"/>
  <c r="AB197" i="5" s="1"/>
  <c r="BQ82" i="2"/>
  <c r="BP82" i="2"/>
  <c r="BQ22" i="2"/>
  <c r="BP22" i="2"/>
  <c r="AI56" i="2"/>
  <c r="AJ56" i="2"/>
  <c r="AL56" i="2"/>
  <c r="AK56" i="2"/>
  <c r="T119" i="5"/>
  <c r="AT24" i="2"/>
  <c r="AO24" i="2"/>
  <c r="AT37" i="2"/>
  <c r="AO37" i="2"/>
  <c r="BM102" i="2"/>
  <c r="BJ102" i="2"/>
  <c r="BK102" i="2"/>
  <c r="BL102" i="2"/>
  <c r="AD173" i="5"/>
  <c r="AD119" i="5"/>
  <c r="BJ56" i="2"/>
  <c r="BL56" i="2"/>
  <c r="BM56" i="2"/>
  <c r="BK56" i="2"/>
  <c r="BQ29" i="2"/>
  <c r="BP29" i="2"/>
  <c r="AI185" i="2"/>
  <c r="AJ185" i="2"/>
  <c r="AK185" i="2"/>
  <c r="AL185" i="2"/>
  <c r="AD169" i="5"/>
  <c r="BL104" i="2"/>
  <c r="BK104" i="2"/>
  <c r="BM104" i="2"/>
  <c r="BJ104" i="2"/>
  <c r="AG4" i="2"/>
  <c r="AF4" i="2"/>
  <c r="BG4" i="2"/>
  <c r="BH4" i="2"/>
  <c r="BL96" i="2"/>
  <c r="BK96" i="2"/>
  <c r="AD123" i="5"/>
  <c r="BJ96" i="2"/>
  <c r="BM96" i="2"/>
  <c r="BQ37" i="2"/>
  <c r="BP37" i="2"/>
  <c r="P99" i="5"/>
  <c r="AA169" i="2"/>
  <c r="Y169" i="2"/>
  <c r="Z169" i="2"/>
  <c r="AB169" i="2"/>
  <c r="R99" i="5" s="1"/>
  <c r="BL188" i="2"/>
  <c r="BJ188" i="2"/>
  <c r="AD147" i="5"/>
  <c r="BM188" i="2"/>
  <c r="BK188" i="2"/>
  <c r="BB45" i="2"/>
  <c r="AZ45" i="2"/>
  <c r="BA45" i="2"/>
  <c r="BC45" i="2"/>
  <c r="AB115" i="5" s="1"/>
  <c r="AO66" i="2"/>
  <c r="V96" i="5"/>
  <c r="AT66" i="2"/>
  <c r="BC82" i="2"/>
  <c r="AB87" i="5" s="1"/>
  <c r="BB82" i="2"/>
  <c r="BA82" i="2"/>
  <c r="AZ82" i="2"/>
  <c r="BQ183" i="2"/>
  <c r="BP183" i="2"/>
  <c r="BQ194" i="2"/>
  <c r="BP194" i="2"/>
  <c r="AT182" i="2"/>
  <c r="AO182" i="2"/>
  <c r="AD79" i="5"/>
  <c r="BJ68" i="2"/>
  <c r="BM68" i="2"/>
  <c r="BL68" i="2"/>
  <c r="BK68" i="2"/>
  <c r="BL186" i="2"/>
  <c r="AD159" i="5"/>
  <c r="BJ186" i="2"/>
  <c r="BK186" i="2"/>
  <c r="BM186" i="2"/>
  <c r="AJ24" i="2"/>
  <c r="AL24" i="2"/>
  <c r="V85" i="5" s="1"/>
  <c r="T85" i="5"/>
  <c r="AI24" i="2"/>
  <c r="AK24" i="2"/>
  <c r="V102" i="5"/>
  <c r="AT76" i="2"/>
  <c r="AO76" i="2"/>
  <c r="V51" i="5"/>
  <c r="AO57" i="2"/>
  <c r="AT57" i="2"/>
  <c r="AO170" i="2"/>
  <c r="AT170" i="2"/>
  <c r="BM191" i="2"/>
  <c r="BJ191" i="2"/>
  <c r="BK191" i="2"/>
  <c r="BL191" i="2"/>
  <c r="AI58" i="2"/>
  <c r="AL58" i="2"/>
  <c r="AJ58" i="2"/>
  <c r="AK58" i="2"/>
  <c r="BM159" i="2"/>
  <c r="BL159" i="2"/>
  <c r="BK159" i="2"/>
  <c r="BJ159" i="2"/>
  <c r="AD164" i="5"/>
  <c r="AL13" i="2"/>
  <c r="V157" i="5" s="1"/>
  <c r="T157" i="5"/>
  <c r="AK13" i="2"/>
  <c r="AI13" i="2"/>
  <c r="AJ13" i="2"/>
  <c r="BQ107" i="2"/>
  <c r="BP107" i="2"/>
  <c r="BQ77" i="2"/>
  <c r="BP77" i="2"/>
  <c r="AD113" i="5"/>
  <c r="BJ140" i="2"/>
  <c r="BM140" i="2"/>
  <c r="BL140" i="2"/>
  <c r="BK140" i="2"/>
  <c r="BQ24" i="2"/>
  <c r="BP24" i="2"/>
  <c r="BP60" i="2"/>
  <c r="BQ60" i="2"/>
  <c r="AT147" i="2"/>
  <c r="AO147" i="2"/>
  <c r="BB166" i="2"/>
  <c r="AZ166" i="2"/>
  <c r="BA166" i="2"/>
  <c r="BC166" i="2"/>
  <c r="BB44" i="2"/>
  <c r="BA44" i="2"/>
  <c r="AZ44" i="2"/>
  <c r="BC44" i="2"/>
  <c r="AB80" i="5" s="1"/>
  <c r="AD62" i="5"/>
  <c r="BJ161" i="2"/>
  <c r="BL161" i="2"/>
  <c r="BK161" i="2"/>
  <c r="BM161" i="2"/>
  <c r="BL172" i="2"/>
  <c r="BK172" i="2"/>
  <c r="AD171" i="5"/>
  <c r="BM172" i="2"/>
  <c r="BJ172" i="2"/>
  <c r="AD47" i="5"/>
  <c r="BL12" i="2"/>
  <c r="BM12" i="2"/>
  <c r="BK12" i="2"/>
  <c r="BJ12" i="2"/>
  <c r="BQ72" i="2"/>
  <c r="BP72" i="2"/>
  <c r="BH7" i="2"/>
  <c r="AD39" i="5" s="1"/>
  <c r="BG7" i="2"/>
  <c r="AG7" i="2"/>
  <c r="T39" i="5" s="1"/>
  <c r="AF7" i="2"/>
  <c r="AI103" i="2"/>
  <c r="AL103" i="2"/>
  <c r="AK103" i="2"/>
  <c r="T111" i="5"/>
  <c r="AJ103" i="2"/>
  <c r="BC136" i="2"/>
  <c r="AB82" i="5" s="1"/>
  <c r="BB136" i="2"/>
  <c r="BA136" i="2"/>
  <c r="AZ136" i="2"/>
  <c r="AO115" i="2"/>
  <c r="AT115" i="2"/>
  <c r="V37" i="5"/>
  <c r="AA83" i="2"/>
  <c r="Y83" i="2"/>
  <c r="Z83" i="2"/>
  <c r="P139" i="5"/>
  <c r="AB83" i="2"/>
  <c r="BG35" i="2"/>
  <c r="AG35" i="2"/>
  <c r="T131" i="5" s="1"/>
  <c r="AF35" i="2"/>
  <c r="BH35" i="2"/>
  <c r="AD131" i="5" s="1"/>
  <c r="BK41" i="2"/>
  <c r="BM41" i="2"/>
  <c r="BL41" i="2"/>
  <c r="BJ41" i="2"/>
  <c r="Y98" i="2"/>
  <c r="AB98" i="2"/>
  <c r="R150" i="5" s="1"/>
  <c r="Z98" i="2"/>
  <c r="AA98" i="2"/>
  <c r="P150" i="5"/>
  <c r="BH184" i="2"/>
  <c r="AG184" i="2"/>
  <c r="AF184" i="2"/>
  <c r="BG184" i="2"/>
  <c r="AF58" i="2"/>
  <c r="AG58" i="2"/>
  <c r="T107" i="5" s="1"/>
  <c r="BG58" i="2"/>
  <c r="BH58" i="2"/>
  <c r="L134" i="5"/>
  <c r="S75" i="2"/>
  <c r="N75" i="2"/>
  <c r="L54" i="5"/>
  <c r="N72" i="2"/>
  <c r="S72" i="2"/>
  <c r="Z99" i="2"/>
  <c r="AA99" i="2"/>
  <c r="Y99" i="2"/>
  <c r="P140" i="5"/>
  <c r="AB99" i="2"/>
  <c r="R140" i="5" s="1"/>
  <c r="AO19" i="2"/>
  <c r="AT19" i="2"/>
  <c r="V3" i="5"/>
  <c r="AO44" i="2"/>
  <c r="AT44" i="2"/>
  <c r="V80" i="5"/>
  <c r="BL198" i="2"/>
  <c r="BK198" i="2"/>
  <c r="BJ198" i="2"/>
  <c r="BM198" i="2"/>
  <c r="AG25" i="2"/>
  <c r="AF25" i="2"/>
  <c r="BH25" i="2"/>
  <c r="AD172" i="5" s="1"/>
  <c r="BG25" i="2"/>
  <c r="V192" i="5"/>
  <c r="AT184" i="2"/>
  <c r="AO184" i="2"/>
  <c r="Y90" i="2"/>
  <c r="P30" i="5"/>
  <c r="Z90" i="2"/>
  <c r="AB90" i="2"/>
  <c r="R30" i="5" s="1"/>
  <c r="AA90" i="2"/>
  <c r="P35" i="5"/>
  <c r="AB10" i="2"/>
  <c r="Z10" i="2"/>
  <c r="AA10" i="2"/>
  <c r="Y10" i="2"/>
  <c r="L181" i="5"/>
  <c r="S193" i="2"/>
  <c r="N193" i="2"/>
  <c r="BH150" i="2"/>
  <c r="AG150" i="2"/>
  <c r="AF150" i="2"/>
  <c r="BG150" i="2"/>
  <c r="L55" i="5"/>
  <c r="N126" i="2"/>
  <c r="S126" i="2"/>
  <c r="AL97" i="2"/>
  <c r="AK97" i="2"/>
  <c r="AJ97" i="2"/>
  <c r="AI97" i="2"/>
  <c r="T129" i="5"/>
  <c r="P127" i="5"/>
  <c r="AB153" i="2"/>
  <c r="Z153" i="2"/>
  <c r="Y153" i="2"/>
  <c r="AA153" i="2"/>
  <c r="BP71" i="2"/>
  <c r="BQ71" i="2"/>
  <c r="AO12" i="2"/>
  <c r="AT12" i="2"/>
  <c r="AT56" i="2"/>
  <c r="AO56" i="2"/>
  <c r="AG133" i="2"/>
  <c r="BH133" i="2"/>
  <c r="BG133" i="2"/>
  <c r="AF133" i="2"/>
  <c r="BC123" i="2"/>
  <c r="AB44" i="5" s="1"/>
  <c r="BB123" i="2"/>
  <c r="BA123" i="2"/>
  <c r="AZ123" i="2"/>
  <c r="S74" i="2"/>
  <c r="N74" i="2"/>
  <c r="L72" i="5"/>
  <c r="BQ188" i="2"/>
  <c r="BP188" i="2"/>
  <c r="BC122" i="2"/>
  <c r="BB122" i="2"/>
  <c r="BA122" i="2"/>
  <c r="AZ122" i="2"/>
  <c r="AI175" i="2"/>
  <c r="T177" i="5"/>
  <c r="AJ175" i="2"/>
  <c r="AL175" i="2"/>
  <c r="V177" i="5" s="1"/>
  <c r="AK175" i="2"/>
  <c r="BK47" i="2"/>
  <c r="AD29" i="5"/>
  <c r="BM47" i="2"/>
  <c r="BL47" i="2"/>
  <c r="BJ47" i="2"/>
  <c r="BB72" i="2"/>
  <c r="BA72" i="2"/>
  <c r="AZ72" i="2"/>
  <c r="BC72" i="2"/>
  <c r="BL109" i="2"/>
  <c r="BJ109" i="2"/>
  <c r="AD179" i="5"/>
  <c r="BK109" i="2"/>
  <c r="BM109" i="2"/>
  <c r="BQ5" i="2"/>
  <c r="BP5" i="2"/>
  <c r="AO103" i="2"/>
  <c r="AT103" i="2"/>
  <c r="BB89" i="2"/>
  <c r="BA89" i="2"/>
  <c r="AZ89" i="2"/>
  <c r="BC89" i="2"/>
  <c r="AB73" i="5" s="1"/>
  <c r="N66" i="2"/>
  <c r="S66" i="2"/>
  <c r="L96" i="5"/>
  <c r="AT5" i="2"/>
  <c r="AO5" i="2"/>
  <c r="AT158" i="2"/>
  <c r="AO158" i="2"/>
  <c r="T97" i="5"/>
  <c r="AI78" i="2"/>
  <c r="AJ78" i="2"/>
  <c r="AK78" i="2"/>
  <c r="AL78" i="2"/>
  <c r="V97" i="5" s="1"/>
  <c r="BP28" i="2"/>
  <c r="BQ28" i="2"/>
  <c r="L153" i="5"/>
  <c r="N108" i="2"/>
  <c r="S108" i="2"/>
  <c r="Y56" i="2"/>
  <c r="P119" i="5"/>
  <c r="Z56" i="2"/>
  <c r="AB56" i="2"/>
  <c r="R119" i="5" s="1"/>
  <c r="AA56" i="2"/>
  <c r="AT112" i="2"/>
  <c r="AO112" i="2"/>
  <c r="AJ143" i="2"/>
  <c r="AI143" i="2"/>
  <c r="AL143" i="2"/>
  <c r="AK143" i="2"/>
  <c r="T91" i="5"/>
  <c r="AO59" i="2"/>
  <c r="AT59" i="2"/>
  <c r="Z38" i="2"/>
  <c r="AA38" i="2"/>
  <c r="P25" i="5"/>
  <c r="Y38" i="2"/>
  <c r="AB38" i="2"/>
  <c r="R25" i="5" s="1"/>
  <c r="T58" i="5"/>
  <c r="AK180" i="2"/>
  <c r="AL180" i="2"/>
  <c r="V58" i="5" s="1"/>
  <c r="AI180" i="2"/>
  <c r="AJ180" i="2"/>
  <c r="AT164" i="2"/>
  <c r="AO164" i="2"/>
  <c r="AO178" i="2"/>
  <c r="AT178" i="2"/>
  <c r="AO183" i="2"/>
  <c r="AT183" i="2"/>
  <c r="P194" i="5"/>
  <c r="Z173" i="2"/>
  <c r="AB173" i="2"/>
  <c r="AA173" i="2"/>
  <c r="Y173" i="2"/>
  <c r="BQ168" i="2"/>
  <c r="BP168" i="2"/>
  <c r="BQ200" i="2"/>
  <c r="BP200" i="2"/>
  <c r="AT92" i="2"/>
  <c r="AO92" i="2"/>
  <c r="V145" i="5"/>
  <c r="AZ111" i="2"/>
  <c r="BA111" i="2"/>
  <c r="BC111" i="2"/>
  <c r="AB21" i="5" s="1"/>
  <c r="BB111" i="2"/>
  <c r="N6" i="2"/>
  <c r="L59" i="5"/>
  <c r="S6" i="2"/>
  <c r="BA107" i="2"/>
  <c r="BC107" i="2"/>
  <c r="AB89" i="5" s="1"/>
  <c r="AZ107" i="2"/>
  <c r="BB107" i="2"/>
  <c r="BL62" i="2"/>
  <c r="AD22" i="5"/>
  <c r="BK62" i="2"/>
  <c r="BM62" i="2"/>
  <c r="BJ62" i="2"/>
  <c r="AJ107" i="2"/>
  <c r="T89" i="5"/>
  <c r="AI107" i="2"/>
  <c r="AK107" i="2"/>
  <c r="AL107" i="2"/>
  <c r="AK65" i="2"/>
  <c r="AJ65" i="2"/>
  <c r="AI65" i="2"/>
  <c r="AL65" i="2"/>
  <c r="V103" i="5" s="1"/>
  <c r="T103" i="5"/>
  <c r="V100" i="5"/>
  <c r="AT138" i="2"/>
  <c r="AO138" i="2"/>
  <c r="BJ4" i="2"/>
  <c r="BM4" i="2"/>
  <c r="BL4" i="2"/>
  <c r="AD33" i="5"/>
  <c r="BK4" i="2"/>
  <c r="BQ116" i="2"/>
  <c r="BP116" i="2"/>
  <c r="BQ137" i="2"/>
  <c r="BP137" i="2"/>
  <c r="AB97" i="2"/>
  <c r="Z97" i="2"/>
  <c r="P129" i="5"/>
  <c r="AA97" i="2"/>
  <c r="Y97" i="2"/>
  <c r="AD54" i="5"/>
  <c r="BJ72" i="2"/>
  <c r="BL72" i="2"/>
  <c r="BK72" i="2"/>
  <c r="BM72" i="2"/>
  <c r="BP115" i="2"/>
  <c r="BQ115" i="2"/>
  <c r="BP140" i="2"/>
  <c r="BQ140" i="2"/>
  <c r="AL89" i="2"/>
  <c r="AK89" i="2"/>
  <c r="V73" i="5" s="1"/>
  <c r="T73" i="5"/>
  <c r="AI89" i="2"/>
  <c r="AJ89" i="2"/>
  <c r="BQ166" i="2"/>
  <c r="BP166" i="2"/>
  <c r="AT94" i="2"/>
  <c r="AO94" i="2"/>
  <c r="V141" i="5"/>
  <c r="BC159" i="2"/>
  <c r="BB159" i="2"/>
  <c r="BA159" i="2"/>
  <c r="AZ159" i="2"/>
  <c r="V4" i="5"/>
  <c r="AT16" i="2"/>
  <c r="AO16" i="2"/>
  <c r="BQ33" i="2"/>
  <c r="BP33" i="2"/>
  <c r="BK190" i="2"/>
  <c r="BL190" i="2"/>
  <c r="BJ190" i="2"/>
  <c r="BM190" i="2"/>
  <c r="AD195" i="5"/>
  <c r="BP148" i="2"/>
  <c r="BQ148" i="2"/>
  <c r="AZ200" i="2"/>
  <c r="BC200" i="2"/>
  <c r="BA200" i="2"/>
  <c r="BB200" i="2"/>
  <c r="AT165" i="2"/>
  <c r="AO165" i="2"/>
  <c r="P34" i="5"/>
  <c r="AB29" i="2"/>
  <c r="Z29" i="2"/>
  <c r="AA29" i="2"/>
  <c r="Y29" i="2"/>
  <c r="AK25" i="2"/>
  <c r="AL25" i="2"/>
  <c r="T172" i="5"/>
  <c r="AJ25" i="2"/>
  <c r="AI25" i="2"/>
  <c r="T196" i="5"/>
  <c r="AJ110" i="2"/>
  <c r="AI110" i="2"/>
  <c r="AL110" i="2"/>
  <c r="AK110" i="2"/>
  <c r="T99" i="5"/>
  <c r="AI169" i="2"/>
  <c r="AJ169" i="2"/>
  <c r="AK169" i="2"/>
  <c r="AL169" i="2"/>
  <c r="V99" i="5" s="1"/>
  <c r="S28" i="2"/>
  <c r="L61" i="5"/>
  <c r="N28" i="2"/>
  <c r="AG148" i="2"/>
  <c r="BG148" i="2"/>
  <c r="BH148" i="2"/>
  <c r="AF148" i="2"/>
  <c r="AT124" i="2"/>
  <c r="AO124" i="2"/>
  <c r="BQ119" i="2"/>
  <c r="BP119" i="2"/>
  <c r="BM133" i="2"/>
  <c r="BJ133" i="2"/>
  <c r="BK133" i="2"/>
  <c r="AD45" i="5"/>
  <c r="BL133" i="2"/>
  <c r="BP132" i="2"/>
  <c r="BQ132" i="2"/>
  <c r="Z50" i="2"/>
  <c r="AA50" i="2"/>
  <c r="P105" i="5"/>
  <c r="AB50" i="2"/>
  <c r="Y50" i="2"/>
  <c r="AO181" i="2"/>
  <c r="AT181" i="2"/>
  <c r="AB115" i="2"/>
  <c r="Y115" i="2"/>
  <c r="P37" i="5"/>
  <c r="Z115" i="2"/>
  <c r="AA115" i="2"/>
  <c r="BP70" i="2"/>
  <c r="BQ70" i="2"/>
  <c r="P101" i="5"/>
  <c r="AB5" i="2"/>
  <c r="R101" i="5" s="1"/>
  <c r="AA5" i="2"/>
  <c r="Y5" i="2"/>
  <c r="Z5" i="2"/>
  <c r="AT151" i="2"/>
  <c r="V148" i="5"/>
  <c r="AO151" i="2"/>
  <c r="BP164" i="2"/>
  <c r="BQ164" i="2"/>
  <c r="P183" i="5"/>
  <c r="AB87" i="2"/>
  <c r="R183" i="5" s="1"/>
  <c r="Z87" i="2"/>
  <c r="AA87" i="2"/>
  <c r="Y87" i="2"/>
  <c r="BM182" i="2"/>
  <c r="BK182" i="2"/>
  <c r="AD178" i="5"/>
  <c r="BL182" i="2"/>
  <c r="BJ182" i="2"/>
  <c r="T30" i="5"/>
  <c r="AI90" i="2"/>
  <c r="AJ90" i="2"/>
  <c r="AL90" i="2"/>
  <c r="AK90" i="2"/>
  <c r="T95" i="5"/>
  <c r="AK61" i="2"/>
  <c r="AI61" i="2"/>
  <c r="AJ61" i="2"/>
  <c r="AL61" i="2"/>
  <c r="Z31" i="2"/>
  <c r="Y31" i="2"/>
  <c r="AA31" i="2"/>
  <c r="P57" i="5"/>
  <c r="AB31" i="2"/>
  <c r="BA160" i="2"/>
  <c r="BC160" i="2"/>
  <c r="AZ160" i="2"/>
  <c r="BB160" i="2"/>
  <c r="BJ5" i="2"/>
  <c r="BL5" i="2"/>
  <c r="AD101" i="5"/>
  <c r="BK5" i="2"/>
  <c r="BM5" i="2"/>
  <c r="P103" i="5"/>
  <c r="AB65" i="2"/>
  <c r="Z65" i="2"/>
  <c r="AA65" i="2"/>
  <c r="Y65" i="2"/>
  <c r="AI32" i="2"/>
  <c r="AJ32" i="2"/>
  <c r="AK32" i="2"/>
  <c r="AL32" i="2"/>
  <c r="T70" i="5"/>
  <c r="AO97" i="2"/>
  <c r="AT97" i="2"/>
  <c r="BQ13" i="2"/>
  <c r="BP13" i="2"/>
  <c r="AT18" i="2"/>
  <c r="AO18" i="2"/>
  <c r="V56" i="5"/>
  <c r="BL134" i="2"/>
  <c r="BM134" i="2"/>
  <c r="BK134" i="2"/>
  <c r="AD78" i="5"/>
  <c r="BJ134" i="2"/>
  <c r="AG147" i="2"/>
  <c r="AF147" i="2"/>
  <c r="T184" i="5" s="1"/>
  <c r="BG147" i="2"/>
  <c r="BH147" i="2"/>
  <c r="AD184" i="5" s="1"/>
  <c r="AG75" i="2"/>
  <c r="T134" i="5" s="1"/>
  <c r="AF75" i="2"/>
  <c r="BH75" i="2"/>
  <c r="AD134" i="5" s="1"/>
  <c r="BG75" i="2"/>
  <c r="BA172" i="2"/>
  <c r="BB172" i="2"/>
  <c r="BC172" i="2"/>
  <c r="AZ172" i="2"/>
  <c r="AB58" i="2"/>
  <c r="R107" i="5" s="1"/>
  <c r="Z58" i="2"/>
  <c r="P107" i="5"/>
  <c r="Y58" i="2"/>
  <c r="AA58" i="2"/>
  <c r="T168" i="5"/>
  <c r="AJ152" i="2"/>
  <c r="AI152" i="2"/>
  <c r="AL152" i="2"/>
  <c r="V168" i="5" s="1"/>
  <c r="AK152" i="2"/>
  <c r="BJ89" i="2"/>
  <c r="BL89" i="2"/>
  <c r="BK89" i="2"/>
  <c r="BM89" i="2"/>
  <c r="AD73" i="5"/>
  <c r="BQ138" i="2"/>
  <c r="BP138" i="2"/>
  <c r="AO173" i="2"/>
  <c r="V194" i="5"/>
  <c r="AT173" i="2"/>
  <c r="BA156" i="2"/>
  <c r="BB156" i="2"/>
  <c r="AZ156" i="2"/>
  <c r="BC156" i="2"/>
  <c r="AB27" i="2"/>
  <c r="R94" i="5" s="1"/>
  <c r="P94" i="5"/>
  <c r="Z27" i="2"/>
  <c r="AA27" i="2"/>
  <c r="Y27" i="2"/>
  <c r="N87" i="2"/>
  <c r="L183" i="5"/>
  <c r="S87" i="2"/>
  <c r="L191" i="5"/>
  <c r="S160" i="2"/>
  <c r="N160" i="2"/>
  <c r="BQ142" i="2"/>
  <c r="BP142" i="2"/>
  <c r="BJ87" i="2"/>
  <c r="BM87" i="2"/>
  <c r="BK87" i="2"/>
  <c r="AD183" i="5"/>
  <c r="BL87" i="2"/>
  <c r="AD49" i="5"/>
  <c r="BK124" i="2"/>
  <c r="BJ124" i="2"/>
  <c r="BM124" i="2"/>
  <c r="BL124" i="2"/>
  <c r="BQ143" i="2"/>
  <c r="BP143" i="2"/>
  <c r="BK116" i="2"/>
  <c r="BM116" i="2"/>
  <c r="BJ116" i="2"/>
  <c r="BL116" i="2"/>
  <c r="AO38" i="2"/>
  <c r="V25" i="5"/>
  <c r="AT38" i="2"/>
  <c r="BK120" i="2"/>
  <c r="BJ120" i="2"/>
  <c r="BL120" i="2"/>
  <c r="BM120" i="2"/>
  <c r="AD130" i="5"/>
  <c r="BC132" i="2"/>
  <c r="BB132" i="2"/>
  <c r="BA132" i="2"/>
  <c r="AZ132" i="2"/>
  <c r="BA158" i="2"/>
  <c r="BB158" i="2"/>
  <c r="AZ158" i="2"/>
  <c r="BC158" i="2"/>
  <c r="AB84" i="5" s="1"/>
  <c r="P132" i="5"/>
  <c r="Z26" i="2"/>
  <c r="Y26" i="2"/>
  <c r="AB26" i="2"/>
  <c r="AA26" i="2"/>
  <c r="BQ99" i="2"/>
  <c r="BP99" i="2"/>
  <c r="BQ98" i="2"/>
  <c r="BP98" i="2"/>
  <c r="AZ19" i="2"/>
  <c r="BB19" i="2"/>
  <c r="BA19" i="2"/>
  <c r="BC19" i="2"/>
  <c r="AB3" i="5" s="1"/>
  <c r="BK127" i="2"/>
  <c r="BM127" i="2"/>
  <c r="AD38" i="5"/>
  <c r="BL127" i="2"/>
  <c r="BJ127" i="2"/>
  <c r="V149" i="5"/>
  <c r="AT154" i="2"/>
  <c r="AO154" i="2"/>
  <c r="AD109" i="5"/>
  <c r="BL176" i="2"/>
  <c r="BJ176" i="2"/>
  <c r="BM176" i="2"/>
  <c r="BK176" i="2"/>
  <c r="V173" i="5"/>
  <c r="AT102" i="2"/>
  <c r="AO102" i="2"/>
  <c r="BQ155" i="2"/>
  <c r="BP155" i="2"/>
  <c r="BQ7" i="2"/>
  <c r="BP7" i="2"/>
  <c r="AD185" i="5"/>
  <c r="BJ162" i="2"/>
  <c r="BM162" i="2"/>
  <c r="BK162" i="2"/>
  <c r="BL162" i="2"/>
  <c r="BQ63" i="2"/>
  <c r="BP63" i="2"/>
  <c r="BJ67" i="2"/>
  <c r="BL67" i="2"/>
  <c r="BK67" i="2"/>
  <c r="AD11" i="5"/>
  <c r="BM67" i="2"/>
  <c r="AT146" i="2"/>
  <c r="AO146" i="2"/>
  <c r="AZ105" i="2"/>
  <c r="BC105" i="2"/>
  <c r="BB105" i="2"/>
  <c r="BA105" i="2"/>
  <c r="Z152" i="2"/>
  <c r="AA152" i="2"/>
  <c r="Y152" i="2"/>
  <c r="P168" i="5"/>
  <c r="AB152" i="2"/>
  <c r="T123" i="5"/>
  <c r="AJ96" i="2"/>
  <c r="AI96" i="2"/>
  <c r="AL96" i="2"/>
  <c r="AK96" i="2"/>
  <c r="AL199" i="2"/>
  <c r="AI199" i="2"/>
  <c r="AJ199" i="2"/>
  <c r="AK199" i="2"/>
  <c r="BC90" i="2"/>
  <c r="AB30" i="5" s="1"/>
  <c r="BB90" i="2"/>
  <c r="BA90" i="2"/>
  <c r="AZ90" i="2"/>
  <c r="V179" i="5"/>
  <c r="AO109" i="2"/>
  <c r="AT109" i="2"/>
  <c r="BK138" i="2"/>
  <c r="BJ138" i="2"/>
  <c r="BL138" i="2"/>
  <c r="BM138" i="2"/>
  <c r="L193" i="5"/>
  <c r="N171" i="2"/>
  <c r="S171" i="2"/>
  <c r="AZ163" i="2"/>
  <c r="BB163" i="2"/>
  <c r="BA163" i="2"/>
  <c r="BC163" i="2"/>
  <c r="AB188" i="5" s="1"/>
  <c r="BB193" i="2"/>
  <c r="AZ193" i="2"/>
  <c r="BC193" i="2"/>
  <c r="BA193" i="2"/>
  <c r="BQ198" i="2"/>
  <c r="BP198" i="2"/>
  <c r="BP8" i="2"/>
  <c r="BQ8" i="2"/>
  <c r="AL41" i="2"/>
  <c r="V66" i="5" s="1"/>
  <c r="AI41" i="2"/>
  <c r="T66" i="5"/>
  <c r="AJ41" i="2"/>
  <c r="AK41" i="2"/>
  <c r="BQ104" i="2"/>
  <c r="BP104" i="2"/>
  <c r="BA73" i="2"/>
  <c r="BC73" i="2"/>
  <c r="AB126" i="5" s="1"/>
  <c r="AZ73" i="2"/>
  <c r="BB73" i="2"/>
  <c r="BH200" i="2"/>
  <c r="AG200" i="2"/>
  <c r="AF200" i="2"/>
  <c r="BG200" i="2"/>
  <c r="AD199" i="5" s="1"/>
  <c r="AT67" i="2"/>
  <c r="V11" i="5"/>
  <c r="AO67" i="2"/>
  <c r="BB195" i="2"/>
  <c r="BA195" i="2"/>
  <c r="AZ195" i="2"/>
  <c r="BC195" i="2"/>
  <c r="AB182" i="5" s="1"/>
  <c r="BQ109" i="2"/>
  <c r="BP109" i="2"/>
  <c r="AZ113" i="2"/>
  <c r="BB113" i="2"/>
  <c r="BC113" i="2"/>
  <c r="BA113" i="2"/>
  <c r="AD70" i="5"/>
  <c r="BL32" i="2"/>
  <c r="BK32" i="2"/>
  <c r="BJ32" i="2"/>
  <c r="BM32" i="2"/>
  <c r="P149" i="5"/>
  <c r="AB154" i="2"/>
  <c r="Z154" i="2"/>
  <c r="Y154" i="2"/>
  <c r="AA154" i="2"/>
  <c r="AT31" i="2"/>
  <c r="AO31" i="2"/>
  <c r="BQ64" i="2"/>
  <c r="BP64" i="2"/>
  <c r="BK199" i="2"/>
  <c r="BJ199" i="2"/>
  <c r="BL199" i="2"/>
  <c r="BM199" i="2"/>
  <c r="AA6" i="2"/>
  <c r="Y6" i="2"/>
  <c r="P59" i="5"/>
  <c r="AB6" i="2"/>
  <c r="Z6" i="2"/>
  <c r="P130" i="5"/>
  <c r="Z120" i="2"/>
  <c r="AA120" i="2"/>
  <c r="Y120" i="2"/>
  <c r="AB120" i="2"/>
  <c r="R130" i="5" s="1"/>
  <c r="BA92" i="2"/>
  <c r="BC92" i="2"/>
  <c r="AB145" i="5" s="1"/>
  <c r="BB92" i="2"/>
  <c r="AZ92" i="2"/>
  <c r="AO167" i="2"/>
  <c r="AT167" i="2"/>
  <c r="V114" i="5"/>
  <c r="BA21" i="2"/>
  <c r="BB21" i="2"/>
  <c r="AZ21" i="2"/>
  <c r="BC21" i="2"/>
  <c r="AI172" i="2"/>
  <c r="AK172" i="2"/>
  <c r="AL172" i="2"/>
  <c r="AJ172" i="2"/>
  <c r="T171" i="5"/>
  <c r="BC18" i="2"/>
  <c r="AB56" i="5" s="1"/>
  <c r="BB18" i="2"/>
  <c r="BA18" i="2"/>
  <c r="AZ18" i="2"/>
  <c r="AD117" i="5"/>
  <c r="BM157" i="2"/>
  <c r="BL157" i="2"/>
  <c r="BJ157" i="2"/>
  <c r="BK157" i="2"/>
  <c r="BC126" i="2"/>
  <c r="AB55" i="5" s="1"/>
  <c r="BB126" i="2"/>
  <c r="BA126" i="2"/>
  <c r="AZ126" i="2"/>
  <c r="BC146" i="2"/>
  <c r="BA146" i="2"/>
  <c r="AZ146" i="2"/>
  <c r="BB146" i="2"/>
  <c r="AT172" i="2"/>
  <c r="AO172" i="2"/>
  <c r="AT105" i="2"/>
  <c r="AO105" i="2"/>
  <c r="V46" i="5"/>
  <c r="AJ80" i="2"/>
  <c r="AK80" i="2"/>
  <c r="AL80" i="2"/>
  <c r="AI80" i="2"/>
  <c r="T81" i="5"/>
  <c r="BM113" i="2"/>
  <c r="BL113" i="2"/>
  <c r="AD155" i="5"/>
  <c r="BK113" i="2"/>
  <c r="BJ113" i="2"/>
  <c r="AI8" i="2"/>
  <c r="T20" i="5"/>
  <c r="AK8" i="2"/>
  <c r="AJ8" i="2"/>
  <c r="AL8" i="2"/>
  <c r="V20" i="5" s="1"/>
  <c r="T138" i="5"/>
  <c r="AK139" i="2"/>
  <c r="AJ139" i="2"/>
  <c r="AI139" i="2"/>
  <c r="AL139" i="2"/>
  <c r="BA143" i="2"/>
  <c r="BB143" i="2"/>
  <c r="AZ143" i="2"/>
  <c r="BC143" i="2"/>
  <c r="AB91" i="5" s="1"/>
  <c r="BB37" i="2"/>
  <c r="AZ37" i="2"/>
  <c r="BA37" i="2"/>
  <c r="BC37" i="2"/>
  <c r="AJ158" i="2"/>
  <c r="T84" i="5"/>
  <c r="AI158" i="2"/>
  <c r="AL158" i="2"/>
  <c r="AK158" i="2"/>
  <c r="V84" i="5" s="1"/>
  <c r="BP193" i="2"/>
  <c r="BQ193" i="2"/>
  <c r="AT139" i="2"/>
  <c r="AO139" i="2"/>
  <c r="BP169" i="2"/>
  <c r="BQ169" i="2"/>
  <c r="AT111" i="2"/>
  <c r="AO111" i="2"/>
  <c r="BC30" i="2"/>
  <c r="AB64" i="5" s="1"/>
  <c r="BA30" i="2"/>
  <c r="BB30" i="2"/>
  <c r="AZ30" i="2"/>
  <c r="AJ47" i="2"/>
  <c r="AL47" i="2"/>
  <c r="T29" i="5"/>
  <c r="AI47" i="2"/>
  <c r="AK47" i="2"/>
  <c r="AZ69" i="2"/>
  <c r="BC69" i="2"/>
  <c r="BA69" i="2"/>
  <c r="BB69" i="2"/>
  <c r="BK164" i="2"/>
  <c r="AD75" i="5"/>
  <c r="BL164" i="2"/>
  <c r="BM164" i="2"/>
  <c r="BJ164" i="2"/>
  <c r="AJ17" i="2"/>
  <c r="T98" i="5"/>
  <c r="AL17" i="2"/>
  <c r="AK17" i="2"/>
  <c r="AI17" i="2"/>
  <c r="BA65" i="2"/>
  <c r="AZ65" i="2"/>
  <c r="BC65" i="2"/>
  <c r="AB103" i="5" s="1"/>
  <c r="BB65" i="2"/>
  <c r="BQ114" i="2"/>
  <c r="BP114" i="2"/>
  <c r="AD149" i="5"/>
  <c r="BK154" i="2"/>
  <c r="BL154" i="2"/>
  <c r="BJ154" i="2"/>
  <c r="BM154" i="2"/>
  <c r="BQ15" i="2"/>
  <c r="BP15" i="2"/>
  <c r="P145" i="5"/>
  <c r="Z92" i="2"/>
  <c r="AB92" i="2"/>
  <c r="R145" i="5" s="1"/>
  <c r="AA92" i="2"/>
  <c r="Y92" i="2"/>
  <c r="AT45" i="2"/>
  <c r="V115" i="5"/>
  <c r="AO45" i="2"/>
  <c r="BM131" i="2"/>
  <c r="AD40" i="5"/>
  <c r="BK131" i="2"/>
  <c r="BJ131" i="2"/>
  <c r="BL131" i="2"/>
  <c r="BP74" i="2"/>
  <c r="BQ74" i="2"/>
  <c r="BL153" i="2"/>
  <c r="BM153" i="2"/>
  <c r="BK153" i="2"/>
  <c r="AD127" i="5"/>
  <c r="BJ153" i="2"/>
  <c r="BC168" i="2"/>
  <c r="AB128" i="5" s="1"/>
  <c r="BB168" i="2"/>
  <c r="AZ168" i="2"/>
  <c r="BA168" i="2"/>
  <c r="AB179" i="2"/>
  <c r="Z179" i="2"/>
  <c r="AA179" i="2"/>
  <c r="Y179" i="2"/>
  <c r="P161" i="5"/>
  <c r="BQ87" i="2"/>
  <c r="BP87" i="2"/>
  <c r="Y131" i="2"/>
  <c r="P40" i="5"/>
  <c r="AB131" i="2"/>
  <c r="Z131" i="2"/>
  <c r="AA131" i="2"/>
  <c r="BQ133" i="2"/>
  <c r="BP133" i="2"/>
  <c r="BP100" i="2"/>
  <c r="BQ100" i="2"/>
  <c r="T146" i="5"/>
  <c r="AL23" i="2"/>
  <c r="AI23" i="2"/>
  <c r="AJ23" i="2"/>
  <c r="AK23" i="2"/>
  <c r="BB76" i="2"/>
  <c r="BC76" i="2"/>
  <c r="AZ76" i="2"/>
  <c r="BA76" i="2"/>
  <c r="AZ155" i="2"/>
  <c r="BB155" i="2"/>
  <c r="BA155" i="2"/>
  <c r="BC155" i="2"/>
  <c r="AB53" i="5" s="1"/>
  <c r="AZ139" i="2"/>
  <c r="BA139" i="2"/>
  <c r="BC139" i="2"/>
  <c r="AB138" i="5" s="1"/>
  <c r="BB139" i="2"/>
  <c r="AT106" i="2"/>
  <c r="AO106" i="2"/>
  <c r="V144" i="5"/>
  <c r="BQ152" i="2"/>
  <c r="BP152" i="2"/>
  <c r="BA190" i="2"/>
  <c r="AZ190" i="2"/>
  <c r="BB190" i="2"/>
  <c r="BC190" i="2"/>
  <c r="AB195" i="5" s="1"/>
  <c r="BK92" i="2"/>
  <c r="BJ92" i="2"/>
  <c r="BM92" i="2"/>
  <c r="BL92" i="2"/>
  <c r="AD145" i="5"/>
  <c r="AJ126" i="2"/>
  <c r="AL126" i="2"/>
  <c r="AI126" i="2"/>
  <c r="AK126" i="2"/>
  <c r="T55" i="5"/>
  <c r="BA97" i="2"/>
  <c r="BC97" i="2"/>
  <c r="AZ97" i="2"/>
  <c r="BB97" i="2"/>
  <c r="AG70" i="2"/>
  <c r="AF70" i="2"/>
  <c r="BH70" i="2"/>
  <c r="AD12" i="5" s="1"/>
  <c r="BG70" i="2"/>
  <c r="V33" i="5"/>
  <c r="AO4" i="2"/>
  <c r="AT4" i="2"/>
  <c r="AG129" i="2"/>
  <c r="T151" i="5" s="1"/>
  <c r="AF129" i="2"/>
  <c r="BH129" i="2"/>
  <c r="BG129" i="2"/>
  <c r="AD137" i="5"/>
  <c r="BJ85" i="2"/>
  <c r="BM85" i="2"/>
  <c r="BK85" i="2"/>
  <c r="BL85" i="2"/>
  <c r="V50" i="5"/>
  <c r="AO49" i="2"/>
  <c r="AT49" i="2"/>
  <c r="AD120" i="5"/>
  <c r="BK166" i="2"/>
  <c r="BL166" i="2"/>
  <c r="BJ166" i="2"/>
  <c r="BM166" i="2"/>
  <c r="BB26" i="2"/>
  <c r="AZ26" i="2"/>
  <c r="BC26" i="2"/>
  <c r="AB132" i="5" s="1"/>
  <c r="BA26" i="2"/>
  <c r="BA186" i="2"/>
  <c r="BB186" i="2"/>
  <c r="AZ186" i="2"/>
  <c r="BC186" i="2"/>
  <c r="AB159" i="5" s="1"/>
  <c r="P51" i="5"/>
  <c r="AA57" i="2"/>
  <c r="Z57" i="2"/>
  <c r="AB57" i="2"/>
  <c r="R51" i="5" s="1"/>
  <c r="Y57" i="2"/>
  <c r="AO69" i="2"/>
  <c r="AT69" i="2"/>
  <c r="BM126" i="2"/>
  <c r="AD55" i="5"/>
  <c r="BK126" i="2"/>
  <c r="BL126" i="2"/>
  <c r="BJ126" i="2"/>
  <c r="BA95" i="2"/>
  <c r="BC95" i="2"/>
  <c r="AZ95" i="2"/>
  <c r="BB95" i="2"/>
  <c r="AJ11" i="2"/>
  <c r="AK11" i="2"/>
  <c r="T63" i="5"/>
  <c r="AL11" i="2"/>
  <c r="V63" i="5" s="1"/>
  <c r="AI11" i="2"/>
  <c r="T126" i="5"/>
  <c r="AI73" i="2"/>
  <c r="AJ73" i="2"/>
  <c r="AK73" i="2"/>
  <c r="AL73" i="2"/>
  <c r="V126" i="5" s="1"/>
  <c r="BK200" i="2"/>
  <c r="BM200" i="2"/>
  <c r="BJ200" i="2"/>
  <c r="BL200" i="2"/>
  <c r="BJ59" i="2"/>
  <c r="AD41" i="5"/>
  <c r="BK59" i="2"/>
  <c r="BM59" i="2"/>
  <c r="BL59" i="2"/>
  <c r="BQ111" i="2"/>
  <c r="BP111" i="2"/>
  <c r="Z163" i="2"/>
  <c r="P188" i="5"/>
  <c r="AB163" i="2"/>
  <c r="AA163" i="2"/>
  <c r="Y163" i="2"/>
  <c r="AB178" i="2"/>
  <c r="R162" i="5" s="1"/>
  <c r="P162" i="5"/>
  <c r="Z178" i="2"/>
  <c r="AA178" i="2"/>
  <c r="Y178" i="2"/>
  <c r="AZ169" i="2"/>
  <c r="BC169" i="2"/>
  <c r="BB169" i="2"/>
  <c r="BA169" i="2"/>
  <c r="AG138" i="2"/>
  <c r="T100" i="5" s="1"/>
  <c r="AF138" i="2"/>
  <c r="BH138" i="2"/>
  <c r="AD100" i="5" s="1"/>
  <c r="BG138" i="2"/>
  <c r="AL99" i="2"/>
  <c r="V140" i="5" s="1"/>
  <c r="T140" i="5"/>
  <c r="AJ99" i="2"/>
  <c r="AI99" i="2"/>
  <c r="AK99" i="2"/>
  <c r="AA9" i="2"/>
  <c r="Z9" i="2"/>
  <c r="Y9" i="2"/>
  <c r="P74" i="5"/>
  <c r="AB9" i="2"/>
  <c r="R74" i="5" s="1"/>
  <c r="BP190" i="2"/>
  <c r="BQ190" i="2"/>
  <c r="BL146" i="2"/>
  <c r="BJ146" i="2"/>
  <c r="BK146" i="2"/>
  <c r="AD14" i="5"/>
  <c r="BM146" i="2"/>
  <c r="BQ65" i="2"/>
  <c r="BP65" i="2"/>
  <c r="AJ74" i="2"/>
  <c r="AI74" i="2"/>
  <c r="T72" i="5"/>
  <c r="AL74" i="2"/>
  <c r="V72" i="5" s="1"/>
  <c r="AK74" i="2"/>
  <c r="P14" i="5"/>
  <c r="AB146" i="2"/>
  <c r="AA146" i="2"/>
  <c r="Y146" i="2"/>
  <c r="Z146" i="2"/>
  <c r="AD143" i="5"/>
  <c r="BK37" i="2"/>
  <c r="BM37" i="2"/>
  <c r="BL37" i="2"/>
  <c r="BJ37" i="2"/>
  <c r="Y132" i="2"/>
  <c r="AB132" i="2"/>
  <c r="R174" i="5" s="1"/>
  <c r="AA132" i="2"/>
  <c r="P174" i="5"/>
  <c r="Z132" i="2"/>
  <c r="BM58" i="2"/>
  <c r="BK58" i="2"/>
  <c r="BJ58" i="2"/>
  <c r="BL58" i="2"/>
  <c r="AG116" i="2"/>
  <c r="T122" i="5" s="1"/>
  <c r="BG116" i="2"/>
  <c r="AF116" i="2"/>
  <c r="BH116" i="2"/>
  <c r="AD122" i="5" s="1"/>
  <c r="BB59" i="2"/>
  <c r="BA59" i="2"/>
  <c r="AZ59" i="2"/>
  <c r="BC59" i="2"/>
  <c r="AB41" i="5" s="1"/>
  <c r="T64" i="5"/>
  <c r="AI30" i="2"/>
  <c r="AL30" i="2"/>
  <c r="AJ30" i="2"/>
  <c r="AK30" i="2"/>
  <c r="BC70" i="2"/>
  <c r="BA70" i="2"/>
  <c r="AZ70" i="2"/>
  <c r="BB70" i="2"/>
  <c r="T108" i="5"/>
  <c r="AL81" i="2"/>
  <c r="AK81" i="2"/>
  <c r="AJ81" i="2"/>
  <c r="AI81" i="2"/>
  <c r="BM55" i="2"/>
  <c r="BK55" i="2"/>
  <c r="BJ55" i="2"/>
  <c r="BL55" i="2"/>
  <c r="AD17" i="5"/>
  <c r="BJ119" i="2"/>
  <c r="BM119" i="2"/>
  <c r="BK119" i="2"/>
  <c r="BL119" i="2"/>
  <c r="BQ93" i="2"/>
  <c r="BP93" i="2"/>
  <c r="BC75" i="2"/>
  <c r="BB75" i="2"/>
  <c r="AZ75" i="2"/>
  <c r="BA75" i="2"/>
  <c r="AO107" i="2"/>
  <c r="AT107" i="2"/>
  <c r="V89" i="5"/>
  <c r="BQ180" i="2"/>
  <c r="BP180" i="2"/>
  <c r="AZ56" i="2"/>
  <c r="BA56" i="2"/>
  <c r="BB56" i="2"/>
  <c r="BC56" i="2"/>
  <c r="AB119" i="5" s="1"/>
  <c r="BP160" i="2"/>
  <c r="BQ160" i="2"/>
  <c r="BP192" i="2"/>
  <c r="BQ192" i="2"/>
  <c r="P32" i="5"/>
  <c r="AB55" i="2"/>
  <c r="Z55" i="2"/>
  <c r="AA55" i="2"/>
  <c r="Y55" i="2"/>
  <c r="BQ78" i="2"/>
  <c r="BP78" i="2"/>
  <c r="AD148" i="5"/>
  <c r="BK151" i="2"/>
  <c r="BM151" i="2"/>
  <c r="BL151" i="2"/>
  <c r="BJ151" i="2"/>
  <c r="AZ171" i="2"/>
  <c r="BC171" i="2"/>
  <c r="AB193" i="5" s="1"/>
  <c r="BB171" i="2"/>
  <c r="BA171" i="2"/>
  <c r="BJ6" i="2"/>
  <c r="AD59" i="5"/>
  <c r="BL6" i="2"/>
  <c r="BK6" i="2"/>
  <c r="BM6" i="2"/>
  <c r="BQ165" i="2"/>
  <c r="BP165" i="2"/>
  <c r="AD94" i="5"/>
  <c r="BJ27" i="2"/>
  <c r="BK27" i="2"/>
  <c r="BL27" i="2"/>
  <c r="BM27" i="2"/>
  <c r="AT163" i="2"/>
  <c r="AO163" i="2"/>
  <c r="BQ81" i="2"/>
  <c r="BP81" i="2"/>
  <c r="T136" i="5"/>
  <c r="AK181" i="2"/>
  <c r="AL181" i="2"/>
  <c r="V136" i="5" s="1"/>
  <c r="AI181" i="2"/>
  <c r="AJ181" i="2"/>
  <c r="AO60" i="2"/>
  <c r="V52" i="5"/>
  <c r="AT60" i="2"/>
  <c r="P142" i="5"/>
  <c r="Z144" i="2"/>
  <c r="AB144" i="2"/>
  <c r="AA144" i="2"/>
  <c r="Y144" i="2"/>
  <c r="BP31" i="2"/>
  <c r="BQ31" i="2"/>
  <c r="BQ61" i="2"/>
  <c r="BP61" i="2"/>
  <c r="BP4" i="2"/>
  <c r="BQ4" i="2"/>
  <c r="BQ73" i="2"/>
  <c r="BP73" i="2"/>
  <c r="BB98" i="2"/>
  <c r="BC98" i="2"/>
  <c r="BA98" i="2"/>
  <c r="AZ98" i="2"/>
  <c r="BL103" i="2"/>
  <c r="AD111" i="5"/>
  <c r="BK103" i="2"/>
  <c r="BJ103" i="2"/>
  <c r="BM103" i="2"/>
  <c r="AD118" i="5"/>
  <c r="BJ51" i="2"/>
  <c r="BM51" i="2"/>
  <c r="BK51" i="2"/>
  <c r="BL51" i="2"/>
  <c r="P163" i="5"/>
  <c r="AB91" i="2"/>
  <c r="R163" i="5" s="1"/>
  <c r="Y91" i="2"/>
  <c r="AA91" i="2"/>
  <c r="Z91" i="2"/>
  <c r="BP18" i="2"/>
  <c r="BQ18" i="2"/>
  <c r="AD64" i="5"/>
  <c r="BL30" i="2"/>
  <c r="BK30" i="2"/>
  <c r="BJ30" i="2"/>
  <c r="BM30" i="2"/>
  <c r="AI6" i="2"/>
  <c r="T59" i="5"/>
  <c r="AK6" i="2"/>
  <c r="AL6" i="2"/>
  <c r="V59" i="5" s="1"/>
  <c r="AJ6" i="2"/>
  <c r="P196" i="5"/>
  <c r="AB110" i="2"/>
  <c r="R196" i="5" s="1"/>
  <c r="AA110" i="2"/>
  <c r="Y110" i="2"/>
  <c r="Z110" i="2"/>
  <c r="BQ105" i="2"/>
  <c r="BP105" i="2"/>
  <c r="BQ30" i="2"/>
  <c r="BP30" i="2"/>
  <c r="AL31" i="2"/>
  <c r="T57" i="5"/>
  <c r="AI31" i="2"/>
  <c r="AJ31" i="2"/>
  <c r="AK31" i="2"/>
  <c r="BP199" i="2"/>
  <c r="BQ199" i="2"/>
  <c r="BQ84" i="2"/>
  <c r="BP84" i="2"/>
  <c r="BC77" i="2"/>
  <c r="AZ77" i="2"/>
  <c r="BA77" i="2"/>
  <c r="BB77" i="2"/>
  <c r="BQ178" i="2"/>
  <c r="BP178" i="2"/>
  <c r="AZ46" i="2"/>
  <c r="BB46" i="2"/>
  <c r="BC46" i="2"/>
  <c r="BA46" i="2"/>
  <c r="BB83" i="2"/>
  <c r="BA83" i="2"/>
  <c r="BC83" i="2"/>
  <c r="AB139" i="5" s="1"/>
  <c r="AZ83" i="2"/>
  <c r="BL23" i="2"/>
  <c r="BM23" i="2"/>
  <c r="AD146" i="5"/>
  <c r="BJ23" i="2"/>
  <c r="BK23" i="2"/>
  <c r="BP128" i="2"/>
  <c r="BQ128" i="2"/>
  <c r="BK145" i="2"/>
  <c r="BJ145" i="2"/>
  <c r="BL145" i="2"/>
  <c r="BM145" i="2"/>
  <c r="AD10" i="5"/>
  <c r="BK98" i="2"/>
  <c r="AD150" i="5"/>
  <c r="BM98" i="2"/>
  <c r="BL98" i="2"/>
  <c r="BJ98" i="2"/>
  <c r="BK44" i="2"/>
  <c r="AD80" i="5"/>
  <c r="BJ44" i="2"/>
  <c r="BM44" i="2"/>
  <c r="BL44" i="2"/>
  <c r="BQ66" i="2"/>
  <c r="BP66" i="2"/>
  <c r="BA16" i="2"/>
  <c r="AZ16" i="2"/>
  <c r="BC16" i="2"/>
  <c r="BB16" i="2"/>
  <c r="AD46" i="5"/>
  <c r="BM105" i="2"/>
  <c r="BK105" i="2"/>
  <c r="BJ105" i="2"/>
  <c r="BL105" i="2"/>
  <c r="BC32" i="2"/>
  <c r="AB70" i="5" s="1"/>
  <c r="BB32" i="2"/>
  <c r="BA32" i="2"/>
  <c r="AZ32" i="2"/>
  <c r="BQ182" i="2"/>
  <c r="BP182" i="2"/>
  <c r="BA86" i="2"/>
  <c r="BC86" i="2"/>
  <c r="AB67" i="5" s="1"/>
  <c r="AZ86" i="2"/>
  <c r="BB86" i="2"/>
  <c r="T154" i="5"/>
  <c r="AJ137" i="2"/>
  <c r="AI137" i="2"/>
  <c r="AK137" i="2"/>
  <c r="AL137" i="2"/>
  <c r="V154" i="5" s="1"/>
  <c r="V189" i="5"/>
  <c r="AT199" i="2"/>
  <c r="AO199" i="2"/>
  <c r="AD91" i="5"/>
  <c r="BJ143" i="2"/>
  <c r="BM143" i="2"/>
  <c r="BL143" i="2"/>
  <c r="BK143" i="2"/>
  <c r="BP52" i="2"/>
  <c r="BQ52" i="2"/>
  <c r="AT20" i="2"/>
  <c r="AO20" i="2"/>
  <c r="V5" i="5"/>
  <c r="T128" i="5"/>
  <c r="AJ168" i="2"/>
  <c r="AI168" i="2"/>
  <c r="AL168" i="2"/>
  <c r="V128" i="5" s="1"/>
  <c r="AK168" i="2"/>
  <c r="BK19" i="2"/>
  <c r="BJ19" i="2"/>
  <c r="BM19" i="2"/>
  <c r="BL19" i="2"/>
  <c r="BB60" i="2"/>
  <c r="BA60" i="2"/>
  <c r="BC60" i="2"/>
  <c r="AB52" i="5" s="1"/>
  <c r="AZ60" i="2"/>
  <c r="BQ184" i="2"/>
  <c r="BP184" i="2"/>
  <c r="AI33" i="2"/>
  <c r="AK33" i="2"/>
  <c r="T152" i="5"/>
  <c r="AL33" i="2"/>
  <c r="V152" i="5" s="1"/>
  <c r="AJ33" i="2"/>
  <c r="BB100" i="2"/>
  <c r="BA100" i="2"/>
  <c r="AZ100" i="2"/>
  <c r="BC100" i="2"/>
  <c r="AB156" i="5" s="1"/>
  <c r="BQ117" i="2"/>
  <c r="BP117" i="2"/>
  <c r="BM76" i="2"/>
  <c r="BK76" i="2"/>
  <c r="BJ76" i="2"/>
  <c r="AD102" i="5"/>
  <c r="BL76" i="2"/>
  <c r="AD67" i="5"/>
  <c r="BK86" i="2"/>
  <c r="BM86" i="2"/>
  <c r="BJ86" i="2"/>
  <c r="BL86" i="2"/>
  <c r="BQ80" i="2"/>
  <c r="BP80" i="2"/>
  <c r="Z13" i="2"/>
  <c r="AB13" i="2"/>
  <c r="Y13" i="2"/>
  <c r="AA13" i="2"/>
  <c r="P157" i="5"/>
  <c r="BQ147" i="2"/>
  <c r="BP147" i="2"/>
  <c r="BQ50" i="2"/>
  <c r="BP50" i="2"/>
  <c r="AI5" i="2"/>
  <c r="AK5" i="2"/>
  <c r="AJ5" i="2"/>
  <c r="T101" i="5"/>
  <c r="AL5" i="2"/>
  <c r="V101" i="5" s="1"/>
  <c r="AZ110" i="2"/>
  <c r="BB110" i="2"/>
  <c r="BC110" i="2"/>
  <c r="AB196" i="5" s="1"/>
  <c r="BA110" i="2"/>
  <c r="AB113" i="2"/>
  <c r="Y113" i="2"/>
  <c r="AA113" i="2"/>
  <c r="P155" i="5"/>
  <c r="Z113" i="2"/>
  <c r="BJ91" i="2"/>
  <c r="AD163" i="5"/>
  <c r="BL91" i="2"/>
  <c r="BK91" i="2"/>
  <c r="BM91" i="2"/>
  <c r="T178" i="5"/>
  <c r="AJ182" i="2"/>
  <c r="AI182" i="2"/>
  <c r="AK182" i="2"/>
  <c r="AL182" i="2"/>
  <c r="V178" i="5" s="1"/>
  <c r="BL184" i="2"/>
  <c r="BK184" i="2"/>
  <c r="BJ184" i="2"/>
  <c r="BM184" i="2"/>
  <c r="AZ115" i="2"/>
  <c r="BB115" i="2"/>
  <c r="BA115" i="2"/>
  <c r="BC115" i="2"/>
  <c r="AB37" i="5" s="1"/>
  <c r="BA8" i="2"/>
  <c r="BC8" i="2"/>
  <c r="AZ8" i="2"/>
  <c r="BB8" i="2"/>
  <c r="AD133" i="5"/>
  <c r="BL54" i="2"/>
  <c r="BK54" i="2"/>
  <c r="BM54" i="2"/>
  <c r="BJ54" i="2"/>
  <c r="BQ176" i="2"/>
  <c r="BP176" i="2"/>
  <c r="BQ186" i="2"/>
  <c r="BP186" i="2"/>
  <c r="AD52" i="5"/>
  <c r="BM60" i="2"/>
  <c r="BL60" i="2"/>
  <c r="BK60" i="2"/>
  <c r="BJ60" i="2"/>
  <c r="AZ116" i="2"/>
  <c r="BA116" i="2"/>
  <c r="BC116" i="2"/>
  <c r="AB122" i="5" s="1"/>
  <c r="BB116" i="2"/>
  <c r="BC17" i="2"/>
  <c r="BA17" i="2"/>
  <c r="BB17" i="2"/>
  <c r="AZ17" i="2"/>
  <c r="BP187" i="2"/>
  <c r="BQ187" i="2"/>
  <c r="Y129" i="2"/>
  <c r="AA129" i="2"/>
  <c r="P151" i="5"/>
  <c r="AB129" i="2"/>
  <c r="R151" i="5" s="1"/>
  <c r="Z129" i="2"/>
  <c r="AZ54" i="2"/>
  <c r="BB54" i="2"/>
  <c r="BC54" i="2"/>
  <c r="AB133" i="5" s="1"/>
  <c r="BA54" i="2"/>
  <c r="BC178" i="2"/>
  <c r="AZ178" i="2"/>
  <c r="BB178" i="2"/>
  <c r="BA178" i="2"/>
  <c r="AZ81" i="2"/>
  <c r="BC81" i="2"/>
  <c r="BB81" i="2"/>
  <c r="BA81" i="2"/>
  <c r="BL152" i="2"/>
  <c r="BM152" i="2"/>
  <c r="BJ152" i="2"/>
  <c r="AD168" i="5"/>
  <c r="BK152" i="2"/>
  <c r="AT7" i="2"/>
  <c r="AO7" i="2"/>
  <c r="V43" i="5"/>
  <c r="AT117" i="2"/>
  <c r="AO117" i="2"/>
  <c r="AD176" i="5"/>
  <c r="BJ197" i="2"/>
  <c r="BK197" i="2"/>
  <c r="BM197" i="2"/>
  <c r="BL197" i="2"/>
  <c r="AD160" i="5"/>
  <c r="BJ189" i="2"/>
  <c r="BL189" i="2"/>
  <c r="BK189" i="2"/>
  <c r="BM189" i="2"/>
  <c r="P197" i="5"/>
  <c r="AB174" i="2"/>
  <c r="R197" i="5" s="1"/>
  <c r="Z174" i="2"/>
  <c r="Y174" i="2"/>
  <c r="AA174" i="2"/>
  <c r="BL187" i="2"/>
  <c r="BK187" i="2"/>
  <c r="BM187" i="2"/>
  <c r="BJ187" i="2"/>
  <c r="BQ121" i="2"/>
  <c r="BP121" i="2"/>
  <c r="V26" i="5"/>
  <c r="AT156" i="2"/>
  <c r="AO156" i="2"/>
  <c r="AD194" i="5"/>
  <c r="BJ173" i="2"/>
  <c r="BL173" i="2"/>
  <c r="BK173" i="2"/>
  <c r="BM173" i="2"/>
  <c r="BQ76" i="2"/>
  <c r="BP76" i="2"/>
  <c r="AD20" i="5"/>
  <c r="BL8" i="2"/>
  <c r="BJ8" i="2"/>
  <c r="BM8" i="2"/>
  <c r="BK8" i="2"/>
  <c r="BP46" i="2"/>
  <c r="BQ46" i="2"/>
  <c r="AO169" i="2"/>
  <c r="AT169" i="2"/>
  <c r="BB87" i="2"/>
  <c r="BA87" i="2"/>
  <c r="BC87" i="2"/>
  <c r="AB183" i="5" s="1"/>
  <c r="AZ87" i="2"/>
  <c r="BQ146" i="2"/>
  <c r="BP146" i="2"/>
  <c r="BL11" i="2"/>
  <c r="AD63" i="5"/>
  <c r="BK11" i="2"/>
  <c r="BM11" i="2"/>
  <c r="BJ11" i="2"/>
  <c r="BK13" i="2"/>
  <c r="BJ13" i="2"/>
  <c r="AD157" i="5"/>
  <c r="BL13" i="2"/>
  <c r="BM13" i="2"/>
  <c r="BQ17" i="2"/>
  <c r="BP17" i="2"/>
  <c r="BJ117" i="2"/>
  <c r="BK117" i="2"/>
  <c r="AD43" i="5"/>
  <c r="BM117" i="2"/>
  <c r="BL117" i="2"/>
  <c r="AK7" i="2"/>
  <c r="AI7" i="2"/>
  <c r="AJ7" i="2"/>
  <c r="AL7" i="2"/>
  <c r="V39" i="5" s="1"/>
  <c r="AI149" i="2"/>
  <c r="AK149" i="2"/>
  <c r="AJ149" i="2"/>
  <c r="T28" i="5"/>
  <c r="AL149" i="2"/>
  <c r="V28" i="5" s="1"/>
  <c r="T21" i="5"/>
  <c r="AJ111" i="2"/>
  <c r="AI111" i="2"/>
  <c r="AL111" i="2"/>
  <c r="V21" i="5" s="1"/>
  <c r="AK111" i="2"/>
  <c r="T47" i="5"/>
  <c r="AK12" i="2"/>
  <c r="AL12" i="2"/>
  <c r="V47" i="5" s="1"/>
  <c r="AJ12" i="2"/>
  <c r="AI12" i="2"/>
  <c r="P29" i="5"/>
  <c r="Z47" i="2"/>
  <c r="AB47" i="2"/>
  <c r="Y47" i="2"/>
  <c r="AA47" i="2"/>
  <c r="BC23" i="2"/>
  <c r="AZ23" i="2"/>
  <c r="BB23" i="2"/>
  <c r="BA23" i="2"/>
  <c r="AI150" i="2"/>
  <c r="AJ150" i="2"/>
  <c r="AK150" i="2"/>
  <c r="AL150" i="2"/>
  <c r="V68" i="5" s="1"/>
  <c r="T68" i="5"/>
  <c r="V193" i="5"/>
  <c r="AO171" i="2"/>
  <c r="AT171" i="2"/>
  <c r="AK136" i="2"/>
  <c r="AI136" i="2"/>
  <c r="AJ136" i="2"/>
  <c r="AL136" i="2"/>
  <c r="T82" i="5"/>
  <c r="AZ141" i="2"/>
  <c r="BB141" i="2"/>
  <c r="BC141" i="2"/>
  <c r="AB36" i="5" s="1"/>
  <c r="BA141" i="2"/>
  <c r="Y60" i="2"/>
  <c r="P52" i="5"/>
  <c r="Z60" i="2"/>
  <c r="AB60" i="2"/>
  <c r="AA60" i="2"/>
  <c r="BQ185" i="2"/>
  <c r="BP185" i="2"/>
  <c r="V191" i="5"/>
  <c r="AO160" i="2"/>
  <c r="AT160" i="2"/>
  <c r="P26" i="5"/>
  <c r="AB156" i="2"/>
  <c r="AA156" i="2"/>
  <c r="Y156" i="2"/>
  <c r="Z156" i="2"/>
  <c r="BC12" i="2"/>
  <c r="AB47" i="5" s="1"/>
  <c r="BA12" i="2"/>
  <c r="AZ12" i="2"/>
  <c r="BB12" i="2"/>
  <c r="BB197" i="2"/>
  <c r="BC197" i="2"/>
  <c r="AB176" i="5" s="1"/>
  <c r="BA197" i="2"/>
  <c r="AZ197" i="2"/>
  <c r="AT81" i="2"/>
  <c r="AO81" i="2"/>
  <c r="T31" i="5"/>
  <c r="AL69" i="2"/>
  <c r="AK69" i="2"/>
  <c r="V31" i="5" s="1"/>
  <c r="AI69" i="2"/>
  <c r="AJ69" i="2"/>
  <c r="BA14" i="2"/>
  <c r="AZ14" i="2"/>
  <c r="BC14" i="2"/>
  <c r="AB167" i="5" s="1"/>
  <c r="BB14" i="2"/>
  <c r="AO195" i="2"/>
  <c r="AT195" i="2"/>
  <c r="AB128" i="2"/>
  <c r="R187" i="5" s="1"/>
  <c r="Z128" i="2"/>
  <c r="P187" i="5"/>
  <c r="AA128" i="2"/>
  <c r="Y128" i="2"/>
  <c r="AD81" i="5"/>
  <c r="BK80" i="2"/>
  <c r="BL80" i="2"/>
  <c r="BJ80" i="2"/>
  <c r="BM80" i="2"/>
  <c r="AB111" i="2"/>
  <c r="R21" i="5" s="1"/>
  <c r="AA111" i="2"/>
  <c r="Y111" i="2"/>
  <c r="P21" i="5"/>
  <c r="Z111" i="2"/>
  <c r="BQ181" i="2"/>
  <c r="BP181" i="2"/>
  <c r="BL22" i="2"/>
  <c r="BM22" i="2"/>
  <c r="AD7" i="5"/>
  <c r="BK22" i="2"/>
  <c r="BJ22" i="2"/>
  <c r="BJ175" i="2"/>
  <c r="AD177" i="5"/>
  <c r="BK175" i="2"/>
  <c r="BM175" i="2"/>
  <c r="BL175" i="2"/>
  <c r="AB4" i="2"/>
  <c r="Y4" i="2"/>
  <c r="P33" i="5"/>
  <c r="Z4" i="2"/>
  <c r="AA4" i="2"/>
  <c r="BQ120" i="2"/>
  <c r="BP120" i="2"/>
  <c r="BP51" i="2"/>
  <c r="BQ51" i="2"/>
  <c r="AO149" i="2"/>
  <c r="AT149" i="2"/>
  <c r="BJ185" i="2"/>
  <c r="BL185" i="2"/>
  <c r="BM185" i="2"/>
  <c r="BK185" i="2"/>
  <c r="AD110" i="5"/>
  <c r="BB55" i="2"/>
  <c r="AZ55" i="2"/>
  <c r="BA55" i="2"/>
  <c r="BC55" i="2"/>
  <c r="AB32" i="5" s="1"/>
  <c r="BC117" i="2"/>
  <c r="AZ117" i="2"/>
  <c r="BB117" i="2"/>
  <c r="BA117" i="2"/>
  <c r="AD9" i="5"/>
  <c r="BJ114" i="2"/>
  <c r="BL114" i="2"/>
  <c r="BK114" i="2"/>
  <c r="BM114" i="2"/>
  <c r="AZ41" i="2"/>
  <c r="BB41" i="2"/>
  <c r="BC41" i="2"/>
  <c r="BA41" i="2"/>
  <c r="Y73" i="2"/>
  <c r="P126" i="5"/>
  <c r="AB73" i="2"/>
  <c r="Z73" i="2"/>
  <c r="AA73" i="2"/>
  <c r="AD5" i="5"/>
  <c r="BJ20" i="2"/>
  <c r="BM20" i="2"/>
  <c r="BL20" i="2"/>
  <c r="BK20" i="2"/>
  <c r="BL137" i="2"/>
  <c r="AD154" i="5"/>
  <c r="BJ137" i="2"/>
  <c r="BK137" i="2"/>
  <c r="BM137" i="2"/>
  <c r="BC9" i="2"/>
  <c r="BB9" i="2"/>
  <c r="AZ9" i="2"/>
  <c r="BA9" i="2"/>
  <c r="BQ48" i="2"/>
  <c r="BP48" i="2"/>
  <c r="AZ119" i="2"/>
  <c r="BC119" i="2"/>
  <c r="AB17" i="5" s="1"/>
  <c r="BB119" i="2"/>
  <c r="BA119" i="2"/>
  <c r="AT48" i="2"/>
  <c r="V71" i="5"/>
  <c r="AO48" i="2"/>
  <c r="BQ125" i="2"/>
  <c r="BP125" i="2"/>
  <c r="BB85" i="2"/>
  <c r="AZ85" i="2"/>
  <c r="BA85" i="2"/>
  <c r="BC85" i="2"/>
  <c r="AB137" i="5" s="1"/>
  <c r="AD15" i="5"/>
  <c r="BL40" i="2"/>
  <c r="BK40" i="2"/>
  <c r="BJ40" i="2"/>
  <c r="BM40" i="2"/>
  <c r="BP189" i="2"/>
  <c r="BQ189" i="2"/>
  <c r="BQ151" i="2"/>
  <c r="BP151" i="2"/>
  <c r="AD19" i="5"/>
  <c r="BL118" i="2"/>
  <c r="BK118" i="2"/>
  <c r="BJ118" i="2"/>
  <c r="BM118" i="2"/>
  <c r="BP101" i="2"/>
  <c r="BQ101" i="2"/>
  <c r="BP171" i="2"/>
  <c r="BQ171" i="2"/>
  <c r="BQ110" i="2"/>
  <c r="BP110" i="2"/>
  <c r="BJ49" i="2"/>
  <c r="AD50" i="5"/>
  <c r="BK49" i="2"/>
  <c r="BM49" i="2"/>
  <c r="BL49" i="2"/>
  <c r="BJ99" i="2"/>
  <c r="BM99" i="2"/>
  <c r="BK99" i="2"/>
  <c r="BL99" i="2"/>
  <c r="AD140" i="5"/>
  <c r="BQ32" i="2"/>
  <c r="BP32" i="2"/>
  <c r="BQ95" i="2"/>
  <c r="BP95" i="2"/>
  <c r="AZ74" i="2"/>
  <c r="BC74" i="2"/>
  <c r="AB72" i="5" s="1"/>
  <c r="BB74" i="2"/>
  <c r="BA74" i="2"/>
  <c r="BQ43" i="2"/>
  <c r="BP43" i="2"/>
  <c r="Y39" i="2"/>
  <c r="P6" i="5"/>
  <c r="AB39" i="2"/>
  <c r="AA39" i="2"/>
  <c r="Z39" i="2"/>
  <c r="AG179" i="2"/>
  <c r="AF179" i="2"/>
  <c r="BG179" i="2"/>
  <c r="BH179" i="2"/>
  <c r="AD161" i="5" s="1"/>
  <c r="BQ19" i="2"/>
  <c r="BP19" i="2"/>
  <c r="V121" i="5"/>
  <c r="AO88" i="2"/>
  <c r="AT88" i="2"/>
  <c r="AL146" i="2"/>
  <c r="AJ146" i="2"/>
  <c r="AI146" i="2"/>
  <c r="T14" i="5"/>
  <c r="AK146" i="2"/>
  <c r="AG199" i="2"/>
  <c r="AF199" i="2"/>
  <c r="T189" i="5" s="1"/>
  <c r="BG199" i="2"/>
  <c r="BH199" i="2"/>
  <c r="AD189" i="5" s="1"/>
  <c r="BQ34" i="2"/>
  <c r="BP34" i="2"/>
  <c r="AK15" i="2"/>
  <c r="AL15" i="2"/>
  <c r="V8" i="5" s="1"/>
  <c r="T8" i="5"/>
  <c r="AJ15" i="2"/>
  <c r="AI15" i="2"/>
  <c r="BQ79" i="2"/>
  <c r="BP79" i="2"/>
  <c r="BP42" i="2"/>
  <c r="BQ42" i="2"/>
  <c r="BK128" i="2"/>
  <c r="BM128" i="2"/>
  <c r="AD187" i="5"/>
  <c r="BJ128" i="2"/>
  <c r="BL128" i="2"/>
  <c r="AL192" i="2"/>
  <c r="AK192" i="2"/>
  <c r="AJ192" i="2"/>
  <c r="T186" i="5"/>
  <c r="AI192" i="2"/>
  <c r="AL70" i="2"/>
  <c r="V12" i="5" s="1"/>
  <c r="AK70" i="2"/>
  <c r="AJ70" i="2"/>
  <c r="AI70" i="2"/>
  <c r="T12" i="5"/>
  <c r="BQ163" i="2"/>
  <c r="BP163" i="2"/>
  <c r="V22" i="5"/>
  <c r="AT62" i="2"/>
  <c r="AO62" i="2"/>
  <c r="BP68" i="2"/>
  <c r="BQ68" i="2"/>
  <c r="AT193" i="2"/>
  <c r="AO193" i="2"/>
  <c r="BQ27" i="2"/>
  <c r="BP27" i="2"/>
  <c r="BC176" i="2"/>
  <c r="BB176" i="2"/>
  <c r="BA176" i="2"/>
  <c r="AZ176" i="2"/>
  <c r="BB39" i="2"/>
  <c r="BA39" i="2"/>
  <c r="BC39" i="2"/>
  <c r="AB6" i="5" s="1"/>
  <c r="AZ39" i="2"/>
  <c r="Z151" i="2"/>
  <c r="AA151" i="2"/>
  <c r="P148" i="5"/>
  <c r="AB151" i="2"/>
  <c r="R148" i="5" s="1"/>
  <c r="Y151" i="2"/>
  <c r="Y54" i="2"/>
  <c r="P133" i="5"/>
  <c r="AB54" i="2"/>
  <c r="R133" i="5" s="1"/>
  <c r="Z54" i="2"/>
  <c r="AA54" i="2"/>
  <c r="AK170" i="2"/>
  <c r="AL170" i="2"/>
  <c r="V175" i="5" s="1"/>
  <c r="T175" i="5"/>
  <c r="AJ170" i="2"/>
  <c r="AI170" i="2"/>
  <c r="BH191" i="2"/>
  <c r="AG191" i="2"/>
  <c r="AF191" i="2"/>
  <c r="BG191" i="2"/>
  <c r="AD170" i="5" s="1"/>
  <c r="V55" i="5"/>
  <c r="AO126" i="2"/>
  <c r="AT126" i="2"/>
  <c r="BJ169" i="2"/>
  <c r="AD99" i="5"/>
  <c r="BK169" i="2"/>
  <c r="BL169" i="2"/>
  <c r="BM169" i="2"/>
  <c r="AK98" i="2"/>
  <c r="AI98" i="2"/>
  <c r="AJ98" i="2"/>
  <c r="T150" i="5"/>
  <c r="AL98" i="2"/>
  <c r="BQ153" i="2"/>
  <c r="BP153" i="2"/>
  <c r="P185" i="5"/>
  <c r="AB162" i="2"/>
  <c r="Z162" i="2"/>
  <c r="Y162" i="2"/>
  <c r="AA162" i="2"/>
  <c r="AK178" i="2"/>
  <c r="AJ178" i="2"/>
  <c r="AI178" i="2"/>
  <c r="T162" i="5"/>
  <c r="AL178" i="2"/>
  <c r="V162" i="5" s="1"/>
  <c r="AK37" i="2"/>
  <c r="AI37" i="2"/>
  <c r="AJ37" i="2"/>
  <c r="AL37" i="2"/>
  <c r="T143" i="5"/>
  <c r="BA151" i="2"/>
  <c r="AZ151" i="2"/>
  <c r="BC151" i="2"/>
  <c r="BB151" i="2"/>
  <c r="BC183" i="2"/>
  <c r="BB183" i="2"/>
  <c r="AZ183" i="2"/>
  <c r="BA183" i="2"/>
  <c r="Z171" i="2"/>
  <c r="AB171" i="2"/>
  <c r="Y171" i="2"/>
  <c r="AA171" i="2"/>
  <c r="P193" i="5"/>
  <c r="V187" i="5"/>
  <c r="AT128" i="2"/>
  <c r="AO128" i="2"/>
  <c r="BK38" i="2"/>
  <c r="BM38" i="2"/>
  <c r="BL38" i="2"/>
  <c r="BJ38" i="2"/>
  <c r="AD25" i="5"/>
  <c r="AO150" i="2"/>
  <c r="AT150" i="2"/>
  <c r="AK79" i="2"/>
  <c r="AI79" i="2"/>
  <c r="AL79" i="2"/>
  <c r="V124" i="5" s="1"/>
  <c r="AJ79" i="2"/>
  <c r="BK183" i="2"/>
  <c r="BL183" i="2"/>
  <c r="BM183" i="2"/>
  <c r="AD180" i="5"/>
  <c r="BJ183" i="2"/>
  <c r="BB140" i="2"/>
  <c r="BA140" i="2"/>
  <c r="BC140" i="2"/>
  <c r="AB113" i="5" s="1"/>
  <c r="AZ140" i="2"/>
  <c r="BQ167" i="2"/>
  <c r="BP167" i="2"/>
  <c r="V118" i="5"/>
  <c r="AO51" i="2"/>
  <c r="AT51" i="2"/>
  <c r="AL196" i="2"/>
  <c r="V112" i="5" s="1"/>
  <c r="AJ196" i="2"/>
  <c r="T112" i="5"/>
  <c r="AI196" i="2"/>
  <c r="AK196" i="2"/>
  <c r="BP196" i="2"/>
  <c r="BQ196" i="2"/>
  <c r="BA94" i="2"/>
  <c r="BC94" i="2"/>
  <c r="AZ94" i="2"/>
  <c r="BB94" i="2"/>
  <c r="AD30" i="5"/>
  <c r="BL90" i="2"/>
  <c r="BK90" i="2"/>
  <c r="BM90" i="2"/>
  <c r="BJ90" i="2"/>
  <c r="AT140" i="2"/>
  <c r="V113" i="5"/>
  <c r="AO140" i="2"/>
  <c r="BQ129" i="2"/>
  <c r="BP129" i="2"/>
  <c r="AO68" i="2"/>
  <c r="AT68" i="2"/>
  <c r="V79" i="5"/>
  <c r="BL88" i="2"/>
  <c r="AD121" i="5"/>
  <c r="BJ88" i="2"/>
  <c r="BK88" i="2"/>
  <c r="BM88" i="2"/>
  <c r="BQ179" i="2"/>
  <c r="BP179" i="2"/>
  <c r="BP173" i="2"/>
  <c r="BQ173" i="2"/>
  <c r="AZ154" i="2"/>
  <c r="BA154" i="2"/>
  <c r="BB154" i="2"/>
  <c r="BC154" i="2"/>
  <c r="AD34" i="5"/>
  <c r="BJ29" i="2"/>
  <c r="BL29" i="2"/>
  <c r="BM29" i="2"/>
  <c r="BK29" i="2"/>
  <c r="V122" i="5"/>
  <c r="AT116" i="2"/>
  <c r="AO116" i="2"/>
  <c r="BQ53" i="2"/>
  <c r="BP53" i="2"/>
  <c r="AT86" i="2"/>
  <c r="AO86" i="2"/>
  <c r="V67" i="5"/>
  <c r="V159" i="5"/>
  <c r="AT186" i="2"/>
  <c r="AO186" i="2"/>
  <c r="AD23" i="5"/>
  <c r="BJ135" i="2"/>
  <c r="BL135" i="2"/>
  <c r="BK135" i="2"/>
  <c r="BM135" i="2"/>
  <c r="BR2" i="2"/>
  <c r="BS69" i="2" s="1"/>
  <c r="AD18" i="5"/>
  <c r="BK130" i="2"/>
  <c r="BM130" i="2"/>
  <c r="BJ130" i="2"/>
  <c r="BL130" i="2"/>
  <c r="BP9" i="2"/>
  <c r="BQ9" i="2"/>
  <c r="AI157" i="2"/>
  <c r="AJ157" i="2"/>
  <c r="T117" i="5"/>
  <c r="AK157" i="2"/>
  <c r="AL157" i="2"/>
  <c r="V117" i="5" s="1"/>
  <c r="AD61" i="5"/>
  <c r="BL28" i="2"/>
  <c r="BM28" i="2"/>
  <c r="BK28" i="2"/>
  <c r="BJ28" i="2"/>
  <c r="BL144" i="2"/>
  <c r="AD142" i="5"/>
  <c r="BK144" i="2"/>
  <c r="BM144" i="2"/>
  <c r="BJ144" i="2"/>
  <c r="BC184" i="2"/>
  <c r="BB184" i="2"/>
  <c r="BA184" i="2"/>
  <c r="AZ184" i="2"/>
  <c r="T76" i="5"/>
  <c r="AJ187" i="2"/>
  <c r="AI187" i="2"/>
  <c r="AL187" i="2"/>
  <c r="AK187" i="2"/>
  <c r="BQ62" i="2"/>
  <c r="BP62" i="2"/>
  <c r="BM163" i="2"/>
  <c r="BL163" i="2"/>
  <c r="BK163" i="2"/>
  <c r="AD188" i="5"/>
  <c r="BJ163" i="2"/>
  <c r="BL149" i="2"/>
  <c r="BJ149" i="2"/>
  <c r="AD28" i="5"/>
  <c r="BM149" i="2"/>
  <c r="BK149" i="2"/>
  <c r="AT166" i="2"/>
  <c r="AO166" i="2"/>
  <c r="AA189" i="2"/>
  <c r="Y189" i="2"/>
  <c r="P160" i="5"/>
  <c r="AB189" i="2"/>
  <c r="Z189" i="2"/>
  <c r="AD82" i="5"/>
  <c r="BK136" i="2"/>
  <c r="BJ136" i="2"/>
  <c r="BL136" i="2"/>
  <c r="BM136" i="2"/>
  <c r="P134" i="5"/>
  <c r="Z75" i="2"/>
  <c r="AA75" i="2"/>
  <c r="AB75" i="2"/>
  <c r="R134" i="5" s="1"/>
  <c r="Y75" i="2"/>
  <c r="AZ38" i="2"/>
  <c r="BA38" i="2"/>
  <c r="BC38" i="2"/>
  <c r="BB38" i="2"/>
  <c r="AD166" i="5"/>
  <c r="BJ112" i="2"/>
  <c r="BL112" i="2"/>
  <c r="BM112" i="2"/>
  <c r="BK112" i="2"/>
  <c r="BB51" i="2"/>
  <c r="BA51" i="2"/>
  <c r="AZ51" i="2"/>
  <c r="BC51" i="2"/>
  <c r="AO61" i="2"/>
  <c r="V95" i="5"/>
  <c r="AT61" i="2"/>
  <c r="AI113" i="2"/>
  <c r="T155" i="5"/>
  <c r="AK113" i="2"/>
  <c r="AJ113" i="2"/>
  <c r="AL113" i="2"/>
  <c r="BP41" i="2"/>
  <c r="BQ41" i="2"/>
  <c r="BC96" i="2"/>
  <c r="BA96" i="2"/>
  <c r="AZ96" i="2"/>
  <c r="BB96" i="2"/>
  <c r="T116" i="5"/>
  <c r="AL165" i="2"/>
  <c r="AI165" i="2"/>
  <c r="AJ165" i="2"/>
  <c r="AK165" i="2"/>
  <c r="J121" i="2"/>
  <c r="J187" i="2"/>
  <c r="J120" i="2"/>
  <c r="J157" i="2"/>
  <c r="J30" i="2"/>
  <c r="J116" i="2"/>
  <c r="J119" i="2"/>
  <c r="J122" i="2"/>
  <c r="J169" i="2"/>
  <c r="J99" i="2"/>
  <c r="J150" i="2"/>
  <c r="J194" i="2"/>
  <c r="J110" i="2"/>
  <c r="J132" i="2"/>
  <c r="J92" i="2"/>
  <c r="J197" i="2"/>
  <c r="J195" i="2"/>
  <c r="J191" i="2"/>
  <c r="J112" i="2"/>
  <c r="J6" i="2"/>
  <c r="J14" i="2"/>
  <c r="J21" i="2"/>
  <c r="J87" i="2"/>
  <c r="J32" i="2"/>
  <c r="J138" i="2"/>
  <c r="J81" i="2"/>
  <c r="J143" i="2"/>
  <c r="J126" i="2"/>
  <c r="J142" i="2"/>
  <c r="J26" i="2"/>
  <c r="J152" i="2"/>
  <c r="J48" i="2"/>
  <c r="J24" i="2"/>
  <c r="J135" i="2"/>
  <c r="J137" i="2"/>
  <c r="J133" i="2"/>
  <c r="J44" i="2"/>
  <c r="J188" i="2"/>
  <c r="J129" i="2"/>
  <c r="J61" i="2"/>
  <c r="J29" i="2"/>
  <c r="J22" i="2"/>
  <c r="J33" i="2"/>
  <c r="J158" i="2"/>
  <c r="J104" i="2"/>
  <c r="J190" i="2"/>
  <c r="J164" i="2"/>
  <c r="J86" i="2"/>
  <c r="J58" i="2"/>
  <c r="J171" i="2"/>
  <c r="J63" i="2"/>
  <c r="J166" i="2"/>
  <c r="J51" i="2"/>
  <c r="J40" i="2"/>
  <c r="J199" i="2"/>
  <c r="J68" i="2"/>
  <c r="J64" i="2"/>
  <c r="J123" i="2"/>
  <c r="J168" i="2"/>
  <c r="J75" i="2"/>
  <c r="J136" i="2"/>
  <c r="J149" i="2"/>
  <c r="J189" i="2"/>
  <c r="J82" i="2"/>
  <c r="J196" i="2"/>
  <c r="J66" i="2"/>
  <c r="J172" i="2"/>
  <c r="J106" i="2"/>
  <c r="J185" i="2"/>
  <c r="J94" i="2"/>
  <c r="J37" i="2"/>
  <c r="J175" i="2"/>
  <c r="J76" i="2"/>
  <c r="J130" i="2"/>
  <c r="J49" i="2"/>
  <c r="J90" i="2"/>
  <c r="J115" i="2"/>
  <c r="J176" i="2"/>
  <c r="J55" i="2"/>
  <c r="J134" i="2"/>
  <c r="J117" i="2"/>
  <c r="J131" i="2"/>
  <c r="J95" i="2"/>
  <c r="J31" i="2"/>
  <c r="J78" i="2"/>
  <c r="J96" i="2"/>
  <c r="J141" i="2"/>
  <c r="J153" i="2"/>
  <c r="J109" i="2"/>
  <c r="J151" i="2"/>
  <c r="J36" i="2"/>
  <c r="J4" i="2"/>
  <c r="J43" i="2"/>
  <c r="J108" i="2"/>
  <c r="J100" i="2"/>
  <c r="J147" i="2"/>
  <c r="J62" i="2"/>
  <c r="J182" i="2"/>
  <c r="J19" i="2"/>
  <c r="J193" i="2"/>
  <c r="J59" i="2"/>
  <c r="J93" i="2"/>
  <c r="J89" i="2"/>
  <c r="J12" i="2"/>
  <c r="J179" i="2"/>
  <c r="J128" i="2"/>
  <c r="J192" i="2"/>
  <c r="J163" i="2"/>
  <c r="J69" i="2"/>
  <c r="J162" i="2"/>
  <c r="J57" i="2"/>
  <c r="J85" i="2"/>
  <c r="J177" i="2"/>
  <c r="J97" i="2"/>
  <c r="J9" i="2"/>
  <c r="J180" i="2"/>
  <c r="J91" i="2"/>
  <c r="J11" i="2"/>
  <c r="J146" i="2"/>
  <c r="J39" i="2"/>
  <c r="J13" i="2"/>
  <c r="J50" i="2"/>
  <c r="J65" i="2"/>
  <c r="J111" i="2"/>
  <c r="J124" i="2"/>
  <c r="J139" i="2"/>
  <c r="J184" i="2"/>
  <c r="J125" i="2"/>
  <c r="J34" i="2"/>
  <c r="J103" i="2"/>
  <c r="J67" i="2"/>
  <c r="J84" i="2"/>
  <c r="J127" i="2"/>
  <c r="J181" i="2"/>
  <c r="J38" i="2"/>
  <c r="J23" i="2"/>
  <c r="J71" i="2"/>
  <c r="J140" i="2"/>
  <c r="J27" i="2"/>
  <c r="J183" i="2"/>
  <c r="J18" i="2"/>
  <c r="J107" i="2"/>
  <c r="J73" i="2"/>
  <c r="J53" i="2"/>
  <c r="J79" i="2"/>
  <c r="J102" i="2"/>
  <c r="J54" i="2"/>
  <c r="J5" i="2"/>
  <c r="J114" i="2"/>
  <c r="J17" i="2"/>
  <c r="J148" i="2"/>
  <c r="J105" i="2"/>
  <c r="J161" i="2"/>
  <c r="J118" i="2"/>
  <c r="J41" i="2"/>
  <c r="J42" i="2"/>
  <c r="J186" i="2"/>
  <c r="J16" i="2"/>
  <c r="J88" i="2"/>
  <c r="J35" i="2"/>
  <c r="J170" i="2"/>
  <c r="J72" i="2"/>
  <c r="J28" i="2"/>
  <c r="J160" i="2"/>
  <c r="J200" i="2"/>
  <c r="J45" i="2"/>
  <c r="J178" i="2"/>
  <c r="J25" i="2"/>
  <c r="J56" i="2"/>
  <c r="J174" i="2"/>
  <c r="J83" i="2"/>
  <c r="J60" i="2"/>
  <c r="J70" i="2"/>
  <c r="J15" i="2"/>
  <c r="J144" i="2"/>
  <c r="J159" i="2"/>
  <c r="J77" i="2"/>
  <c r="J173" i="2"/>
  <c r="J47" i="2"/>
  <c r="J80" i="2"/>
  <c r="J101" i="2"/>
  <c r="J198" i="2"/>
  <c r="J98" i="2"/>
  <c r="J52" i="2"/>
  <c r="J74" i="2"/>
  <c r="J46" i="2"/>
  <c r="J113" i="2"/>
  <c r="J145" i="2"/>
  <c r="J10" i="2"/>
  <c r="J8" i="2"/>
  <c r="J20" i="2"/>
  <c r="J154" i="2"/>
  <c r="J165" i="2"/>
  <c r="J156" i="2"/>
  <c r="J167" i="2"/>
  <c r="BZ38" i="2" l="1"/>
  <c r="BW4" i="2"/>
  <c r="BZ183" i="2"/>
  <c r="BZ74" i="2"/>
  <c r="BZ141" i="2"/>
  <c r="BW129" i="2"/>
  <c r="BZ100" i="2"/>
  <c r="BW110" i="2"/>
  <c r="BZ70" i="2"/>
  <c r="BZ95" i="2"/>
  <c r="BZ76" i="2"/>
  <c r="BZ37" i="2"/>
  <c r="BW6" i="2"/>
  <c r="BW152" i="2"/>
  <c r="BW58" i="2"/>
  <c r="BW50" i="2"/>
  <c r="BW38" i="2"/>
  <c r="BW90" i="2"/>
  <c r="BZ45" i="2"/>
  <c r="BW19" i="2"/>
  <c r="BZ148" i="2"/>
  <c r="BW14" i="2"/>
  <c r="BW17" i="2"/>
  <c r="BZ112" i="2"/>
  <c r="BZ188" i="2"/>
  <c r="BW12" i="2"/>
  <c r="BZ161" i="2"/>
  <c r="BZ165" i="2"/>
  <c r="BZ25" i="2"/>
  <c r="BZ127" i="2"/>
  <c r="BZ129" i="2"/>
  <c r="BW126" i="2"/>
  <c r="BW200" i="2"/>
  <c r="BW194" i="2"/>
  <c r="BZ182" i="2"/>
  <c r="BZ29" i="2"/>
  <c r="BW102" i="2"/>
  <c r="BW190" i="2"/>
  <c r="BW198" i="2"/>
  <c r="BW11" i="2"/>
  <c r="BW112" i="2"/>
  <c r="BW43" i="2"/>
  <c r="BW130" i="2"/>
  <c r="BW192" i="2"/>
  <c r="BW182" i="2"/>
  <c r="BW176" i="2"/>
  <c r="BW76" i="2"/>
  <c r="BW145" i="2"/>
  <c r="BW136" i="2"/>
  <c r="BW75" i="2"/>
  <c r="BZ151" i="2"/>
  <c r="BZ85" i="2"/>
  <c r="BW111" i="2"/>
  <c r="BZ23" i="2"/>
  <c r="BZ17" i="2"/>
  <c r="BZ60" i="2"/>
  <c r="BW91" i="2"/>
  <c r="BZ59" i="2"/>
  <c r="BW57" i="2"/>
  <c r="BW131" i="2"/>
  <c r="BZ143" i="2"/>
  <c r="BW154" i="2"/>
  <c r="BZ105" i="2"/>
  <c r="BZ172" i="2"/>
  <c r="BW29" i="2"/>
  <c r="BW56" i="2"/>
  <c r="BW99" i="2"/>
  <c r="BW169" i="2"/>
  <c r="BW16" i="2"/>
  <c r="BZ108" i="2"/>
  <c r="BW184" i="2"/>
  <c r="BZ125" i="2"/>
  <c r="BW34" i="2"/>
  <c r="BW8" i="2"/>
  <c r="BZ150" i="2"/>
  <c r="BW52" i="2"/>
  <c r="BW71" i="2"/>
  <c r="BW85" i="2"/>
  <c r="BZ20" i="2"/>
  <c r="BZ180" i="2"/>
  <c r="BW114" i="2"/>
  <c r="BW170" i="2"/>
  <c r="BZ61" i="2"/>
  <c r="BZ47" i="2"/>
  <c r="BW68" i="2"/>
  <c r="BW133" i="2"/>
  <c r="BW165" i="2"/>
  <c r="BZ149" i="2"/>
  <c r="BW164" i="2"/>
  <c r="BW187" i="2"/>
  <c r="BZ64" i="2"/>
  <c r="BW137" i="2"/>
  <c r="BZ13" i="2"/>
  <c r="BW28" i="2"/>
  <c r="BW40" i="2"/>
  <c r="BW77" i="2"/>
  <c r="BZ22" i="2"/>
  <c r="BW84" i="2"/>
  <c r="BW189" i="2"/>
  <c r="BW162" i="2"/>
  <c r="BZ119" i="2"/>
  <c r="BW128" i="2"/>
  <c r="BW47" i="2"/>
  <c r="BZ116" i="2"/>
  <c r="BZ86" i="2"/>
  <c r="BZ98" i="2"/>
  <c r="BW132" i="2"/>
  <c r="BZ186" i="2"/>
  <c r="BW179" i="2"/>
  <c r="BZ146" i="2"/>
  <c r="BZ113" i="2"/>
  <c r="BZ19" i="2"/>
  <c r="BW65" i="2"/>
  <c r="BZ200" i="2"/>
  <c r="BZ89" i="2"/>
  <c r="BW98" i="2"/>
  <c r="BZ174" i="2"/>
  <c r="BW100" i="2"/>
  <c r="BZ114" i="2"/>
  <c r="BW15" i="2"/>
  <c r="BZ68" i="2"/>
  <c r="BW70" i="2"/>
  <c r="BW95" i="2"/>
  <c r="BW36" i="2"/>
  <c r="BW127" i="2"/>
  <c r="BZ35" i="2"/>
  <c r="BZ66" i="2"/>
  <c r="BZ42" i="2"/>
  <c r="BW195" i="2"/>
  <c r="BW199" i="2"/>
  <c r="BW124" i="2"/>
  <c r="BZ63" i="2"/>
  <c r="BZ175" i="2"/>
  <c r="BW105" i="2"/>
  <c r="BW72" i="2"/>
  <c r="BW197" i="2"/>
  <c r="BW193" i="2"/>
  <c r="BZ134" i="2"/>
  <c r="BZ121" i="2"/>
  <c r="BW18" i="2"/>
  <c r="BW32" i="2"/>
  <c r="BZ144" i="2"/>
  <c r="BW117" i="2"/>
  <c r="BW140" i="2"/>
  <c r="BZ31" i="2"/>
  <c r="BZ196" i="2"/>
  <c r="BW149" i="2"/>
  <c r="BZ184" i="2"/>
  <c r="BW54" i="2"/>
  <c r="BZ9" i="2"/>
  <c r="BZ14" i="2"/>
  <c r="BZ87" i="2"/>
  <c r="BZ8" i="2"/>
  <c r="BZ32" i="2"/>
  <c r="BW144" i="2"/>
  <c r="BW146" i="2"/>
  <c r="BZ26" i="2"/>
  <c r="BZ168" i="2"/>
  <c r="BZ126" i="2"/>
  <c r="BZ195" i="2"/>
  <c r="BW26" i="2"/>
  <c r="BZ160" i="2"/>
  <c r="BZ159" i="2"/>
  <c r="BZ72" i="2"/>
  <c r="BW83" i="2"/>
  <c r="BZ6" i="2"/>
  <c r="BZ162" i="2"/>
  <c r="BZ88" i="2"/>
  <c r="BZ11" i="2"/>
  <c r="BZ53" i="2"/>
  <c r="BW121" i="2"/>
  <c r="BZ99" i="2"/>
  <c r="BZ131" i="2"/>
  <c r="BW147" i="2"/>
  <c r="BW20" i="2"/>
  <c r="BZ124" i="2"/>
  <c r="BW94" i="2"/>
  <c r="BW138" i="2"/>
  <c r="BZ71" i="2"/>
  <c r="BW150" i="2"/>
  <c r="BZ67" i="2"/>
  <c r="BW172" i="2"/>
  <c r="BW118" i="2"/>
  <c r="BZ120" i="2"/>
  <c r="BZ48" i="2"/>
  <c r="BW44" i="2"/>
  <c r="BW160" i="2"/>
  <c r="BZ106" i="2"/>
  <c r="BW80" i="2"/>
  <c r="BW46" i="2"/>
  <c r="BW69" i="2"/>
  <c r="BZ138" i="2"/>
  <c r="BW183" i="2"/>
  <c r="BW41" i="2"/>
  <c r="BW96" i="2"/>
  <c r="BW119" i="2"/>
  <c r="BZ154" i="2"/>
  <c r="BW151" i="2"/>
  <c r="BW73" i="2"/>
  <c r="BZ197" i="2"/>
  <c r="BW174" i="2"/>
  <c r="BZ115" i="2"/>
  <c r="BZ16" i="2"/>
  <c r="BZ171" i="2"/>
  <c r="BW9" i="2"/>
  <c r="BZ97" i="2"/>
  <c r="BW92" i="2"/>
  <c r="BZ18" i="2"/>
  <c r="BZ73" i="2"/>
  <c r="BZ158" i="2"/>
  <c r="BW31" i="2"/>
  <c r="BW97" i="2"/>
  <c r="BZ122" i="2"/>
  <c r="BZ136" i="2"/>
  <c r="BZ135" i="2"/>
  <c r="BW59" i="2"/>
  <c r="BZ153" i="2"/>
  <c r="BW143" i="2"/>
  <c r="BZ102" i="2"/>
  <c r="BZ33" i="2"/>
  <c r="BW108" i="2"/>
  <c r="BW93" i="2"/>
  <c r="BZ58" i="2"/>
  <c r="BZ164" i="2"/>
  <c r="BZ36" i="2"/>
  <c r="BW185" i="2"/>
  <c r="BW82" i="2"/>
  <c r="BZ147" i="2"/>
  <c r="BW125" i="2"/>
  <c r="BZ28" i="2"/>
  <c r="BW161" i="2"/>
  <c r="BW155" i="2"/>
  <c r="BW139" i="2"/>
  <c r="BZ177" i="2"/>
  <c r="BZ4" i="2"/>
  <c r="BW106" i="2"/>
  <c r="BZ181" i="2"/>
  <c r="BW188" i="2"/>
  <c r="BZ43" i="2"/>
  <c r="BW135" i="2"/>
  <c r="BW37" i="2"/>
  <c r="BZ91" i="2"/>
  <c r="BW21" i="2"/>
  <c r="BZ198" i="2"/>
  <c r="BW177" i="2"/>
  <c r="BZ94" i="2"/>
  <c r="BZ39" i="2"/>
  <c r="BZ41" i="2"/>
  <c r="BZ12" i="2"/>
  <c r="BZ81" i="2"/>
  <c r="BW113" i="2"/>
  <c r="BZ83" i="2"/>
  <c r="BW55" i="2"/>
  <c r="BZ169" i="2"/>
  <c r="BZ190" i="2"/>
  <c r="BZ65" i="2"/>
  <c r="BZ21" i="2"/>
  <c r="BZ193" i="2"/>
  <c r="BZ132" i="2"/>
  <c r="BW87" i="2"/>
  <c r="BZ107" i="2"/>
  <c r="BZ123" i="2"/>
  <c r="BZ44" i="2"/>
  <c r="BZ167" i="2"/>
  <c r="BW61" i="2"/>
  <c r="BZ173" i="2"/>
  <c r="BZ84" i="2"/>
  <c r="BZ52" i="2"/>
  <c r="BZ62" i="2"/>
  <c r="BW23" i="2"/>
  <c r="BW78" i="2"/>
  <c r="BZ15" i="2"/>
  <c r="BZ145" i="2"/>
  <c r="BW157" i="2"/>
  <c r="BW104" i="2"/>
  <c r="BW74" i="2"/>
  <c r="BZ157" i="2"/>
  <c r="BW134" i="2"/>
  <c r="BW66" i="2"/>
  <c r="BZ109" i="2"/>
  <c r="BZ24" i="2"/>
  <c r="BZ199" i="2"/>
  <c r="BW64" i="2"/>
  <c r="BZ57" i="2"/>
  <c r="BW42" i="2"/>
  <c r="BZ10" i="2"/>
  <c r="BW186" i="2"/>
  <c r="BW167" i="2"/>
  <c r="BW101" i="2"/>
  <c r="BW7" i="2"/>
  <c r="BW86" i="2"/>
  <c r="BW103" i="2"/>
  <c r="BW63" i="2"/>
  <c r="BW142" i="2"/>
  <c r="BZ96" i="2"/>
  <c r="BZ140" i="2"/>
  <c r="BZ176" i="2"/>
  <c r="BZ117" i="2"/>
  <c r="BW156" i="2"/>
  <c r="BZ178" i="2"/>
  <c r="BZ110" i="2"/>
  <c r="BZ46" i="2"/>
  <c r="BZ56" i="2"/>
  <c r="BW178" i="2"/>
  <c r="BZ139" i="2"/>
  <c r="BZ69" i="2"/>
  <c r="BZ92" i="2"/>
  <c r="BZ163" i="2"/>
  <c r="BW27" i="2"/>
  <c r="BW5" i="2"/>
  <c r="BZ111" i="2"/>
  <c r="BW153" i="2"/>
  <c r="BZ166" i="2"/>
  <c r="BZ50" i="2"/>
  <c r="BW62" i="2"/>
  <c r="BZ7" i="2"/>
  <c r="BW191" i="2"/>
  <c r="BZ179" i="2"/>
  <c r="BZ78" i="2"/>
  <c r="BZ103" i="2"/>
  <c r="BZ101" i="2"/>
  <c r="BZ79" i="2"/>
  <c r="BZ170" i="2"/>
  <c r="BZ34" i="2"/>
  <c r="BZ137" i="2"/>
  <c r="BZ189" i="2"/>
  <c r="BZ5" i="2"/>
  <c r="BW196" i="2"/>
  <c r="BZ194" i="2"/>
  <c r="BZ142" i="2"/>
  <c r="BW181" i="2"/>
  <c r="BW148" i="2"/>
  <c r="BW175" i="2"/>
  <c r="BW51" i="2"/>
  <c r="BW25" i="2"/>
  <c r="BW116" i="2"/>
  <c r="BW107" i="2"/>
  <c r="BW22" i="2"/>
  <c r="BZ128" i="2"/>
  <c r="BW123" i="2"/>
  <c r="BZ152" i="2"/>
  <c r="BZ49" i="2"/>
  <c r="BW166" i="2"/>
  <c r="BW67" i="2"/>
  <c r="BZ51" i="2"/>
  <c r="BW171" i="2"/>
  <c r="BW39" i="2"/>
  <c r="BZ55" i="2"/>
  <c r="BW60" i="2"/>
  <c r="BZ54" i="2"/>
  <c r="BW13" i="2"/>
  <c r="BZ77" i="2"/>
  <c r="BZ75" i="2"/>
  <c r="BW163" i="2"/>
  <c r="BZ155" i="2"/>
  <c r="BZ30" i="2"/>
  <c r="BW120" i="2"/>
  <c r="BZ90" i="2"/>
  <c r="BZ156" i="2"/>
  <c r="BW115" i="2"/>
  <c r="BW173" i="2"/>
  <c r="BW10" i="2"/>
  <c r="BZ82" i="2"/>
  <c r="BW48" i="2"/>
  <c r="BZ80" i="2"/>
  <c r="BW45" i="2"/>
  <c r="BZ130" i="2"/>
  <c r="BW159" i="2"/>
  <c r="BW35" i="2"/>
  <c r="BW122" i="2"/>
  <c r="BW30" i="2"/>
  <c r="BW89" i="2"/>
  <c r="BW79" i="2"/>
  <c r="BZ40" i="2"/>
  <c r="BW81" i="2"/>
  <c r="BW180" i="2"/>
  <c r="BW24" i="2"/>
  <c r="BZ27" i="2"/>
  <c r="BW109" i="2"/>
  <c r="BZ104" i="2"/>
  <c r="BW88" i="2"/>
  <c r="BZ93" i="2"/>
  <c r="BW141" i="2"/>
  <c r="BZ133" i="2"/>
  <c r="BW49" i="2"/>
  <c r="BZ185" i="2"/>
  <c r="BZ192" i="2"/>
  <c r="BZ191" i="2"/>
  <c r="BW168" i="2"/>
  <c r="BW53" i="2"/>
  <c r="BZ187" i="2"/>
  <c r="BW158" i="2"/>
  <c r="BW33" i="2"/>
  <c r="BZ118" i="2"/>
  <c r="V53" i="5"/>
  <c r="V171" i="5"/>
  <c r="V86" i="5"/>
  <c r="V184" i="5"/>
  <c r="V196" i="5"/>
  <c r="V119" i="5"/>
  <c r="T87" i="5"/>
  <c r="T114" i="5"/>
  <c r="V78" i="5"/>
  <c r="AD124" i="5"/>
  <c r="V65" i="5"/>
  <c r="T88" i="5"/>
  <c r="T71" i="5"/>
  <c r="R26" i="5"/>
  <c r="R52" i="5"/>
  <c r="AB146" i="5"/>
  <c r="V14" i="5"/>
  <c r="V82" i="5"/>
  <c r="R168" i="5"/>
  <c r="AB54" i="5"/>
  <c r="AD192" i="5"/>
  <c r="AB185" i="5"/>
  <c r="R167" i="5"/>
  <c r="R192" i="5"/>
  <c r="V83" i="5"/>
  <c r="AB147" i="5"/>
  <c r="R153" i="5"/>
  <c r="AB111" i="5"/>
  <c r="R92" i="5"/>
  <c r="R24" i="5"/>
  <c r="V147" i="5"/>
  <c r="AB58" i="5"/>
  <c r="AB101" i="5"/>
  <c r="AD4" i="5"/>
  <c r="AB94" i="5"/>
  <c r="T94" i="5"/>
  <c r="AB95" i="5"/>
  <c r="AD72" i="5"/>
  <c r="T105" i="5"/>
  <c r="R62" i="5"/>
  <c r="AB88" i="5"/>
  <c r="R136" i="5"/>
  <c r="AB125" i="5"/>
  <c r="R16" i="5"/>
  <c r="R36" i="5"/>
  <c r="AB33" i="5"/>
  <c r="R75" i="5"/>
  <c r="R13" i="5"/>
  <c r="R76" i="5"/>
  <c r="T176" i="5"/>
  <c r="AB27" i="5"/>
  <c r="V93" i="5"/>
  <c r="R61" i="5"/>
  <c r="AB76" i="5"/>
  <c r="R123" i="5"/>
  <c r="R17" i="5"/>
  <c r="R88" i="5"/>
  <c r="AB180" i="5"/>
  <c r="R6" i="5"/>
  <c r="V76" i="5"/>
  <c r="V186" i="5"/>
  <c r="AB149" i="5"/>
  <c r="T170" i="5"/>
  <c r="AB109" i="5"/>
  <c r="T161" i="5"/>
  <c r="AB74" i="5"/>
  <c r="AB98" i="5"/>
  <c r="AB4" i="5"/>
  <c r="AB60" i="5"/>
  <c r="AB104" i="5"/>
  <c r="AB150" i="5"/>
  <c r="AB134" i="5"/>
  <c r="V108" i="5"/>
  <c r="V64" i="5"/>
  <c r="AB165" i="5"/>
  <c r="AB102" i="5"/>
  <c r="AB31" i="5"/>
  <c r="AB143" i="5"/>
  <c r="V138" i="5"/>
  <c r="AB69" i="5"/>
  <c r="R149" i="5"/>
  <c r="AB155" i="5"/>
  <c r="AB181" i="5"/>
  <c r="R57" i="5"/>
  <c r="T190" i="5"/>
  <c r="AB86" i="5"/>
  <c r="R127" i="5"/>
  <c r="AD107" i="5"/>
  <c r="AB120" i="5"/>
  <c r="V107" i="5"/>
  <c r="AB59" i="5"/>
  <c r="R71" i="5"/>
  <c r="R22" i="5"/>
  <c r="AB153" i="5"/>
  <c r="R91" i="5"/>
  <c r="V87" i="5"/>
  <c r="R98" i="5"/>
  <c r="V125" i="5"/>
  <c r="V38" i="5"/>
  <c r="R97" i="5"/>
  <c r="V18" i="5"/>
  <c r="AD167" i="5"/>
  <c r="R124" i="5"/>
  <c r="V35" i="5"/>
  <c r="V34" i="5"/>
  <c r="R85" i="5"/>
  <c r="T4" i="5"/>
  <c r="V15" i="5"/>
  <c r="R96" i="5"/>
  <c r="T65" i="5"/>
  <c r="T153" i="5"/>
  <c r="AD165" i="5"/>
  <c r="AB85" i="5"/>
  <c r="R173" i="5"/>
  <c r="R54" i="5"/>
  <c r="R190" i="5"/>
  <c r="AD26" i="5"/>
  <c r="AB136" i="5"/>
  <c r="AB35" i="5"/>
  <c r="R42" i="5"/>
  <c r="R66" i="5"/>
  <c r="AB50" i="5"/>
  <c r="R65" i="5"/>
  <c r="R28" i="5"/>
  <c r="AB148" i="5"/>
  <c r="AB123" i="5"/>
  <c r="V116" i="5"/>
  <c r="V155" i="5"/>
  <c r="AB118" i="5"/>
  <c r="R160" i="5"/>
  <c r="V143" i="5"/>
  <c r="V150" i="5"/>
  <c r="AB66" i="5"/>
  <c r="R33" i="5"/>
  <c r="R29" i="5"/>
  <c r="AB162" i="5"/>
  <c r="V57" i="5"/>
  <c r="AB129" i="5"/>
  <c r="V81" i="5"/>
  <c r="R59" i="5"/>
  <c r="R37" i="5"/>
  <c r="V172" i="5"/>
  <c r="V110" i="5"/>
  <c r="AB105" i="5"/>
  <c r="AB161" i="5"/>
  <c r="R164" i="5"/>
  <c r="R12" i="5"/>
  <c r="T174" i="5"/>
  <c r="R93" i="5"/>
  <c r="AB154" i="5"/>
  <c r="AB160" i="5"/>
  <c r="R189" i="5"/>
  <c r="T77" i="5"/>
  <c r="R175" i="5"/>
  <c r="AB61" i="5"/>
  <c r="AD57" i="5"/>
  <c r="R195" i="5"/>
  <c r="V40" i="5"/>
  <c r="AB16" i="5"/>
  <c r="AB112" i="5"/>
  <c r="R141" i="5"/>
  <c r="R58" i="5"/>
  <c r="T110" i="5"/>
  <c r="V17" i="5"/>
  <c r="V134" i="5"/>
  <c r="AD24" i="5"/>
  <c r="R113" i="5"/>
  <c r="AB7" i="5"/>
  <c r="AB192" i="5"/>
  <c r="V123" i="5"/>
  <c r="R132" i="5"/>
  <c r="V30" i="5"/>
  <c r="T33" i="5"/>
  <c r="AB152" i="5"/>
  <c r="AB97" i="5"/>
  <c r="R47" i="5"/>
  <c r="AB40" i="5"/>
  <c r="R90" i="5"/>
  <c r="AB13" i="5"/>
  <c r="V160" i="5"/>
  <c r="T53" i="5"/>
  <c r="R121" i="5"/>
  <c r="R118" i="5"/>
  <c r="AB45" i="5"/>
  <c r="T22" i="5"/>
  <c r="R43" i="5"/>
  <c r="R15" i="5"/>
  <c r="R84" i="5"/>
  <c r="AB43" i="5"/>
  <c r="AB108" i="5"/>
  <c r="R142" i="5"/>
  <c r="R14" i="5"/>
  <c r="AB99" i="5"/>
  <c r="AB199" i="5"/>
  <c r="R35" i="5"/>
  <c r="R170" i="5"/>
  <c r="V41" i="5"/>
  <c r="AB79" i="5"/>
  <c r="T149" i="5"/>
  <c r="T148" i="5"/>
  <c r="AB131" i="5"/>
  <c r="AB5" i="5"/>
  <c r="AD77" i="5"/>
  <c r="AB24" i="5"/>
  <c r="R159" i="5"/>
  <c r="T24" i="5"/>
  <c r="R23" i="5"/>
  <c r="T80" i="5"/>
  <c r="AB100" i="5"/>
  <c r="AB163" i="5"/>
  <c r="R10" i="5"/>
  <c r="R185" i="5"/>
  <c r="R126" i="5"/>
  <c r="AB20" i="5"/>
  <c r="AB12" i="5"/>
  <c r="R188" i="5"/>
  <c r="AD151" i="5"/>
  <c r="V146" i="5"/>
  <c r="R40" i="5"/>
  <c r="V29" i="5"/>
  <c r="AB14" i="5"/>
  <c r="AB26" i="5"/>
  <c r="R103" i="5"/>
  <c r="R105" i="5"/>
  <c r="AB164" i="5"/>
  <c r="R129" i="5"/>
  <c r="R194" i="5"/>
  <c r="T45" i="5"/>
  <c r="AD68" i="5"/>
  <c r="V111" i="5"/>
  <c r="AD87" i="5"/>
  <c r="AB9" i="5"/>
  <c r="AB63" i="5"/>
  <c r="AB8" i="5"/>
  <c r="V166" i="5"/>
  <c r="AB75" i="5"/>
  <c r="V48" i="5"/>
  <c r="V44" i="5"/>
  <c r="R72" i="5"/>
  <c r="R83" i="5"/>
  <c r="R158" i="5"/>
  <c r="T173" i="5"/>
  <c r="AD105" i="5"/>
  <c r="AD182" i="5"/>
  <c r="R176" i="5"/>
  <c r="R144" i="5"/>
  <c r="AD196" i="5"/>
  <c r="V169" i="5"/>
  <c r="T164" i="5"/>
  <c r="R143" i="5"/>
  <c r="R82" i="5"/>
  <c r="AB25" i="5"/>
  <c r="AB141" i="5"/>
  <c r="R155" i="5"/>
  <c r="R193" i="5"/>
  <c r="R157" i="5"/>
  <c r="R32" i="5"/>
  <c r="R161" i="5"/>
  <c r="V98" i="5"/>
  <c r="T199" i="5"/>
  <c r="AB46" i="5"/>
  <c r="AB174" i="5"/>
  <c r="AB171" i="5"/>
  <c r="V70" i="5"/>
  <c r="AB191" i="5"/>
  <c r="AD190" i="5"/>
  <c r="R34" i="5"/>
  <c r="V91" i="5"/>
  <c r="V129" i="5"/>
  <c r="T192" i="5"/>
  <c r="R139" i="5"/>
  <c r="R115" i="5"/>
  <c r="AB18" i="5"/>
  <c r="T35" i="5"/>
  <c r="R38" i="5"/>
  <c r="R73" i="5"/>
  <c r="R110" i="5"/>
  <c r="R179" i="5"/>
  <c r="R171" i="5"/>
  <c r="AB169" i="5"/>
  <c r="R79" i="5"/>
  <c r="R45" i="5"/>
  <c r="R116" i="5"/>
  <c r="V139" i="5"/>
  <c r="V135" i="5"/>
  <c r="AD152" i="5"/>
  <c r="R56" i="5"/>
  <c r="R89" i="5"/>
  <c r="R70" i="5"/>
  <c r="R114" i="5"/>
  <c r="R31" i="5"/>
  <c r="R178" i="5"/>
  <c r="R104" i="5"/>
  <c r="R77" i="5"/>
  <c r="AX186" i="2"/>
  <c r="Z159" i="5" s="1"/>
  <c r="AW186" i="2"/>
  <c r="AU186" i="2"/>
  <c r="AV186" i="2"/>
  <c r="CC186" i="2" s="1"/>
  <c r="AP140" i="2"/>
  <c r="AQ140" i="2" s="1"/>
  <c r="AS140" i="2"/>
  <c r="AP193" i="2"/>
  <c r="AQ193" i="2" s="1"/>
  <c r="AS193" i="2"/>
  <c r="BS167" i="2"/>
  <c r="AP88" i="2"/>
  <c r="AQ88" i="2" s="1"/>
  <c r="AS88" i="2"/>
  <c r="BS93" i="2"/>
  <c r="BT50" i="2"/>
  <c r="BT47" i="2"/>
  <c r="AV171" i="2"/>
  <c r="CC171" i="2" s="1"/>
  <c r="AU171" i="2"/>
  <c r="AX171" i="2"/>
  <c r="Z193" i="5" s="1"/>
  <c r="AW171" i="2"/>
  <c r="AP61" i="2"/>
  <c r="AQ61" i="2" s="1"/>
  <c r="AS61" i="2"/>
  <c r="BT138" i="2"/>
  <c r="BS80" i="2"/>
  <c r="BS56" i="2"/>
  <c r="BT90" i="2"/>
  <c r="AU20" i="2"/>
  <c r="AW20" i="2"/>
  <c r="AV20" i="2"/>
  <c r="CC20" i="2" s="1"/>
  <c r="AX20" i="2"/>
  <c r="Z5" i="5" s="1"/>
  <c r="AP199" i="2"/>
  <c r="AQ199" i="2" s="1"/>
  <c r="AS199" i="2"/>
  <c r="X189" i="5" s="1"/>
  <c r="AP86" i="2"/>
  <c r="AQ86" i="2" s="1"/>
  <c r="AS86" i="2"/>
  <c r="AP68" i="2"/>
  <c r="AQ68" i="2" s="1"/>
  <c r="AS68" i="2"/>
  <c r="BT66" i="2"/>
  <c r="AS126" i="2"/>
  <c r="AP126" i="2"/>
  <c r="AQ126" i="2" s="1"/>
  <c r="BS108" i="2"/>
  <c r="BS107" i="2"/>
  <c r="AV48" i="2"/>
  <c r="CC48" i="2" s="1"/>
  <c r="AW48" i="2"/>
  <c r="AX48" i="2"/>
  <c r="Z71" i="5" s="1"/>
  <c r="AU48" i="2"/>
  <c r="BT117" i="2"/>
  <c r="BS89" i="2"/>
  <c r="BT51" i="2"/>
  <c r="BS46" i="2"/>
  <c r="BT53" i="2"/>
  <c r="AU81" i="2"/>
  <c r="AX81" i="2"/>
  <c r="AV81" i="2"/>
  <c r="CC81" i="2" s="1"/>
  <c r="AW81" i="2"/>
  <c r="BS24" i="2"/>
  <c r="BS44" i="2"/>
  <c r="BS90" i="2"/>
  <c r="AX199" i="2"/>
  <c r="AV199" i="2"/>
  <c r="CC199" i="2" s="1"/>
  <c r="AW199" i="2"/>
  <c r="AU199" i="2"/>
  <c r="BT192" i="2"/>
  <c r="AS163" i="2"/>
  <c r="AP163" i="2"/>
  <c r="AQ163" i="2" s="1"/>
  <c r="BS40" i="2"/>
  <c r="BS95" i="2"/>
  <c r="BS147" i="2"/>
  <c r="BT68" i="2"/>
  <c r="BS11" i="2"/>
  <c r="AP49" i="2"/>
  <c r="AQ49" i="2" s="1"/>
  <c r="AS49" i="2"/>
  <c r="AS4" i="2"/>
  <c r="AP4" i="2"/>
  <c r="AQ4" i="2" s="1"/>
  <c r="BS83" i="2"/>
  <c r="BT179" i="2"/>
  <c r="BT157" i="2"/>
  <c r="AP167" i="2"/>
  <c r="AQ167" i="2" s="1"/>
  <c r="AS167" i="2"/>
  <c r="AV31" i="2"/>
  <c r="CC31" i="2" s="1"/>
  <c r="AX31" i="2"/>
  <c r="AU31" i="2"/>
  <c r="AW31" i="2"/>
  <c r="BS156" i="2"/>
  <c r="AP38" i="2"/>
  <c r="AQ38" i="2" s="1"/>
  <c r="AS38" i="2"/>
  <c r="BS189" i="2"/>
  <c r="AW173" i="2"/>
  <c r="AV173" i="2"/>
  <c r="CC173" i="2" s="1"/>
  <c r="AX173" i="2"/>
  <c r="AU173" i="2"/>
  <c r="AU18" i="2"/>
  <c r="AX18" i="2"/>
  <c r="AW18" i="2"/>
  <c r="AV18" i="2"/>
  <c r="CC18" i="2" s="1"/>
  <c r="AP181" i="2"/>
  <c r="AQ181" i="2" s="1"/>
  <c r="AS181" i="2"/>
  <c r="R28" i="2"/>
  <c r="O28" i="2"/>
  <c r="P28" i="2" s="1"/>
  <c r="BT152" i="2"/>
  <c r="AW138" i="2"/>
  <c r="AV138" i="2"/>
  <c r="CC138" i="2" s="1"/>
  <c r="AX138" i="2"/>
  <c r="AU138" i="2"/>
  <c r="BT127" i="2"/>
  <c r="BS62" i="2"/>
  <c r="AS178" i="2"/>
  <c r="AP178" i="2"/>
  <c r="AQ178" i="2" s="1"/>
  <c r="AS59" i="2"/>
  <c r="AP59" i="2"/>
  <c r="AQ59" i="2" s="1"/>
  <c r="AW112" i="2"/>
  <c r="AX112" i="2"/>
  <c r="Z166" i="5" s="1"/>
  <c r="AU112" i="2"/>
  <c r="AV112" i="2"/>
  <c r="CC112" i="2" s="1"/>
  <c r="BS137" i="2"/>
  <c r="AU5" i="2"/>
  <c r="AV5" i="2"/>
  <c r="CC5" i="2" s="1"/>
  <c r="AX5" i="2"/>
  <c r="Z101" i="5" s="1"/>
  <c r="AW5" i="2"/>
  <c r="AS56" i="2"/>
  <c r="AP56" i="2"/>
  <c r="AQ56" i="2" s="1"/>
  <c r="AP44" i="2"/>
  <c r="AQ44" i="2" s="1"/>
  <c r="AS44" i="2"/>
  <c r="AS57" i="2"/>
  <c r="AP57" i="2"/>
  <c r="AQ57" i="2" s="1"/>
  <c r="BT21" i="2"/>
  <c r="AP182" i="2"/>
  <c r="AQ182" i="2" s="1"/>
  <c r="AS182" i="2"/>
  <c r="AS66" i="2"/>
  <c r="AP66" i="2"/>
  <c r="AQ66" i="2" s="1"/>
  <c r="BT118" i="2"/>
  <c r="AW37" i="2"/>
  <c r="AV37" i="2"/>
  <c r="CC37" i="2" s="1"/>
  <c r="AU37" i="2"/>
  <c r="AX37" i="2"/>
  <c r="BT9" i="2"/>
  <c r="AP13" i="2"/>
  <c r="AQ13" i="2" s="1"/>
  <c r="AS13" i="2"/>
  <c r="V150" i="2"/>
  <c r="N68" i="5"/>
  <c r="U150" i="2"/>
  <c r="W150" i="2"/>
  <c r="T150" i="2"/>
  <c r="O89" i="2"/>
  <c r="P89" i="2" s="1"/>
  <c r="R89" i="2"/>
  <c r="BT171" i="2"/>
  <c r="W125" i="2"/>
  <c r="V125" i="2"/>
  <c r="T125" i="2"/>
  <c r="U125" i="2"/>
  <c r="N83" i="5"/>
  <c r="AX22" i="2"/>
  <c r="Z7" i="5" s="1"/>
  <c r="AW22" i="2"/>
  <c r="AU22" i="2"/>
  <c r="AV22" i="2"/>
  <c r="CC22" i="2" s="1"/>
  <c r="AP17" i="2"/>
  <c r="AQ17" i="2" s="1"/>
  <c r="AS17" i="2"/>
  <c r="BT166" i="2"/>
  <c r="AX21" i="2"/>
  <c r="AU21" i="2"/>
  <c r="AW21" i="2"/>
  <c r="AV21" i="2"/>
  <c r="CC21" i="2" s="1"/>
  <c r="BS60" i="2"/>
  <c r="V139" i="2"/>
  <c r="T139" i="2"/>
  <c r="N138" i="5"/>
  <c r="U139" i="2"/>
  <c r="W139" i="2"/>
  <c r="N92" i="5"/>
  <c r="W36" i="2"/>
  <c r="V36" i="2"/>
  <c r="U36" i="2"/>
  <c r="T36" i="2"/>
  <c r="R8" i="2"/>
  <c r="O8" i="2"/>
  <c r="P8" i="2" s="1"/>
  <c r="AS159" i="2"/>
  <c r="AP159" i="2"/>
  <c r="AQ159" i="2" s="1"/>
  <c r="BT125" i="2"/>
  <c r="AS100" i="2"/>
  <c r="AP100" i="2"/>
  <c r="AQ100" i="2" s="1"/>
  <c r="AS85" i="2"/>
  <c r="AP85" i="2"/>
  <c r="AQ85" i="2" s="1"/>
  <c r="BS72" i="2"/>
  <c r="AX131" i="2"/>
  <c r="AV131" i="2"/>
  <c r="CC131" i="2" s="1"/>
  <c r="AU131" i="2"/>
  <c r="AW131" i="2"/>
  <c r="BS143" i="2"/>
  <c r="AW26" i="2"/>
  <c r="AX26" i="2"/>
  <c r="Z132" i="5" s="1"/>
  <c r="AV26" i="2"/>
  <c r="CC26" i="2" s="1"/>
  <c r="AU26" i="2"/>
  <c r="BS159" i="2"/>
  <c r="AW15" i="2"/>
  <c r="AV15" i="2"/>
  <c r="CC15" i="2" s="1"/>
  <c r="AU15" i="2"/>
  <c r="AX15" i="2"/>
  <c r="Z8" i="5" s="1"/>
  <c r="AW71" i="2"/>
  <c r="AX71" i="2"/>
  <c r="AV71" i="2"/>
  <c r="CC71" i="2" s="1"/>
  <c r="AU71" i="2"/>
  <c r="BT81" i="2"/>
  <c r="BS120" i="2"/>
  <c r="N192" i="5"/>
  <c r="V184" i="2"/>
  <c r="W184" i="2"/>
  <c r="U184" i="2"/>
  <c r="T184" i="2"/>
  <c r="BS135" i="2"/>
  <c r="R79" i="2"/>
  <c r="O79" i="2"/>
  <c r="P79" i="2" s="1"/>
  <c r="AX127" i="2"/>
  <c r="Z38" i="5" s="1"/>
  <c r="AW127" i="2"/>
  <c r="AU127" i="2"/>
  <c r="AV127" i="2"/>
  <c r="CC127" i="2" s="1"/>
  <c r="AS33" i="2"/>
  <c r="AP33" i="2"/>
  <c r="AQ33" i="2" s="1"/>
  <c r="BT110" i="2"/>
  <c r="AX175" i="2"/>
  <c r="Z177" i="5" s="1"/>
  <c r="AW175" i="2"/>
  <c r="AV175" i="2"/>
  <c r="CC175" i="2" s="1"/>
  <c r="AU175" i="2"/>
  <c r="O145" i="2"/>
  <c r="P145" i="2" s="1"/>
  <c r="R145" i="2"/>
  <c r="BS38" i="2"/>
  <c r="AS77" i="2"/>
  <c r="AP77" i="2"/>
  <c r="AQ77" i="2" s="1"/>
  <c r="R122" i="2"/>
  <c r="O122" i="2"/>
  <c r="P122" i="2" s="1"/>
  <c r="AS108" i="2"/>
  <c r="AP108" i="2"/>
  <c r="AQ108" i="2" s="1"/>
  <c r="BS170" i="2"/>
  <c r="N184" i="5"/>
  <c r="W147" i="2"/>
  <c r="V147" i="2"/>
  <c r="T147" i="2"/>
  <c r="U147" i="2"/>
  <c r="AS129" i="2"/>
  <c r="AP129" i="2"/>
  <c r="AQ129" i="2" s="1"/>
  <c r="AV46" i="2"/>
  <c r="CC46" i="2" s="1"/>
  <c r="AX46" i="2"/>
  <c r="Z60" i="5" s="1"/>
  <c r="AW46" i="2"/>
  <c r="AU46" i="2"/>
  <c r="BT69" i="2"/>
  <c r="AW78" i="2"/>
  <c r="AX78" i="2"/>
  <c r="Z97" i="5" s="1"/>
  <c r="AU78" i="2"/>
  <c r="AV78" i="2"/>
  <c r="CC78" i="2" s="1"/>
  <c r="AS180" i="2"/>
  <c r="AP180" i="2"/>
  <c r="AQ180" i="2" s="1"/>
  <c r="U165" i="2"/>
  <c r="W165" i="2"/>
  <c r="V165" i="2"/>
  <c r="N116" i="5"/>
  <c r="T165" i="2"/>
  <c r="R155" i="2"/>
  <c r="O155" i="2"/>
  <c r="P155" i="2" s="1"/>
  <c r="AS90" i="2"/>
  <c r="AP90" i="2"/>
  <c r="AQ90" i="2" s="1"/>
  <c r="R99" i="2"/>
  <c r="O99" i="2"/>
  <c r="P99" i="2" s="1"/>
  <c r="N27" i="5"/>
  <c r="U43" i="2"/>
  <c r="W43" i="2"/>
  <c r="V43" i="2"/>
  <c r="T43" i="2"/>
  <c r="AW95" i="2"/>
  <c r="AX95" i="2"/>
  <c r="AV95" i="2"/>
  <c r="CC95" i="2" s="1"/>
  <c r="AU95" i="2"/>
  <c r="AS8" i="2"/>
  <c r="AP8" i="2"/>
  <c r="AQ8" i="2" s="1"/>
  <c r="AV39" i="2"/>
  <c r="CC39" i="2" s="1"/>
  <c r="AX39" i="2"/>
  <c r="AW39" i="2"/>
  <c r="AU39" i="2"/>
  <c r="AS130" i="2"/>
  <c r="AP130" i="2"/>
  <c r="AQ130" i="2" s="1"/>
  <c r="AS133" i="2"/>
  <c r="AP133" i="2"/>
  <c r="AQ133" i="2" s="1"/>
  <c r="R52" i="2"/>
  <c r="O52" i="2"/>
  <c r="P52" i="2" s="1"/>
  <c r="O192" i="2"/>
  <c r="P192" i="2" s="1"/>
  <c r="R192" i="2"/>
  <c r="O90" i="2"/>
  <c r="P90" i="2" s="1"/>
  <c r="R90" i="2"/>
  <c r="BS182" i="2"/>
  <c r="BT111" i="2"/>
  <c r="U92" i="2"/>
  <c r="N145" i="5"/>
  <c r="V92" i="2"/>
  <c r="W92" i="2"/>
  <c r="T92" i="2"/>
  <c r="AP99" i="2"/>
  <c r="AQ99" i="2" s="1"/>
  <c r="AS99" i="2"/>
  <c r="AP63" i="2"/>
  <c r="AQ63" i="2" s="1"/>
  <c r="AS63" i="2"/>
  <c r="R94" i="2"/>
  <c r="O94" i="2"/>
  <c r="P94" i="2" s="1"/>
  <c r="O112" i="2"/>
  <c r="P112" i="2" s="1"/>
  <c r="R112" i="2"/>
  <c r="N102" i="5"/>
  <c r="W76" i="2"/>
  <c r="U76" i="2"/>
  <c r="V76" i="2"/>
  <c r="T76" i="2"/>
  <c r="O77" i="2"/>
  <c r="P77" i="2" s="1"/>
  <c r="R77" i="2"/>
  <c r="AP132" i="2"/>
  <c r="AQ132" i="2" s="1"/>
  <c r="AS132" i="2"/>
  <c r="BT70" i="2"/>
  <c r="R73" i="2"/>
  <c r="O73" i="2"/>
  <c r="P73" i="2" s="1"/>
  <c r="AS121" i="2"/>
  <c r="AP121" i="2"/>
  <c r="AQ121" i="2" s="1"/>
  <c r="AX188" i="2"/>
  <c r="Z147" i="5" s="1"/>
  <c r="AW188" i="2"/>
  <c r="AU188" i="2"/>
  <c r="AV188" i="2"/>
  <c r="CC188" i="2" s="1"/>
  <c r="BS26" i="2"/>
  <c r="BT128" i="2"/>
  <c r="R169" i="2"/>
  <c r="O169" i="2"/>
  <c r="P169" i="2" s="1"/>
  <c r="V55" i="2"/>
  <c r="T55" i="2"/>
  <c r="N32" i="5"/>
  <c r="W55" i="2"/>
  <c r="U55" i="2"/>
  <c r="N182" i="5"/>
  <c r="V195" i="2"/>
  <c r="W195" i="2"/>
  <c r="U195" i="2"/>
  <c r="T195" i="2"/>
  <c r="N162" i="5"/>
  <c r="V178" i="2"/>
  <c r="T178" i="2"/>
  <c r="U178" i="2"/>
  <c r="W178" i="2"/>
  <c r="N127" i="5"/>
  <c r="V153" i="2"/>
  <c r="W153" i="2"/>
  <c r="U153" i="2"/>
  <c r="T153" i="2"/>
  <c r="AW113" i="2"/>
  <c r="AV113" i="2"/>
  <c r="CC113" i="2" s="1"/>
  <c r="AX113" i="2"/>
  <c r="AU113" i="2"/>
  <c r="N123" i="5"/>
  <c r="U96" i="2"/>
  <c r="W96" i="2"/>
  <c r="T96" i="2"/>
  <c r="V96" i="2"/>
  <c r="R185" i="2"/>
  <c r="O185" i="2"/>
  <c r="P185" i="2" s="1"/>
  <c r="BS79" i="2"/>
  <c r="R116" i="2"/>
  <c r="O116" i="2"/>
  <c r="P116" i="2" s="1"/>
  <c r="AX53" i="2"/>
  <c r="AV53" i="2"/>
  <c r="CC53" i="2" s="1"/>
  <c r="AU53" i="2"/>
  <c r="AW53" i="2"/>
  <c r="AW74" i="2"/>
  <c r="AV74" i="2"/>
  <c r="CC74" i="2" s="1"/>
  <c r="AX74" i="2"/>
  <c r="Z72" i="5" s="1"/>
  <c r="AU74" i="2"/>
  <c r="AX80" i="2"/>
  <c r="Z81" i="5" s="1"/>
  <c r="AW80" i="2"/>
  <c r="AU80" i="2"/>
  <c r="AV80" i="2"/>
  <c r="CC80" i="2" s="1"/>
  <c r="R187" i="2"/>
  <c r="O187" i="2"/>
  <c r="P187" i="2" s="1"/>
  <c r="W63" i="2"/>
  <c r="U63" i="2"/>
  <c r="V63" i="2"/>
  <c r="N65" i="5"/>
  <c r="T63" i="2"/>
  <c r="R118" i="2"/>
  <c r="O118" i="2"/>
  <c r="P118" i="2" s="1"/>
  <c r="AP119" i="2"/>
  <c r="AQ119" i="2" s="1"/>
  <c r="AS119" i="2"/>
  <c r="X17" i="5" s="1"/>
  <c r="R137" i="2"/>
  <c r="O137" i="2"/>
  <c r="P137" i="2" s="1"/>
  <c r="R182" i="2"/>
  <c r="O182" i="2"/>
  <c r="P182" i="2" s="1"/>
  <c r="R106" i="2"/>
  <c r="O106" i="2"/>
  <c r="P106" i="2" s="1"/>
  <c r="R20" i="2"/>
  <c r="O20" i="2"/>
  <c r="P20" i="2" s="1"/>
  <c r="R91" i="2"/>
  <c r="O91" i="2"/>
  <c r="P91" i="2" s="1"/>
  <c r="N165" i="5"/>
  <c r="U95" i="2"/>
  <c r="W95" i="2"/>
  <c r="V95" i="2"/>
  <c r="T95" i="2"/>
  <c r="V70" i="2"/>
  <c r="W70" i="2"/>
  <c r="U70" i="2"/>
  <c r="T70" i="2"/>
  <c r="N12" i="5"/>
  <c r="AS96" i="2"/>
  <c r="AP96" i="2"/>
  <c r="AQ96" i="2" s="1"/>
  <c r="W58" i="2"/>
  <c r="U58" i="2"/>
  <c r="V58" i="2"/>
  <c r="T58" i="2"/>
  <c r="N107" i="5"/>
  <c r="N164" i="5"/>
  <c r="T159" i="2"/>
  <c r="W159" i="2"/>
  <c r="U159" i="2"/>
  <c r="V159" i="2"/>
  <c r="AW75" i="2"/>
  <c r="AX75" i="2"/>
  <c r="Z134" i="5" s="1"/>
  <c r="AU75" i="2"/>
  <c r="AV75" i="2"/>
  <c r="CC75" i="2" s="1"/>
  <c r="O127" i="2"/>
  <c r="P127" i="2" s="1"/>
  <c r="R127" i="2"/>
  <c r="N188" i="5"/>
  <c r="W163" i="2"/>
  <c r="V163" i="2"/>
  <c r="U163" i="2"/>
  <c r="T163" i="2"/>
  <c r="AX93" i="2"/>
  <c r="AW93" i="2"/>
  <c r="AV93" i="2"/>
  <c r="CC93" i="2" s="1"/>
  <c r="AU93" i="2"/>
  <c r="U18" i="2"/>
  <c r="T18" i="2"/>
  <c r="V18" i="2"/>
  <c r="N56" i="5"/>
  <c r="W18" i="2"/>
  <c r="BS163" i="2"/>
  <c r="N66" i="5"/>
  <c r="U41" i="2"/>
  <c r="W41" i="2"/>
  <c r="V41" i="2"/>
  <c r="T41" i="2"/>
  <c r="BS138" i="2"/>
  <c r="BT173" i="2"/>
  <c r="AP116" i="2"/>
  <c r="AQ116" i="2" s="1"/>
  <c r="AS116" i="2"/>
  <c r="X122" i="5" s="1"/>
  <c r="BT124" i="2"/>
  <c r="X181" i="5"/>
  <c r="AW193" i="2"/>
  <c r="AX193" i="2"/>
  <c r="Z181" i="5" s="1"/>
  <c r="AV193" i="2"/>
  <c r="CC193" i="2" s="1"/>
  <c r="AU193" i="2"/>
  <c r="BT116" i="2"/>
  <c r="AS117" i="2"/>
  <c r="AP117" i="2"/>
  <c r="AQ117" i="2" s="1"/>
  <c r="AW116" i="2"/>
  <c r="AX116" i="2"/>
  <c r="AU116" i="2"/>
  <c r="AV116" i="2"/>
  <c r="CC116" i="2" s="1"/>
  <c r="AW68" i="2"/>
  <c r="AU68" i="2"/>
  <c r="X79" i="5"/>
  <c r="AX68" i="2"/>
  <c r="Z79" i="5" s="1"/>
  <c r="AV68" i="2"/>
  <c r="CC68" i="2" s="1"/>
  <c r="BS66" i="2"/>
  <c r="AW126" i="2"/>
  <c r="X55" i="5"/>
  <c r="AU126" i="2"/>
  <c r="AV126" i="2"/>
  <c r="CC126" i="2" s="1"/>
  <c r="AX126" i="2"/>
  <c r="BS155" i="2"/>
  <c r="AS169" i="2"/>
  <c r="AP169" i="2"/>
  <c r="AQ169" i="2" s="1"/>
  <c r="BT80" i="2"/>
  <c r="AX86" i="2"/>
  <c r="AW86" i="2"/>
  <c r="AV86" i="2"/>
  <c r="CC86" i="2" s="1"/>
  <c r="AU86" i="2"/>
  <c r="X67" i="5"/>
  <c r="AX150" i="2"/>
  <c r="Z68" i="5" s="1"/>
  <c r="AW150" i="2"/>
  <c r="AU150" i="2"/>
  <c r="AV150" i="2"/>
  <c r="CC150" i="2" s="1"/>
  <c r="AS128" i="2"/>
  <c r="AP128" i="2"/>
  <c r="AQ128" i="2" s="1"/>
  <c r="BT107" i="2"/>
  <c r="BS117" i="2"/>
  <c r="BT89" i="2"/>
  <c r="AX149" i="2"/>
  <c r="Z28" i="5" s="1"/>
  <c r="AW149" i="2"/>
  <c r="AV149" i="2"/>
  <c r="CC149" i="2" s="1"/>
  <c r="AU149" i="2"/>
  <c r="BS51" i="2"/>
  <c r="AV160" i="2"/>
  <c r="CC160" i="2" s="1"/>
  <c r="AU160" i="2"/>
  <c r="AX160" i="2"/>
  <c r="AW160" i="2"/>
  <c r="BT78" i="2"/>
  <c r="AP156" i="2"/>
  <c r="AQ156" i="2" s="1"/>
  <c r="AS156" i="2"/>
  <c r="BT24" i="2"/>
  <c r="BT106" i="2"/>
  <c r="BT44" i="2"/>
  <c r="BT136" i="2"/>
  <c r="BT133" i="2"/>
  <c r="BS192" i="2"/>
  <c r="AU163" i="2"/>
  <c r="AV163" i="2"/>
  <c r="CC163" i="2" s="1"/>
  <c r="X188" i="5"/>
  <c r="AX163" i="2"/>
  <c r="AW163" i="2"/>
  <c r="BT95" i="2"/>
  <c r="BT147" i="2"/>
  <c r="BS134" i="2"/>
  <c r="BT11" i="2"/>
  <c r="BT83" i="2"/>
  <c r="BS157" i="2"/>
  <c r="BT161" i="2"/>
  <c r="BS139" i="2"/>
  <c r="AS105" i="2"/>
  <c r="AP105" i="2"/>
  <c r="AQ105" i="2" s="1"/>
  <c r="AS67" i="2"/>
  <c r="AP67" i="2"/>
  <c r="AQ67" i="2" s="1"/>
  <c r="BT156" i="2"/>
  <c r="AP102" i="2"/>
  <c r="AQ102" i="2" s="1"/>
  <c r="AS102" i="2"/>
  <c r="AS154" i="2"/>
  <c r="X149" i="5" s="1"/>
  <c r="AP154" i="2"/>
  <c r="AQ154" i="2" s="1"/>
  <c r="BT189" i="2"/>
  <c r="W87" i="2"/>
  <c r="N183" i="5"/>
  <c r="T87" i="2"/>
  <c r="U87" i="2"/>
  <c r="V87" i="2"/>
  <c r="AU151" i="2"/>
  <c r="AV151" i="2"/>
  <c r="CC151" i="2" s="1"/>
  <c r="AX151" i="2"/>
  <c r="Z148" i="5" s="1"/>
  <c r="AW151" i="2"/>
  <c r="AS124" i="2"/>
  <c r="AP124" i="2"/>
  <c r="AQ124" i="2" s="1"/>
  <c r="BS152" i="2"/>
  <c r="BT62" i="2"/>
  <c r="T108" i="2"/>
  <c r="N153" i="5"/>
  <c r="W108" i="2"/>
  <c r="U108" i="2"/>
  <c r="V108" i="2"/>
  <c r="AU103" i="2"/>
  <c r="AX103" i="2"/>
  <c r="AW103" i="2"/>
  <c r="AV103" i="2"/>
  <c r="CC103" i="2" s="1"/>
  <c r="X119" i="5"/>
  <c r="AX56" i="2"/>
  <c r="Z119" i="5" s="1"/>
  <c r="AU56" i="2"/>
  <c r="AV56" i="2"/>
  <c r="CC56" i="2" s="1"/>
  <c r="AW56" i="2"/>
  <c r="AP184" i="2"/>
  <c r="AQ184" i="2" s="1"/>
  <c r="AS184" i="2"/>
  <c r="X192" i="5" s="1"/>
  <c r="BS175" i="2"/>
  <c r="AW182" i="2"/>
  <c r="X178" i="5"/>
  <c r="AX182" i="2"/>
  <c r="AU182" i="2"/>
  <c r="AV182" i="2"/>
  <c r="CC182" i="2" s="1"/>
  <c r="BS118" i="2"/>
  <c r="AP32" i="2"/>
  <c r="AQ32" i="2" s="1"/>
  <c r="AS32" i="2"/>
  <c r="AX64" i="2"/>
  <c r="AW64" i="2"/>
  <c r="AV64" i="2"/>
  <c r="CC64" i="2" s="1"/>
  <c r="AU64" i="2"/>
  <c r="R150" i="2"/>
  <c r="O150" i="2"/>
  <c r="P150" i="2" s="1"/>
  <c r="BS171" i="2"/>
  <c r="AU17" i="2"/>
  <c r="AV17" i="2"/>
  <c r="CC17" i="2" s="1"/>
  <c r="AW17" i="2"/>
  <c r="X98" i="5"/>
  <c r="AX17" i="2"/>
  <c r="AS70" i="2"/>
  <c r="AP70" i="2"/>
  <c r="AQ70" i="2" s="1"/>
  <c r="AW34" i="2"/>
  <c r="AV34" i="2"/>
  <c r="CC34" i="2" s="1"/>
  <c r="AX34" i="2"/>
  <c r="AU34" i="2"/>
  <c r="BT195" i="2"/>
  <c r="AP21" i="2"/>
  <c r="AQ21" i="2" s="1"/>
  <c r="AS21" i="2"/>
  <c r="X69" i="5" s="1"/>
  <c r="R139" i="2"/>
  <c r="O139" i="2"/>
  <c r="P139" i="2" s="1"/>
  <c r="BT67" i="2"/>
  <c r="R33" i="2"/>
  <c r="O33" i="2"/>
  <c r="P33" i="2" s="1"/>
  <c r="BT22" i="2"/>
  <c r="BS115" i="2"/>
  <c r="AS153" i="2"/>
  <c r="AP153" i="2"/>
  <c r="AQ153" i="2" s="1"/>
  <c r="BS87" i="2"/>
  <c r="BT72" i="2"/>
  <c r="AS145" i="2"/>
  <c r="AP145" i="2"/>
  <c r="AQ145" i="2" s="1"/>
  <c r="AV54" i="2"/>
  <c r="CC54" i="2" s="1"/>
  <c r="AX54" i="2"/>
  <c r="AU54" i="2"/>
  <c r="AW54" i="2"/>
  <c r="BT143" i="2"/>
  <c r="BT97" i="2"/>
  <c r="BT109" i="2"/>
  <c r="BT159" i="2"/>
  <c r="AS15" i="2"/>
  <c r="X8" i="5" s="1"/>
  <c r="AP15" i="2"/>
  <c r="AQ15" i="2" s="1"/>
  <c r="BS74" i="2"/>
  <c r="BS81" i="2"/>
  <c r="BT120" i="2"/>
  <c r="R184" i="2"/>
  <c r="O184" i="2"/>
  <c r="P184" i="2" s="1"/>
  <c r="BS185" i="2"/>
  <c r="BT135" i="2"/>
  <c r="R188" i="2"/>
  <c r="O188" i="2"/>
  <c r="P188" i="2" s="1"/>
  <c r="BS110" i="2"/>
  <c r="R98" i="2"/>
  <c r="O98" i="2"/>
  <c r="P98" i="2" s="1"/>
  <c r="AW191" i="2"/>
  <c r="AX191" i="2"/>
  <c r="Z170" i="5" s="1"/>
  <c r="AU191" i="2"/>
  <c r="AV191" i="2"/>
  <c r="CC191" i="2" s="1"/>
  <c r="AX137" i="2"/>
  <c r="Z154" i="5" s="1"/>
  <c r="AW137" i="2"/>
  <c r="AU137" i="2"/>
  <c r="AV137" i="2"/>
  <c r="CC137" i="2" s="1"/>
  <c r="BT168" i="2"/>
  <c r="N146" i="5"/>
  <c r="V23" i="2"/>
  <c r="U23" i="2"/>
  <c r="W23" i="2"/>
  <c r="T23" i="2"/>
  <c r="AS27" i="2"/>
  <c r="AP27" i="2"/>
  <c r="AQ27" i="2" s="1"/>
  <c r="O181" i="2"/>
  <c r="P181" i="2" s="1"/>
  <c r="R181" i="2"/>
  <c r="BT114" i="2"/>
  <c r="W140" i="2"/>
  <c r="N113" i="5"/>
  <c r="U140" i="2"/>
  <c r="V140" i="2"/>
  <c r="T140" i="2"/>
  <c r="W37" i="2"/>
  <c r="U37" i="2"/>
  <c r="V37" i="2"/>
  <c r="N143" i="5"/>
  <c r="T37" i="2"/>
  <c r="N158" i="5"/>
  <c r="W194" i="2"/>
  <c r="V194" i="2"/>
  <c r="U194" i="2"/>
  <c r="T194" i="2"/>
  <c r="AS157" i="2"/>
  <c r="AP157" i="2"/>
  <c r="AQ157" i="2" s="1"/>
  <c r="R60" i="2"/>
  <c r="O60" i="2"/>
  <c r="P60" i="2" s="1"/>
  <c r="R175" i="2"/>
  <c r="O175" i="2"/>
  <c r="P175" i="2" s="1"/>
  <c r="AW180" i="2"/>
  <c r="X58" i="5"/>
  <c r="AV180" i="2"/>
  <c r="CC180" i="2" s="1"/>
  <c r="AU180" i="2"/>
  <c r="AX180" i="2"/>
  <c r="Z58" i="5" s="1"/>
  <c r="N98" i="5"/>
  <c r="U17" i="2"/>
  <c r="V17" i="2"/>
  <c r="W17" i="2"/>
  <c r="T17" i="2"/>
  <c r="AW196" i="2"/>
  <c r="AX196" i="2"/>
  <c r="Z112" i="5" s="1"/>
  <c r="AU196" i="2"/>
  <c r="AV196" i="2"/>
  <c r="CC196" i="2" s="1"/>
  <c r="AS155" i="2"/>
  <c r="X53" i="5" s="1"/>
  <c r="AP155" i="2"/>
  <c r="AQ155" i="2" s="1"/>
  <c r="O165" i="2"/>
  <c r="P165" i="2" s="1"/>
  <c r="R165" i="2"/>
  <c r="N53" i="5"/>
  <c r="W155" i="2"/>
  <c r="U155" i="2"/>
  <c r="T155" i="2"/>
  <c r="V155" i="2"/>
  <c r="R50" i="2"/>
  <c r="O50" i="2"/>
  <c r="P50" i="2" s="1"/>
  <c r="AX90" i="2"/>
  <c r="AU90" i="2"/>
  <c r="X30" i="5"/>
  <c r="AW90" i="2"/>
  <c r="AV90" i="2"/>
  <c r="CC90" i="2" s="1"/>
  <c r="U99" i="2"/>
  <c r="T99" i="2"/>
  <c r="V99" i="2"/>
  <c r="N140" i="5"/>
  <c r="W99" i="2"/>
  <c r="BT16" i="2"/>
  <c r="R43" i="2"/>
  <c r="O43" i="2"/>
  <c r="P43" i="2" s="1"/>
  <c r="AS95" i="2"/>
  <c r="X165" i="5" s="1"/>
  <c r="AP95" i="2"/>
  <c r="AQ95" i="2" s="1"/>
  <c r="BS103" i="2"/>
  <c r="O156" i="2"/>
  <c r="P156" i="2" s="1"/>
  <c r="R156" i="2"/>
  <c r="AW130" i="2"/>
  <c r="AX130" i="2"/>
  <c r="Z18" i="5" s="1"/>
  <c r="AV130" i="2"/>
  <c r="CC130" i="2" s="1"/>
  <c r="X18" i="5"/>
  <c r="AU130" i="2"/>
  <c r="X45" i="5"/>
  <c r="AW133" i="2"/>
  <c r="AU133" i="2"/>
  <c r="AX133" i="2"/>
  <c r="AV133" i="2"/>
  <c r="CC133" i="2" s="1"/>
  <c r="N186" i="5"/>
  <c r="W192" i="2"/>
  <c r="U192" i="2"/>
  <c r="T192" i="2"/>
  <c r="V192" i="2"/>
  <c r="R85" i="2"/>
  <c r="O85" i="2"/>
  <c r="P85" i="2" s="1"/>
  <c r="O84" i="2"/>
  <c r="P84" i="2" s="1"/>
  <c r="R84" i="2"/>
  <c r="AU84" i="2"/>
  <c r="AW84" i="2"/>
  <c r="AX84" i="2"/>
  <c r="AV84" i="2"/>
  <c r="CC84" i="2" s="1"/>
  <c r="BS151" i="2"/>
  <c r="R82" i="2"/>
  <c r="O82" i="2"/>
  <c r="P82" i="2" s="1"/>
  <c r="AV63" i="2"/>
  <c r="CC63" i="2" s="1"/>
  <c r="X65" i="5"/>
  <c r="AU63" i="2"/>
  <c r="AX63" i="2"/>
  <c r="AW63" i="2"/>
  <c r="AV55" i="2"/>
  <c r="CC55" i="2" s="1"/>
  <c r="AX55" i="2"/>
  <c r="AW55" i="2"/>
  <c r="AU55" i="2"/>
  <c r="U94" i="2"/>
  <c r="T94" i="2"/>
  <c r="N141" i="5"/>
  <c r="W94" i="2"/>
  <c r="V94" i="2"/>
  <c r="W112" i="2"/>
  <c r="T112" i="2"/>
  <c r="V112" i="2"/>
  <c r="N166" i="5"/>
  <c r="U112" i="2"/>
  <c r="R76" i="2"/>
  <c r="O76" i="2"/>
  <c r="P76" i="2" s="1"/>
  <c r="BT28" i="2"/>
  <c r="AX132" i="2"/>
  <c r="AW132" i="2"/>
  <c r="AV132" i="2"/>
  <c r="CC132" i="2" s="1"/>
  <c r="X174" i="5"/>
  <c r="AU132" i="2"/>
  <c r="U21" i="2"/>
  <c r="T21" i="2"/>
  <c r="V21" i="2"/>
  <c r="N69" i="5"/>
  <c r="W21" i="2"/>
  <c r="BT191" i="2"/>
  <c r="BS128" i="2"/>
  <c r="AW168" i="2"/>
  <c r="AV168" i="2"/>
  <c r="CC168" i="2" s="1"/>
  <c r="AX168" i="2"/>
  <c r="Z128" i="5" s="1"/>
  <c r="AU168" i="2"/>
  <c r="V169" i="2"/>
  <c r="N99" i="5"/>
  <c r="W169" i="2"/>
  <c r="T169" i="2"/>
  <c r="U169" i="2"/>
  <c r="AW143" i="2"/>
  <c r="AX143" i="2"/>
  <c r="Z91" i="5" s="1"/>
  <c r="AU143" i="2"/>
  <c r="AV143" i="2"/>
  <c r="CC143" i="2" s="1"/>
  <c r="W199" i="2"/>
  <c r="N189" i="5"/>
  <c r="U199" i="2"/>
  <c r="T199" i="2"/>
  <c r="V199" i="2"/>
  <c r="R195" i="2"/>
  <c r="O195" i="2"/>
  <c r="P195" i="2" s="1"/>
  <c r="V109" i="2"/>
  <c r="N179" i="5"/>
  <c r="U109" i="2"/>
  <c r="T109" i="2"/>
  <c r="W109" i="2"/>
  <c r="R153" i="2"/>
  <c r="O153" i="2"/>
  <c r="P153" i="2" s="1"/>
  <c r="U123" i="2"/>
  <c r="N44" i="5"/>
  <c r="V123" i="2"/>
  <c r="W123" i="2"/>
  <c r="T123" i="2"/>
  <c r="BT79" i="2"/>
  <c r="U144" i="2"/>
  <c r="W144" i="2"/>
  <c r="T144" i="2"/>
  <c r="V144" i="2"/>
  <c r="N142" i="5"/>
  <c r="N131" i="5"/>
  <c r="U35" i="2"/>
  <c r="W35" i="2"/>
  <c r="T35" i="2"/>
  <c r="V35" i="2"/>
  <c r="O170" i="2"/>
  <c r="P170" i="2" s="1"/>
  <c r="R170" i="2"/>
  <c r="T61" i="2"/>
  <c r="U61" i="2"/>
  <c r="V61" i="2"/>
  <c r="N95" i="5"/>
  <c r="W61" i="2"/>
  <c r="W116" i="2"/>
  <c r="V116" i="2"/>
  <c r="T116" i="2"/>
  <c r="U116" i="2"/>
  <c r="N122" i="5"/>
  <c r="AS53" i="2"/>
  <c r="X48" i="5" s="1"/>
  <c r="AP53" i="2"/>
  <c r="AQ53" i="2" s="1"/>
  <c r="W187" i="2"/>
  <c r="U187" i="2"/>
  <c r="T187" i="2"/>
  <c r="N76" i="5"/>
  <c r="V187" i="2"/>
  <c r="O57" i="2"/>
  <c r="P57" i="2" s="1"/>
  <c r="R57" i="2"/>
  <c r="AU119" i="2"/>
  <c r="AX119" i="2"/>
  <c r="Z17" i="5" s="1"/>
  <c r="AV119" i="2"/>
  <c r="CC119" i="2" s="1"/>
  <c r="AW119" i="2"/>
  <c r="W20" i="2"/>
  <c r="U20" i="2"/>
  <c r="N5" i="5"/>
  <c r="V20" i="2"/>
  <c r="T20" i="2"/>
  <c r="V65" i="2"/>
  <c r="N103" i="5"/>
  <c r="W65" i="2"/>
  <c r="U65" i="2"/>
  <c r="T65" i="2"/>
  <c r="R62" i="2"/>
  <c r="O62" i="2"/>
  <c r="P62" i="2" s="1"/>
  <c r="AS75" i="2"/>
  <c r="X134" i="5" s="1"/>
  <c r="AP75" i="2"/>
  <c r="AQ75" i="2" s="1"/>
  <c r="BT96" i="2"/>
  <c r="W127" i="2"/>
  <c r="T127" i="2"/>
  <c r="V127" i="2"/>
  <c r="N38" i="5"/>
  <c r="U127" i="2"/>
  <c r="R67" i="2"/>
  <c r="O67" i="2"/>
  <c r="P67" i="2" s="1"/>
  <c r="R163" i="2"/>
  <c r="O163" i="2"/>
  <c r="P163" i="2" s="1"/>
  <c r="R18" i="2"/>
  <c r="O18" i="2"/>
  <c r="P18" i="2" s="1"/>
  <c r="BT163" i="2"/>
  <c r="R121" i="2"/>
  <c r="O121" i="2"/>
  <c r="P121" i="2" s="1"/>
  <c r="BT177" i="2"/>
  <c r="X95" i="5"/>
  <c r="AX61" i="2"/>
  <c r="Z95" i="5" s="1"/>
  <c r="AU61" i="2"/>
  <c r="AV61" i="2"/>
  <c r="CC61" i="2" s="1"/>
  <c r="AW61" i="2"/>
  <c r="BS105" i="2"/>
  <c r="BS94" i="2"/>
  <c r="BT94" i="2"/>
  <c r="AU166" i="2"/>
  <c r="AV166" i="2"/>
  <c r="CC166" i="2" s="1"/>
  <c r="AW166" i="2"/>
  <c r="AX166" i="2"/>
  <c r="Z120" i="5" s="1"/>
  <c r="BT48" i="2"/>
  <c r="BT155" i="2"/>
  <c r="BT56" i="2"/>
  <c r="BS45" i="2"/>
  <c r="AP171" i="2"/>
  <c r="AQ171" i="2" s="1"/>
  <c r="AS171" i="2"/>
  <c r="X193" i="5" s="1"/>
  <c r="BS173" i="2"/>
  <c r="X113" i="5"/>
  <c r="AX140" i="2"/>
  <c r="AV140" i="2"/>
  <c r="CC140" i="2" s="1"/>
  <c r="AU140" i="2"/>
  <c r="AW140" i="2"/>
  <c r="BT46" i="2"/>
  <c r="BS53" i="2"/>
  <c r="AX117" i="2"/>
  <c r="AW117" i="2"/>
  <c r="AU117" i="2"/>
  <c r="AV117" i="2"/>
  <c r="CC117" i="2" s="1"/>
  <c r="X43" i="5"/>
  <c r="BT150" i="2"/>
  <c r="BS32" i="2"/>
  <c r="AW51" i="2"/>
  <c r="AX51" i="2"/>
  <c r="Z118" i="5" s="1"/>
  <c r="AV51" i="2"/>
  <c r="CC51" i="2" s="1"/>
  <c r="AU51" i="2"/>
  <c r="BS148" i="2"/>
  <c r="BS150" i="2"/>
  <c r="BT4" i="2"/>
  <c r="BT43" i="2"/>
  <c r="BT32" i="2"/>
  <c r="AS51" i="2"/>
  <c r="X118" i="5" s="1"/>
  <c r="AP51" i="2"/>
  <c r="AQ51" i="2" s="1"/>
  <c r="AP150" i="2"/>
  <c r="AQ150" i="2" s="1"/>
  <c r="AS150" i="2"/>
  <c r="X68" i="5" s="1"/>
  <c r="AV128" i="2"/>
  <c r="CC128" i="2" s="1"/>
  <c r="AU128" i="2"/>
  <c r="AW128" i="2"/>
  <c r="X187" i="5"/>
  <c r="AX128" i="2"/>
  <c r="BS25" i="2"/>
  <c r="AS62" i="2"/>
  <c r="AP62" i="2"/>
  <c r="AQ62" i="2" s="1"/>
  <c r="BT17" i="2"/>
  <c r="AS160" i="2"/>
  <c r="X191" i="5" s="1"/>
  <c r="AP160" i="2"/>
  <c r="AQ160" i="2" s="1"/>
  <c r="BS78" i="2"/>
  <c r="X26" i="5"/>
  <c r="AW156" i="2"/>
  <c r="AV156" i="2"/>
  <c r="CC156" i="2" s="1"/>
  <c r="AU156" i="2"/>
  <c r="AX156" i="2"/>
  <c r="AS7" i="2"/>
  <c r="AP7" i="2"/>
  <c r="AQ7" i="2" s="1"/>
  <c r="BS106" i="2"/>
  <c r="BS136" i="2"/>
  <c r="BS77" i="2"/>
  <c r="BS133" i="2"/>
  <c r="BT61" i="2"/>
  <c r="BS18" i="2"/>
  <c r="BT140" i="2"/>
  <c r="BT134" i="2"/>
  <c r="BS13" i="2"/>
  <c r="BS194" i="2"/>
  <c r="BS144" i="2"/>
  <c r="BS35" i="2"/>
  <c r="BS161" i="2"/>
  <c r="BS12" i="2"/>
  <c r="BT139" i="2"/>
  <c r="AU105" i="2"/>
  <c r="AV105" i="2"/>
  <c r="CC105" i="2" s="1"/>
  <c r="X46" i="5"/>
  <c r="AX105" i="2"/>
  <c r="Z46" i="5" s="1"/>
  <c r="AW105" i="2"/>
  <c r="BS85" i="2"/>
  <c r="AV102" i="2"/>
  <c r="CC102" i="2" s="1"/>
  <c r="AW102" i="2"/>
  <c r="AU102" i="2"/>
  <c r="X173" i="5"/>
  <c r="AX102" i="2"/>
  <c r="Z173" i="5" s="1"/>
  <c r="AW154" i="2"/>
  <c r="AX154" i="2"/>
  <c r="AU154" i="2"/>
  <c r="AV154" i="2"/>
  <c r="CC154" i="2" s="1"/>
  <c r="AP173" i="2"/>
  <c r="AQ173" i="2" s="1"/>
  <c r="AS173" i="2"/>
  <c r="X194" i="5" s="1"/>
  <c r="BT121" i="2"/>
  <c r="W28" i="2"/>
  <c r="U28" i="2"/>
  <c r="V28" i="2"/>
  <c r="T28" i="2"/>
  <c r="N61" i="5"/>
  <c r="AS165" i="2"/>
  <c r="AP165" i="2"/>
  <c r="AQ165" i="2" s="1"/>
  <c r="AS16" i="2"/>
  <c r="AP16" i="2"/>
  <c r="AQ16" i="2" s="1"/>
  <c r="N59" i="5"/>
  <c r="W6" i="2"/>
  <c r="V6" i="2"/>
  <c r="T6" i="2"/>
  <c r="U6" i="2"/>
  <c r="BT73" i="2"/>
  <c r="AP164" i="2"/>
  <c r="AQ164" i="2" s="1"/>
  <c r="AS164" i="2"/>
  <c r="X75" i="5" s="1"/>
  <c r="R108" i="2"/>
  <c r="O108" i="2"/>
  <c r="P108" i="2" s="1"/>
  <c r="T66" i="2"/>
  <c r="U66" i="2"/>
  <c r="W66" i="2"/>
  <c r="N96" i="5"/>
  <c r="V66" i="2"/>
  <c r="AS103" i="2"/>
  <c r="X111" i="5" s="1"/>
  <c r="AP103" i="2"/>
  <c r="AQ103" i="2" s="1"/>
  <c r="AX184" i="2"/>
  <c r="AW184" i="2"/>
  <c r="AU184" i="2"/>
  <c r="AV184" i="2"/>
  <c r="CC184" i="2" s="1"/>
  <c r="AW19" i="2"/>
  <c r="AU19" i="2"/>
  <c r="AX19" i="2"/>
  <c r="AV19" i="2"/>
  <c r="CC19" i="2" s="1"/>
  <c r="BT5" i="2"/>
  <c r="BT175" i="2"/>
  <c r="BS141" i="2"/>
  <c r="AS24" i="2"/>
  <c r="AP24" i="2"/>
  <c r="AQ24" i="2" s="1"/>
  <c r="AP64" i="2"/>
  <c r="AQ64" i="2" s="1"/>
  <c r="AS64" i="2"/>
  <c r="X16" i="5" s="1"/>
  <c r="AW174" i="2"/>
  <c r="AU174" i="2"/>
  <c r="AV174" i="2"/>
  <c r="CC174" i="2" s="1"/>
  <c r="AX174" i="2"/>
  <c r="BS36" i="2"/>
  <c r="BS88" i="2"/>
  <c r="AX42" i="2"/>
  <c r="Z13" i="5" s="1"/>
  <c r="AU42" i="2"/>
  <c r="AV42" i="2"/>
  <c r="CC42" i="2" s="1"/>
  <c r="AW42" i="2"/>
  <c r="X12" i="5"/>
  <c r="AU70" i="2"/>
  <c r="AV70" i="2"/>
  <c r="CC70" i="2" s="1"/>
  <c r="AX70" i="2"/>
  <c r="Z12" i="5" s="1"/>
  <c r="AW70" i="2"/>
  <c r="AV25" i="2"/>
  <c r="CC25" i="2" s="1"/>
  <c r="AX25" i="2"/>
  <c r="Z172" i="5" s="1"/>
  <c r="AU25" i="2"/>
  <c r="AW25" i="2"/>
  <c r="BS195" i="2"/>
  <c r="AS120" i="2"/>
  <c r="AP120" i="2"/>
  <c r="AQ120" i="2" s="1"/>
  <c r="BS67" i="2"/>
  <c r="AW87" i="2"/>
  <c r="AX87" i="2"/>
  <c r="Z183" i="5" s="1"/>
  <c r="AV87" i="2"/>
  <c r="CC87" i="2" s="1"/>
  <c r="AU87" i="2"/>
  <c r="BS22" i="2"/>
  <c r="BT115" i="2"/>
  <c r="AV153" i="2"/>
  <c r="CC153" i="2" s="1"/>
  <c r="AX153" i="2"/>
  <c r="Z127" i="5" s="1"/>
  <c r="AU153" i="2"/>
  <c r="X127" i="5"/>
  <c r="AW153" i="2"/>
  <c r="BT87" i="2"/>
  <c r="X137" i="5"/>
  <c r="AW85" i="2"/>
  <c r="AX85" i="2"/>
  <c r="Z137" i="5" s="1"/>
  <c r="AV85" i="2"/>
  <c r="CC85" i="2" s="1"/>
  <c r="AU85" i="2"/>
  <c r="BT197" i="2"/>
  <c r="AU145" i="2"/>
  <c r="X10" i="5"/>
  <c r="AW145" i="2"/>
  <c r="AV145" i="2"/>
  <c r="CC145" i="2" s="1"/>
  <c r="AX145" i="2"/>
  <c r="Z10" i="5" s="1"/>
  <c r="AS54" i="2"/>
  <c r="X133" i="5" s="1"/>
  <c r="AP54" i="2"/>
  <c r="AQ54" i="2" s="1"/>
  <c r="AX161" i="2"/>
  <c r="Z62" i="5" s="1"/>
  <c r="AW161" i="2"/>
  <c r="AU161" i="2"/>
  <c r="AV161" i="2"/>
  <c r="CC161" i="2" s="1"/>
  <c r="BS97" i="2"/>
  <c r="BS109" i="2"/>
  <c r="AP190" i="2"/>
  <c r="AQ190" i="2" s="1"/>
  <c r="AS190" i="2"/>
  <c r="BT74" i="2"/>
  <c r="AS71" i="2"/>
  <c r="X24" i="5" s="1"/>
  <c r="AP71" i="2"/>
  <c r="AQ71" i="2" s="1"/>
  <c r="BS10" i="2"/>
  <c r="BT185" i="2"/>
  <c r="N124" i="5"/>
  <c r="W79" i="2"/>
  <c r="U79" i="2"/>
  <c r="T79" i="2"/>
  <c r="V79" i="2"/>
  <c r="BS30" i="2"/>
  <c r="W188" i="2"/>
  <c r="N147" i="5"/>
  <c r="U188" i="2"/>
  <c r="T188" i="2"/>
  <c r="V188" i="2"/>
  <c r="AP191" i="2"/>
  <c r="AQ191" i="2" s="1"/>
  <c r="AS191" i="2"/>
  <c r="X170" i="5" s="1"/>
  <c r="AU162" i="2"/>
  <c r="AV162" i="2"/>
  <c r="CC162" i="2" s="1"/>
  <c r="AX162" i="2"/>
  <c r="Z185" i="5" s="1"/>
  <c r="AW162" i="2"/>
  <c r="AS137" i="2"/>
  <c r="X154" i="5" s="1"/>
  <c r="AP137" i="2"/>
  <c r="AQ137" i="2" s="1"/>
  <c r="R51" i="2"/>
  <c r="O51" i="2"/>
  <c r="P51" i="2" s="1"/>
  <c r="BS168" i="2"/>
  <c r="BT145" i="2"/>
  <c r="R23" i="2"/>
  <c r="O23" i="2"/>
  <c r="P23" i="2" s="1"/>
  <c r="X94" i="5"/>
  <c r="AW27" i="2"/>
  <c r="AU27" i="2"/>
  <c r="AX27" i="2"/>
  <c r="AV27" i="2"/>
  <c r="CC27" i="2" s="1"/>
  <c r="BS76" i="2"/>
  <c r="N24" i="5"/>
  <c r="U71" i="2"/>
  <c r="V71" i="2"/>
  <c r="W71" i="2"/>
  <c r="T71" i="2"/>
  <c r="BS114" i="2"/>
  <c r="O140" i="2"/>
  <c r="P140" i="2" s="1"/>
  <c r="R140" i="2"/>
  <c r="R37" i="2"/>
  <c r="O37" i="2"/>
  <c r="P37" i="2" s="1"/>
  <c r="N41" i="5"/>
  <c r="W59" i="2"/>
  <c r="V59" i="2"/>
  <c r="U59" i="2"/>
  <c r="T59" i="2"/>
  <c r="AW129" i="2"/>
  <c r="AX129" i="2"/>
  <c r="Z151" i="5" s="1"/>
  <c r="X151" i="5"/>
  <c r="AV129" i="2"/>
  <c r="CC129" i="2" s="1"/>
  <c r="AU129" i="2"/>
  <c r="X117" i="5"/>
  <c r="AX157" i="2"/>
  <c r="Z117" i="5" s="1"/>
  <c r="AW157" i="2"/>
  <c r="AV157" i="2"/>
  <c r="CC157" i="2" s="1"/>
  <c r="AU157" i="2"/>
  <c r="R148" i="2"/>
  <c r="O148" i="2"/>
  <c r="P148" i="2" s="1"/>
  <c r="T60" i="2"/>
  <c r="V60" i="2"/>
  <c r="N52" i="5"/>
  <c r="U60" i="2"/>
  <c r="W60" i="2"/>
  <c r="BT99" i="2"/>
  <c r="N177" i="5"/>
  <c r="T175" i="2"/>
  <c r="W175" i="2"/>
  <c r="V175" i="2"/>
  <c r="U175" i="2"/>
  <c r="O16" i="2"/>
  <c r="P16" i="2" s="1"/>
  <c r="R16" i="2"/>
  <c r="R17" i="2"/>
  <c r="O17" i="2"/>
  <c r="P17" i="2" s="1"/>
  <c r="AS196" i="2"/>
  <c r="X112" i="5" s="1"/>
  <c r="AP196" i="2"/>
  <c r="AQ196" i="2" s="1"/>
  <c r="W190" i="2"/>
  <c r="V190" i="2"/>
  <c r="U190" i="2"/>
  <c r="N195" i="5"/>
  <c r="T190" i="2"/>
  <c r="BS16" i="2"/>
  <c r="AU123" i="2"/>
  <c r="AV123" i="2"/>
  <c r="CC123" i="2" s="1"/>
  <c r="AW123" i="2"/>
  <c r="AX123" i="2"/>
  <c r="Z44" i="5" s="1"/>
  <c r="W110" i="2"/>
  <c r="V110" i="2"/>
  <c r="T110" i="2"/>
  <c r="N196" i="5"/>
  <c r="U110" i="2"/>
  <c r="BT103" i="2"/>
  <c r="N26" i="5"/>
  <c r="T156" i="2"/>
  <c r="W156" i="2"/>
  <c r="U156" i="2"/>
  <c r="V156" i="2"/>
  <c r="AP39" i="2"/>
  <c r="AQ39" i="2" s="1"/>
  <c r="AS39" i="2"/>
  <c r="X6" i="5" s="1"/>
  <c r="BT19" i="2"/>
  <c r="V85" i="2"/>
  <c r="N137" i="5"/>
  <c r="U85" i="2"/>
  <c r="T85" i="2"/>
  <c r="W85" i="2"/>
  <c r="R5" i="2"/>
  <c r="O5" i="2"/>
  <c r="P5" i="2" s="1"/>
  <c r="AX65" i="2"/>
  <c r="Z103" i="5" s="1"/>
  <c r="AW65" i="2"/>
  <c r="AU65" i="2"/>
  <c r="AV65" i="2"/>
  <c r="CC65" i="2" s="1"/>
  <c r="V84" i="2"/>
  <c r="N77" i="5"/>
  <c r="W84" i="2"/>
  <c r="U84" i="2"/>
  <c r="T84" i="2"/>
  <c r="BT151" i="2"/>
  <c r="AS55" i="2"/>
  <c r="X32" i="5" s="1"/>
  <c r="AP55" i="2"/>
  <c r="AQ55" i="2" s="1"/>
  <c r="N169" i="5"/>
  <c r="W104" i="2"/>
  <c r="U104" i="2"/>
  <c r="T104" i="2"/>
  <c r="V104" i="2"/>
  <c r="O138" i="2"/>
  <c r="P138" i="2" s="1"/>
  <c r="R138" i="2"/>
  <c r="BT122" i="2"/>
  <c r="BT59" i="2"/>
  <c r="BS28" i="2"/>
  <c r="O21" i="2"/>
  <c r="P21" i="2" s="1"/>
  <c r="R21" i="2"/>
  <c r="BS191" i="2"/>
  <c r="AS168" i="2"/>
  <c r="X128" i="5" s="1"/>
  <c r="AP168" i="2"/>
  <c r="AQ168" i="2" s="1"/>
  <c r="AS143" i="2"/>
  <c r="X91" i="5" s="1"/>
  <c r="AP143" i="2"/>
  <c r="AQ143" i="2" s="1"/>
  <c r="AX9" i="2"/>
  <c r="AW9" i="2"/>
  <c r="AV9" i="2"/>
  <c r="CC9" i="2" s="1"/>
  <c r="AU9" i="2"/>
  <c r="R178" i="2"/>
  <c r="O178" i="2"/>
  <c r="P178" i="2" s="1"/>
  <c r="O157" i="2"/>
  <c r="P157" i="2" s="1"/>
  <c r="R157" i="2"/>
  <c r="R109" i="2"/>
  <c r="O109" i="2"/>
  <c r="P109" i="2" s="1"/>
  <c r="R123" i="2"/>
  <c r="O123" i="2"/>
  <c r="P123" i="2" s="1"/>
  <c r="R143" i="2"/>
  <c r="O143" i="2"/>
  <c r="P143" i="2" s="1"/>
  <c r="O35" i="2"/>
  <c r="P35" i="2" s="1"/>
  <c r="R35" i="2"/>
  <c r="T151" i="2"/>
  <c r="N148" i="5"/>
  <c r="U151" i="2"/>
  <c r="V151" i="2"/>
  <c r="W151" i="2"/>
  <c r="AS74" i="2"/>
  <c r="X72" i="5" s="1"/>
  <c r="AP74" i="2"/>
  <c r="AQ74" i="2" s="1"/>
  <c r="O93" i="2"/>
  <c r="P93" i="2" s="1"/>
  <c r="R93" i="2"/>
  <c r="V57" i="2"/>
  <c r="T57" i="2"/>
  <c r="U57" i="2"/>
  <c r="N51" i="5"/>
  <c r="W57" i="2"/>
  <c r="R63" i="2"/>
  <c r="O63" i="2"/>
  <c r="P63" i="2" s="1"/>
  <c r="AU36" i="2"/>
  <c r="AV36" i="2"/>
  <c r="CC36" i="2" s="1"/>
  <c r="AX36" i="2"/>
  <c r="Z92" i="5" s="1"/>
  <c r="AW36" i="2"/>
  <c r="N197" i="5"/>
  <c r="V174" i="2"/>
  <c r="W174" i="2"/>
  <c r="U174" i="2"/>
  <c r="T174" i="2"/>
  <c r="O29" i="2"/>
  <c r="P29" i="2" s="1"/>
  <c r="R29" i="2"/>
  <c r="V120" i="2"/>
  <c r="N130" i="5"/>
  <c r="T120" i="2"/>
  <c r="U120" i="2"/>
  <c r="W120" i="2"/>
  <c r="N163" i="5"/>
  <c r="V91" i="2"/>
  <c r="W91" i="2"/>
  <c r="U91" i="2"/>
  <c r="T91" i="2"/>
  <c r="R124" i="2"/>
  <c r="O124" i="2"/>
  <c r="P124" i="2" s="1"/>
  <c r="R65" i="2"/>
  <c r="O65" i="2"/>
  <c r="P65" i="2" s="1"/>
  <c r="R152" i="2"/>
  <c r="O152" i="2"/>
  <c r="P152" i="2" s="1"/>
  <c r="N159" i="5"/>
  <c r="U186" i="2"/>
  <c r="V186" i="2"/>
  <c r="W186" i="2"/>
  <c r="T186" i="2"/>
  <c r="V27" i="2"/>
  <c r="U27" i="2"/>
  <c r="T27" i="2"/>
  <c r="N94" i="5"/>
  <c r="W27" i="2"/>
  <c r="AS83" i="2"/>
  <c r="AP83" i="2"/>
  <c r="AQ83" i="2" s="1"/>
  <c r="T64" i="2"/>
  <c r="W64" i="2"/>
  <c r="U64" i="2"/>
  <c r="V64" i="2"/>
  <c r="N16" i="5"/>
  <c r="BS96" i="2"/>
  <c r="N50" i="5"/>
  <c r="W49" i="2"/>
  <c r="U49" i="2"/>
  <c r="V49" i="2"/>
  <c r="T49" i="2"/>
  <c r="R38" i="2"/>
  <c r="O38" i="2"/>
  <c r="P38" i="2" s="1"/>
  <c r="O34" i="2"/>
  <c r="P34" i="2" s="1"/>
  <c r="R34" i="2"/>
  <c r="N109" i="5"/>
  <c r="W176" i="2"/>
  <c r="U176" i="2"/>
  <c r="V176" i="2"/>
  <c r="T176" i="2"/>
  <c r="O11" i="2"/>
  <c r="P11" i="2" s="1"/>
  <c r="R11" i="2"/>
  <c r="N135" i="5"/>
  <c r="V121" i="2"/>
  <c r="T121" i="2"/>
  <c r="W121" i="2"/>
  <c r="U121" i="2"/>
  <c r="O41" i="2"/>
  <c r="P41" i="2" s="1"/>
  <c r="R41" i="2"/>
  <c r="BS177" i="2"/>
  <c r="BT148" i="2"/>
  <c r="AP166" i="2"/>
  <c r="AQ166" i="2" s="1"/>
  <c r="AS166" i="2"/>
  <c r="X120" i="5" s="1"/>
  <c r="BT126" i="2"/>
  <c r="BS4" i="2"/>
  <c r="BS43" i="2"/>
  <c r="BT25" i="2"/>
  <c r="AW62" i="2"/>
  <c r="X22" i="5"/>
  <c r="AX62" i="2"/>
  <c r="Z22" i="5" s="1"/>
  <c r="AV62" i="2"/>
  <c r="CC62" i="2" s="1"/>
  <c r="AU62" i="2"/>
  <c r="BS17" i="2"/>
  <c r="AS149" i="2"/>
  <c r="X28" i="5" s="1"/>
  <c r="AP149" i="2"/>
  <c r="AQ149" i="2" s="1"/>
  <c r="BT33" i="2"/>
  <c r="AX195" i="2"/>
  <c r="Z182" i="5" s="1"/>
  <c r="AU195" i="2"/>
  <c r="AW195" i="2"/>
  <c r="AV195" i="2"/>
  <c r="CC195" i="2" s="1"/>
  <c r="BT180" i="2"/>
  <c r="AW7" i="2"/>
  <c r="X39" i="5"/>
  <c r="AX7" i="2"/>
  <c r="Z39" i="5" s="1"/>
  <c r="AV7" i="2"/>
  <c r="CC7" i="2" s="1"/>
  <c r="AU7" i="2"/>
  <c r="BT77" i="2"/>
  <c r="BS52" i="2"/>
  <c r="BT49" i="2"/>
  <c r="BS61" i="2"/>
  <c r="BT18" i="2"/>
  <c r="AV107" i="2"/>
  <c r="CC107" i="2" s="1"/>
  <c r="AW107" i="2"/>
  <c r="AU107" i="2"/>
  <c r="AX107" i="2"/>
  <c r="BS140" i="2"/>
  <c r="BT13" i="2"/>
  <c r="BT194" i="2"/>
  <c r="BT144" i="2"/>
  <c r="AP106" i="2"/>
  <c r="AQ106" i="2" s="1"/>
  <c r="AS106" i="2"/>
  <c r="X144" i="5" s="1"/>
  <c r="BT35" i="2"/>
  <c r="BT12" i="2"/>
  <c r="BS58" i="2"/>
  <c r="AP172" i="2"/>
  <c r="AQ172" i="2" s="1"/>
  <c r="AS172" i="2"/>
  <c r="AU67" i="2"/>
  <c r="X11" i="5"/>
  <c r="AW67" i="2"/>
  <c r="AV67" i="2"/>
  <c r="CC67" i="2" s="1"/>
  <c r="AX67" i="2"/>
  <c r="BT85" i="2"/>
  <c r="R87" i="2"/>
  <c r="O87" i="2"/>
  <c r="P87" i="2" s="1"/>
  <c r="AV97" i="2"/>
  <c r="CC97" i="2" s="1"/>
  <c r="AX97" i="2"/>
  <c r="AU97" i="2"/>
  <c r="AW97" i="2"/>
  <c r="BS121" i="2"/>
  <c r="X49" i="5"/>
  <c r="AU124" i="2"/>
  <c r="AV124" i="2"/>
  <c r="CC124" i="2" s="1"/>
  <c r="AX124" i="2"/>
  <c r="Z49" i="5" s="1"/>
  <c r="AW124" i="2"/>
  <c r="X116" i="5"/>
  <c r="AX165" i="2"/>
  <c r="Z116" i="5" s="1"/>
  <c r="AW165" i="2"/>
  <c r="AV165" i="2"/>
  <c r="CC165" i="2" s="1"/>
  <c r="AU165" i="2"/>
  <c r="AV16" i="2"/>
  <c r="CC16" i="2" s="1"/>
  <c r="AU16" i="2"/>
  <c r="X4" i="5"/>
  <c r="AX16" i="2"/>
  <c r="AW16" i="2"/>
  <c r="AP94" i="2"/>
  <c r="AQ94" i="2" s="1"/>
  <c r="AS94" i="2"/>
  <c r="BT54" i="2"/>
  <c r="AS92" i="2"/>
  <c r="AP92" i="2"/>
  <c r="AQ92" i="2" s="1"/>
  <c r="BS73" i="2"/>
  <c r="AW164" i="2"/>
  <c r="AX164" i="2"/>
  <c r="Z75" i="5" s="1"/>
  <c r="AU164" i="2"/>
  <c r="AV164" i="2"/>
  <c r="CC164" i="2" s="1"/>
  <c r="AP158" i="2"/>
  <c r="AQ158" i="2" s="1"/>
  <c r="AS158" i="2"/>
  <c r="X84" i="5" s="1"/>
  <c r="R66" i="2"/>
  <c r="O66" i="2"/>
  <c r="P66" i="2" s="1"/>
  <c r="BS142" i="2"/>
  <c r="AU12" i="2"/>
  <c r="AW12" i="2"/>
  <c r="AX12" i="2"/>
  <c r="Z47" i="5" s="1"/>
  <c r="AV12" i="2"/>
  <c r="CC12" i="2" s="1"/>
  <c r="AP19" i="2"/>
  <c r="AQ19" i="2" s="1"/>
  <c r="AS19" i="2"/>
  <c r="X3" i="5" s="1"/>
  <c r="T72" i="2"/>
  <c r="W72" i="2"/>
  <c r="N54" i="5"/>
  <c r="U72" i="2"/>
  <c r="V72" i="2"/>
  <c r="BS174" i="2"/>
  <c r="BS5" i="2"/>
  <c r="BS42" i="2"/>
  <c r="BT141" i="2"/>
  <c r="BS172" i="2"/>
  <c r="X85" i="5"/>
  <c r="AW24" i="2"/>
  <c r="AX24" i="2"/>
  <c r="Z85" i="5" s="1"/>
  <c r="AU24" i="2"/>
  <c r="AV24" i="2"/>
  <c r="CC24" i="2" s="1"/>
  <c r="AP174" i="2"/>
  <c r="AQ174" i="2" s="1"/>
  <c r="AS174" i="2"/>
  <c r="X197" i="5" s="1"/>
  <c r="AW52" i="2"/>
  <c r="AU52" i="2"/>
  <c r="AV52" i="2"/>
  <c r="CC52" i="2" s="1"/>
  <c r="AX52" i="2"/>
  <c r="BT36" i="2"/>
  <c r="BT88" i="2"/>
  <c r="AP42" i="2"/>
  <c r="AQ42" i="2" s="1"/>
  <c r="AS42" i="2"/>
  <c r="X13" i="5" s="1"/>
  <c r="AP25" i="2"/>
  <c r="AQ25" i="2" s="1"/>
  <c r="AS25" i="2"/>
  <c r="X172" i="5" s="1"/>
  <c r="AS23" i="2"/>
  <c r="AP23" i="2"/>
  <c r="AQ23" i="2" s="1"/>
  <c r="AX120" i="2"/>
  <c r="Z130" i="5" s="1"/>
  <c r="X130" i="5"/>
  <c r="AU120" i="2"/>
  <c r="AV120" i="2"/>
  <c r="CC120" i="2" s="1"/>
  <c r="AW120" i="2"/>
  <c r="AW47" i="2"/>
  <c r="AX47" i="2"/>
  <c r="AU47" i="2"/>
  <c r="AV47" i="2"/>
  <c r="CC47" i="2" s="1"/>
  <c r="N172" i="5"/>
  <c r="T25" i="2"/>
  <c r="W25" i="2"/>
  <c r="U25" i="2"/>
  <c r="V25" i="2"/>
  <c r="BT200" i="2"/>
  <c r="BS63" i="2"/>
  <c r="BT37" i="2"/>
  <c r="AW110" i="2"/>
  <c r="AX110" i="2"/>
  <c r="Z196" i="5" s="1"/>
  <c r="AU110" i="2"/>
  <c r="AV110" i="2"/>
  <c r="CC110" i="2" s="1"/>
  <c r="AS6" i="2"/>
  <c r="X59" i="5" s="1"/>
  <c r="AP6" i="2"/>
  <c r="AQ6" i="2" s="1"/>
  <c r="AP41" i="2"/>
  <c r="AQ41" i="2" s="1"/>
  <c r="AS41" i="2"/>
  <c r="X66" i="5" s="1"/>
  <c r="N120" i="5"/>
  <c r="T166" i="2"/>
  <c r="W166" i="2"/>
  <c r="U166" i="2"/>
  <c r="V166" i="2"/>
  <c r="BT187" i="2"/>
  <c r="BS197" i="2"/>
  <c r="AP161" i="2"/>
  <c r="AQ161" i="2" s="1"/>
  <c r="AS161" i="2"/>
  <c r="X62" i="5" s="1"/>
  <c r="AX14" i="2"/>
  <c r="AU14" i="2"/>
  <c r="AV14" i="2"/>
  <c r="CC14" i="2" s="1"/>
  <c r="AW14" i="2"/>
  <c r="BT158" i="2"/>
  <c r="BS169" i="2"/>
  <c r="BT160" i="2"/>
  <c r="BT10" i="2"/>
  <c r="BT30" i="2"/>
  <c r="W51" i="2"/>
  <c r="U51" i="2"/>
  <c r="T51" i="2"/>
  <c r="V51" i="2"/>
  <c r="N118" i="5"/>
  <c r="R9" i="2"/>
  <c r="O9" i="2"/>
  <c r="P9" i="2" s="1"/>
  <c r="BS145" i="2"/>
  <c r="BT76" i="2"/>
  <c r="O59" i="2"/>
  <c r="P59" i="2" s="1"/>
  <c r="R59" i="2"/>
  <c r="V148" i="2"/>
  <c r="T148" i="2"/>
  <c r="N190" i="5"/>
  <c r="U148" i="2"/>
  <c r="W148" i="2"/>
  <c r="BS99" i="2"/>
  <c r="W16" i="2"/>
  <c r="U16" i="2"/>
  <c r="T16" i="2"/>
  <c r="N4" i="5"/>
  <c r="V16" i="2"/>
  <c r="R83" i="2"/>
  <c r="O83" i="2"/>
  <c r="P83" i="2" s="1"/>
  <c r="AX155" i="2"/>
  <c r="AW155" i="2"/>
  <c r="AU155" i="2"/>
  <c r="AV155" i="2"/>
  <c r="CC155" i="2" s="1"/>
  <c r="R69" i="2"/>
  <c r="O69" i="2"/>
  <c r="P69" i="2" s="1"/>
  <c r="N105" i="5"/>
  <c r="U50" i="2"/>
  <c r="T50" i="2"/>
  <c r="V50" i="2"/>
  <c r="W50" i="2"/>
  <c r="O141" i="2"/>
  <c r="P141" i="2" s="1"/>
  <c r="R141" i="2"/>
  <c r="R190" i="2"/>
  <c r="O190" i="2"/>
  <c r="P190" i="2" s="1"/>
  <c r="BT130" i="2"/>
  <c r="V68" i="2"/>
  <c r="T68" i="2"/>
  <c r="N79" i="5"/>
  <c r="U68" i="2"/>
  <c r="W68" i="2"/>
  <c r="AS123" i="2"/>
  <c r="X44" i="5" s="1"/>
  <c r="AP123" i="2"/>
  <c r="AQ123" i="2" s="1"/>
  <c r="O110" i="2"/>
  <c r="P110" i="2" s="1"/>
  <c r="R110" i="2"/>
  <c r="AS179" i="2"/>
  <c r="AP179" i="2"/>
  <c r="AQ179" i="2" s="1"/>
  <c r="U105" i="2"/>
  <c r="V105" i="2"/>
  <c r="T105" i="2"/>
  <c r="N46" i="5"/>
  <c r="W105" i="2"/>
  <c r="BS19" i="2"/>
  <c r="R24" i="2"/>
  <c r="O24" i="2"/>
  <c r="P24" i="2" s="1"/>
  <c r="AS72" i="2"/>
  <c r="AP72" i="2"/>
  <c r="AQ72" i="2" s="1"/>
  <c r="V5" i="2"/>
  <c r="N101" i="5"/>
  <c r="T5" i="2"/>
  <c r="U5" i="2"/>
  <c r="W5" i="2"/>
  <c r="AP65" i="2"/>
  <c r="AQ65" i="2" s="1"/>
  <c r="AS65" i="2"/>
  <c r="X103" i="5" s="1"/>
  <c r="T82" i="2"/>
  <c r="V82" i="2"/>
  <c r="N87" i="5"/>
  <c r="U82" i="2"/>
  <c r="W82" i="2"/>
  <c r="O104" i="2"/>
  <c r="P104" i="2" s="1"/>
  <c r="R104" i="2"/>
  <c r="N100" i="5"/>
  <c r="W138" i="2"/>
  <c r="T138" i="2"/>
  <c r="V138" i="2"/>
  <c r="U138" i="2"/>
  <c r="BS122" i="2"/>
  <c r="R177" i="2"/>
  <c r="O177" i="2"/>
  <c r="P177" i="2" s="1"/>
  <c r="O40" i="2"/>
  <c r="P40" i="2" s="1"/>
  <c r="R40" i="2"/>
  <c r="BS59" i="2"/>
  <c r="N167" i="5"/>
  <c r="U14" i="2"/>
  <c r="T14" i="2"/>
  <c r="W14" i="2"/>
  <c r="V14" i="2"/>
  <c r="AS35" i="2"/>
  <c r="AP35" i="2"/>
  <c r="AQ35" i="2" s="1"/>
  <c r="AX73" i="2"/>
  <c r="AW73" i="2"/>
  <c r="AU73" i="2"/>
  <c r="AV73" i="2"/>
  <c r="CC73" i="2" s="1"/>
  <c r="U80" i="2"/>
  <c r="V80" i="2"/>
  <c r="N81" i="5"/>
  <c r="T80" i="2"/>
  <c r="W80" i="2"/>
  <c r="W88" i="2"/>
  <c r="T88" i="2"/>
  <c r="U88" i="2"/>
  <c r="V88" i="2"/>
  <c r="N121" i="5"/>
  <c r="BT75" i="2"/>
  <c r="R199" i="2"/>
  <c r="O199" i="2"/>
  <c r="P199" i="2" s="1"/>
  <c r="R86" i="2"/>
  <c r="O86" i="2"/>
  <c r="P86" i="2" s="1"/>
  <c r="W157" i="2"/>
  <c r="U157" i="2"/>
  <c r="N117" i="5"/>
  <c r="T157" i="2"/>
  <c r="V157" i="2"/>
  <c r="N175" i="5"/>
  <c r="T170" i="2"/>
  <c r="W170" i="2"/>
  <c r="V170" i="2"/>
  <c r="U170" i="2"/>
  <c r="N89" i="5"/>
  <c r="T107" i="2"/>
  <c r="W107" i="2"/>
  <c r="U107" i="2"/>
  <c r="V107" i="2"/>
  <c r="O78" i="2"/>
  <c r="P78" i="2" s="1"/>
  <c r="R78" i="2"/>
  <c r="BS86" i="2"/>
  <c r="N93" i="5"/>
  <c r="U93" i="2"/>
  <c r="V93" i="2"/>
  <c r="T93" i="2"/>
  <c r="W93" i="2"/>
  <c r="W12" i="2"/>
  <c r="V12" i="2"/>
  <c r="N47" i="5"/>
  <c r="U12" i="2"/>
  <c r="T12" i="2"/>
  <c r="AS36" i="2"/>
  <c r="X92" i="5" s="1"/>
  <c r="AP36" i="2"/>
  <c r="AQ36" i="2" s="1"/>
  <c r="O174" i="2"/>
  <c r="P174" i="2" s="1"/>
  <c r="R174" i="2"/>
  <c r="N34" i="5"/>
  <c r="T29" i="2"/>
  <c r="V29" i="2"/>
  <c r="W29" i="2"/>
  <c r="U29" i="2"/>
  <c r="R120" i="2"/>
  <c r="O120" i="2"/>
  <c r="P120" i="2" s="1"/>
  <c r="V7" i="2"/>
  <c r="U7" i="2"/>
  <c r="N39" i="5"/>
  <c r="W7" i="2"/>
  <c r="T7" i="2"/>
  <c r="W124" i="2"/>
  <c r="V124" i="2"/>
  <c r="T124" i="2"/>
  <c r="N49" i="5"/>
  <c r="U124" i="2"/>
  <c r="N22" i="5"/>
  <c r="V62" i="2"/>
  <c r="T62" i="2"/>
  <c r="W62" i="2"/>
  <c r="U62" i="2"/>
  <c r="U152" i="2"/>
  <c r="N168" i="5"/>
  <c r="V152" i="2"/>
  <c r="W152" i="2"/>
  <c r="T152" i="2"/>
  <c r="O186" i="2"/>
  <c r="P186" i="2" s="1"/>
  <c r="R186" i="2"/>
  <c r="R27" i="2"/>
  <c r="O27" i="2"/>
  <c r="P27" i="2" s="1"/>
  <c r="X139" i="5"/>
  <c r="AX83" i="2"/>
  <c r="Z139" i="5" s="1"/>
  <c r="AU83" i="2"/>
  <c r="AW83" i="2"/>
  <c r="AV83" i="2"/>
  <c r="CC83" i="2" s="1"/>
  <c r="R64" i="2"/>
  <c r="O64" i="2"/>
  <c r="P64" i="2" s="1"/>
  <c r="N11" i="5"/>
  <c r="W67" i="2"/>
  <c r="T67" i="2"/>
  <c r="U67" i="2"/>
  <c r="V67" i="2"/>
  <c r="T38" i="2"/>
  <c r="W38" i="2"/>
  <c r="U38" i="2"/>
  <c r="V38" i="2"/>
  <c r="N25" i="5"/>
  <c r="O176" i="2"/>
  <c r="P176" i="2" s="1"/>
  <c r="R176" i="2"/>
  <c r="N63" i="5"/>
  <c r="T11" i="2"/>
  <c r="W11" i="2"/>
  <c r="U11" i="2"/>
  <c r="V11" i="2"/>
  <c r="O180" i="2"/>
  <c r="P180" i="2" s="1"/>
  <c r="R180" i="2"/>
  <c r="R183" i="2"/>
  <c r="O183" i="2"/>
  <c r="P183" i="2" s="1"/>
  <c r="BS126" i="2"/>
  <c r="AP186" i="2"/>
  <c r="AQ186" i="2" s="1"/>
  <c r="AS186" i="2"/>
  <c r="X159" i="5" s="1"/>
  <c r="BS48" i="2"/>
  <c r="BT167" i="2"/>
  <c r="AU88" i="2"/>
  <c r="X121" i="5"/>
  <c r="AV88" i="2"/>
  <c r="CC88" i="2" s="1"/>
  <c r="AW88" i="2"/>
  <c r="AX88" i="2"/>
  <c r="Z121" i="5" s="1"/>
  <c r="BT93" i="2"/>
  <c r="BS50" i="2"/>
  <c r="BS165" i="2"/>
  <c r="BS33" i="2"/>
  <c r="AS195" i="2"/>
  <c r="X182" i="5" s="1"/>
  <c r="AP195" i="2"/>
  <c r="AQ195" i="2" s="1"/>
  <c r="BS180" i="2"/>
  <c r="BT92" i="2"/>
  <c r="BT29" i="2"/>
  <c r="BT52" i="2"/>
  <c r="BS49" i="2"/>
  <c r="AP107" i="2"/>
  <c r="AQ107" i="2" s="1"/>
  <c r="AS107" i="2"/>
  <c r="X89" i="5" s="1"/>
  <c r="AW106" i="2"/>
  <c r="AX106" i="2"/>
  <c r="Z144" i="5" s="1"/>
  <c r="AU106" i="2"/>
  <c r="AV106" i="2"/>
  <c r="CC106" i="2" s="1"/>
  <c r="AS45" i="2"/>
  <c r="AP45" i="2"/>
  <c r="AQ45" i="2" s="1"/>
  <c r="AP111" i="2"/>
  <c r="AQ111" i="2" s="1"/>
  <c r="AS111" i="2"/>
  <c r="AS139" i="2"/>
  <c r="AP139" i="2"/>
  <c r="AQ139" i="2" s="1"/>
  <c r="BT58" i="2"/>
  <c r="AS97" i="2"/>
  <c r="X129" i="5" s="1"/>
  <c r="AP97" i="2"/>
  <c r="AQ97" i="2" s="1"/>
  <c r="X141" i="5"/>
  <c r="AX94" i="2"/>
  <c r="AW94" i="2"/>
  <c r="AV94" i="2"/>
  <c r="CC94" i="2" s="1"/>
  <c r="AU94" i="2"/>
  <c r="BS54" i="2"/>
  <c r="O6" i="2"/>
  <c r="P6" i="2" s="1"/>
  <c r="R6" i="2"/>
  <c r="AW92" i="2"/>
  <c r="AV92" i="2"/>
  <c r="CC92" i="2" s="1"/>
  <c r="X145" i="5"/>
  <c r="AX92" i="2"/>
  <c r="AU92" i="2"/>
  <c r="AV183" i="2"/>
  <c r="CC183" i="2" s="1"/>
  <c r="AW183" i="2"/>
  <c r="AX183" i="2"/>
  <c r="Z180" i="5" s="1"/>
  <c r="AU183" i="2"/>
  <c r="AW158" i="2"/>
  <c r="AV158" i="2"/>
  <c r="CC158" i="2" s="1"/>
  <c r="AU158" i="2"/>
  <c r="AX158" i="2"/>
  <c r="BT142" i="2"/>
  <c r="AS12" i="2"/>
  <c r="X47" i="5" s="1"/>
  <c r="AP12" i="2"/>
  <c r="AQ12" i="2" s="1"/>
  <c r="U126" i="2"/>
  <c r="V126" i="2"/>
  <c r="N55" i="5"/>
  <c r="T126" i="2"/>
  <c r="W126" i="2"/>
  <c r="R193" i="2"/>
  <c r="O193" i="2"/>
  <c r="P193" i="2" s="1"/>
  <c r="BS113" i="2"/>
  <c r="R72" i="2"/>
  <c r="O72" i="2"/>
  <c r="P72" i="2" s="1"/>
  <c r="BT174" i="2"/>
  <c r="AS147" i="2"/>
  <c r="AP147" i="2"/>
  <c r="AQ147" i="2" s="1"/>
  <c r="BT42" i="2"/>
  <c r="AX170" i="2"/>
  <c r="AW170" i="2"/>
  <c r="AV170" i="2"/>
  <c r="CC170" i="2" s="1"/>
  <c r="AU170" i="2"/>
  <c r="AS76" i="2"/>
  <c r="X102" i="5" s="1"/>
  <c r="AP76" i="2"/>
  <c r="AQ76" i="2" s="1"/>
  <c r="BS119" i="2"/>
  <c r="BT172" i="2"/>
  <c r="R45" i="2"/>
  <c r="O45" i="2"/>
  <c r="P45" i="2" s="1"/>
  <c r="AS52" i="2"/>
  <c r="X90" i="5" s="1"/>
  <c r="AP52" i="2"/>
  <c r="AQ52" i="2" s="1"/>
  <c r="BT41" i="2"/>
  <c r="AS142" i="2"/>
  <c r="AP142" i="2"/>
  <c r="AQ142" i="2" s="1"/>
  <c r="BS8" i="2"/>
  <c r="AU23" i="2"/>
  <c r="AV23" i="2"/>
  <c r="CC23" i="2" s="1"/>
  <c r="X146" i="5"/>
  <c r="AX23" i="2"/>
  <c r="Z146" i="5" s="1"/>
  <c r="AW23" i="2"/>
  <c r="BS198" i="2"/>
  <c r="N149" i="5"/>
  <c r="U154" i="2"/>
  <c r="V154" i="2"/>
  <c r="T154" i="2"/>
  <c r="W154" i="2"/>
  <c r="AS11" i="2"/>
  <c r="AP11" i="2"/>
  <c r="AQ11" i="2" s="1"/>
  <c r="AW141" i="2"/>
  <c r="AV141" i="2"/>
  <c r="CC141" i="2" s="1"/>
  <c r="AU141" i="2"/>
  <c r="AX141" i="2"/>
  <c r="BS200" i="2"/>
  <c r="BT63" i="2"/>
  <c r="BT186" i="2"/>
  <c r="AP87" i="2"/>
  <c r="AQ87" i="2" s="1"/>
  <c r="AS87" i="2"/>
  <c r="X183" i="5" s="1"/>
  <c r="BS37" i="2"/>
  <c r="AS110" i="2"/>
  <c r="X196" i="5" s="1"/>
  <c r="AP110" i="2"/>
  <c r="AQ110" i="2" s="1"/>
  <c r="AW41" i="2"/>
  <c r="AV41" i="2"/>
  <c r="CC41" i="2" s="1"/>
  <c r="AX41" i="2"/>
  <c r="Z66" i="5" s="1"/>
  <c r="AU41" i="2"/>
  <c r="R166" i="2"/>
  <c r="O166" i="2"/>
  <c r="P166" i="2" s="1"/>
  <c r="BS187" i="2"/>
  <c r="BS190" i="2"/>
  <c r="BT183" i="2"/>
  <c r="AS14" i="2"/>
  <c r="X167" i="5" s="1"/>
  <c r="AP14" i="2"/>
  <c r="AQ14" i="2" s="1"/>
  <c r="BS181" i="2"/>
  <c r="BS158" i="2"/>
  <c r="BT169" i="2"/>
  <c r="X195" i="5"/>
  <c r="AX190" i="2"/>
  <c r="Z195" i="5" s="1"/>
  <c r="AW190" i="2"/>
  <c r="AV190" i="2"/>
  <c r="CC190" i="2" s="1"/>
  <c r="AU190" i="2"/>
  <c r="BS160" i="2"/>
  <c r="N40" i="5"/>
  <c r="V131" i="2"/>
  <c r="W131" i="2"/>
  <c r="T131" i="2"/>
  <c r="U131" i="2"/>
  <c r="R200" i="2"/>
  <c r="O200" i="2"/>
  <c r="P200" i="2" s="1"/>
  <c r="W113" i="2"/>
  <c r="U113" i="2"/>
  <c r="T113" i="2"/>
  <c r="N155" i="5"/>
  <c r="V113" i="2"/>
  <c r="V162" i="2"/>
  <c r="W162" i="2"/>
  <c r="T162" i="2"/>
  <c r="U162" i="2"/>
  <c r="N185" i="5"/>
  <c r="O19" i="2"/>
  <c r="P19" i="2" s="1"/>
  <c r="R19" i="2"/>
  <c r="AP162" i="2"/>
  <c r="AQ162" i="2" s="1"/>
  <c r="AS162" i="2"/>
  <c r="X185" i="5" s="1"/>
  <c r="T158" i="2"/>
  <c r="W158" i="2"/>
  <c r="V158" i="2"/>
  <c r="N84" i="5"/>
  <c r="U158" i="2"/>
  <c r="T133" i="2"/>
  <c r="N45" i="5"/>
  <c r="V133" i="2"/>
  <c r="U133" i="2"/>
  <c r="W133" i="2"/>
  <c r="R71" i="2"/>
  <c r="O71" i="2"/>
  <c r="P71" i="2" s="1"/>
  <c r="BS91" i="2"/>
  <c r="AU148" i="2"/>
  <c r="AV148" i="2"/>
  <c r="CC148" i="2" s="1"/>
  <c r="AW148" i="2"/>
  <c r="AX148" i="2"/>
  <c r="Z190" i="5" s="1"/>
  <c r="W54" i="2"/>
  <c r="N133" i="5"/>
  <c r="U54" i="2"/>
  <c r="T54" i="2"/>
  <c r="V54" i="2"/>
  <c r="AU197" i="2"/>
  <c r="AV197" i="2"/>
  <c r="CC197" i="2" s="1"/>
  <c r="AX197" i="2"/>
  <c r="Z176" i="5" s="1"/>
  <c r="AW197" i="2"/>
  <c r="N139" i="5"/>
  <c r="U83" i="2"/>
  <c r="V83" i="2"/>
  <c r="W83" i="2"/>
  <c r="T83" i="2"/>
  <c r="N31" i="5"/>
  <c r="U69" i="2"/>
  <c r="W69" i="2"/>
  <c r="V69" i="2"/>
  <c r="T69" i="2"/>
  <c r="U141" i="2"/>
  <c r="V141" i="2"/>
  <c r="W141" i="2"/>
  <c r="T141" i="2"/>
  <c r="N36" i="5"/>
  <c r="AP30" i="2"/>
  <c r="AQ30" i="2" s="1"/>
  <c r="AS30" i="2"/>
  <c r="BS130" i="2"/>
  <c r="O68" i="2"/>
  <c r="P68" i="2" s="1"/>
  <c r="R68" i="2"/>
  <c r="R105" i="2"/>
  <c r="O105" i="2"/>
  <c r="P105" i="2" s="1"/>
  <c r="U100" i="2"/>
  <c r="W100" i="2"/>
  <c r="V100" i="2"/>
  <c r="N156" i="5"/>
  <c r="T100" i="2"/>
  <c r="AP135" i="2"/>
  <c r="AQ135" i="2" s="1"/>
  <c r="AS135" i="2"/>
  <c r="V24" i="2"/>
  <c r="N85" i="5"/>
  <c r="T24" i="2"/>
  <c r="W24" i="2"/>
  <c r="U24" i="2"/>
  <c r="BS6" i="2"/>
  <c r="AW72" i="2"/>
  <c r="AU72" i="2"/>
  <c r="AV72" i="2"/>
  <c r="CC72" i="2" s="1"/>
  <c r="X54" i="5"/>
  <c r="AX72" i="2"/>
  <c r="Z54" i="5" s="1"/>
  <c r="O103" i="2"/>
  <c r="P103" i="2" s="1"/>
  <c r="R103" i="2"/>
  <c r="AX40" i="2"/>
  <c r="Z15" i="5" s="1"/>
  <c r="AU40" i="2"/>
  <c r="AV40" i="2"/>
  <c r="CC40" i="2" s="1"/>
  <c r="AW40" i="2"/>
  <c r="O135" i="2"/>
  <c r="P135" i="2" s="1"/>
  <c r="R135" i="2"/>
  <c r="O22" i="2"/>
  <c r="P22" i="2" s="1"/>
  <c r="R22" i="2"/>
  <c r="BT178" i="2"/>
  <c r="N125" i="5"/>
  <c r="U177" i="2"/>
  <c r="T177" i="2"/>
  <c r="W177" i="2"/>
  <c r="V177" i="2"/>
  <c r="W40" i="2"/>
  <c r="U40" i="2"/>
  <c r="N15" i="5"/>
  <c r="V40" i="2"/>
  <c r="T40" i="2"/>
  <c r="AW35" i="2"/>
  <c r="AV35" i="2"/>
  <c r="CC35" i="2" s="1"/>
  <c r="AU35" i="2"/>
  <c r="AX35" i="2"/>
  <c r="X131" i="5"/>
  <c r="AS73" i="2"/>
  <c r="X126" i="5" s="1"/>
  <c r="AP73" i="2"/>
  <c r="AQ73" i="2" s="1"/>
  <c r="AP29" i="2"/>
  <c r="AQ29" i="2" s="1"/>
  <c r="AS29" i="2"/>
  <c r="BS104" i="2"/>
  <c r="R198" i="2"/>
  <c r="O198" i="2"/>
  <c r="P198" i="2" s="1"/>
  <c r="R88" i="2"/>
  <c r="O88" i="2"/>
  <c r="P88" i="2" s="1"/>
  <c r="BS75" i="2"/>
  <c r="AS134" i="2"/>
  <c r="AP134" i="2"/>
  <c r="AQ134" i="2" s="1"/>
  <c r="BT149" i="2"/>
  <c r="AS9" i="2"/>
  <c r="X74" i="5" s="1"/>
  <c r="AP9" i="2"/>
  <c r="AQ9" i="2" s="1"/>
  <c r="N67" i="5"/>
  <c r="W86" i="2"/>
  <c r="U86" i="2"/>
  <c r="T86" i="2"/>
  <c r="V86" i="2"/>
  <c r="R97" i="2"/>
  <c r="O97" i="2"/>
  <c r="P97" i="2" s="1"/>
  <c r="AS10" i="2"/>
  <c r="AP10" i="2"/>
  <c r="AQ10" i="2" s="1"/>
  <c r="W143" i="2"/>
  <c r="T143" i="2"/>
  <c r="V143" i="2"/>
  <c r="N91" i="5"/>
  <c r="U143" i="2"/>
  <c r="O107" i="2"/>
  <c r="P107" i="2" s="1"/>
  <c r="R107" i="2"/>
  <c r="AP50" i="2"/>
  <c r="AQ50" i="2" s="1"/>
  <c r="AS50" i="2"/>
  <c r="X105" i="5" s="1"/>
  <c r="O151" i="2"/>
  <c r="P151" i="2" s="1"/>
  <c r="R151" i="2"/>
  <c r="O44" i="2"/>
  <c r="P44" i="2" s="1"/>
  <c r="R44" i="2"/>
  <c r="BT86" i="2"/>
  <c r="R53" i="2"/>
  <c r="O53" i="2"/>
  <c r="P53" i="2" s="1"/>
  <c r="R12" i="2"/>
  <c r="O12" i="2"/>
  <c r="P12" i="2" s="1"/>
  <c r="T189" i="2"/>
  <c r="V189" i="2"/>
  <c r="W189" i="2"/>
  <c r="N160" i="5"/>
  <c r="U189" i="2"/>
  <c r="R10" i="2"/>
  <c r="O10" i="2"/>
  <c r="P10" i="2" s="1"/>
  <c r="T128" i="2"/>
  <c r="N187" i="5"/>
  <c r="W128" i="2"/>
  <c r="U128" i="2"/>
  <c r="V128" i="2"/>
  <c r="BS65" i="2"/>
  <c r="O7" i="2"/>
  <c r="P7" i="2" s="1"/>
  <c r="R7" i="2"/>
  <c r="AX194" i="2"/>
  <c r="AW194" i="2"/>
  <c r="AU194" i="2"/>
  <c r="AV194" i="2"/>
  <c r="CC194" i="2" s="1"/>
  <c r="AS198" i="2"/>
  <c r="AP198" i="2"/>
  <c r="AQ198" i="2" s="1"/>
  <c r="W31" i="2"/>
  <c r="T31" i="2"/>
  <c r="N57" i="5"/>
  <c r="V31" i="2"/>
  <c r="U31" i="2"/>
  <c r="R48" i="2"/>
  <c r="O48" i="2"/>
  <c r="P48" i="2" s="1"/>
  <c r="R49" i="2"/>
  <c r="O49" i="2"/>
  <c r="P49" i="2" s="1"/>
  <c r="W111" i="2"/>
  <c r="T111" i="2"/>
  <c r="N21" i="5"/>
  <c r="U111" i="2"/>
  <c r="V111" i="2"/>
  <c r="W173" i="2"/>
  <c r="U173" i="2"/>
  <c r="V173" i="2"/>
  <c r="N194" i="5"/>
  <c r="T173" i="2"/>
  <c r="N106" i="5"/>
  <c r="W34" i="2"/>
  <c r="U34" i="2"/>
  <c r="T34" i="2"/>
  <c r="V34" i="2"/>
  <c r="N171" i="5"/>
  <c r="W172" i="2"/>
  <c r="U172" i="2"/>
  <c r="T172" i="2"/>
  <c r="V172" i="2"/>
  <c r="V180" i="2"/>
  <c r="T180" i="2"/>
  <c r="N58" i="5"/>
  <c r="U180" i="2"/>
  <c r="W180" i="2"/>
  <c r="N180" i="5"/>
  <c r="U183" i="2"/>
  <c r="V183" i="2"/>
  <c r="W183" i="2"/>
  <c r="T183" i="2"/>
  <c r="BT193" i="2"/>
  <c r="BS124" i="2"/>
  <c r="BT165" i="2"/>
  <c r="BT45" i="2"/>
  <c r="BS116" i="2"/>
  <c r="BS92" i="2"/>
  <c r="BS29" i="2"/>
  <c r="BS20" i="2"/>
  <c r="AX60" i="2"/>
  <c r="AW60" i="2"/>
  <c r="AU60" i="2"/>
  <c r="AV60" i="2"/>
  <c r="CC60" i="2" s="1"/>
  <c r="BT164" i="2"/>
  <c r="BS146" i="2"/>
  <c r="AX69" i="2"/>
  <c r="Z31" i="5" s="1"/>
  <c r="AU69" i="2"/>
  <c r="AV69" i="2"/>
  <c r="CC69" i="2" s="1"/>
  <c r="AW69" i="2"/>
  <c r="BS101" i="2"/>
  <c r="AX111" i="2"/>
  <c r="AW111" i="2"/>
  <c r="AU111" i="2"/>
  <c r="AV111" i="2"/>
  <c r="CC111" i="2" s="1"/>
  <c r="X21" i="5"/>
  <c r="AW172" i="2"/>
  <c r="AX172" i="2"/>
  <c r="Z171" i="5" s="1"/>
  <c r="X171" i="5"/>
  <c r="AV172" i="2"/>
  <c r="CC172" i="2" s="1"/>
  <c r="AU172" i="2"/>
  <c r="BT7" i="2"/>
  <c r="W171" i="2"/>
  <c r="V171" i="2"/>
  <c r="N193" i="5"/>
  <c r="U171" i="2"/>
  <c r="T171" i="2"/>
  <c r="AX109" i="2"/>
  <c r="Z179" i="5" s="1"/>
  <c r="AV109" i="2"/>
  <c r="CC109" i="2" s="1"/>
  <c r="AW109" i="2"/>
  <c r="AU109" i="2"/>
  <c r="BT154" i="2"/>
  <c r="BT153" i="2"/>
  <c r="AS183" i="2"/>
  <c r="X180" i="5" s="1"/>
  <c r="AP183" i="2"/>
  <c r="AQ183" i="2" s="1"/>
  <c r="O74" i="2"/>
  <c r="P74" i="2" s="1"/>
  <c r="R74" i="2"/>
  <c r="R126" i="2"/>
  <c r="O126" i="2"/>
  <c r="P126" i="2" s="1"/>
  <c r="V193" i="2"/>
  <c r="N181" i="5"/>
  <c r="W193" i="2"/>
  <c r="U193" i="2"/>
  <c r="T193" i="2"/>
  <c r="BT113" i="2"/>
  <c r="AV115" i="2"/>
  <c r="CC115" i="2" s="1"/>
  <c r="AU115" i="2"/>
  <c r="AW115" i="2"/>
  <c r="AX115" i="2"/>
  <c r="AW76" i="2"/>
  <c r="AU76" i="2"/>
  <c r="AV76" i="2"/>
  <c r="CC76" i="2" s="1"/>
  <c r="AX76" i="2"/>
  <c r="BT119" i="2"/>
  <c r="U196" i="2"/>
  <c r="V196" i="2"/>
  <c r="N112" i="5"/>
  <c r="T196" i="2"/>
  <c r="W196" i="2"/>
  <c r="BT131" i="2"/>
  <c r="V45" i="2"/>
  <c r="N115" i="5"/>
  <c r="U45" i="2"/>
  <c r="W45" i="2"/>
  <c r="T45" i="2"/>
  <c r="BT23" i="2"/>
  <c r="BS41" i="2"/>
  <c r="AW142" i="2"/>
  <c r="AX142" i="2"/>
  <c r="AU142" i="2"/>
  <c r="AV142" i="2"/>
  <c r="CC142" i="2" s="1"/>
  <c r="X88" i="5"/>
  <c r="BS102" i="2"/>
  <c r="AS89" i="2"/>
  <c r="AP89" i="2"/>
  <c r="AQ89" i="2" s="1"/>
  <c r="BS71" i="2"/>
  <c r="BT8" i="2"/>
  <c r="BT198" i="2"/>
  <c r="O154" i="2"/>
  <c r="P154" i="2" s="1"/>
  <c r="R154" i="2"/>
  <c r="AS47" i="2"/>
  <c r="X29" i="5" s="1"/>
  <c r="AP47" i="2"/>
  <c r="AQ47" i="2" s="1"/>
  <c r="AX91" i="2"/>
  <c r="AW91" i="2"/>
  <c r="AV91" i="2"/>
  <c r="CC91" i="2" s="1"/>
  <c r="AU91" i="2"/>
  <c r="R25" i="2"/>
  <c r="O25" i="2"/>
  <c r="P25" i="2" s="1"/>
  <c r="AS141" i="2"/>
  <c r="X36" i="5" s="1"/>
  <c r="AP141" i="2"/>
  <c r="AQ141" i="2" s="1"/>
  <c r="BS129" i="2"/>
  <c r="BS186" i="2"/>
  <c r="AX177" i="2"/>
  <c r="AW177" i="2"/>
  <c r="AU177" i="2"/>
  <c r="AV177" i="2"/>
  <c r="CC177" i="2" s="1"/>
  <c r="AS144" i="2"/>
  <c r="AP144" i="2"/>
  <c r="AQ144" i="2" s="1"/>
  <c r="AS192" i="2"/>
  <c r="X186" i="5" s="1"/>
  <c r="AP192" i="2"/>
  <c r="AQ192" i="2" s="1"/>
  <c r="AX6" i="2"/>
  <c r="AW6" i="2"/>
  <c r="AV6" i="2"/>
  <c r="CC6" i="2" s="1"/>
  <c r="AU6" i="2"/>
  <c r="BT190" i="2"/>
  <c r="O15" i="2"/>
  <c r="P15" i="2" s="1"/>
  <c r="R15" i="2"/>
  <c r="BS183" i="2"/>
  <c r="BT181" i="2"/>
  <c r="AP187" i="2"/>
  <c r="AQ187" i="2" s="1"/>
  <c r="AS187" i="2"/>
  <c r="BT84" i="2"/>
  <c r="AP185" i="2"/>
  <c r="AQ185" i="2" s="1"/>
  <c r="AS185" i="2"/>
  <c r="O131" i="2"/>
  <c r="P131" i="2" s="1"/>
  <c r="R131" i="2"/>
  <c r="U200" i="2"/>
  <c r="V200" i="2"/>
  <c r="T200" i="2"/>
  <c r="N199" i="5"/>
  <c r="W200" i="2"/>
  <c r="O113" i="2"/>
  <c r="P113" i="2" s="1"/>
  <c r="R113" i="2"/>
  <c r="V136" i="2"/>
  <c r="N82" i="5"/>
  <c r="W136" i="2"/>
  <c r="U136" i="2"/>
  <c r="T136" i="2"/>
  <c r="W19" i="2"/>
  <c r="T19" i="2"/>
  <c r="V19" i="2"/>
  <c r="N3" i="5"/>
  <c r="U19" i="2"/>
  <c r="T9" i="2"/>
  <c r="V9" i="2"/>
  <c r="U9" i="2"/>
  <c r="W9" i="2"/>
  <c r="N74" i="5"/>
  <c r="R158" i="2"/>
  <c r="O158" i="2"/>
  <c r="P158" i="2" s="1"/>
  <c r="R56" i="2"/>
  <c r="O56" i="2"/>
  <c r="P56" i="2" s="1"/>
  <c r="R133" i="2"/>
  <c r="O133" i="2"/>
  <c r="P133" i="2" s="1"/>
  <c r="N132" i="5"/>
  <c r="W26" i="2"/>
  <c r="T26" i="2"/>
  <c r="V26" i="2"/>
  <c r="U26" i="2"/>
  <c r="BT91" i="2"/>
  <c r="N28" i="5"/>
  <c r="W149" i="2"/>
  <c r="T149" i="2"/>
  <c r="U149" i="2"/>
  <c r="V149" i="2"/>
  <c r="R54" i="2"/>
  <c r="O54" i="2"/>
  <c r="P54" i="2" s="1"/>
  <c r="W164" i="2"/>
  <c r="U164" i="2"/>
  <c r="V164" i="2"/>
  <c r="N75" i="5"/>
  <c r="T164" i="2"/>
  <c r="R42" i="2"/>
  <c r="O42" i="2"/>
  <c r="P42" i="2" s="1"/>
  <c r="R132" i="2"/>
  <c r="O132" i="2"/>
  <c r="P132" i="2" s="1"/>
  <c r="X64" i="5"/>
  <c r="AX30" i="2"/>
  <c r="AW30" i="2"/>
  <c r="AU30" i="2"/>
  <c r="AV30" i="2"/>
  <c r="CC30" i="2" s="1"/>
  <c r="N108" i="5"/>
  <c r="U81" i="2"/>
  <c r="W81" i="2"/>
  <c r="T81" i="2"/>
  <c r="V81" i="2"/>
  <c r="X161" i="5"/>
  <c r="AW179" i="2"/>
  <c r="AX179" i="2"/>
  <c r="Z161" i="5" s="1"/>
  <c r="AV179" i="2"/>
  <c r="CC179" i="2" s="1"/>
  <c r="AU179" i="2"/>
  <c r="R191" i="2"/>
  <c r="O191" i="2"/>
  <c r="P191" i="2" s="1"/>
  <c r="BT6" i="2"/>
  <c r="R142" i="2"/>
  <c r="O142" i="2"/>
  <c r="P142" i="2" s="1"/>
  <c r="BS196" i="2"/>
  <c r="N111" i="5"/>
  <c r="U103" i="2"/>
  <c r="V103" i="2"/>
  <c r="T103" i="2"/>
  <c r="W103" i="2"/>
  <c r="AS40" i="2"/>
  <c r="X15" i="5" s="1"/>
  <c r="AP40" i="2"/>
  <c r="AQ40" i="2" s="1"/>
  <c r="N23" i="5"/>
  <c r="V135" i="2"/>
  <c r="W135" i="2"/>
  <c r="U135" i="2"/>
  <c r="T135" i="2"/>
  <c r="BS178" i="2"/>
  <c r="BT132" i="2"/>
  <c r="T39" i="2"/>
  <c r="V39" i="2"/>
  <c r="W39" i="2"/>
  <c r="N6" i="5"/>
  <c r="U39" i="2"/>
  <c r="O14" i="2"/>
  <c r="P14" i="2" s="1"/>
  <c r="R14" i="2"/>
  <c r="N9" i="5"/>
  <c r="W114" i="2"/>
  <c r="U114" i="2"/>
  <c r="V114" i="2"/>
  <c r="T114" i="2"/>
  <c r="AX189" i="2"/>
  <c r="AV189" i="2"/>
  <c r="CC189" i="2" s="1"/>
  <c r="AU189" i="2"/>
  <c r="AW189" i="2"/>
  <c r="O30" i="2"/>
  <c r="P30" i="2" s="1"/>
  <c r="R30" i="2"/>
  <c r="X34" i="5"/>
  <c r="AV29" i="2"/>
  <c r="CC29" i="2" s="1"/>
  <c r="AW29" i="2"/>
  <c r="AU29" i="2"/>
  <c r="AX29" i="2"/>
  <c r="Z34" i="5" s="1"/>
  <c r="BT104" i="2"/>
  <c r="V198" i="2"/>
  <c r="W198" i="2"/>
  <c r="T198" i="2"/>
  <c r="U198" i="2"/>
  <c r="N198" i="5"/>
  <c r="BT199" i="2"/>
  <c r="R80" i="2"/>
  <c r="O80" i="2"/>
  <c r="P80" i="2" s="1"/>
  <c r="AS104" i="2"/>
  <c r="AP104" i="2"/>
  <c r="AQ104" i="2" s="1"/>
  <c r="BS149" i="2"/>
  <c r="U119" i="2"/>
  <c r="V119" i="2"/>
  <c r="T119" i="2"/>
  <c r="W119" i="2"/>
  <c r="N17" i="5"/>
  <c r="U97" i="2"/>
  <c r="N129" i="5"/>
  <c r="W97" i="2"/>
  <c r="T97" i="2"/>
  <c r="V97" i="2"/>
  <c r="AU10" i="2"/>
  <c r="AV10" i="2"/>
  <c r="CC10" i="2" s="1"/>
  <c r="AW10" i="2"/>
  <c r="X35" i="5"/>
  <c r="AX10" i="2"/>
  <c r="V197" i="2"/>
  <c r="W197" i="2"/>
  <c r="T197" i="2"/>
  <c r="N176" i="5"/>
  <c r="U197" i="2"/>
  <c r="T130" i="2"/>
  <c r="U130" i="2"/>
  <c r="N18" i="5"/>
  <c r="W130" i="2"/>
  <c r="V130" i="2"/>
  <c r="V102" i="2"/>
  <c r="T102" i="2"/>
  <c r="N173" i="5"/>
  <c r="W102" i="2"/>
  <c r="U102" i="2"/>
  <c r="N80" i="5"/>
  <c r="W44" i="2"/>
  <c r="U44" i="2"/>
  <c r="V44" i="2"/>
  <c r="T44" i="2"/>
  <c r="N97" i="5"/>
  <c r="U78" i="2"/>
  <c r="V78" i="2"/>
  <c r="W78" i="2"/>
  <c r="T78" i="2"/>
  <c r="AW58" i="2"/>
  <c r="AX58" i="2"/>
  <c r="Z107" i="5" s="1"/>
  <c r="AV58" i="2"/>
  <c r="CC58" i="2" s="1"/>
  <c r="AU58" i="2"/>
  <c r="R179" i="2"/>
  <c r="O179" i="2"/>
  <c r="P179" i="2" s="1"/>
  <c r="R134" i="2"/>
  <c r="O134" i="2"/>
  <c r="P134" i="2" s="1"/>
  <c r="N114" i="5"/>
  <c r="U167" i="2"/>
  <c r="W167" i="2"/>
  <c r="T167" i="2"/>
  <c r="V167" i="2"/>
  <c r="O189" i="2"/>
  <c r="P189" i="2" s="1"/>
  <c r="R189" i="2"/>
  <c r="T10" i="2"/>
  <c r="N35" i="5"/>
  <c r="W10" i="2"/>
  <c r="U10" i="2"/>
  <c r="V10" i="2"/>
  <c r="O128" i="2"/>
  <c r="P128" i="2" s="1"/>
  <c r="R128" i="2"/>
  <c r="BT65" i="2"/>
  <c r="AX82" i="2"/>
  <c r="Z87" i="5" s="1"/>
  <c r="AV82" i="2"/>
  <c r="CC82" i="2" s="1"/>
  <c r="AU82" i="2"/>
  <c r="AW82" i="2"/>
  <c r="AP194" i="2"/>
  <c r="AQ194" i="2" s="1"/>
  <c r="AS194" i="2"/>
  <c r="X158" i="5" s="1"/>
  <c r="V117" i="2"/>
  <c r="U117" i="2"/>
  <c r="W117" i="2"/>
  <c r="N43" i="5"/>
  <c r="T117" i="2"/>
  <c r="AV200" i="2"/>
  <c r="CC200" i="2" s="1"/>
  <c r="AW200" i="2"/>
  <c r="AX200" i="2"/>
  <c r="AU200" i="2"/>
  <c r="AW198" i="2"/>
  <c r="X198" i="5"/>
  <c r="AX198" i="2"/>
  <c r="Z198" i="5" s="1"/>
  <c r="AU198" i="2"/>
  <c r="AV198" i="2"/>
  <c r="CC198" i="2" s="1"/>
  <c r="O31" i="2"/>
  <c r="P31" i="2" s="1"/>
  <c r="R31" i="2"/>
  <c r="O101" i="2"/>
  <c r="P101" i="2" s="1"/>
  <c r="R101" i="2"/>
  <c r="T48" i="2"/>
  <c r="W48" i="2"/>
  <c r="N71" i="5"/>
  <c r="U48" i="2"/>
  <c r="V48" i="2"/>
  <c r="O111" i="2"/>
  <c r="P111" i="2" s="1"/>
  <c r="R111" i="2"/>
  <c r="O173" i="2"/>
  <c r="P173" i="2" s="1"/>
  <c r="R173" i="2"/>
  <c r="R172" i="2"/>
  <c r="O172" i="2"/>
  <c r="P172" i="2" s="1"/>
  <c r="BS47" i="2"/>
  <c r="AP48" i="2"/>
  <c r="AQ48" i="2" s="1"/>
  <c r="AS48" i="2"/>
  <c r="X71" i="5" s="1"/>
  <c r="AW169" i="2"/>
  <c r="X99" i="5"/>
  <c r="AU169" i="2"/>
  <c r="AX169" i="2"/>
  <c r="Z99" i="5" s="1"/>
  <c r="AV169" i="2"/>
  <c r="CC169" i="2" s="1"/>
  <c r="BT20" i="2"/>
  <c r="AS20" i="2"/>
  <c r="X5" i="5" s="1"/>
  <c r="AP20" i="2"/>
  <c r="AQ20" i="2" s="1"/>
  <c r="BT31" i="2"/>
  <c r="BS164" i="2"/>
  <c r="BT146" i="2"/>
  <c r="BS55" i="2"/>
  <c r="BS188" i="2"/>
  <c r="AS69" i="2"/>
  <c r="X31" i="5" s="1"/>
  <c r="AP69" i="2"/>
  <c r="AQ69" i="2" s="1"/>
  <c r="BT101" i="2"/>
  <c r="BS64" i="2"/>
  <c r="X115" i="5"/>
  <c r="AV45" i="2"/>
  <c r="CC45" i="2" s="1"/>
  <c r="AU45" i="2"/>
  <c r="AX45" i="2"/>
  <c r="AW45" i="2"/>
  <c r="BT176" i="2"/>
  <c r="BT162" i="2"/>
  <c r="AX139" i="2"/>
  <c r="Z138" i="5" s="1"/>
  <c r="X138" i="5"/>
  <c r="AW139" i="2"/>
  <c r="AV139" i="2"/>
  <c r="CC139" i="2" s="1"/>
  <c r="AU139" i="2"/>
  <c r="BS7" i="2"/>
  <c r="O171" i="2"/>
  <c r="P171" i="2" s="1"/>
  <c r="R171" i="2"/>
  <c r="AS109" i="2"/>
  <c r="X179" i="5" s="1"/>
  <c r="AP109" i="2"/>
  <c r="AQ109" i="2" s="1"/>
  <c r="BS154" i="2"/>
  <c r="AP146" i="2"/>
  <c r="AQ146" i="2" s="1"/>
  <c r="AS146" i="2"/>
  <c r="X25" i="5"/>
  <c r="AX38" i="2"/>
  <c r="Z25" i="5" s="1"/>
  <c r="AV38" i="2"/>
  <c r="CC38" i="2" s="1"/>
  <c r="AU38" i="2"/>
  <c r="AW38" i="2"/>
  <c r="R160" i="2"/>
  <c r="O160" i="2"/>
  <c r="P160" i="2" s="1"/>
  <c r="BT98" i="2"/>
  <c r="BS153" i="2"/>
  <c r="BS184" i="2"/>
  <c r="BS112" i="2"/>
  <c r="BT57" i="2"/>
  <c r="N72" i="5"/>
  <c r="W74" i="2"/>
  <c r="T74" i="2"/>
  <c r="U74" i="2"/>
  <c r="V74" i="2"/>
  <c r="R75" i="2"/>
  <c r="O75" i="2"/>
  <c r="P75" i="2" s="1"/>
  <c r="AS115" i="2"/>
  <c r="X37" i="5" s="1"/>
  <c r="AP115" i="2"/>
  <c r="AQ115" i="2" s="1"/>
  <c r="X184" i="5"/>
  <c r="AX147" i="2"/>
  <c r="Z184" i="5" s="1"/>
  <c r="AU147" i="2"/>
  <c r="AW147" i="2"/>
  <c r="AV147" i="2"/>
  <c r="CC147" i="2" s="1"/>
  <c r="AP170" i="2"/>
  <c r="AQ170" i="2" s="1"/>
  <c r="AS170" i="2"/>
  <c r="X175" i="5" s="1"/>
  <c r="AV66" i="2"/>
  <c r="CC66" i="2" s="1"/>
  <c r="AU66" i="2"/>
  <c r="X96" i="5"/>
  <c r="AW66" i="2"/>
  <c r="AX66" i="2"/>
  <c r="Z96" i="5" s="1"/>
  <c r="BT39" i="2"/>
  <c r="AS136" i="2"/>
  <c r="AP136" i="2"/>
  <c r="AQ136" i="2" s="1"/>
  <c r="R196" i="2"/>
  <c r="O196" i="2"/>
  <c r="P196" i="2" s="1"/>
  <c r="BS131" i="2"/>
  <c r="BS23" i="2"/>
  <c r="BT102" i="2"/>
  <c r="AX89" i="2"/>
  <c r="Z73" i="5" s="1"/>
  <c r="AW89" i="2"/>
  <c r="AV89" i="2"/>
  <c r="CC89" i="2" s="1"/>
  <c r="AU89" i="2"/>
  <c r="X73" i="5"/>
  <c r="AW43" i="2"/>
  <c r="AU43" i="2"/>
  <c r="AV43" i="2"/>
  <c r="CC43" i="2" s="1"/>
  <c r="AX43" i="2"/>
  <c r="Z27" i="5" s="1"/>
  <c r="BT71" i="2"/>
  <c r="BS34" i="2"/>
  <c r="AU114" i="2"/>
  <c r="AV114" i="2"/>
  <c r="CC114" i="2" s="1"/>
  <c r="AX114" i="2"/>
  <c r="Z9" i="5" s="1"/>
  <c r="AW114" i="2"/>
  <c r="AW11" i="2"/>
  <c r="AU11" i="2"/>
  <c r="AV11" i="2"/>
  <c r="CC11" i="2" s="1"/>
  <c r="AX11" i="2"/>
  <c r="Z63" i="5" s="1"/>
  <c r="X63" i="5"/>
  <c r="AS91" i="2"/>
  <c r="X163" i="5" s="1"/>
  <c r="AP91" i="2"/>
  <c r="AQ91" i="2" s="1"/>
  <c r="AX101" i="2"/>
  <c r="Z42" i="5" s="1"/>
  <c r="AU101" i="2"/>
  <c r="AW101" i="2"/>
  <c r="AV101" i="2"/>
  <c r="CC101" i="2" s="1"/>
  <c r="W8" i="2"/>
  <c r="V8" i="2"/>
  <c r="T8" i="2"/>
  <c r="N20" i="5"/>
  <c r="U8" i="2"/>
  <c r="AW159" i="2"/>
  <c r="X164" i="5"/>
  <c r="AU159" i="2"/>
  <c r="AV159" i="2"/>
  <c r="CC159" i="2" s="1"/>
  <c r="AX159" i="2"/>
  <c r="BS14" i="2"/>
  <c r="BT123" i="2"/>
  <c r="BT129" i="2"/>
  <c r="AU144" i="2"/>
  <c r="AV144" i="2"/>
  <c r="CC144" i="2" s="1"/>
  <c r="AX144" i="2"/>
  <c r="Z142" i="5" s="1"/>
  <c r="X142" i="5"/>
  <c r="AW144" i="2"/>
  <c r="AV192" i="2"/>
  <c r="CC192" i="2" s="1"/>
  <c r="AU192" i="2"/>
  <c r="AW192" i="2"/>
  <c r="AX192" i="2"/>
  <c r="Z186" i="5" s="1"/>
  <c r="V115" i="2"/>
  <c r="N37" i="5"/>
  <c r="W115" i="2"/>
  <c r="U115" i="2"/>
  <c r="T115" i="2"/>
  <c r="X156" i="5"/>
  <c r="AX100" i="2"/>
  <c r="Z156" i="5" s="1"/>
  <c r="AV100" i="2"/>
  <c r="CC100" i="2" s="1"/>
  <c r="AU100" i="2"/>
  <c r="AW100" i="2"/>
  <c r="BS27" i="2"/>
  <c r="W15" i="2"/>
  <c r="V15" i="2"/>
  <c r="N8" i="5"/>
  <c r="U15" i="2"/>
  <c r="T15" i="2"/>
  <c r="AP131" i="2"/>
  <c r="AQ131" i="2" s="1"/>
  <c r="AS131" i="2"/>
  <c r="X40" i="5" s="1"/>
  <c r="AW187" i="2"/>
  <c r="X76" i="5"/>
  <c r="AV187" i="2"/>
  <c r="CC187" i="2" s="1"/>
  <c r="AU187" i="2"/>
  <c r="AX187" i="2"/>
  <c r="Z76" i="5" s="1"/>
  <c r="BS84" i="2"/>
  <c r="AU125" i="2"/>
  <c r="AV125" i="2"/>
  <c r="CC125" i="2" s="1"/>
  <c r="AW125" i="2"/>
  <c r="AX125" i="2"/>
  <c r="Z83" i="5" s="1"/>
  <c r="BS82" i="2"/>
  <c r="AP122" i="2"/>
  <c r="AQ122" i="2" s="1"/>
  <c r="AS122" i="2"/>
  <c r="X152" i="5"/>
  <c r="AX33" i="2"/>
  <c r="AW33" i="2"/>
  <c r="AU33" i="2"/>
  <c r="AV33" i="2"/>
  <c r="CC33" i="2" s="1"/>
  <c r="O162" i="2"/>
  <c r="P162" i="2" s="1"/>
  <c r="R162" i="2"/>
  <c r="R136" i="2"/>
  <c r="O136" i="2"/>
  <c r="P136" i="2" s="1"/>
  <c r="T56" i="2"/>
  <c r="U56" i="2"/>
  <c r="V56" i="2"/>
  <c r="W56" i="2"/>
  <c r="N119" i="5"/>
  <c r="R26" i="2"/>
  <c r="O26" i="2"/>
  <c r="P26" i="2" s="1"/>
  <c r="N60" i="5"/>
  <c r="V46" i="2"/>
  <c r="W46" i="2"/>
  <c r="U46" i="2"/>
  <c r="T46" i="2"/>
  <c r="W122" i="2"/>
  <c r="N86" i="5"/>
  <c r="U122" i="2"/>
  <c r="T122" i="2"/>
  <c r="V122" i="2"/>
  <c r="AP118" i="2"/>
  <c r="AQ118" i="2" s="1"/>
  <c r="AS118" i="2"/>
  <c r="X19" i="5" s="1"/>
  <c r="R147" i="2"/>
  <c r="O147" i="2"/>
  <c r="P147" i="2" s="1"/>
  <c r="O149" i="2"/>
  <c r="P149" i="2" s="1"/>
  <c r="R149" i="2"/>
  <c r="AS148" i="2"/>
  <c r="X190" i="5" s="1"/>
  <c r="AP148" i="2"/>
  <c r="AQ148" i="2" s="1"/>
  <c r="AP197" i="2"/>
  <c r="AQ197" i="2" s="1"/>
  <c r="AS197" i="2"/>
  <c r="X176" i="5" s="1"/>
  <c r="N174" i="5"/>
  <c r="W132" i="2"/>
  <c r="T132" i="2"/>
  <c r="U132" i="2"/>
  <c r="V132" i="2"/>
  <c r="AV8" i="2"/>
  <c r="CC8" i="2" s="1"/>
  <c r="AU8" i="2"/>
  <c r="AW8" i="2"/>
  <c r="AX8" i="2"/>
  <c r="Z20" i="5" s="1"/>
  <c r="X20" i="5"/>
  <c r="R100" i="2"/>
  <c r="O100" i="2"/>
  <c r="P100" i="2" s="1"/>
  <c r="R13" i="2"/>
  <c r="O13" i="2"/>
  <c r="P13" i="2" s="1"/>
  <c r="X23" i="5"/>
  <c r="AU135" i="2"/>
  <c r="AX135" i="2"/>
  <c r="Z23" i="5" s="1"/>
  <c r="AV135" i="2"/>
  <c r="CC135" i="2" s="1"/>
  <c r="AW135" i="2"/>
  <c r="BT15" i="2"/>
  <c r="U90" i="2"/>
  <c r="W90" i="2"/>
  <c r="N30" i="5"/>
  <c r="V90" i="2"/>
  <c r="T90" i="2"/>
  <c r="W142" i="2"/>
  <c r="U142" i="2"/>
  <c r="T142" i="2"/>
  <c r="N88" i="5"/>
  <c r="V142" i="2"/>
  <c r="BT196" i="2"/>
  <c r="U22" i="2"/>
  <c r="T22" i="2"/>
  <c r="W22" i="2"/>
  <c r="V22" i="2"/>
  <c r="N7" i="5"/>
  <c r="BT100" i="2"/>
  <c r="BS132" i="2"/>
  <c r="O39" i="2"/>
  <c r="P39" i="2" s="1"/>
  <c r="R39" i="2"/>
  <c r="R114" i="2"/>
  <c r="O114" i="2"/>
  <c r="P114" i="2" s="1"/>
  <c r="N64" i="5"/>
  <c r="T30" i="2"/>
  <c r="W30" i="2"/>
  <c r="U30" i="2"/>
  <c r="V30" i="2"/>
  <c r="R47" i="2"/>
  <c r="O47" i="2"/>
  <c r="P47" i="2" s="1"/>
  <c r="BS199" i="2"/>
  <c r="AU134" i="2"/>
  <c r="AW134" i="2"/>
  <c r="X78" i="5"/>
  <c r="AX134" i="2"/>
  <c r="AV134" i="2"/>
  <c r="CC134" i="2" s="1"/>
  <c r="AV104" i="2"/>
  <c r="CC104" i="2" s="1"/>
  <c r="AX104" i="2"/>
  <c r="Z169" i="5" s="1"/>
  <c r="X169" i="5"/>
  <c r="AW104" i="2"/>
  <c r="AU104" i="2"/>
  <c r="AU152" i="2"/>
  <c r="AX152" i="2"/>
  <c r="AW152" i="2"/>
  <c r="AV152" i="2"/>
  <c r="CC152" i="2" s="1"/>
  <c r="O119" i="2"/>
  <c r="P119" i="2" s="1"/>
  <c r="R119" i="2"/>
  <c r="R96" i="2"/>
  <c r="O96" i="2"/>
  <c r="P96" i="2" s="1"/>
  <c r="R129" i="2"/>
  <c r="O129" i="2"/>
  <c r="P129" i="2" s="1"/>
  <c r="R197" i="2"/>
  <c r="O197" i="2"/>
  <c r="P197" i="2" s="1"/>
  <c r="AU50" i="2"/>
  <c r="AV50" i="2"/>
  <c r="CC50" i="2" s="1"/>
  <c r="AW50" i="2"/>
  <c r="AX50" i="2"/>
  <c r="Z105" i="5" s="1"/>
  <c r="R102" i="2"/>
  <c r="O102" i="2"/>
  <c r="P102" i="2" s="1"/>
  <c r="R168" i="2"/>
  <c r="O168" i="2"/>
  <c r="P168" i="2" s="1"/>
  <c r="AU79" i="2"/>
  <c r="AV79" i="2"/>
  <c r="CC79" i="2" s="1"/>
  <c r="AW79" i="2"/>
  <c r="AX79" i="2"/>
  <c r="Z124" i="5" s="1"/>
  <c r="AS58" i="2"/>
  <c r="X107" i="5" s="1"/>
  <c r="AP58" i="2"/>
  <c r="AQ58" i="2" s="1"/>
  <c r="U32" i="2"/>
  <c r="N70" i="5"/>
  <c r="V32" i="2"/>
  <c r="W32" i="2"/>
  <c r="T32" i="2"/>
  <c r="V53" i="2"/>
  <c r="N48" i="5"/>
  <c r="U53" i="2"/>
  <c r="W53" i="2"/>
  <c r="T53" i="2"/>
  <c r="N161" i="5"/>
  <c r="W179" i="2"/>
  <c r="V179" i="2"/>
  <c r="U179" i="2"/>
  <c r="T179" i="2"/>
  <c r="AS176" i="2"/>
  <c r="X109" i="5" s="1"/>
  <c r="AP176" i="2"/>
  <c r="AQ176" i="2" s="1"/>
  <c r="V134" i="2"/>
  <c r="U134" i="2"/>
  <c r="N78" i="5"/>
  <c r="W134" i="2"/>
  <c r="T134" i="2"/>
  <c r="O167" i="2"/>
  <c r="P167" i="2" s="1"/>
  <c r="R167" i="2"/>
  <c r="AX28" i="2"/>
  <c r="AW28" i="2"/>
  <c r="AU28" i="2"/>
  <c r="AV28" i="2"/>
  <c r="CC28" i="2" s="1"/>
  <c r="N62" i="5"/>
  <c r="W161" i="2"/>
  <c r="T161" i="2"/>
  <c r="U161" i="2"/>
  <c r="V161" i="2"/>
  <c r="W4" i="2"/>
  <c r="V4" i="2"/>
  <c r="N33" i="5"/>
  <c r="U4" i="2"/>
  <c r="T4" i="2"/>
  <c r="AP82" i="2"/>
  <c r="AQ82" i="2" s="1"/>
  <c r="AS82" i="2"/>
  <c r="X87" i="5" s="1"/>
  <c r="R117" i="2"/>
  <c r="O117" i="2"/>
  <c r="P117" i="2" s="1"/>
  <c r="AS200" i="2"/>
  <c r="X199" i="5" s="1"/>
  <c r="AP200" i="2"/>
  <c r="AQ200" i="2" s="1"/>
  <c r="O70" i="2"/>
  <c r="P70" i="2" s="1"/>
  <c r="R70" i="2"/>
  <c r="X123" i="5"/>
  <c r="AW96" i="2"/>
  <c r="AU96" i="2"/>
  <c r="AX96" i="2"/>
  <c r="Z123" i="5" s="1"/>
  <c r="AV96" i="2"/>
  <c r="CC96" i="2" s="1"/>
  <c r="U101" i="2"/>
  <c r="V101" i="2"/>
  <c r="T101" i="2"/>
  <c r="N42" i="5"/>
  <c r="W101" i="2"/>
  <c r="R146" i="2"/>
  <c r="O146" i="2"/>
  <c r="P146" i="2" s="1"/>
  <c r="AS98" i="2"/>
  <c r="X150" i="5" s="1"/>
  <c r="AP98" i="2"/>
  <c r="AQ98" i="2" s="1"/>
  <c r="BS193" i="2"/>
  <c r="BT105" i="2"/>
  <c r="BT108" i="2"/>
  <c r="AS81" i="2"/>
  <c r="X108" i="5" s="1"/>
  <c r="AP81" i="2"/>
  <c r="AQ81" i="2" s="1"/>
  <c r="BS31" i="2"/>
  <c r="AS60" i="2"/>
  <c r="X52" i="5" s="1"/>
  <c r="AP60" i="2"/>
  <c r="AQ60" i="2" s="1"/>
  <c r="BT55" i="2"/>
  <c r="BT188" i="2"/>
  <c r="BT40" i="2"/>
  <c r="BS68" i="2"/>
  <c r="X50" i="5"/>
  <c r="AW49" i="2"/>
  <c r="AV49" i="2"/>
  <c r="CC49" i="2" s="1"/>
  <c r="AU49" i="2"/>
  <c r="AX49" i="2"/>
  <c r="X33" i="5"/>
  <c r="AW4" i="2"/>
  <c r="AV4" i="2"/>
  <c r="CC4" i="2" s="1"/>
  <c r="AU4" i="2"/>
  <c r="AX4" i="2"/>
  <c r="Z33" i="5" s="1"/>
  <c r="BT64" i="2"/>
  <c r="BS179" i="2"/>
  <c r="BS176" i="2"/>
  <c r="BS162" i="2"/>
  <c r="X114" i="5"/>
  <c r="AX167" i="2"/>
  <c r="AV167" i="2"/>
  <c r="CC167" i="2" s="1"/>
  <c r="AU167" i="2"/>
  <c r="AW167" i="2"/>
  <c r="AS31" i="2"/>
  <c r="X57" i="5" s="1"/>
  <c r="AP31" i="2"/>
  <c r="AQ31" i="2" s="1"/>
  <c r="X14" i="5"/>
  <c r="AX146" i="2"/>
  <c r="AW146" i="2"/>
  <c r="AU146" i="2"/>
  <c r="AV146" i="2"/>
  <c r="CC146" i="2" s="1"/>
  <c r="V160" i="2"/>
  <c r="N191" i="5"/>
  <c r="U160" i="2"/>
  <c r="W160" i="2"/>
  <c r="T160" i="2"/>
  <c r="BS98" i="2"/>
  <c r="AS18" i="2"/>
  <c r="X56" i="5" s="1"/>
  <c r="AP18" i="2"/>
  <c r="AQ18" i="2" s="1"/>
  <c r="AS151" i="2"/>
  <c r="X148" i="5" s="1"/>
  <c r="AP151" i="2"/>
  <c r="AQ151" i="2" s="1"/>
  <c r="AU181" i="2"/>
  <c r="AX181" i="2"/>
  <c r="Z136" i="5" s="1"/>
  <c r="AV181" i="2"/>
  <c r="CC181" i="2" s="1"/>
  <c r="AW181" i="2"/>
  <c r="X136" i="5"/>
  <c r="BT184" i="2"/>
  <c r="BT112" i="2"/>
  <c r="AP138" i="2"/>
  <c r="AQ138" i="2" s="1"/>
  <c r="AS138" i="2"/>
  <c r="X100" i="5" s="1"/>
  <c r="BS127" i="2"/>
  <c r="BS57" i="2"/>
  <c r="AW178" i="2"/>
  <c r="AX178" i="2"/>
  <c r="Z162" i="5" s="1"/>
  <c r="AU178" i="2"/>
  <c r="X162" i="5"/>
  <c r="AV178" i="2"/>
  <c r="CC178" i="2" s="1"/>
  <c r="AX59" i="2"/>
  <c r="Z41" i="5" s="1"/>
  <c r="AU59" i="2"/>
  <c r="AW59" i="2"/>
  <c r="AV59" i="2"/>
  <c r="CC59" i="2" s="1"/>
  <c r="X41" i="5"/>
  <c r="AP112" i="2"/>
  <c r="AQ112" i="2" s="1"/>
  <c r="AS112" i="2"/>
  <c r="X166" i="5" s="1"/>
  <c r="BT137" i="2"/>
  <c r="AS5" i="2"/>
  <c r="X101" i="5" s="1"/>
  <c r="AP5" i="2"/>
  <c r="AQ5" i="2" s="1"/>
  <c r="AU44" i="2"/>
  <c r="AX44" i="2"/>
  <c r="AW44" i="2"/>
  <c r="AV44" i="2"/>
  <c r="CC44" i="2" s="1"/>
  <c r="X80" i="5"/>
  <c r="N134" i="5"/>
  <c r="W75" i="2"/>
  <c r="U75" i="2"/>
  <c r="T75" i="2"/>
  <c r="V75" i="2"/>
  <c r="AV57" i="2"/>
  <c r="CC57" i="2" s="1"/>
  <c r="AX57" i="2"/>
  <c r="Z51" i="5" s="1"/>
  <c r="AU57" i="2"/>
  <c r="AW57" i="2"/>
  <c r="X51" i="5"/>
  <c r="BS21" i="2"/>
  <c r="AS37" i="2"/>
  <c r="X143" i="5" s="1"/>
  <c r="AP37" i="2"/>
  <c r="AQ37" i="2" s="1"/>
  <c r="BS9" i="2"/>
  <c r="X70" i="5"/>
  <c r="AU32" i="2"/>
  <c r="AW32" i="2"/>
  <c r="AV32" i="2"/>
  <c r="CC32" i="2" s="1"/>
  <c r="AX32" i="2"/>
  <c r="Z70" i="5" s="1"/>
  <c r="X157" i="5"/>
  <c r="AU13" i="2"/>
  <c r="AV13" i="2"/>
  <c r="CC13" i="2" s="1"/>
  <c r="AX13" i="2"/>
  <c r="AW13" i="2"/>
  <c r="BS39" i="2"/>
  <c r="X82" i="5"/>
  <c r="AW136" i="2"/>
  <c r="AX136" i="2"/>
  <c r="AV136" i="2"/>
  <c r="CC136" i="2" s="1"/>
  <c r="AU136" i="2"/>
  <c r="N73" i="5"/>
  <c r="W89" i="2"/>
  <c r="U89" i="2"/>
  <c r="V89" i="2"/>
  <c r="T89" i="2"/>
  <c r="R125" i="2"/>
  <c r="O125" i="2"/>
  <c r="P125" i="2" s="1"/>
  <c r="AP22" i="2"/>
  <c r="AQ22" i="2" s="1"/>
  <c r="AS22" i="2"/>
  <c r="X7" i="5" s="1"/>
  <c r="BS166" i="2"/>
  <c r="AS43" i="2"/>
  <c r="X27" i="5" s="1"/>
  <c r="AP43" i="2"/>
  <c r="AQ43" i="2" s="1"/>
  <c r="BT34" i="2"/>
  <c r="AP34" i="2"/>
  <c r="AQ34" i="2" s="1"/>
  <c r="AS34" i="2"/>
  <c r="X106" i="5" s="1"/>
  <c r="BT60" i="2"/>
  <c r="AS114" i="2"/>
  <c r="X9" i="5" s="1"/>
  <c r="AP114" i="2"/>
  <c r="AQ114" i="2" s="1"/>
  <c r="R36" i="2"/>
  <c r="O36" i="2"/>
  <c r="P36" i="2" s="1"/>
  <c r="N152" i="5"/>
  <c r="U33" i="2"/>
  <c r="V33" i="2"/>
  <c r="W33" i="2"/>
  <c r="T33" i="2"/>
  <c r="AS101" i="2"/>
  <c r="X42" i="5" s="1"/>
  <c r="AP101" i="2"/>
  <c r="AQ101" i="2" s="1"/>
  <c r="BT14" i="2"/>
  <c r="BS123" i="2"/>
  <c r="AS177" i="2"/>
  <c r="X125" i="5" s="1"/>
  <c r="AP177" i="2"/>
  <c r="AQ177" i="2" s="1"/>
  <c r="BS125" i="2"/>
  <c r="O115" i="2"/>
  <c r="P115" i="2" s="1"/>
  <c r="R115" i="2"/>
  <c r="BT27" i="2"/>
  <c r="AS26" i="2"/>
  <c r="X132" i="5" s="1"/>
  <c r="AP26" i="2"/>
  <c r="AQ26" i="2" s="1"/>
  <c r="AW185" i="2"/>
  <c r="AV185" i="2"/>
  <c r="CC185" i="2" s="1"/>
  <c r="AU185" i="2"/>
  <c r="X110" i="5"/>
  <c r="AX185" i="2"/>
  <c r="Z110" i="5" s="1"/>
  <c r="AS125" i="2"/>
  <c r="X83" i="5" s="1"/>
  <c r="AP125" i="2"/>
  <c r="AQ125" i="2" s="1"/>
  <c r="BT82" i="2"/>
  <c r="AW122" i="2"/>
  <c r="AU122" i="2"/>
  <c r="X86" i="5"/>
  <c r="AX122" i="2"/>
  <c r="Z86" i="5" s="1"/>
  <c r="AV122" i="2"/>
  <c r="CC122" i="2" s="1"/>
  <c r="AS127" i="2"/>
  <c r="X38" i="5" s="1"/>
  <c r="AP127" i="2"/>
  <c r="AQ127" i="2" s="1"/>
  <c r="N150" i="5"/>
  <c r="W98" i="2"/>
  <c r="V98" i="2"/>
  <c r="U98" i="2"/>
  <c r="T98" i="2"/>
  <c r="AS175" i="2"/>
  <c r="X177" i="5" s="1"/>
  <c r="AP175" i="2"/>
  <c r="AQ175" i="2" s="1"/>
  <c r="N10" i="5"/>
  <c r="W145" i="2"/>
  <c r="U145" i="2"/>
  <c r="V145" i="2"/>
  <c r="T145" i="2"/>
  <c r="BT38" i="2"/>
  <c r="X104" i="5"/>
  <c r="AW77" i="2"/>
  <c r="AX77" i="2"/>
  <c r="Z104" i="5" s="1"/>
  <c r="AU77" i="2"/>
  <c r="AV77" i="2"/>
  <c r="CC77" i="2" s="1"/>
  <c r="W181" i="2"/>
  <c r="U181" i="2"/>
  <c r="V181" i="2"/>
  <c r="T181" i="2"/>
  <c r="N136" i="5"/>
  <c r="R46" i="2"/>
  <c r="O46" i="2"/>
  <c r="P46" i="2" s="1"/>
  <c r="AX118" i="2"/>
  <c r="AU118" i="2"/>
  <c r="AV118" i="2"/>
  <c r="CC118" i="2" s="1"/>
  <c r="AW118" i="2"/>
  <c r="AW108" i="2"/>
  <c r="AU108" i="2"/>
  <c r="AV108" i="2"/>
  <c r="CC108" i="2" s="1"/>
  <c r="AX108" i="2"/>
  <c r="X153" i="5"/>
  <c r="R194" i="2"/>
  <c r="O194" i="2"/>
  <c r="P194" i="2" s="1"/>
  <c r="BT170" i="2"/>
  <c r="AP46" i="2"/>
  <c r="AQ46" i="2" s="1"/>
  <c r="AS46" i="2"/>
  <c r="X60" i="5" s="1"/>
  <c r="R164" i="2"/>
  <c r="O164" i="2"/>
  <c r="P164" i="2" s="1"/>
  <c r="AS78" i="2"/>
  <c r="X97" i="5" s="1"/>
  <c r="AP78" i="2"/>
  <c r="AQ78" i="2" s="1"/>
  <c r="V42" i="2"/>
  <c r="N13" i="5"/>
  <c r="W42" i="2"/>
  <c r="U42" i="2"/>
  <c r="T42" i="2"/>
  <c r="R81" i="2"/>
  <c r="O81" i="2"/>
  <c r="P81" i="2" s="1"/>
  <c r="N157" i="5"/>
  <c r="U13" i="2"/>
  <c r="W13" i="2"/>
  <c r="T13" i="2"/>
  <c r="V13" i="2"/>
  <c r="N170" i="5"/>
  <c r="W191" i="2"/>
  <c r="T191" i="2"/>
  <c r="V191" i="2"/>
  <c r="U191" i="2"/>
  <c r="N90" i="5"/>
  <c r="W52" i="2"/>
  <c r="V52" i="2"/>
  <c r="T52" i="2"/>
  <c r="U52" i="2"/>
  <c r="BS15" i="2"/>
  <c r="BT182" i="2"/>
  <c r="BS111" i="2"/>
  <c r="AS84" i="2"/>
  <c r="X77" i="5" s="1"/>
  <c r="AP84" i="2"/>
  <c r="AQ84" i="2" s="1"/>
  <c r="R92" i="2"/>
  <c r="O92" i="2"/>
  <c r="P92" i="2" s="1"/>
  <c r="AU99" i="2"/>
  <c r="AV99" i="2"/>
  <c r="CC99" i="2" s="1"/>
  <c r="AX99" i="2"/>
  <c r="X140" i="5"/>
  <c r="AW99" i="2"/>
  <c r="BS100" i="2"/>
  <c r="W77" i="2"/>
  <c r="T77" i="2"/>
  <c r="V77" i="2"/>
  <c r="N104" i="5"/>
  <c r="U77" i="2"/>
  <c r="BS70" i="2"/>
  <c r="T73" i="2"/>
  <c r="N126" i="5"/>
  <c r="V73" i="2"/>
  <c r="U73" i="2"/>
  <c r="W73" i="2"/>
  <c r="X135" i="5"/>
  <c r="AU121" i="2"/>
  <c r="AV121" i="2"/>
  <c r="CC121" i="2" s="1"/>
  <c r="AX121" i="2"/>
  <c r="Z135" i="5" s="1"/>
  <c r="AW121" i="2"/>
  <c r="AP189" i="2"/>
  <c r="AQ189" i="2" s="1"/>
  <c r="AS189" i="2"/>
  <c r="X160" i="5" s="1"/>
  <c r="AS188" i="2"/>
  <c r="X147" i="5" s="1"/>
  <c r="AP188" i="2"/>
  <c r="AQ188" i="2" s="1"/>
  <c r="BT26" i="2"/>
  <c r="N29" i="5"/>
  <c r="W47" i="2"/>
  <c r="U47" i="2"/>
  <c r="V47" i="2"/>
  <c r="T47" i="2"/>
  <c r="R55" i="2"/>
  <c r="O55" i="2"/>
  <c r="P55" i="2" s="1"/>
  <c r="AS152" i="2"/>
  <c r="X168" i="5" s="1"/>
  <c r="AP152" i="2"/>
  <c r="AQ152" i="2" s="1"/>
  <c r="AP113" i="2"/>
  <c r="AQ113" i="2" s="1"/>
  <c r="AS113" i="2"/>
  <c r="X155" i="5" s="1"/>
  <c r="V185" i="2"/>
  <c r="W185" i="2"/>
  <c r="U185" i="2"/>
  <c r="T185" i="2"/>
  <c r="N110" i="5"/>
  <c r="R144" i="2"/>
  <c r="O144" i="2"/>
  <c r="P144" i="2" s="1"/>
  <c r="T129" i="2"/>
  <c r="V129" i="2"/>
  <c r="W129" i="2"/>
  <c r="N151" i="5"/>
  <c r="U129" i="2"/>
  <c r="R61" i="2"/>
  <c r="O61" i="2"/>
  <c r="P61" i="2" s="1"/>
  <c r="R130" i="2"/>
  <c r="O130" i="2"/>
  <c r="P130" i="2" s="1"/>
  <c r="N128" i="5"/>
  <c r="U168" i="2"/>
  <c r="W168" i="2"/>
  <c r="T168" i="2"/>
  <c r="V168" i="2"/>
  <c r="AP79" i="2"/>
  <c r="AQ79" i="2" s="1"/>
  <c r="AS79" i="2"/>
  <c r="X124" i="5" s="1"/>
  <c r="AS80" i="2"/>
  <c r="X81" i="5" s="1"/>
  <c r="AP80" i="2"/>
  <c r="AQ80" i="2" s="1"/>
  <c r="O32" i="2"/>
  <c r="P32" i="2" s="1"/>
  <c r="R32" i="2"/>
  <c r="W118" i="2"/>
  <c r="U118" i="2"/>
  <c r="V118" i="2"/>
  <c r="T118" i="2"/>
  <c r="N19" i="5"/>
  <c r="T137" i="2"/>
  <c r="N154" i="5"/>
  <c r="U137" i="2"/>
  <c r="W137" i="2"/>
  <c r="V137" i="2"/>
  <c r="N178" i="5"/>
  <c r="V182" i="2"/>
  <c r="U182" i="2"/>
  <c r="W182" i="2"/>
  <c r="T182" i="2"/>
  <c r="AW176" i="2"/>
  <c r="AX176" i="2"/>
  <c r="Z109" i="5" s="1"/>
  <c r="AV176" i="2"/>
  <c r="CC176" i="2" s="1"/>
  <c r="AU176" i="2"/>
  <c r="AS28" i="2"/>
  <c r="X61" i="5" s="1"/>
  <c r="AP28" i="2"/>
  <c r="AQ28" i="2" s="1"/>
  <c r="N144" i="5"/>
  <c r="U106" i="2"/>
  <c r="V106" i="2"/>
  <c r="T106" i="2"/>
  <c r="W106" i="2"/>
  <c r="R161" i="2"/>
  <c r="O161" i="2"/>
  <c r="P161" i="2" s="1"/>
  <c r="R4" i="2"/>
  <c r="O4" i="2"/>
  <c r="P4" i="2" s="1"/>
  <c r="R95" i="2"/>
  <c r="O95" i="2"/>
  <c r="P95" i="2" s="1"/>
  <c r="R58" i="2"/>
  <c r="O58" i="2"/>
  <c r="P58" i="2" s="1"/>
  <c r="R159" i="2"/>
  <c r="O159" i="2"/>
  <c r="P159" i="2" s="1"/>
  <c r="N14" i="5"/>
  <c r="T146" i="2"/>
  <c r="W146" i="2"/>
  <c r="V146" i="2"/>
  <c r="U146" i="2"/>
  <c r="AS93" i="2"/>
  <c r="X93" i="5" s="1"/>
  <c r="AP93" i="2"/>
  <c r="AQ93" i="2" s="1"/>
  <c r="AW98" i="2"/>
  <c r="AV98" i="2"/>
  <c r="CC98" i="2" s="1"/>
  <c r="AU98" i="2"/>
  <c r="AX98" i="2"/>
  <c r="CD158" i="2" l="1"/>
  <c r="CD180" i="2"/>
  <c r="CD159" i="2"/>
  <c r="CE159" i="2" s="1"/>
  <c r="CD115" i="2"/>
  <c r="CE115" i="2" s="1"/>
  <c r="CD67" i="2"/>
  <c r="CE67" i="2" s="1"/>
  <c r="CD116" i="2"/>
  <c r="CE116" i="2" s="1"/>
  <c r="CD196" i="2"/>
  <c r="CE196" i="2" s="1"/>
  <c r="CD153" i="2"/>
  <c r="CE153" i="2" s="1"/>
  <c r="CD178" i="2"/>
  <c r="CE178" i="2" s="1"/>
  <c r="CD167" i="2"/>
  <c r="CE167" i="2" s="1"/>
  <c r="CD135" i="2"/>
  <c r="CD155" i="2"/>
  <c r="CE155" i="2" s="1"/>
  <c r="CD59" i="2"/>
  <c r="CD140" i="2"/>
  <c r="CE140" i="2" s="1"/>
  <c r="CD197" i="2"/>
  <c r="CD15" i="2"/>
  <c r="CE15" i="2" s="1"/>
  <c r="CD77" i="2"/>
  <c r="CE77" i="2" s="1"/>
  <c r="CD145" i="2"/>
  <c r="CD11" i="2"/>
  <c r="CD126" i="2"/>
  <c r="CE126" i="2" s="1"/>
  <c r="CD50" i="2"/>
  <c r="CD110" i="2"/>
  <c r="CE110" i="2" s="1"/>
  <c r="CD141" i="2"/>
  <c r="CE141" i="2" s="1"/>
  <c r="CD81" i="2"/>
  <c r="CE81" i="2" s="1"/>
  <c r="CD13" i="2"/>
  <c r="CD166" i="2"/>
  <c r="CD25" i="2"/>
  <c r="CD186" i="2"/>
  <c r="CE186" i="2" s="1"/>
  <c r="CD66" i="2"/>
  <c r="CE66" i="2" s="1"/>
  <c r="CD78" i="2"/>
  <c r="CE78" i="2" s="1"/>
  <c r="CD161" i="2"/>
  <c r="CE161" i="2" s="1"/>
  <c r="CD92" i="2"/>
  <c r="CE92" i="2" s="1"/>
  <c r="CD73" i="2"/>
  <c r="CE73" i="2" s="1"/>
  <c r="CD69" i="2"/>
  <c r="CE69" i="2" s="1"/>
  <c r="CD118" i="2"/>
  <c r="CE118" i="2" s="1"/>
  <c r="CD20" i="2"/>
  <c r="CE20" i="2" s="1"/>
  <c r="CD117" i="2"/>
  <c r="CE117" i="2" s="1"/>
  <c r="CD72" i="2"/>
  <c r="CE72" i="2" s="1"/>
  <c r="CD47" i="2"/>
  <c r="CD40" i="2"/>
  <c r="CE40" i="2" s="1"/>
  <c r="CD165" i="2"/>
  <c r="CE165" i="2" s="1"/>
  <c r="CD184" i="2"/>
  <c r="CD76" i="2"/>
  <c r="CD198" i="2"/>
  <c r="CE198" i="2" s="1"/>
  <c r="CD17" i="2"/>
  <c r="CD58" i="2"/>
  <c r="CE58" i="2" s="1"/>
  <c r="CE11" i="2"/>
  <c r="CE158" i="2"/>
  <c r="CD53" i="2"/>
  <c r="CE53" i="2" s="1"/>
  <c r="CD45" i="2"/>
  <c r="CD51" i="2"/>
  <c r="CE51" i="2" s="1"/>
  <c r="CD5" i="2"/>
  <c r="CD142" i="2"/>
  <c r="CD134" i="2"/>
  <c r="CE134" i="2" s="1"/>
  <c r="CD23" i="2"/>
  <c r="CD188" i="2"/>
  <c r="CE188" i="2" s="1"/>
  <c r="CD93" i="2"/>
  <c r="CE93" i="2" s="1"/>
  <c r="CD151" i="2"/>
  <c r="CD46" i="2"/>
  <c r="CE46" i="2" s="1"/>
  <c r="CD172" i="2"/>
  <c r="CD147" i="2"/>
  <c r="CD105" i="2"/>
  <c r="CD100" i="2"/>
  <c r="CE100" i="2" s="1"/>
  <c r="CD128" i="2"/>
  <c r="CE128" i="2" s="1"/>
  <c r="CD28" i="2"/>
  <c r="CE28" i="2" s="1"/>
  <c r="CD133" i="2"/>
  <c r="CE133" i="2" s="1"/>
  <c r="CD85" i="2"/>
  <c r="CE85" i="2" s="1"/>
  <c r="CD154" i="2"/>
  <c r="CE154" i="2" s="1"/>
  <c r="CD176" i="2"/>
  <c r="CE176" i="2" s="1"/>
  <c r="CD190" i="2"/>
  <c r="CE190" i="2" s="1"/>
  <c r="CD14" i="2"/>
  <c r="CE14" i="2" s="1"/>
  <c r="CD152" i="2"/>
  <c r="CE152" i="2" s="1"/>
  <c r="CD129" i="2"/>
  <c r="CE129" i="2" s="1"/>
  <c r="CE13" i="2"/>
  <c r="CE147" i="2"/>
  <c r="CD168" i="2"/>
  <c r="CE168" i="2" s="1"/>
  <c r="CD88" i="2"/>
  <c r="CE88" i="2" s="1"/>
  <c r="CD79" i="2"/>
  <c r="CE79" i="2" s="1"/>
  <c r="CD120" i="2"/>
  <c r="CE120" i="2" s="1"/>
  <c r="CD60" i="2"/>
  <c r="CD175" i="2"/>
  <c r="CD191" i="2"/>
  <c r="CD27" i="2"/>
  <c r="CE27" i="2" s="1"/>
  <c r="CD63" i="2"/>
  <c r="CE63" i="2" s="1"/>
  <c r="CD42" i="2"/>
  <c r="CE42" i="2" s="1"/>
  <c r="CD55" i="2"/>
  <c r="CE55" i="2" s="1"/>
  <c r="CD177" i="2"/>
  <c r="CE177" i="2" s="1"/>
  <c r="CD125" i="2"/>
  <c r="CE125" i="2" s="1"/>
  <c r="CD108" i="2"/>
  <c r="CD9" i="2"/>
  <c r="CD80" i="2"/>
  <c r="CE80" i="2" s="1"/>
  <c r="CD83" i="2"/>
  <c r="CE83" i="2" s="1"/>
  <c r="CD54" i="2"/>
  <c r="CE54" i="2" s="1"/>
  <c r="CD32" i="2"/>
  <c r="CE32" i="2" s="1"/>
  <c r="CD127" i="2"/>
  <c r="CE127" i="2" s="1"/>
  <c r="CD179" i="2"/>
  <c r="CD68" i="2"/>
  <c r="CD71" i="2"/>
  <c r="CE71" i="2" s="1"/>
  <c r="CD16" i="2"/>
  <c r="CE16" i="2" s="1"/>
  <c r="CD111" i="2"/>
  <c r="CE111" i="2" s="1"/>
  <c r="CD182" i="2"/>
  <c r="CE182" i="2" s="1"/>
  <c r="CD102" i="2"/>
  <c r="CE102" i="2" s="1"/>
  <c r="CD6" i="2"/>
  <c r="CE6" i="2" s="1"/>
  <c r="CE59" i="2"/>
  <c r="CE142" i="2"/>
  <c r="CE25" i="2"/>
  <c r="CE191" i="2"/>
  <c r="CD89" i="2"/>
  <c r="CE89" i="2" s="1"/>
  <c r="CD48" i="2"/>
  <c r="CE48" i="2" s="1"/>
  <c r="CD123" i="2"/>
  <c r="CE123" i="2" s="1"/>
  <c r="CD148" i="2"/>
  <c r="CD103" i="2"/>
  <c r="CE103" i="2" s="1"/>
  <c r="CD74" i="2"/>
  <c r="CE74" i="2" s="1"/>
  <c r="CD87" i="2"/>
  <c r="CE87" i="2" s="1"/>
  <c r="CD106" i="2"/>
  <c r="CE106" i="2" s="1"/>
  <c r="CD97" i="2"/>
  <c r="CE97" i="2" s="1"/>
  <c r="CD119" i="2"/>
  <c r="CE119" i="2" s="1"/>
  <c r="CD150" i="2"/>
  <c r="CE150" i="2" s="1"/>
  <c r="CD146" i="2"/>
  <c r="CE146" i="2" s="1"/>
  <c r="CD18" i="2"/>
  <c r="CE18" i="2" s="1"/>
  <c r="CD36" i="2"/>
  <c r="CE36" i="2" s="1"/>
  <c r="CD98" i="2"/>
  <c r="CD162" i="2"/>
  <c r="CE162" i="2" s="1"/>
  <c r="CD137" i="2"/>
  <c r="CE137" i="2" s="1"/>
  <c r="CD52" i="2"/>
  <c r="CE52" i="2" s="1"/>
  <c r="CD169" i="2"/>
  <c r="CE169" i="2" s="1"/>
  <c r="CD131" i="2"/>
  <c r="CE131" i="2" s="1"/>
  <c r="CD192" i="2"/>
  <c r="CE192" i="2" s="1"/>
  <c r="CD19" i="2"/>
  <c r="CE19" i="2" s="1"/>
  <c r="CE197" i="2"/>
  <c r="CE23" i="2"/>
  <c r="CE9" i="2"/>
  <c r="CE105" i="2"/>
  <c r="CE166" i="2"/>
  <c r="CE180" i="2"/>
  <c r="CD109" i="2"/>
  <c r="CE109" i="2" s="1"/>
  <c r="CD30" i="2"/>
  <c r="CE30" i="2" s="1"/>
  <c r="CD39" i="2"/>
  <c r="CE39" i="2" s="1"/>
  <c r="CD181" i="2"/>
  <c r="CE181" i="2" s="1"/>
  <c r="CD62" i="2"/>
  <c r="CE62" i="2" s="1"/>
  <c r="CD156" i="2"/>
  <c r="CE156" i="2" s="1"/>
  <c r="CD86" i="2"/>
  <c r="CE86" i="2" s="1"/>
  <c r="CD64" i="2"/>
  <c r="CE64" i="2" s="1"/>
  <c r="CD104" i="2"/>
  <c r="CE104" i="2" s="1"/>
  <c r="CD113" i="2"/>
  <c r="CE113" i="2" s="1"/>
  <c r="CD21" i="2"/>
  <c r="CE21" i="2" s="1"/>
  <c r="CD82" i="2"/>
  <c r="CE82" i="2" s="1"/>
  <c r="CD31" i="2"/>
  <c r="CE31" i="2" s="1"/>
  <c r="CD96" i="2"/>
  <c r="CE96" i="2" s="1"/>
  <c r="CD160" i="2"/>
  <c r="CE160" i="2" s="1"/>
  <c r="CD121" i="2"/>
  <c r="CE121" i="2" s="1"/>
  <c r="CD144" i="2"/>
  <c r="CE144" i="2" s="1"/>
  <c r="CD149" i="2"/>
  <c r="CE149" i="2" s="1"/>
  <c r="CD124" i="2"/>
  <c r="CE124" i="2" s="1"/>
  <c r="CD95" i="2"/>
  <c r="CE95" i="2" s="1"/>
  <c r="CD132" i="2"/>
  <c r="CE132" i="2" s="1"/>
  <c r="CD189" i="2"/>
  <c r="CE189" i="2" s="1"/>
  <c r="CD99" i="2"/>
  <c r="CE99" i="2" s="1"/>
  <c r="CD57" i="2"/>
  <c r="CE57" i="2" s="1"/>
  <c r="CD130" i="2"/>
  <c r="CE130" i="2" s="1"/>
  <c r="CE98" i="2"/>
  <c r="CE108" i="2"/>
  <c r="CE148" i="2"/>
  <c r="CE47" i="2"/>
  <c r="CE175" i="2"/>
  <c r="CE5" i="2"/>
  <c r="CD122" i="2"/>
  <c r="CE122" i="2" s="1"/>
  <c r="CD10" i="2"/>
  <c r="CE10" i="2" s="1"/>
  <c r="CD163" i="2"/>
  <c r="CE163" i="2" s="1"/>
  <c r="CD171" i="2"/>
  <c r="CE171" i="2" s="1"/>
  <c r="CD22" i="2"/>
  <c r="CE22" i="2" s="1"/>
  <c r="CD7" i="2"/>
  <c r="CE7" i="2" s="1"/>
  <c r="CD157" i="2"/>
  <c r="CE157" i="2" s="1"/>
  <c r="CD185" i="2"/>
  <c r="CE185" i="2" s="1"/>
  <c r="CD143" i="2"/>
  <c r="CE143" i="2" s="1"/>
  <c r="CD41" i="2"/>
  <c r="CE41" i="2" s="1"/>
  <c r="CD44" i="2"/>
  <c r="CE44" i="2" s="1"/>
  <c r="CD138" i="2"/>
  <c r="CE138" i="2" s="1"/>
  <c r="CD199" i="2"/>
  <c r="CE199" i="2" s="1"/>
  <c r="CD70" i="2"/>
  <c r="CE70" i="2" s="1"/>
  <c r="CD84" i="2"/>
  <c r="CE84" i="2" s="1"/>
  <c r="CD187" i="2"/>
  <c r="CE187" i="2" s="1"/>
  <c r="CD170" i="2"/>
  <c r="CE170" i="2" s="1"/>
  <c r="CD8" i="2"/>
  <c r="CE8" i="2" s="1"/>
  <c r="CD56" i="2"/>
  <c r="CE56" i="2" s="1"/>
  <c r="CD75" i="2"/>
  <c r="CE75" i="2" s="1"/>
  <c r="CD43" i="2"/>
  <c r="CE43" i="2" s="1"/>
  <c r="CD194" i="2"/>
  <c r="CE194" i="2" s="1"/>
  <c r="CD12" i="2"/>
  <c r="CE12" i="2" s="1"/>
  <c r="CD90" i="2"/>
  <c r="CE90" i="2" s="1"/>
  <c r="CD4" i="2"/>
  <c r="CE4" i="2" s="1"/>
  <c r="CE50" i="2"/>
  <c r="CE135" i="2"/>
  <c r="CE45" i="2"/>
  <c r="CE179" i="2"/>
  <c r="CE76" i="2"/>
  <c r="CE172" i="2"/>
  <c r="CE60" i="2"/>
  <c r="CE145" i="2"/>
  <c r="CE184" i="2"/>
  <c r="CE17" i="2"/>
  <c r="CE151" i="2"/>
  <c r="CE68" i="2"/>
  <c r="CD33" i="2"/>
  <c r="CE33" i="2" s="1"/>
  <c r="CD49" i="2"/>
  <c r="CE49" i="2" s="1"/>
  <c r="CD24" i="2"/>
  <c r="CE24" i="2" s="1"/>
  <c r="CD35" i="2"/>
  <c r="CE35" i="2" s="1"/>
  <c r="CD173" i="2"/>
  <c r="CE173" i="2" s="1"/>
  <c r="CD107" i="2"/>
  <c r="CE107" i="2" s="1"/>
  <c r="CD101" i="2"/>
  <c r="CE101" i="2" s="1"/>
  <c r="CD61" i="2"/>
  <c r="CE61" i="2" s="1"/>
  <c r="CD37" i="2"/>
  <c r="CE37" i="2" s="1"/>
  <c r="CD139" i="2"/>
  <c r="CE139" i="2" s="1"/>
  <c r="CD174" i="2"/>
  <c r="CE174" i="2" s="1"/>
  <c r="CD183" i="2"/>
  <c r="CE183" i="2" s="1"/>
  <c r="CD94" i="2"/>
  <c r="CE94" i="2" s="1"/>
  <c r="CD26" i="2"/>
  <c r="CE26" i="2" s="1"/>
  <c r="CD193" i="2"/>
  <c r="CE193" i="2" s="1"/>
  <c r="CD195" i="2"/>
  <c r="CE195" i="2" s="1"/>
  <c r="CD65" i="2"/>
  <c r="CE65" i="2" s="1"/>
  <c r="CD164" i="2"/>
  <c r="CE164" i="2" s="1"/>
  <c r="CD114" i="2"/>
  <c r="CE114" i="2" s="1"/>
  <c r="CD34" i="2"/>
  <c r="CE34" i="2" s="1"/>
  <c r="CD29" i="2"/>
  <c r="CE29" i="2" s="1"/>
  <c r="CD91" i="2"/>
  <c r="CE91" i="2" s="1"/>
  <c r="CD136" i="2"/>
  <c r="CE136" i="2" s="1"/>
  <c r="CD112" i="2"/>
  <c r="CE112" i="2" s="1"/>
  <c r="CD200" i="2"/>
  <c r="CE200" i="2" s="1"/>
  <c r="CD38" i="2"/>
  <c r="CE38" i="2" s="1"/>
  <c r="Z57" i="5"/>
  <c r="Z50" i="5"/>
  <c r="Z64" i="5"/>
  <c r="Z84" i="5"/>
  <c r="Z90" i="5"/>
  <c r="Z3" i="5"/>
  <c r="Z187" i="5"/>
  <c r="Z43" i="5"/>
  <c r="Z174" i="5"/>
  <c r="Z32" i="5"/>
  <c r="Z45" i="5"/>
  <c r="Z133" i="5"/>
  <c r="Z98" i="5"/>
  <c r="Z93" i="5"/>
  <c r="Z40" i="5"/>
  <c r="Z115" i="5"/>
  <c r="Z37" i="5"/>
  <c r="Z52" i="5"/>
  <c r="Z131" i="5"/>
  <c r="Z145" i="5"/>
  <c r="Z29" i="5"/>
  <c r="Z11" i="5"/>
  <c r="Z89" i="5"/>
  <c r="Z74" i="5"/>
  <c r="Z178" i="5"/>
  <c r="Z67" i="5"/>
  <c r="Z24" i="5"/>
  <c r="Z69" i="5"/>
  <c r="Z143" i="5"/>
  <c r="Z100" i="5"/>
  <c r="Z160" i="5"/>
  <c r="Z30" i="5"/>
  <c r="Z48" i="5"/>
  <c r="Z164" i="5"/>
  <c r="Z141" i="5"/>
  <c r="Z53" i="5"/>
  <c r="Z4" i="5"/>
  <c r="Z65" i="5"/>
  <c r="Z77" i="5"/>
  <c r="Z106" i="5"/>
  <c r="Z16" i="5"/>
  <c r="Z191" i="5"/>
  <c r="Z122" i="5"/>
  <c r="Z56" i="5"/>
  <c r="Z157" i="5"/>
  <c r="Z61" i="5"/>
  <c r="Z59" i="5"/>
  <c r="Z125" i="5"/>
  <c r="Z88" i="5"/>
  <c r="Z129" i="5"/>
  <c r="Z197" i="5"/>
  <c r="Z26" i="5"/>
  <c r="Z165" i="5"/>
  <c r="Z108" i="5"/>
  <c r="Z35" i="5"/>
  <c r="Z102" i="5"/>
  <c r="Z167" i="5"/>
  <c r="Z94" i="5"/>
  <c r="Z188" i="5"/>
  <c r="Z189" i="5"/>
  <c r="Z140" i="5"/>
  <c r="Z80" i="5"/>
  <c r="Z114" i="5"/>
  <c r="Z150" i="5"/>
  <c r="Z153" i="5"/>
  <c r="Z19" i="5"/>
  <c r="Z82" i="5"/>
  <c r="Z14" i="5"/>
  <c r="Z168" i="5"/>
  <c r="Z78" i="5"/>
  <c r="Z152" i="5"/>
  <c r="Z199" i="5"/>
  <c r="Z163" i="5"/>
  <c r="Z21" i="5"/>
  <c r="Z158" i="5"/>
  <c r="Z36" i="5"/>
  <c r="Z175" i="5"/>
  <c r="Z126" i="5"/>
  <c r="Z192" i="5"/>
  <c r="Z149" i="5"/>
  <c r="Z113" i="5"/>
  <c r="Z111" i="5"/>
  <c r="Z55" i="5"/>
  <c r="Z155" i="5"/>
  <c r="Z6" i="5"/>
  <c r="Z194" i="5"/>
</calcChain>
</file>

<file path=xl/sharedStrings.xml><?xml version="1.0" encoding="utf-8"?>
<sst xmlns="http://schemas.openxmlformats.org/spreadsheetml/2006/main" count="1327" uniqueCount="568">
  <si>
    <t>数据截止日期</t>
    <phoneticPr fontId="5" type="noConversion"/>
  </si>
  <si>
    <t>20210930</t>
    <phoneticPr fontId="5" type="noConversion"/>
  </si>
  <si>
    <t>30%分位点</t>
    <phoneticPr fontId="5" type="noConversion"/>
  </si>
  <si>
    <t>证券代码</t>
  </si>
  <si>
    <t>基金简称</t>
  </si>
  <si>
    <t>基金成立日</t>
    <phoneticPr fontId="3" type="noConversion"/>
  </si>
  <si>
    <t>是否定开</t>
    <phoneticPr fontId="3" type="noConversion"/>
  </si>
  <si>
    <t>申购赎回状态</t>
    <phoneticPr fontId="3" type="noConversion"/>
  </si>
  <si>
    <t>总规模(亿元）</t>
    <phoneticPr fontId="3" type="noConversion"/>
  </si>
  <si>
    <t>可转债占基金净资产比</t>
  </si>
  <si>
    <t>基金经理任职日期</t>
    <phoneticPr fontId="3" type="noConversion"/>
  </si>
  <si>
    <t>近两年最大回撤</t>
    <phoneticPr fontId="3" type="noConversion"/>
  </si>
  <si>
    <t>近两年业绩</t>
    <phoneticPr fontId="3" type="noConversion"/>
  </si>
  <si>
    <t>近两年收益排名</t>
    <phoneticPr fontId="5" type="noConversion"/>
  </si>
  <si>
    <t>近两年月度胜率</t>
    <phoneticPr fontId="3" type="noConversion"/>
  </si>
  <si>
    <t>近两年月度胜率排名</t>
    <phoneticPr fontId="3" type="noConversion"/>
  </si>
  <si>
    <t>信用债重仓占比%</t>
    <phoneticPr fontId="3" type="noConversion"/>
  </si>
  <si>
    <t>206008.OF</t>
  </si>
  <si>
    <t>鹏华丰盛稳固收益</t>
  </si>
  <si>
    <t>690002.OF</t>
  </si>
  <si>
    <t>民生加银增强收益A</t>
  </si>
  <si>
    <t>519519.OF</t>
  </si>
  <si>
    <t>华泰柏瑞增利A</t>
  </si>
  <si>
    <t>540001.OF</t>
  </si>
  <si>
    <t>汇丰晋信2016</t>
  </si>
  <si>
    <t>217008.OF</t>
  </si>
  <si>
    <t>招商安本增利</t>
  </si>
  <si>
    <t>200009.OF</t>
  </si>
  <si>
    <t>长城稳健增利A</t>
  </si>
  <si>
    <t>004063.OF</t>
  </si>
  <si>
    <t>华夏恒融</t>
  </si>
  <si>
    <t>213007.OF</t>
  </si>
  <si>
    <t>宝盈增强收益AB</t>
  </si>
  <si>
    <t>160612.OF</t>
  </si>
  <si>
    <t>鹏华丰收</t>
  </si>
  <si>
    <t>000385.OF</t>
  </si>
  <si>
    <t>景顺长城景颐双利A</t>
  </si>
  <si>
    <t>070015.OF</t>
  </si>
  <si>
    <t>嘉实多元收益A</t>
  </si>
  <si>
    <t>162210.OF</t>
  </si>
  <si>
    <t>泰达宏利集利A</t>
  </si>
  <si>
    <t>550004.OF</t>
  </si>
  <si>
    <t>信诚三得益债券A</t>
  </si>
  <si>
    <t>080003.OF</t>
  </si>
  <si>
    <t>长盛积极配置</t>
  </si>
  <si>
    <t>450005.OF</t>
  </si>
  <si>
    <t>国富强化收益A</t>
  </si>
  <si>
    <t>180015.OF</t>
  </si>
  <si>
    <t>银华增强收益</t>
  </si>
  <si>
    <t>519989.OF</t>
  </si>
  <si>
    <t>长信利丰C</t>
  </si>
  <si>
    <t>519111.OF</t>
  </si>
  <si>
    <t>浦银安盛优化收益A</t>
  </si>
  <si>
    <t>573003.OF</t>
  </si>
  <si>
    <t>诺德增强收益</t>
  </si>
  <si>
    <t>620003.OF</t>
  </si>
  <si>
    <t>金元顺安丰利</t>
  </si>
  <si>
    <t>040012.OF</t>
  </si>
  <si>
    <t>华安强化收益A</t>
  </si>
  <si>
    <t>320008.OF</t>
  </si>
  <si>
    <t>诺安增利A</t>
  </si>
  <si>
    <t>530009.OF</t>
  </si>
  <si>
    <t>建信收益增强A</t>
  </si>
  <si>
    <t>007128.OF</t>
  </si>
  <si>
    <t>天弘增强回报A</t>
  </si>
  <si>
    <t>002711.OF</t>
  </si>
  <si>
    <t>广发集丰A</t>
  </si>
  <si>
    <t>000338.OF</t>
  </si>
  <si>
    <t>鹏华双债保利</t>
  </si>
  <si>
    <t>050016.OF</t>
  </si>
  <si>
    <t>博时宏观回报AB</t>
  </si>
  <si>
    <t>630007.OF</t>
  </si>
  <si>
    <t>华商稳健双利A</t>
  </si>
  <si>
    <t>121012.OF</t>
  </si>
  <si>
    <t>国投瑞银优化增强AB</t>
  </si>
  <si>
    <t>070020.OF</t>
  </si>
  <si>
    <t>嘉实稳固收益C</t>
  </si>
  <si>
    <t>000143.OF</t>
  </si>
  <si>
    <t>鹏华双债加利A</t>
  </si>
  <si>
    <t>202105.OF</t>
  </si>
  <si>
    <t>南方广利回报AB</t>
  </si>
  <si>
    <t>470018.OF</t>
  </si>
  <si>
    <t>汇添富双利A</t>
  </si>
  <si>
    <t>100035.OF</t>
  </si>
  <si>
    <t>富国优化增强A</t>
  </si>
  <si>
    <t>519676.OF</t>
  </si>
  <si>
    <t>银河强化收益</t>
  </si>
  <si>
    <t>310508.OF</t>
  </si>
  <si>
    <t>申万菱信稳益宝</t>
  </si>
  <si>
    <t>630009.OF</t>
  </si>
  <si>
    <t>华商稳定增利A</t>
  </si>
  <si>
    <t>395011.OF</t>
  </si>
  <si>
    <t>中海增强收益A</t>
  </si>
  <si>
    <t>160718.OF</t>
  </si>
  <si>
    <t>嘉实多利收益</t>
  </si>
  <si>
    <t>180025.OF</t>
  </si>
  <si>
    <t>银华信用双利A</t>
  </si>
  <si>
    <t>002738.OF</t>
  </si>
  <si>
    <t>泓德裕康A</t>
  </si>
  <si>
    <t>110027.OF</t>
  </si>
  <si>
    <t>易方达安心回报A</t>
  </si>
  <si>
    <t>660009.OF</t>
  </si>
  <si>
    <t>农银汇理增强收益A</t>
  </si>
  <si>
    <t>372010.OF</t>
  </si>
  <si>
    <t>上投摩根强化回报A</t>
  </si>
  <si>
    <t>519683.OF</t>
  </si>
  <si>
    <t>交银双利AB</t>
  </si>
  <si>
    <t>253060.OF</t>
  </si>
  <si>
    <t>国联安信心增长A</t>
  </si>
  <si>
    <t>050023.OF</t>
  </si>
  <si>
    <t>博时天颐A</t>
  </si>
  <si>
    <t>675011.OF</t>
  </si>
  <si>
    <t>西部利得稳健双利A</t>
  </si>
  <si>
    <t>217023.OF</t>
  </si>
  <si>
    <t>招商信用增强A</t>
  </si>
  <si>
    <t>420008.OF</t>
  </si>
  <si>
    <t>天弘债券型发起式A</t>
  </si>
  <si>
    <t>380009.OF</t>
  </si>
  <si>
    <t>中银稳健添利A</t>
  </si>
  <si>
    <t>233012.OF</t>
  </si>
  <si>
    <t>大摩多元收益A</t>
  </si>
  <si>
    <t>040036.OF</t>
  </si>
  <si>
    <t>华安安心收益A</t>
  </si>
  <si>
    <t>470010.OF</t>
  </si>
  <si>
    <t>汇添富多元收益A</t>
  </si>
  <si>
    <t>400016.OF</t>
  </si>
  <si>
    <t>东方强化收益</t>
  </si>
  <si>
    <t>160621.OF</t>
  </si>
  <si>
    <t>鹏华丰和A</t>
  </si>
  <si>
    <t>320021.OF</t>
  </si>
  <si>
    <t>诺安双利</t>
  </si>
  <si>
    <t>020033.OF</t>
  </si>
  <si>
    <t>国泰民安增利A</t>
  </si>
  <si>
    <t>000107.OF</t>
  </si>
  <si>
    <t>富国稳健增强AB</t>
  </si>
  <si>
    <t>000054.OF</t>
  </si>
  <si>
    <t>鹏华双债增利</t>
  </si>
  <si>
    <t>206003.OF</t>
  </si>
  <si>
    <t>鹏华信用增利A</t>
  </si>
  <si>
    <t>519726.OF</t>
  </si>
  <si>
    <t>交银稳固收益</t>
  </si>
  <si>
    <t>000973.OF</t>
  </si>
  <si>
    <t>新华增盈回报</t>
  </si>
  <si>
    <t>002361.OF</t>
  </si>
  <si>
    <t>国富恒瑞A</t>
  </si>
  <si>
    <t>002961.OF</t>
  </si>
  <si>
    <t>中欧双利A</t>
  </si>
  <si>
    <t>519660.OF</t>
  </si>
  <si>
    <t>银河增利A</t>
  </si>
  <si>
    <t>000181.OF</t>
  </si>
  <si>
    <t>景顺长城四季金利A</t>
  </si>
  <si>
    <t>519730.OF</t>
  </si>
  <si>
    <t>交银定期支付月月丰A</t>
  </si>
  <si>
    <t>000236.OF</t>
  </si>
  <si>
    <t>工银月月薪定期支付A</t>
  </si>
  <si>
    <t>000171.OF</t>
  </si>
  <si>
    <t>易方达裕丰回报</t>
  </si>
  <si>
    <t>000306.OF</t>
  </si>
  <si>
    <t>天弘弘利</t>
  </si>
  <si>
    <t>000875.OF</t>
  </si>
  <si>
    <t>建信稳定得利A</t>
  </si>
  <si>
    <t>002986.OF</t>
  </si>
  <si>
    <t>泰康丰盈</t>
  </si>
  <si>
    <t>000406.OF</t>
  </si>
  <si>
    <t>汇添富双利增强A</t>
  </si>
  <si>
    <t>519162.OF</t>
  </si>
  <si>
    <t>新华增怡A</t>
  </si>
  <si>
    <t>000377.OF</t>
  </si>
  <si>
    <t>上投摩根双债增利A</t>
  </si>
  <si>
    <t>002351.OF</t>
  </si>
  <si>
    <t>易方达裕祥回报</t>
  </si>
  <si>
    <t>519733.OF</t>
  </si>
  <si>
    <t>交银强化回报AB</t>
  </si>
  <si>
    <t>000463.OF</t>
  </si>
  <si>
    <t>华商双债丰利A</t>
  </si>
  <si>
    <t>000578.OF</t>
  </si>
  <si>
    <t>鑫元恒鑫收益增强A</t>
  </si>
  <si>
    <t>000810.OF</t>
  </si>
  <si>
    <t>富国收益增强A</t>
  </si>
  <si>
    <t>000466.OF</t>
  </si>
  <si>
    <t>融通通瑞AB</t>
  </si>
  <si>
    <t>002651.OF</t>
  </si>
  <si>
    <t>东方红汇利A</t>
  </si>
  <si>
    <t>000896.OF</t>
  </si>
  <si>
    <t>鑫元聚鑫收益增强A</t>
  </si>
  <si>
    <t>002701.OF</t>
  </si>
  <si>
    <t>东方红汇阳A</t>
  </si>
  <si>
    <t>000333.OF</t>
  </si>
  <si>
    <t>长城稳固收益A</t>
  </si>
  <si>
    <t>001035.OF</t>
  </si>
  <si>
    <t>中银恒利半年</t>
  </si>
  <si>
    <t>162105.OF</t>
  </si>
  <si>
    <t>金鹰持久增利C</t>
  </si>
  <si>
    <t>519967.OF</t>
  </si>
  <si>
    <t>长信利富A</t>
  </si>
  <si>
    <t>166105.OF</t>
  </si>
  <si>
    <t>信达澳银鑫安</t>
  </si>
  <si>
    <t>001199.OF</t>
  </si>
  <si>
    <t>创金合信聚利A</t>
  </si>
  <si>
    <t>217024.OF</t>
  </si>
  <si>
    <t>招商安盈A</t>
  </si>
  <si>
    <t>519753.OF</t>
  </si>
  <si>
    <t>交银安心收益</t>
  </si>
  <si>
    <t>001367.OF</t>
  </si>
  <si>
    <t>德邦新添利A</t>
  </si>
  <si>
    <t>001779.OF</t>
  </si>
  <si>
    <t>中融稳健添利</t>
  </si>
  <si>
    <t>004902.OF</t>
  </si>
  <si>
    <t>富国丰利增强</t>
  </si>
  <si>
    <t>519947.OF</t>
  </si>
  <si>
    <t>长信利保A</t>
  </si>
  <si>
    <t>001948.OF</t>
  </si>
  <si>
    <t>建信稳定丰利A</t>
  </si>
  <si>
    <t>002138.OF</t>
  </si>
  <si>
    <t>泓德裕泰A</t>
  </si>
  <si>
    <t>000189.OF</t>
  </si>
  <si>
    <t>易方达丰华A</t>
  </si>
  <si>
    <t>110007.OF</t>
  </si>
  <si>
    <t>易方达稳健收益A</t>
  </si>
  <si>
    <t>002065.OF</t>
  </si>
  <si>
    <t>景顺长城景盛双息A</t>
  </si>
  <si>
    <t>003135.OF</t>
  </si>
  <si>
    <t>金元顺安沣楹</t>
  </si>
  <si>
    <t>470088.OF</t>
  </si>
  <si>
    <t>汇添富6月红添利A</t>
  </si>
  <si>
    <t>420002.OF</t>
  </si>
  <si>
    <t>天弘永利债券A</t>
  </si>
  <si>
    <t>002421.OF</t>
  </si>
  <si>
    <t>新华增强A</t>
  </si>
  <si>
    <t>002632.OF</t>
  </si>
  <si>
    <t>鑫元双债增强A</t>
  </si>
  <si>
    <t>002636.OF</t>
  </si>
  <si>
    <t>广发集裕A</t>
  </si>
  <si>
    <t>002719.OF</t>
  </si>
  <si>
    <t>融通增祥三个月定期开放</t>
  </si>
  <si>
    <t>002782.OF</t>
  </si>
  <si>
    <t>富国祥利</t>
  </si>
  <si>
    <t>002521.OF</t>
  </si>
  <si>
    <t>永赢双利A</t>
  </si>
  <si>
    <t>485111.OF</t>
  </si>
  <si>
    <t>工银瑞信双利A</t>
  </si>
  <si>
    <t>002720.OF</t>
  </si>
  <si>
    <t>国寿安保尊利增强回报A</t>
  </si>
  <si>
    <t>002749.OF</t>
  </si>
  <si>
    <t>嘉实稳盛</t>
  </si>
  <si>
    <t>002866.OF</t>
  </si>
  <si>
    <t>新华丰盈回报</t>
  </si>
  <si>
    <t>519933.OF</t>
  </si>
  <si>
    <t>长信利发</t>
  </si>
  <si>
    <t>000045.OF</t>
  </si>
  <si>
    <t>工银瑞信产业债A</t>
  </si>
  <si>
    <t>002901.OF</t>
  </si>
  <si>
    <t>财通资管积极收益A</t>
  </si>
  <si>
    <t>002971.OF</t>
  </si>
  <si>
    <t>前海开源鼎安A</t>
  </si>
  <si>
    <t>002796.OF</t>
  </si>
  <si>
    <t>景顺长城景盈双利A</t>
  </si>
  <si>
    <t>002785.OF</t>
  </si>
  <si>
    <t>中融融裕双利A</t>
  </si>
  <si>
    <t>002723.OF</t>
  </si>
  <si>
    <t>江信祺福A</t>
  </si>
  <si>
    <t>002932.OF</t>
  </si>
  <si>
    <t>圆信永丰强化收益A</t>
  </si>
  <si>
    <t>519136.OF</t>
  </si>
  <si>
    <t>海富通瑞丰</t>
  </si>
  <si>
    <t>003167.OF</t>
  </si>
  <si>
    <t>前海开源鼎瑞A</t>
  </si>
  <si>
    <t>202101.OF</t>
  </si>
  <si>
    <t>南方宝元债券A</t>
  </si>
  <si>
    <t>002474.OF</t>
  </si>
  <si>
    <t>中邮睿信增强</t>
  </si>
  <si>
    <t>003176.OF</t>
  </si>
  <si>
    <t>德邦景颐A</t>
  </si>
  <si>
    <t>003133.OF</t>
  </si>
  <si>
    <t>易方达裕鑫A</t>
  </si>
  <si>
    <t>002501.OF</t>
  </si>
  <si>
    <t>银华远景</t>
  </si>
  <si>
    <t>003254.OF</t>
  </si>
  <si>
    <t>前海开源鼎裕A</t>
  </si>
  <si>
    <t>003336.OF</t>
  </si>
  <si>
    <t>长江收益增强</t>
  </si>
  <si>
    <t>003471.OF</t>
  </si>
  <si>
    <t>前海联合添鑫3个月定开A</t>
  </si>
  <si>
    <t>003221.OF</t>
  </si>
  <si>
    <t>新华丰利A</t>
  </si>
  <si>
    <t>002688.OF</t>
  </si>
  <si>
    <t>红塔红土长益A</t>
  </si>
  <si>
    <t>001011.OF</t>
  </si>
  <si>
    <t>华夏希望债券A</t>
  </si>
  <si>
    <t>003341.OF</t>
  </si>
  <si>
    <t>工银瑞信瑞盈</t>
  </si>
  <si>
    <t>003301.OF</t>
  </si>
  <si>
    <t>华夏鼎融A</t>
  </si>
  <si>
    <t>002946.OF</t>
  </si>
  <si>
    <t>大成景盛一年A</t>
  </si>
  <si>
    <t>003612.OF</t>
  </si>
  <si>
    <t>南方卓元A</t>
  </si>
  <si>
    <t>675081.OF</t>
  </si>
  <si>
    <t>西部利得祥盈A</t>
  </si>
  <si>
    <t>003037.OF</t>
  </si>
  <si>
    <t>广发集瑞A</t>
  </si>
  <si>
    <t>002459.OF</t>
  </si>
  <si>
    <t>华夏鼎利A</t>
  </si>
  <si>
    <t>163811.OF</t>
  </si>
  <si>
    <t>中银稳健双利A</t>
  </si>
  <si>
    <t>002969.OF</t>
  </si>
  <si>
    <t>易方达丰和</t>
  </si>
  <si>
    <t>003218.OF</t>
  </si>
  <si>
    <t>前海开源祥和A</t>
  </si>
  <si>
    <t>519729.OF</t>
  </si>
  <si>
    <t>交银增强收益</t>
  </si>
  <si>
    <t>003109.OF</t>
  </si>
  <si>
    <t>光大安和A</t>
  </si>
  <si>
    <t>003107.OF</t>
  </si>
  <si>
    <t>光大安祺A</t>
  </si>
  <si>
    <t>003637.OF</t>
  </si>
  <si>
    <t>安信永鑫增强A</t>
  </si>
  <si>
    <t>002925.OF</t>
  </si>
  <si>
    <t>广发集源A</t>
  </si>
  <si>
    <t>675121.OF</t>
  </si>
  <si>
    <t>西部利得汇逸A</t>
  </si>
  <si>
    <t>003650.OF</t>
  </si>
  <si>
    <t>融通通润</t>
  </si>
  <si>
    <t>004318.OF</t>
  </si>
  <si>
    <t>国寿安保尊裕优化回报A</t>
  </si>
  <si>
    <t>003680.OF</t>
  </si>
  <si>
    <t>华润元大润泰双鑫A</t>
  </si>
  <si>
    <t>003360.OF</t>
  </si>
  <si>
    <t>前海开源瑞和A</t>
  </si>
  <si>
    <t>004093.OF</t>
  </si>
  <si>
    <t>金元顺安桉盛A</t>
  </si>
  <si>
    <t>003545.OF</t>
  </si>
  <si>
    <t>东兴兴利A</t>
  </si>
  <si>
    <t>004585.OF</t>
  </si>
  <si>
    <t>鹏扬汇利A</t>
  </si>
  <si>
    <t>004486.OF</t>
  </si>
  <si>
    <t>嘉实稳怡</t>
  </si>
  <si>
    <t>004885.OF</t>
  </si>
  <si>
    <t>长信先优</t>
  </si>
  <si>
    <t>004807.OF</t>
  </si>
  <si>
    <t>中银证券安弘A</t>
  </si>
  <si>
    <t>002475.OF</t>
  </si>
  <si>
    <t>中邮睿利增强</t>
  </si>
  <si>
    <t>004025.OF</t>
  </si>
  <si>
    <t>融通收益增强A</t>
  </si>
  <si>
    <t>000118.OF</t>
  </si>
  <si>
    <t>广发聚鑫A</t>
  </si>
  <si>
    <t>004708.OF</t>
  </si>
  <si>
    <t>红塔红土盛商一年A</t>
  </si>
  <si>
    <t>004571.OF</t>
  </si>
  <si>
    <t>万家家瑞A</t>
  </si>
  <si>
    <t>005019.OF</t>
  </si>
  <si>
    <t>国投瑞银和泰6个月</t>
  </si>
  <si>
    <t>005144.OF</t>
  </si>
  <si>
    <t>东吴优益A</t>
  </si>
  <si>
    <t>005479.OF</t>
  </si>
  <si>
    <t>安信永泰</t>
  </si>
  <si>
    <t>001957.OF</t>
  </si>
  <si>
    <t>嘉合磐通A</t>
  </si>
  <si>
    <t>005185.OF</t>
  </si>
  <si>
    <t>国泰招惠收益定开</t>
  </si>
  <si>
    <t>004564.OF</t>
  </si>
  <si>
    <t>北信瑞丰鼎利A</t>
  </si>
  <si>
    <t>004792.OF</t>
  </si>
  <si>
    <t>富荣富乾A</t>
  </si>
  <si>
    <t>005078.OF</t>
  </si>
  <si>
    <t>富国宝利增强</t>
  </si>
  <si>
    <t>005212.OF</t>
  </si>
  <si>
    <t>汇安稳裕</t>
  </si>
  <si>
    <t>005138.OF</t>
  </si>
  <si>
    <t>前海开源弘丰A</t>
  </si>
  <si>
    <t>005173.OF</t>
  </si>
  <si>
    <t>富荣富安A</t>
  </si>
  <si>
    <t>006163.OF</t>
  </si>
  <si>
    <t>融通增辉定期开放</t>
  </si>
  <si>
    <t>006004.OF</t>
  </si>
  <si>
    <t>工银瑞信添祥一年定开</t>
  </si>
  <si>
    <t>006114.OF</t>
  </si>
  <si>
    <t>人保鑫利回报A</t>
  </si>
  <si>
    <t>005656.OF</t>
  </si>
  <si>
    <t>光大安泽A</t>
  </si>
  <si>
    <t>165530.OF</t>
  </si>
  <si>
    <t>中信保诚惠泽18个月</t>
  </si>
  <si>
    <t>006459.OF</t>
  </si>
  <si>
    <t>人保鑫裕增强A</t>
  </si>
  <si>
    <t>006059.OF</t>
  </si>
  <si>
    <t>鹏扬泓利A</t>
  </si>
  <si>
    <t>006654.OF</t>
  </si>
  <si>
    <t>华泰紫金季季享定开A</t>
  </si>
  <si>
    <t>006207.OF</t>
  </si>
  <si>
    <t>泰康裕泰A</t>
  </si>
  <si>
    <t>006500.OF</t>
  </si>
  <si>
    <t>建信润利增强A</t>
  </si>
  <si>
    <t>006832.OF</t>
  </si>
  <si>
    <t>鹏扬添利增强A</t>
  </si>
  <si>
    <t>006896.OF</t>
  </si>
  <si>
    <t>新华聚利A</t>
  </si>
  <si>
    <t>006466.OF</t>
  </si>
  <si>
    <t>浦银安盛双债增强A</t>
  </si>
  <si>
    <t>519030.OF</t>
  </si>
  <si>
    <t>海富通稳固收益</t>
  </si>
  <si>
    <t>004647.OF</t>
  </si>
  <si>
    <t>新华鼎利A</t>
  </si>
  <si>
    <t>007282.OF</t>
  </si>
  <si>
    <t>华夏鼎淳A</t>
  </si>
  <si>
    <t>952024.OF</t>
  </si>
  <si>
    <t>国君资管君得盛</t>
  </si>
  <si>
    <t>007879.OF</t>
  </si>
  <si>
    <t>嘉实致安3个月</t>
  </si>
  <si>
    <t>007752.OF</t>
  </si>
  <si>
    <t>中银招利A</t>
  </si>
  <si>
    <t>权益占基金净资产比</t>
    <phoneticPr fontId="3" type="noConversion"/>
  </si>
  <si>
    <t>2020Q3-2021Q3
180日胜率排名（筛选前）</t>
    <phoneticPr fontId="3" type="noConversion"/>
  </si>
  <si>
    <t>2020Q3-2021Q3
180日胜率排名（筛选后）</t>
    <phoneticPr fontId="3" type="noConversion"/>
  </si>
  <si>
    <t>2020Q3-2021Q3
180日胜率</t>
    <phoneticPr fontId="3" type="noConversion"/>
  </si>
  <si>
    <t>2020Q3-2021Q3
卡玛比率排名（筛选后）</t>
    <phoneticPr fontId="3" type="noConversion"/>
  </si>
  <si>
    <t>2020Q3-2021Q3
最大回撤</t>
    <phoneticPr fontId="3" type="noConversion"/>
  </si>
  <si>
    <t>2020Q3-2021Q3
最大回撤排名（筛选前）</t>
    <phoneticPr fontId="3" type="noConversion"/>
  </si>
  <si>
    <t>2020Q3-2021Q3
最大回撤排名（筛选后）</t>
    <phoneticPr fontId="3" type="noConversion"/>
  </si>
  <si>
    <t>2020Q3-2021Q3
最大回撤排名%（筛选前）</t>
    <phoneticPr fontId="3" type="noConversion"/>
  </si>
  <si>
    <t>2020Q3-2021Q3
最大回撤排名%（筛选后）</t>
    <phoneticPr fontId="3" type="noConversion"/>
  </si>
  <si>
    <t>2020Q3-2021Q3
180日胜率排名%（筛选前）</t>
    <phoneticPr fontId="3" type="noConversion"/>
  </si>
  <si>
    <t>2020Q3-2021Q3
180日胜率排名%（筛选后）</t>
    <phoneticPr fontId="3" type="noConversion"/>
  </si>
  <si>
    <t>2020Q3-2021Q3
卡玛比率排名（筛选前）</t>
    <phoneticPr fontId="3" type="noConversion"/>
  </si>
  <si>
    <t>2020Q3-2021Q3
卡玛比率</t>
    <phoneticPr fontId="3" type="noConversion"/>
  </si>
  <si>
    <t>2020Q3-2021Q3
卡玛比率排名%（筛选前）</t>
    <phoneticPr fontId="3" type="noConversion"/>
  </si>
  <si>
    <t>2020Q3-2021Q3
卡玛比率排名%（筛选后）</t>
    <phoneticPr fontId="3" type="noConversion"/>
  </si>
  <si>
    <t>2020Q3-2021Q3
收益减无风险收益波动比排名（筛选后）</t>
    <phoneticPr fontId="3" type="noConversion"/>
  </si>
  <si>
    <t>2020Q3-2021Q3
收益减无风险收益波动比排名（筛选前）</t>
    <phoneticPr fontId="3" type="noConversion"/>
  </si>
  <si>
    <t>2020Q3-2021Q3
收益减无风险收益比波动</t>
    <phoneticPr fontId="3" type="noConversion"/>
  </si>
  <si>
    <t>2020Q3-2021Q3
收益减无风险收益波动比排名%（筛选前）</t>
    <phoneticPr fontId="3" type="noConversion"/>
  </si>
  <si>
    <t>2020Q3-2021Q3
收益减无风险收益波动比排名%（筛选后）</t>
    <phoneticPr fontId="3" type="noConversion"/>
  </si>
  <si>
    <t>2020Q3-2021Q3
收益波动比排名%（筛选后）</t>
    <phoneticPr fontId="3" type="noConversion"/>
  </si>
  <si>
    <t>2020Q3-2021Q3
收益波动比排名%（筛选前）</t>
    <phoneticPr fontId="3" type="noConversion"/>
  </si>
  <si>
    <t>2020Q3-2021Q3
收益波动比排名（筛选前）</t>
    <phoneticPr fontId="3" type="noConversion"/>
  </si>
  <si>
    <t>2020Q3-2021Q3
收益波动比</t>
    <phoneticPr fontId="3" type="noConversion"/>
  </si>
  <si>
    <t>2020Q3-2021Q3
年化波动</t>
    <phoneticPr fontId="3" type="noConversion"/>
  </si>
  <si>
    <t>2020Q3-2021Q3
年化收益</t>
    <phoneticPr fontId="3" type="noConversion"/>
  </si>
  <si>
    <t>2019Q3-2020Q3
年化收益</t>
  </si>
  <si>
    <t>2019Q3-2020Q3
年化波动</t>
  </si>
  <si>
    <t>2019Q3-2020Q3
收益波动比</t>
  </si>
  <si>
    <t>2019Q3-2020Q3
收益波动比排名（筛选前）</t>
  </si>
  <si>
    <t>2019Q3-2020Q3
收益波动比排名%（筛选前）</t>
  </si>
  <si>
    <t>2019Q3-2020Q3
收益波动比排名%（筛选后）</t>
  </si>
  <si>
    <t>2019Q3-2020Q3
收益减无风险收益比波动</t>
  </si>
  <si>
    <t>2019Q3-2020Q3
收益减无风险收益波动比排名（筛选前）</t>
  </si>
  <si>
    <t>2019Q3-2020Q3
收益减无风险收益波动比排名%（筛选前）</t>
  </si>
  <si>
    <t>2019Q3-2020Q3
收益减无风险收益波动比排名（筛选后）</t>
  </si>
  <si>
    <t>2019Q3-2020Q3
收益减无风险收益波动比排名%（筛选后）</t>
  </si>
  <si>
    <t>2019Q3-2020Q3
卡玛比率</t>
  </si>
  <si>
    <t>2019Q3-2020Q3
卡玛比率排名（筛选前）</t>
  </si>
  <si>
    <t>2019Q3-2020Q3
卡玛比率排名%（筛选前）</t>
  </si>
  <si>
    <t>2019Q3-2020Q3
卡玛比率排名（筛选后）</t>
  </si>
  <si>
    <t>2019Q3-2020Q3
卡玛比率排名%（筛选后）</t>
  </si>
  <si>
    <t>2019Q3-2020Q3
180日胜率</t>
  </si>
  <si>
    <t>2019Q3-2020Q3
180日胜率排名（筛选前）</t>
  </si>
  <si>
    <t>2019Q3-2020Q3
180日胜率排名%（筛选前）</t>
  </si>
  <si>
    <t>2019Q3-2020Q3
180日胜率排名（筛选后）</t>
  </si>
  <si>
    <t>2019Q3-2020Q3
180日胜率排名%（筛选后）</t>
  </si>
  <si>
    <t>2019Q3-2020Q3
最大回撤</t>
  </si>
  <si>
    <t>2019Q3-2020Q3
最大回撤排名（筛选前）</t>
  </si>
  <si>
    <t>2019Q3-2020Q3
最大回撤排名%（筛选前）</t>
  </si>
  <si>
    <t>2019Q3-2020Q3
最大回撤排名（筛选后）</t>
  </si>
  <si>
    <t>2019Q3-2020Q3
最大回撤排名%（筛选后）</t>
  </si>
  <si>
    <t>基金经理</t>
    <phoneticPr fontId="3" type="noConversion"/>
  </si>
  <si>
    <t>近两年收益排名%</t>
    <phoneticPr fontId="5" type="noConversion"/>
  </si>
  <si>
    <t>近两年月度胜率排名%</t>
    <phoneticPr fontId="3" type="noConversion"/>
  </si>
  <si>
    <t>wind二级债，剔除最新一期转债占净值比&gt;30%及成立不满两年的基金</t>
    <phoneticPr fontId="3" type="noConversion"/>
  </si>
  <si>
    <t>收益减无风险收益比波动</t>
    <phoneticPr fontId="3" type="noConversion"/>
  </si>
  <si>
    <t>收益减无风险收益比波动（分位数）</t>
    <phoneticPr fontId="3" type="noConversion"/>
  </si>
  <si>
    <t>卡玛比</t>
    <phoneticPr fontId="3" type="noConversion"/>
  </si>
  <si>
    <t>180日胜率</t>
    <phoneticPr fontId="3" type="noConversion"/>
  </si>
  <si>
    <t>回撤</t>
    <phoneticPr fontId="3" type="noConversion"/>
  </si>
  <si>
    <t>回撤（分位数）</t>
    <phoneticPr fontId="3" type="noConversion"/>
  </si>
  <si>
    <t>180日胜率（分位数）</t>
    <phoneticPr fontId="3" type="noConversion"/>
  </si>
  <si>
    <t>卡玛比（分位数）</t>
    <phoneticPr fontId="3" type="noConversion"/>
  </si>
  <si>
    <t>2020Q3-2021Q3</t>
    <phoneticPr fontId="3" type="noConversion"/>
  </si>
  <si>
    <t>2019Q3-2020Q3</t>
    <phoneticPr fontId="3" type="noConversion"/>
  </si>
  <si>
    <t>业绩</t>
    <phoneticPr fontId="3" type="noConversion"/>
  </si>
  <si>
    <t>业绩排名</t>
    <phoneticPr fontId="3" type="noConversion"/>
  </si>
  <si>
    <t>打分</t>
    <phoneticPr fontId="3" type="noConversion"/>
  </si>
  <si>
    <t>test</t>
    <phoneticPr fontId="3" type="noConversion"/>
  </si>
  <si>
    <t>2020Q3-2021Q3 卡玛比率</t>
    <phoneticPr fontId="3" type="noConversion"/>
  </si>
  <si>
    <t>调整前</t>
    <phoneticPr fontId="3" type="noConversion"/>
  </si>
  <si>
    <t>2019Q3-2020Q3 卡玛比率</t>
    <phoneticPr fontId="3" type="noConversion"/>
  </si>
  <si>
    <t>2019-2020收益</t>
    <phoneticPr fontId="3" type="noConversion"/>
  </si>
  <si>
    <t>2020-2021收益</t>
    <phoneticPr fontId="3" type="noConversion"/>
  </si>
  <si>
    <t>总分数</t>
    <phoneticPr fontId="3" type="noConversion"/>
  </si>
  <si>
    <t>否</t>
  </si>
  <si>
    <t>开放申购|开放赎回</t>
  </si>
  <si>
    <t>何家琪,董阳阳</t>
  </si>
  <si>
    <t>暂停大额申购|开放赎回</t>
  </si>
  <si>
    <t>张芊</t>
  </si>
  <si>
    <t>裴禹翔,夏荣尧,曲泉儒</t>
  </si>
  <si>
    <t>张清华,王成,李中阳</t>
  </si>
  <si>
    <t>林龙军</t>
  </si>
  <si>
    <t>张明凯</t>
  </si>
  <si>
    <t>林森,林虎</t>
  </si>
  <si>
    <t>姜晓丽,张寓,彭玮</t>
  </si>
  <si>
    <t>王茜,洪流</t>
  </si>
  <si>
    <t>张清华</t>
  </si>
  <si>
    <t>姜晓丽,张寓,杜广</t>
  </si>
  <si>
    <t>张芊,吴迪</t>
  </si>
  <si>
    <t>张永志</t>
  </si>
  <si>
    <t>王石千</t>
  </si>
  <si>
    <t>刘文良</t>
  </si>
  <si>
    <t>毛静平</t>
  </si>
  <si>
    <t>林乐峰</t>
  </si>
  <si>
    <t>王申,王衍胜</t>
  </si>
  <si>
    <t>孙慧,贾鹏</t>
  </si>
  <si>
    <t>王衍胜,王申</t>
  </si>
  <si>
    <t>姚秋</t>
  </si>
  <si>
    <t>吴潇,宋璐,杨枫</t>
  </si>
  <si>
    <t>吴江宏</t>
  </si>
  <si>
    <t>贾鹏,孙慧</t>
  </si>
  <si>
    <t>方昶</t>
  </si>
  <si>
    <t>是</t>
  </si>
  <si>
    <t>暂停申购|暂停赎回</t>
  </si>
  <si>
    <t>李建</t>
  </si>
  <si>
    <t>宋海娟,韩海平</t>
  </si>
  <si>
    <t>胡永青</t>
  </si>
  <si>
    <t>陈大烨,杨雅洁</t>
  </si>
  <si>
    <t>李家春,吴晖</t>
  </si>
  <si>
    <t>黄波</t>
  </si>
  <si>
    <t>张清华,张雅君</t>
  </si>
  <si>
    <t>关键</t>
  </si>
  <si>
    <t>陈栋,沈荣,詹佳</t>
  </si>
  <si>
    <t>黄华,蒋雯文</t>
  </si>
  <si>
    <t>尹晓红,蔡振</t>
  </si>
  <si>
    <t>范晶伟</t>
  </si>
  <si>
    <t>李轶</t>
  </si>
  <si>
    <t>奚鹏洲</t>
  </si>
  <si>
    <t>郑迎迎</t>
  </si>
  <si>
    <t>许文波</t>
  </si>
  <si>
    <t>刘太阳</t>
  </si>
  <si>
    <t>张沛,祝建辉</t>
  </si>
  <si>
    <t>李明阳,林铮</t>
  </si>
  <si>
    <t>李永兴,乔嘉麒</t>
  </si>
  <si>
    <t>陈斯扬</t>
  </si>
  <si>
    <t>任慧娟,陈怡</t>
  </si>
  <si>
    <t>赵端端</t>
  </si>
  <si>
    <t>何秀红</t>
  </si>
  <si>
    <t>胡剑</t>
  </si>
  <si>
    <t>陈轶平,江勇</t>
  </si>
  <si>
    <t>俞晓斌</t>
  </si>
  <si>
    <t>黎颖芳</t>
  </si>
  <si>
    <t>周博洋,贾丽杰</t>
  </si>
  <si>
    <t>孔令超,徐觅</t>
  </si>
  <si>
    <t>董晗,李怡文</t>
  </si>
  <si>
    <t>周博洋,张博</t>
  </si>
  <si>
    <t>赵晓东</t>
  </si>
  <si>
    <t>何家琪</t>
  </si>
  <si>
    <t>吴国清,李炳智,王旭巍</t>
  </si>
  <si>
    <t>欧阳凯,徐博文</t>
  </si>
  <si>
    <t>何文忠</t>
  </si>
  <si>
    <t>王涛,钟光正,梁冰哲</t>
  </si>
  <si>
    <t>刘薇,孙蕾</t>
  </si>
  <si>
    <t>陈玮</t>
  </si>
  <si>
    <t>章俊</t>
  </si>
  <si>
    <t>杨爱斌,焦翠</t>
  </si>
  <si>
    <t>郭建新,闵杭</t>
  </si>
  <si>
    <t>彭成军</t>
  </si>
  <si>
    <t>曹建华</t>
  </si>
  <si>
    <t>王侃</t>
  </si>
  <si>
    <t>魏建</t>
  </si>
  <si>
    <t>马泽宇</t>
  </si>
  <si>
    <t>朱浩然</t>
  </si>
  <si>
    <t>周帅,陈保国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</si>
</sst>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##,###,##0.0000"/>
    <numFmt numFmtId="177" formatCode="###,###,##0.00"/>
    <numFmt numFmtId="178" formatCode="#,##0.000000_ "/>
    <numFmt numFmtId="179" formatCode="0.00_ "/>
    <numFmt numFmtId="180" formatCode="0.0%"/>
    <numFmt numFmtId="181" formatCode="0.00_);[Red]\(0.00\)"/>
    <numFmt numFmtId="182" formatCode="0_);[Red]\(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171A1D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黑体"/>
      <family val="3"/>
      <charset val="134"/>
    </font>
    <font>
      <sz val="10"/>
      <name val="Arial"/>
      <family val="2"/>
    </font>
    <font>
      <sz val="8"/>
      <color theme="1"/>
      <name val="宋体"/>
      <family val="3"/>
      <charset val="134"/>
    </font>
    <font>
      <sz val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7" fillId="0" borderId="0"/>
  </cellStyleXfs>
  <cellXfs count="84">
    <xf numFmtId="0" fontId="0" fillId="0" borderId="0" xfId="0"/>
    <xf numFmtId="0" fontId="4" fillId="0" borderId="0" xfId="2" applyFont="1" applyFill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/>
    </xf>
    <xf numFmtId="0" fontId="6" fillId="0" borderId="0" xfId="2" applyNumberFormat="1" applyFont="1" applyFill="1" applyBorder="1" applyAlignment="1">
      <alignment horizontal="center" vertical="center"/>
    </xf>
    <xf numFmtId="14" fontId="6" fillId="0" borderId="0" xfId="2" applyNumberFormat="1" applyFont="1" applyFill="1" applyBorder="1" applyAlignment="1">
      <alignment horizontal="center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177" fontId="4" fillId="0" borderId="0" xfId="4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178" fontId="4" fillId="0" borderId="0" xfId="4" applyNumberFormat="1" applyFont="1" applyFill="1" applyAlignment="1">
      <alignment horizontal="center" vertical="center"/>
    </xf>
    <xf numFmtId="2" fontId="4" fillId="0" borderId="0" xfId="4" applyNumberFormat="1" applyFont="1" applyFill="1" applyBorder="1" applyAlignment="1">
      <alignment horizontal="center" vertical="center"/>
    </xf>
    <xf numFmtId="49" fontId="6" fillId="0" borderId="0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177" fontId="4" fillId="0" borderId="0" xfId="4" applyNumberFormat="1" applyFont="1" applyBorder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10" fontId="6" fillId="0" borderId="0" xfId="3" applyNumberFormat="1" applyFont="1" applyBorder="1" applyAlignment="1">
      <alignment horizontal="center" vertical="center"/>
    </xf>
    <xf numFmtId="2" fontId="4" fillId="0" borderId="0" xfId="4" applyNumberFormat="1" applyFont="1" applyBorder="1" applyAlignment="1">
      <alignment horizontal="center" vertical="center"/>
    </xf>
    <xf numFmtId="0" fontId="6" fillId="0" borderId="0" xfId="2" applyFont="1" applyFill="1" applyAlignment="1">
      <alignment horizontal="center"/>
    </xf>
    <xf numFmtId="0" fontId="6" fillId="0" borderId="0" xfId="2" applyFont="1" applyFill="1"/>
    <xf numFmtId="10" fontId="4" fillId="0" borderId="0" xfId="3" applyNumberFormat="1" applyFont="1" applyFill="1" applyAlignment="1">
      <alignment horizontal="center"/>
    </xf>
    <xf numFmtId="10" fontId="6" fillId="0" borderId="0" xfId="1" applyNumberFormat="1" applyFont="1" applyFill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0" fontId="6" fillId="0" borderId="0" xfId="1" applyNumberFormat="1" applyFont="1" applyFill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10" fontId="6" fillId="0" borderId="0" xfId="3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14" fontId="6" fillId="0" borderId="0" xfId="2" applyNumberFormat="1" applyFont="1" applyFill="1" applyBorder="1" applyAlignment="1">
      <alignment horizontal="center" vertical="center" wrapText="1"/>
    </xf>
    <xf numFmtId="10" fontId="6" fillId="0" borderId="0" xfId="1" applyNumberFormat="1" applyFont="1" applyFill="1" applyBorder="1" applyAlignment="1">
      <alignment horizontal="center" vertical="center" wrapText="1"/>
    </xf>
    <xf numFmtId="10" fontId="7" fillId="0" borderId="0" xfId="1" applyNumberFormat="1" applyFont="1" applyAlignment="1">
      <alignment horizontal="center" vertical="center"/>
    </xf>
    <xf numFmtId="178" fontId="7" fillId="0" borderId="0" xfId="4" applyNumberFormat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49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77" fontId="9" fillId="0" borderId="0" xfId="4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49" fontId="8" fillId="0" borderId="0" xfId="2" applyNumberFormat="1" applyFont="1" applyBorder="1" applyAlignment="1">
      <alignment horizontal="center" vertical="center"/>
    </xf>
    <xf numFmtId="0" fontId="8" fillId="0" borderId="0" xfId="2" applyNumberFormat="1" applyFont="1" applyBorder="1" applyAlignment="1">
      <alignment horizontal="center" vertical="center"/>
    </xf>
    <xf numFmtId="177" fontId="9" fillId="0" borderId="0" xfId="4" applyNumberFormat="1" applyFont="1" applyBorder="1" applyAlignment="1">
      <alignment horizontal="center" vertical="center"/>
    </xf>
    <xf numFmtId="2" fontId="8" fillId="0" borderId="0" xfId="2" applyNumberFormat="1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179" fontId="8" fillId="0" borderId="0" xfId="1" applyNumberFormat="1" applyFont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6" fillId="2" borderId="0" xfId="2" applyNumberFormat="1" applyFont="1" applyFill="1" applyBorder="1" applyAlignment="1">
      <alignment horizontal="center" vertical="center"/>
    </xf>
    <xf numFmtId="14" fontId="6" fillId="2" borderId="0" xfId="2" applyNumberFormat="1" applyFont="1" applyFill="1" applyBorder="1" applyAlignment="1">
      <alignment horizontal="center" vertical="center"/>
    </xf>
    <xf numFmtId="0" fontId="6" fillId="2" borderId="0" xfId="2" applyNumberFormat="1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/>
    </xf>
    <xf numFmtId="180" fontId="7" fillId="2" borderId="0" xfId="1" applyNumberFormat="1" applyFont="1" applyFill="1" applyAlignment="1">
      <alignment horizontal="center" vertical="center"/>
    </xf>
    <xf numFmtId="10" fontId="7" fillId="2" borderId="0" xfId="1" applyNumberFormat="1" applyFont="1" applyFill="1" applyAlignment="1">
      <alignment horizontal="center" vertical="center"/>
    </xf>
    <xf numFmtId="180" fontId="4" fillId="2" borderId="0" xfId="1" applyNumberFormat="1" applyFont="1" applyFill="1" applyAlignment="1">
      <alignment horizontal="center" vertical="center"/>
    </xf>
    <xf numFmtId="10" fontId="8" fillId="0" borderId="0" xfId="1" applyNumberFormat="1" applyFont="1" applyBorder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9" fillId="0" borderId="5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182" fontId="8" fillId="2" borderId="0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81" fontId="8" fillId="2" borderId="0" xfId="1" applyNumberFormat="1" applyFont="1" applyFill="1" applyAlignment="1">
      <alignment horizontal="center" vertical="center"/>
    </xf>
    <xf numFmtId="182" fontId="8" fillId="2" borderId="0" xfId="1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181" fontId="0" fillId="0" borderId="0" xfId="0" applyNumberFormat="1"/>
    <xf numFmtId="0" fontId="2" fillId="0" borderId="0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1" applyNumberFormat="1" applyFont="1" applyAlignment="1">
      <alignment horizontal="center" vertical="center"/>
    </xf>
    <xf numFmtId="180" fontId="6" fillId="0" borderId="0" xfId="1" applyNumberFormat="1" applyFont="1" applyFill="1" applyBorder="1" applyAlignment="1">
      <alignment horizontal="center" vertical="center"/>
    </xf>
    <xf numFmtId="10" fontId="6" fillId="0" borderId="0" xfId="2" applyNumberFormat="1" applyFont="1" applyFill="1" applyBorder="1" applyAlignment="1">
      <alignment horizontal="center" vertical="center"/>
    </xf>
    <xf numFmtId="0" fontId="6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49" fontId="6" fillId="2" borderId="0" xfId="2" applyNumberFormat="1" applyFont="1" applyFill="1" applyBorder="1" applyAlignment="1">
      <alignment horizontal="center" vertical="center"/>
    </xf>
    <xf numFmtId="177" fontId="4" fillId="2" borderId="0" xfId="4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10" fontId="6" fillId="2" borderId="0" xfId="2" applyNumberFormat="1" applyFont="1" applyFill="1" applyBorder="1" applyAlignment="1">
      <alignment horizontal="center" vertical="center"/>
    </xf>
  </cellXfs>
  <cellStyles count="5">
    <cellStyle name="百分比" xfId="1" builtinId="5"/>
    <cellStyle name="百分比 2" xfId="3" xr:uid="{00000000-0005-0000-0000-000001000000}"/>
    <cellStyle name="常规" xfId="0" builtinId="0"/>
    <cellStyle name="常规 2" xfId="2" xr:uid="{00000000-0005-0000-0000-000003000000}"/>
    <cellStyle name="常规 2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f_absolute_profitmonthper"/>
      <definedName name="f_dq_status"/>
      <definedName name="f_info_fundmanager"/>
      <definedName name="f_info_regulopenfundornot"/>
      <definedName name="f_netasset_total"/>
      <definedName name="f_prt_convertiblebondtonav"/>
      <definedName name="f_prt_stocktonav"/>
      <definedName name="f_return"/>
      <definedName name="f_return_2y"/>
      <definedName name="f_risk_calmar"/>
      <definedName name="f_risk_maxdownside"/>
      <definedName name="f_risk_stdevyearly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C8D31-28A2-4E35-93B3-D072546A08AE}">
  <sheetPr filterMode="1"/>
  <dimension ref="A1:AG199"/>
  <sheetViews>
    <sheetView workbookViewId="0">
      <selection activeCell="V3" sqref="V3"/>
    </sheetView>
  </sheetViews>
  <sheetFormatPr defaultRowHeight="14.15" x14ac:dyDescent="0.35"/>
  <cols>
    <col min="1" max="1" width="12.7109375" customWidth="1"/>
    <col min="2" max="2" width="15" customWidth="1"/>
    <col min="3" max="3" width="10" customWidth="1"/>
    <col min="4" max="4" width="8.140625" customWidth="1"/>
    <col min="5" max="5" width="16.85546875" customWidth="1"/>
    <col min="6" max="6" width="14.92578125" bestFit="1" customWidth="1"/>
    <col min="9" max="9" width="15" customWidth="1"/>
    <col min="10" max="10" width="14.140625" customWidth="1"/>
    <col min="11" max="12" width="12.7109375" customWidth="1"/>
    <col min="13" max="13" width="12.7109375" style="64" customWidth="1"/>
    <col min="14" max="14" width="19" bestFit="1" customWidth="1"/>
    <col min="15" max="15" width="25" bestFit="1" customWidth="1"/>
    <col min="18" max="18" width="13.140625" bestFit="1" customWidth="1"/>
    <col min="19" max="19" width="15.2109375" bestFit="1" customWidth="1"/>
    <col min="21" max="21" width="9.85546875" bestFit="1" customWidth="1"/>
    <col min="22" max="22" width="9.85546875" customWidth="1"/>
    <col min="23" max="23" width="10.5703125" bestFit="1" customWidth="1"/>
    <col min="24" max="24" width="17.35546875" bestFit="1" customWidth="1"/>
    <col min="25" max="25" width="9" style="69"/>
    <col min="26" max="26" width="9.85546875" bestFit="1" customWidth="1"/>
    <col min="27" max="27" width="9" style="69"/>
    <col min="28" max="28" width="11.35546875" bestFit="1" customWidth="1"/>
    <col min="29" max="29" width="9" style="69"/>
    <col min="31" max="31" width="9" style="69"/>
  </cols>
  <sheetData>
    <row r="1" spans="1:33" ht="28.3" x14ac:dyDescent="0.35">
      <c r="A1" s="70" t="s">
        <v>467</v>
      </c>
      <c r="B1" s="70"/>
      <c r="C1" s="70"/>
      <c r="D1" s="1" t="s">
        <v>0</v>
      </c>
      <c r="E1" s="1" t="s">
        <v>1</v>
      </c>
      <c r="L1" s="71" t="s">
        <v>476</v>
      </c>
      <c r="M1" s="71"/>
      <c r="N1" s="71"/>
      <c r="O1" s="71"/>
      <c r="P1" s="71"/>
      <c r="Q1" s="71"/>
      <c r="R1" s="71"/>
      <c r="S1" s="71"/>
      <c r="T1" s="71"/>
      <c r="U1" s="71"/>
      <c r="V1" s="72" t="s">
        <v>477</v>
      </c>
      <c r="W1" s="73"/>
      <c r="X1" s="73"/>
      <c r="Y1" s="73"/>
      <c r="Z1" s="73"/>
      <c r="AA1" s="73"/>
      <c r="AB1" s="73"/>
      <c r="AC1" s="73"/>
      <c r="AD1" s="73"/>
      <c r="AE1" s="74"/>
    </row>
    <row r="2" spans="1:33" x14ac:dyDescent="0.35">
      <c r="A2" s="36" t="s">
        <v>3</v>
      </c>
      <c r="B2" s="36" t="s">
        <v>4</v>
      </c>
      <c r="C2" s="37" t="s">
        <v>5</v>
      </c>
      <c r="D2" s="37" t="s">
        <v>6</v>
      </c>
      <c r="E2" s="37" t="s">
        <v>7</v>
      </c>
      <c r="F2" s="38" t="s">
        <v>464</v>
      </c>
      <c r="G2" s="37" t="s">
        <v>10</v>
      </c>
      <c r="H2" s="38" t="s">
        <v>8</v>
      </c>
      <c r="I2" s="38" t="s">
        <v>9</v>
      </c>
      <c r="J2" s="38" t="s">
        <v>411</v>
      </c>
      <c r="K2" s="36" t="s">
        <v>16</v>
      </c>
      <c r="L2" s="51" t="s">
        <v>478</v>
      </c>
      <c r="M2" s="62" t="s">
        <v>479</v>
      </c>
      <c r="N2" s="47" t="s">
        <v>468</v>
      </c>
      <c r="O2" s="47" t="s">
        <v>469</v>
      </c>
      <c r="P2" s="47" t="s">
        <v>470</v>
      </c>
      <c r="Q2" s="47" t="s">
        <v>475</v>
      </c>
      <c r="R2" s="47" t="s">
        <v>471</v>
      </c>
      <c r="S2" s="47" t="s">
        <v>474</v>
      </c>
      <c r="T2" s="47" t="s">
        <v>472</v>
      </c>
      <c r="U2" s="47" t="s">
        <v>473</v>
      </c>
      <c r="V2" s="47" t="s">
        <v>478</v>
      </c>
      <c r="W2" s="68" t="s">
        <v>479</v>
      </c>
      <c r="X2" s="47" t="s">
        <v>468</v>
      </c>
      <c r="Y2" s="47" t="s">
        <v>469</v>
      </c>
      <c r="Z2" s="47" t="s">
        <v>470</v>
      </c>
      <c r="AA2" s="47" t="s">
        <v>475</v>
      </c>
      <c r="AB2" s="47" t="s">
        <v>471</v>
      </c>
      <c r="AC2" s="47" t="s">
        <v>474</v>
      </c>
      <c r="AD2" s="47" t="s">
        <v>472</v>
      </c>
      <c r="AE2" s="47" t="s">
        <v>473</v>
      </c>
      <c r="AF2" s="61" t="s">
        <v>480</v>
      </c>
      <c r="AG2" s="61" t="s">
        <v>481</v>
      </c>
    </row>
    <row r="3" spans="1:33" x14ac:dyDescent="0.35">
      <c r="A3" s="39" t="s">
        <v>225</v>
      </c>
      <c r="B3" s="39" t="s">
        <v>226</v>
      </c>
      <c r="C3" s="37">
        <v>20080418</v>
      </c>
      <c r="D3" s="37" t="str">
        <f>[1]!f_info_regulopenfundornot(A3)</f>
        <v>否</v>
      </c>
      <c r="E3" s="37" t="str">
        <f>[1]!f_dq_status(A3,$E$1)</f>
        <v>暂停大额申购|开放赎回</v>
      </c>
      <c r="F3" s="40" t="str">
        <f>[1]!f_info_fundmanager(A3)</f>
        <v>姜晓丽,张寓,杜广</v>
      </c>
      <c r="G3" s="37">
        <v>20120803</v>
      </c>
      <c r="H3" s="41">
        <f>[1]!f_netasset_total(A3,$E$1,100000000)</f>
        <v>273.91725705990001</v>
      </c>
      <c r="I3" s="41">
        <f>[1]!f_prt_convertiblebondtonav(A3,$E$1)</f>
        <v>7.3234648704528809</v>
      </c>
      <c r="J3" s="41">
        <f>[1]!f_prt_stocktonav(A3,$E$1)+0.5*I3</f>
        <v>13.971603155136108</v>
      </c>
      <c r="K3" s="42">
        <v>0</v>
      </c>
      <c r="L3" s="59">
        <f>VLOOKUP(A3,二级筛选!A:Q,12,0)/100</f>
        <v>0.13197932771642873</v>
      </c>
      <c r="M3" s="63">
        <v>12</v>
      </c>
      <c r="N3" s="48">
        <f>VLOOKUP(A3,二级筛选!A:U,19,0)</f>
        <v>1.76304684516209</v>
      </c>
      <c r="O3" s="65">
        <v>19</v>
      </c>
      <c r="P3" s="48">
        <f>VLOOKUP(A3,二级筛选!A:Z,24,0)</f>
        <v>5.1235740827717269</v>
      </c>
      <c r="Q3" s="67">
        <v>33</v>
      </c>
      <c r="R3" s="48">
        <f>VLOOKUP(A3,二级筛选!A:AE,29,0)</f>
        <v>1</v>
      </c>
      <c r="S3" s="67">
        <v>32</v>
      </c>
      <c r="T3" s="50">
        <f>VLOOKUP(A3,二级筛选!A:AJ,34,0)</f>
        <v>-2.5759230877565678</v>
      </c>
      <c r="U3" s="66">
        <v>77</v>
      </c>
      <c r="V3" s="49">
        <f>VLOOKUP(A3,二级筛选!A:AR,39,0)/100</f>
        <v>0.14401050936944415</v>
      </c>
      <c r="W3" s="66">
        <v>16</v>
      </c>
      <c r="X3" s="48">
        <f>VLOOKUP(A3,二级筛选!A:AV,46,0)</f>
        <v>2.4589409695683107</v>
      </c>
      <c r="Y3" s="66">
        <v>2</v>
      </c>
      <c r="Z3" s="48">
        <f>VLOOKUP(A3,二级筛选!A:BA,51,0)</f>
        <v>6.6423451995983811</v>
      </c>
      <c r="AA3" s="66">
        <v>3</v>
      </c>
      <c r="AB3" s="48">
        <f>VLOOKUP(A3,二级筛选!A:BF,56,0)</f>
        <v>1</v>
      </c>
      <c r="AC3" s="66">
        <v>3</v>
      </c>
      <c r="AD3" s="48">
        <f>VLOOKUP(A3,二级筛选!A:BK,61,0)</f>
        <v>-2.1680672268907601</v>
      </c>
      <c r="AE3" s="66">
        <v>41</v>
      </c>
      <c r="AF3">
        <f>(M3+O3+Q3+S3+U3)+(W3+Y3+AA3+AC3+AE3)*2</f>
        <v>303</v>
      </c>
      <c r="AG3" s="69">
        <f>(W3+Y3+AE3+U3)+(M3+O3+S3+AC3)</f>
        <v>202</v>
      </c>
    </row>
    <row r="4" spans="1:33" x14ac:dyDescent="0.35">
      <c r="A4" s="39" t="s">
        <v>63</v>
      </c>
      <c r="B4" s="39" t="s">
        <v>64</v>
      </c>
      <c r="C4" s="37">
        <v>20190529</v>
      </c>
      <c r="D4" s="37" t="str">
        <f>[1]!f_info_regulopenfundornot(A4)</f>
        <v>否</v>
      </c>
      <c r="E4" s="37" t="str">
        <f>[1]!f_dq_status(A4,$E$1)</f>
        <v>开放申购|开放赎回</v>
      </c>
      <c r="F4" s="40" t="str">
        <f>[1]!f_info_fundmanager(A4)</f>
        <v>姜晓丽,张寓,彭玮</v>
      </c>
      <c r="G4" s="37">
        <v>20190529</v>
      </c>
      <c r="H4" s="41">
        <f>[1]!f_netasset_total(A4,$E$1,100000000)</f>
        <v>79.972919173799994</v>
      </c>
      <c r="I4" s="41">
        <f>[1]!f_prt_convertiblebondtonav(A4,$E$1)</f>
        <v>10.088583946228027</v>
      </c>
      <c r="J4" s="41">
        <f>[1]!f_prt_stocktonav(A4,$E$1)+0.5*I4</f>
        <v>19.394369602203369</v>
      </c>
      <c r="K4" s="42">
        <v>5.0016931247777228</v>
      </c>
      <c r="L4" s="59">
        <f>VLOOKUP(A4,二级筛选!A:Q,12,0)/100</f>
        <v>0.14961609275168475</v>
      </c>
      <c r="M4" s="63">
        <v>8</v>
      </c>
      <c r="N4" s="48">
        <f>VLOOKUP(A4,二级筛选!A:U,19,0)</f>
        <v>1.8868369580137154</v>
      </c>
      <c r="O4" s="65">
        <v>17</v>
      </c>
      <c r="P4" s="48">
        <f>VLOOKUP(A4,二级筛选!A:Z,24,0)</f>
        <v>5.0853208916795527</v>
      </c>
      <c r="Q4" s="67">
        <v>34</v>
      </c>
      <c r="R4" s="48">
        <f>VLOOKUP(A4,二级筛选!A:AE,29,0)</f>
        <v>1</v>
      </c>
      <c r="S4" s="67">
        <v>33</v>
      </c>
      <c r="T4" s="50">
        <f>VLOOKUP(A4,二级筛选!A:AJ,34,0)</f>
        <v>-2.9421170450911376</v>
      </c>
      <c r="U4" s="66">
        <v>93</v>
      </c>
      <c r="V4" s="49">
        <f>VLOOKUP(A4,二级筛选!A:AR,39,0)/100</f>
        <v>0.15596172884391879</v>
      </c>
      <c r="W4" s="66">
        <v>13</v>
      </c>
      <c r="X4" s="48">
        <f>VLOOKUP(A4,二级筛选!A:AV,46,0)</f>
        <v>2.4503432847754505</v>
      </c>
      <c r="Y4" s="66">
        <v>3</v>
      </c>
      <c r="Z4" s="48">
        <f>VLOOKUP(A4,二级筛选!A:BA,51,0)</f>
        <v>5.7980117195388994</v>
      </c>
      <c r="AA4" s="66">
        <v>7</v>
      </c>
      <c r="AB4" s="48">
        <f>VLOOKUP(A4,二级筛选!A:BF,56,0)</f>
        <v>1</v>
      </c>
      <c r="AC4" s="66">
        <v>7</v>
      </c>
      <c r="AD4" s="48">
        <f>VLOOKUP(A4,二级筛选!A:BK,61,0)</f>
        <v>-2.6899174473611107</v>
      </c>
      <c r="AE4" s="66">
        <v>70</v>
      </c>
      <c r="AF4">
        <f>(M4+O4+Q4+S4+U4)+(W4+Y4+AA4+AC4+AE4)*2</f>
        <v>385</v>
      </c>
      <c r="AG4" s="69">
        <f>(W4+Y4+AE4+U4)+(M4+O4+S4+AC4)</f>
        <v>244</v>
      </c>
    </row>
    <row r="5" spans="1:33" x14ac:dyDescent="0.35">
      <c r="A5" s="39" t="s">
        <v>65</v>
      </c>
      <c r="B5" s="39" t="s">
        <v>66</v>
      </c>
      <c r="C5" s="37">
        <v>20161101</v>
      </c>
      <c r="D5" s="37" t="str">
        <f>[1]!f_info_regulopenfundornot(A5)</f>
        <v>否</v>
      </c>
      <c r="E5" s="37" t="str">
        <f>[1]!f_dq_status(A5,$E$1)</f>
        <v>暂停大额申购|开放赎回</v>
      </c>
      <c r="F5" s="40" t="str">
        <f>[1]!f_info_fundmanager(A5)</f>
        <v>张芊,吴迪</v>
      </c>
      <c r="G5" s="37">
        <v>20190918</v>
      </c>
      <c r="H5" s="41">
        <f>[1]!f_netasset_total(A5,$E$1,100000000)</f>
        <v>11.674287405299999</v>
      </c>
      <c r="I5" s="41">
        <f>[1]!f_prt_convertiblebondtonav(A5,$E$1)</f>
        <v>19.433507919311523</v>
      </c>
      <c r="J5" s="41">
        <f>[1]!f_prt_stocktonav(A5,$E$1)+0.5*I5</f>
        <v>27.409934043884277</v>
      </c>
      <c r="K5" s="42">
        <v>11.36154999403079</v>
      </c>
      <c r="L5" s="59">
        <f>VLOOKUP(A5,二级筛选!A:Q,12,0)/100</f>
        <v>8.2342468119999346E-2</v>
      </c>
      <c r="M5" s="63">
        <v>53</v>
      </c>
      <c r="N5" s="48">
        <f>VLOOKUP(A5,二级筛选!A:U,19,0)</f>
        <v>1.3114730997511233</v>
      </c>
      <c r="O5" s="65">
        <v>43</v>
      </c>
      <c r="P5" s="48">
        <f>VLOOKUP(A5,二级筛选!A:Z,24,0)</f>
        <v>4.6150992846304293</v>
      </c>
      <c r="Q5" s="67">
        <v>37</v>
      </c>
      <c r="R5" s="48">
        <f>VLOOKUP(A5,二级筛选!A:AE,29,0)</f>
        <v>1</v>
      </c>
      <c r="S5" s="67">
        <v>36</v>
      </c>
      <c r="T5" s="50">
        <f>VLOOKUP(A5,二级筛选!A:AJ,34,0)</f>
        <v>-1.7841971112999189</v>
      </c>
      <c r="U5" s="66">
        <v>51</v>
      </c>
      <c r="V5" s="49">
        <f>VLOOKUP(A5,二级筛选!A:AR,39,0)/100</f>
        <v>0.13944603876383055</v>
      </c>
      <c r="W5" s="66">
        <v>17</v>
      </c>
      <c r="X5" s="48">
        <f>VLOOKUP(A5,二级筛选!A:AV,46,0)</f>
        <v>1.8987202315681955</v>
      </c>
      <c r="Y5" s="66">
        <v>11</v>
      </c>
      <c r="Z5" s="48">
        <f>VLOOKUP(A5,二级筛选!A:BA,51,0)</f>
        <v>4.9989292078063912</v>
      </c>
      <c r="AA5" s="66">
        <v>13</v>
      </c>
      <c r="AB5" s="48">
        <f>VLOOKUP(A5,二级筛选!A:BF,56,0)</f>
        <v>1</v>
      </c>
      <c r="AC5" s="66">
        <v>13</v>
      </c>
      <c r="AD5" s="48">
        <f>VLOOKUP(A5,二级筛选!A:BK,61,0)</f>
        <v>-2.7895181741335695</v>
      </c>
      <c r="AE5" s="66">
        <v>79</v>
      </c>
      <c r="AF5">
        <f>(M5+O5+Q5+S5+U5)+(W5+Y5+AA5+AC5+AE5)*2</f>
        <v>486</v>
      </c>
      <c r="AG5" s="69">
        <f>(W5+Y5+AE5+U5)+(M5+O5+S5+AC5)</f>
        <v>303</v>
      </c>
    </row>
    <row r="6" spans="1:33" hidden="1" x14ac:dyDescent="0.35">
      <c r="A6" s="43" t="s">
        <v>25</v>
      </c>
      <c r="B6" s="43" t="s">
        <v>26</v>
      </c>
      <c r="C6" s="44">
        <v>20060711</v>
      </c>
      <c r="D6" s="44" t="str">
        <f>[1]!f_info_regulopenfundornot(A6)</f>
        <v>否</v>
      </c>
      <c r="E6" s="44" t="str">
        <f>[1]!f_dq_status(A6,$E$1)</f>
        <v>开放申购|开放赎回</v>
      </c>
      <c r="F6" s="40" t="str">
        <f>[1]!f_info_fundmanager(A6)</f>
        <v>滕越</v>
      </c>
      <c r="G6" s="44">
        <v>20170729</v>
      </c>
      <c r="H6" s="45">
        <f>[1]!f_netasset_total(A6,$E$1,100000000)</f>
        <v>3.6822158335000004</v>
      </c>
      <c r="I6" s="45">
        <f>[1]!f_prt_convertiblebondtonav(A6,$E$1)</f>
        <v>4.7099018096923828</v>
      </c>
      <c r="J6" s="45">
        <f>[1]!f_prt_stocktonav(A6,$E$1)+0.5*I6</f>
        <v>16.917075157165527</v>
      </c>
      <c r="K6" s="46">
        <v>27.446517143438921</v>
      </c>
      <c r="L6" s="59">
        <f>VLOOKUP(A6,二级筛选!A:Q,12,0)/100</f>
        <v>5.9691283537238071E-2</v>
      </c>
      <c r="M6" s="63">
        <v>94</v>
      </c>
      <c r="N6" s="48">
        <f>VLOOKUP(A6,二级筛选!A:U,19,0)</f>
        <v>0.88375975831034703</v>
      </c>
      <c r="O6" s="65">
        <v>85</v>
      </c>
      <c r="P6" s="48">
        <f>VLOOKUP(A6,二级筛选!A:Z,24,0)</f>
        <v>3.7287155116261426</v>
      </c>
      <c r="Q6" s="67">
        <v>49</v>
      </c>
      <c r="R6" s="48">
        <f>VLOOKUP(A6,二级筛选!A:AE,29,0)</f>
        <v>1</v>
      </c>
      <c r="S6" s="67">
        <v>46</v>
      </c>
      <c r="T6" s="50">
        <f>VLOOKUP(A6,二级筛选!A:AJ,34,0)</f>
        <v>-1.600853788687298</v>
      </c>
      <c r="U6" s="66">
        <v>46</v>
      </c>
      <c r="V6" s="49">
        <f>VLOOKUP(A6,二级筛选!A:AR,39,0)/100</f>
        <v>0.11472670878901624</v>
      </c>
      <c r="W6" s="66">
        <v>36</v>
      </c>
      <c r="X6" s="48">
        <f>VLOOKUP(A6,二级筛选!A:AV,46,0)</f>
        <v>2.1932196982421157</v>
      </c>
      <c r="Y6" s="66">
        <v>6</v>
      </c>
      <c r="Z6" s="48">
        <f>VLOOKUP(A6,二级筛选!A:BA,51,0)</f>
        <v>5.6743210022675763</v>
      </c>
      <c r="AA6" s="66">
        <v>8</v>
      </c>
      <c r="AB6" s="48">
        <f>VLOOKUP(A6,二级筛选!A:BF,56,0)</f>
        <v>1</v>
      </c>
      <c r="AC6" s="66">
        <v>8</v>
      </c>
      <c r="AD6" s="48">
        <f>VLOOKUP(A6,二级筛选!A:BK,61,0)</f>
        <v>-2.021857923497262</v>
      </c>
      <c r="AE6" s="66">
        <v>36</v>
      </c>
      <c r="AF6">
        <f>(M6+O6+Q6+S6+U6)+(W6+Y6+AA6+AC6+AE6)*2</f>
        <v>508</v>
      </c>
      <c r="AG6" s="69">
        <f>(W6+Y6+AE6)*2+(M6+O6+S6)</f>
        <v>381</v>
      </c>
    </row>
    <row r="7" spans="1:33" x14ac:dyDescent="0.35">
      <c r="A7" s="39" t="s">
        <v>77</v>
      </c>
      <c r="B7" s="39" t="s">
        <v>78</v>
      </c>
      <c r="C7" s="37">
        <v>20130527</v>
      </c>
      <c r="D7" s="37" t="str">
        <f>[1]!f_info_regulopenfundornot(A7)</f>
        <v>否</v>
      </c>
      <c r="E7" s="37" t="str">
        <f>[1]!f_dq_status(A7,$E$1)</f>
        <v>暂停大额申购|开放赎回</v>
      </c>
      <c r="F7" s="40" t="str">
        <f>[1]!f_info_fundmanager(A7)</f>
        <v>王石千</v>
      </c>
      <c r="G7" s="37">
        <v>20180328</v>
      </c>
      <c r="H7" s="41">
        <f>[1]!f_netasset_total(A7,$E$1,100000000)</f>
        <v>47.222159078800004</v>
      </c>
      <c r="I7" s="41">
        <f>[1]!f_prt_convertiblebondtonav(A7,$E$1)</f>
        <v>2.9510350227355957</v>
      </c>
      <c r="J7" s="41">
        <f>[1]!f_prt_stocktonav(A7,$E$1)+0.5*I7</f>
        <v>15.872415781021118</v>
      </c>
      <c r="K7" s="42">
        <v>11.54381778881281</v>
      </c>
      <c r="L7" s="59">
        <f>VLOOKUP(A7,二级筛选!A:Q,12,0)/100</f>
        <v>9.6780309050629842E-2</v>
      </c>
      <c r="M7" s="63">
        <v>35</v>
      </c>
      <c r="N7" s="48">
        <f>VLOOKUP(A7,二级筛选!A:U,19,0)</f>
        <v>1.3033453178889411</v>
      </c>
      <c r="O7" s="65">
        <v>44</v>
      </c>
      <c r="P7" s="48">
        <f>VLOOKUP(A7,二级筛选!A:Z,24,0)</f>
        <v>3.3364823986466341</v>
      </c>
      <c r="Q7" s="67">
        <v>54</v>
      </c>
      <c r="R7" s="48">
        <f>VLOOKUP(A7,二级筛选!A:AE,29,0)</f>
        <v>1</v>
      </c>
      <c r="S7" s="67">
        <v>50</v>
      </c>
      <c r="T7" s="50">
        <f>VLOOKUP(A7,二级筛选!A:AJ,34,0)</f>
        <v>-2.9006689527235783</v>
      </c>
      <c r="U7" s="66">
        <v>88</v>
      </c>
      <c r="V7" s="49">
        <f>VLOOKUP(A7,二级筛选!A:AR,39,0)/100</f>
        <v>0.13645672208416593</v>
      </c>
      <c r="W7" s="66">
        <v>19</v>
      </c>
      <c r="X7" s="48">
        <f>VLOOKUP(A7,二级筛选!A:AV,46,0)</f>
        <v>1.7458285928453667</v>
      </c>
      <c r="Y7" s="66">
        <v>18</v>
      </c>
      <c r="Z7" s="48">
        <f>VLOOKUP(A7,二级筛选!A:BA,51,0)</f>
        <v>4.0613221013524701</v>
      </c>
      <c r="AA7" s="66">
        <v>22</v>
      </c>
      <c r="AB7" s="48">
        <f>VLOOKUP(A7,二级筛选!A:BF,56,0)</f>
        <v>1</v>
      </c>
      <c r="AC7" s="66">
        <v>22</v>
      </c>
      <c r="AD7" s="48">
        <f>VLOOKUP(A7,二级筛选!A:BK,61,0)</f>
        <v>-3.3599088838268738</v>
      </c>
      <c r="AE7" s="66">
        <v>104</v>
      </c>
      <c r="AF7">
        <f>(M7+O7+Q7+S7+U7)+(W7+Y7+AA7+AC7+AE7)*2</f>
        <v>641</v>
      </c>
      <c r="AG7" s="69">
        <f>(W7+Y7+AE7+U7)+(M7+O7+S7+AC7)</f>
        <v>380</v>
      </c>
    </row>
    <row r="8" spans="1:33" x14ac:dyDescent="0.35">
      <c r="A8" s="39" t="s">
        <v>169</v>
      </c>
      <c r="B8" s="39" t="s">
        <v>170</v>
      </c>
      <c r="C8" s="37">
        <v>20160122</v>
      </c>
      <c r="D8" s="37" t="str">
        <f>[1]!f_info_regulopenfundornot(A8)</f>
        <v>否</v>
      </c>
      <c r="E8" s="37" t="str">
        <f>[1]!f_dq_status(A8,$E$1)</f>
        <v>开放申购|开放赎回</v>
      </c>
      <c r="F8" s="40" t="str">
        <f>[1]!f_info_fundmanager(A8)</f>
        <v>林森,林虎</v>
      </c>
      <c r="G8" s="37">
        <v>20170728</v>
      </c>
      <c r="H8" s="41">
        <f>[1]!f_netasset_total(A8,$E$1,100000000)</f>
        <v>559.85691811749996</v>
      </c>
      <c r="I8" s="41">
        <f>[1]!f_prt_convertiblebondtonav(A8,$E$1)</f>
        <v>5.0818696022033691</v>
      </c>
      <c r="J8" s="41">
        <f>[1]!f_prt_stocktonav(A8,$E$1)+0.5*I8</f>
        <v>21.082640886306763</v>
      </c>
      <c r="K8" s="42">
        <v>6.6685859889944981</v>
      </c>
      <c r="L8" s="59">
        <f>VLOOKUP(A8,二级筛选!A:Q,12,0)/100</f>
        <v>9.3319111258402643E-2</v>
      </c>
      <c r="M8" s="63">
        <v>39</v>
      </c>
      <c r="N8" s="48">
        <f>VLOOKUP(A8,二级筛选!A:U,19,0)</f>
        <v>1.2503260902563029</v>
      </c>
      <c r="O8" s="65">
        <v>50</v>
      </c>
      <c r="P8" s="48">
        <f>VLOOKUP(A8,二级筛选!A:Z,24,0)</f>
        <v>3.4710652035462348</v>
      </c>
      <c r="Q8" s="67">
        <v>52</v>
      </c>
      <c r="R8" s="48">
        <f>VLOOKUP(A8,二级筛选!A:AE,29,0)</f>
        <v>1</v>
      </c>
      <c r="S8" s="67">
        <v>48</v>
      </c>
      <c r="T8" s="50">
        <f>VLOOKUP(A8,二级筛选!A:AJ,34,0)</f>
        <v>-2.6884862653419073</v>
      </c>
      <c r="U8" s="66">
        <v>81</v>
      </c>
      <c r="V8" s="49">
        <f>VLOOKUP(A8,二级筛选!A:AR,39,0)/100</f>
        <v>0.15653450211275555</v>
      </c>
      <c r="W8" s="66">
        <v>12</v>
      </c>
      <c r="X8" s="48">
        <f>VLOOKUP(A8,二级筛选!A:AV,46,0)</f>
        <v>2.051520659725325</v>
      </c>
      <c r="Y8" s="66">
        <v>7</v>
      </c>
      <c r="Z8" s="48">
        <f>VLOOKUP(A8,二级筛选!A:BA,51,0)</f>
        <v>3.3378680597572847</v>
      </c>
      <c r="AA8" s="66">
        <v>36</v>
      </c>
      <c r="AB8" s="48">
        <f>VLOOKUP(A8,二级筛选!A:BF,56,0)</f>
        <v>1</v>
      </c>
      <c r="AC8" s="66">
        <v>36</v>
      </c>
      <c r="AD8" s="48">
        <f>VLOOKUP(A8,二级筛选!A:BK,61,0)</f>
        <v>-4.6896551724137971</v>
      </c>
      <c r="AE8" s="66">
        <v>153</v>
      </c>
      <c r="AF8">
        <f>(M8+O8+Q8+S8+U8)+(W8+Y8+AA8+AC8+AE8)*2</f>
        <v>758</v>
      </c>
      <c r="AG8" s="69">
        <f>(W8+Y8+AE8+U8)+(M8+O8+S8+AC8)</f>
        <v>426</v>
      </c>
    </row>
    <row r="9" spans="1:33" hidden="1" x14ac:dyDescent="0.35">
      <c r="A9" s="43" t="s">
        <v>397</v>
      </c>
      <c r="B9" s="43" t="s">
        <v>398</v>
      </c>
      <c r="C9" s="44">
        <v>20190521</v>
      </c>
      <c r="D9" s="44" t="str">
        <f>[1]!f_info_regulopenfundornot(A9)</f>
        <v>否</v>
      </c>
      <c r="E9" s="44" t="str">
        <f>[1]!f_dq_status(A9,$E$1)</f>
        <v>开放申购|开放赎回</v>
      </c>
      <c r="F9" s="40" t="str">
        <f>[1]!f_info_fundmanager(A9)</f>
        <v>李羿</v>
      </c>
      <c r="G9" s="44">
        <v>20190715</v>
      </c>
      <c r="H9" s="45">
        <f>[1]!f_netasset_total(A9,$E$1,100000000)</f>
        <v>6.0913846445000006</v>
      </c>
      <c r="I9" s="45">
        <f>[1]!f_prt_convertiblebondtonav(A9,$E$1)</f>
        <v>27.554519653320313</v>
      </c>
      <c r="J9" s="45">
        <f>[1]!f_prt_stocktonav(A9,$E$1)+0.5*I9</f>
        <v>15.459243535995483</v>
      </c>
      <c r="K9" s="46">
        <v>13.46426219760288</v>
      </c>
      <c r="L9" s="59">
        <f>VLOOKUP(A9,二级筛选!A:Q,12,0)/100</f>
        <v>5.9125501461628094E-2</v>
      </c>
      <c r="M9" s="63">
        <v>97</v>
      </c>
      <c r="N9" s="48">
        <f>VLOOKUP(A9,二级筛选!A:U,19,0)</f>
        <v>1.4088641742549499</v>
      </c>
      <c r="O9" s="65">
        <v>34</v>
      </c>
      <c r="P9" s="48">
        <f>VLOOKUP(A9,二级筛选!A:Z,24,0)</f>
        <v>5.8251252593861924</v>
      </c>
      <c r="Q9" s="67">
        <v>24</v>
      </c>
      <c r="R9" s="48">
        <f>VLOOKUP(A9,二级筛选!A:AE,29,0)</f>
        <v>1</v>
      </c>
      <c r="S9" s="67">
        <v>23</v>
      </c>
      <c r="T9" s="50">
        <f>VLOOKUP(A9,二级筛选!A:AJ,34,0)</f>
        <v>-1.0150082415199135</v>
      </c>
      <c r="U9" s="66">
        <v>25</v>
      </c>
      <c r="V9" s="49">
        <f>VLOOKUP(A9,二级筛选!A:AR,39,0)/100</f>
        <v>6.6402883801094603E-2</v>
      </c>
      <c r="W9" s="66">
        <v>111</v>
      </c>
      <c r="X9" s="48">
        <f>VLOOKUP(A9,二级筛选!A:AV,46,0)</f>
        <v>1.6421111056783266</v>
      </c>
      <c r="Y9" s="66">
        <v>23</v>
      </c>
      <c r="Z9" s="48">
        <f>VLOOKUP(A9,二级筛选!A:BA,51,0)</f>
        <v>5.838514717023517</v>
      </c>
      <c r="AA9" s="66">
        <v>6</v>
      </c>
      <c r="AB9" s="48">
        <f>VLOOKUP(A9,二级筛选!A:BF,56,0)</f>
        <v>1</v>
      </c>
      <c r="AC9" s="66">
        <v>6</v>
      </c>
      <c r="AD9" s="48">
        <f>VLOOKUP(A9,二级筛选!A:BK,61,0)</f>
        <v>-1.1373249365541873</v>
      </c>
      <c r="AE9" s="66">
        <v>8</v>
      </c>
      <c r="AF9">
        <f>(M9+O9+Q9+S9+U9)+(W9+Y9+AA9+AC9+AE9)*2</f>
        <v>511</v>
      </c>
      <c r="AG9" s="69">
        <f>(W9+Y9+AE9)*2+(M9+O9+S9)</f>
        <v>438</v>
      </c>
    </row>
    <row r="10" spans="1:33" hidden="1" x14ac:dyDescent="0.35">
      <c r="A10" s="43" t="s">
        <v>331</v>
      </c>
      <c r="B10" s="43" t="s">
        <v>332</v>
      </c>
      <c r="C10" s="44">
        <v>20170414</v>
      </c>
      <c r="D10" s="44" t="str">
        <f>[1]!f_info_regulopenfundornot(A10)</f>
        <v>否</v>
      </c>
      <c r="E10" s="44" t="str">
        <f>[1]!f_dq_status(A10,$E$1)</f>
        <v>开放申购|开放赎回</v>
      </c>
      <c r="F10" s="40" t="str">
        <f>[1]!f_info_fundmanager(A10)</f>
        <v>司马义买买提</v>
      </c>
      <c r="G10" s="44">
        <v>20210427</v>
      </c>
      <c r="H10" s="45">
        <f>[1]!f_netasset_total(A10,$E$1,100000000)</f>
        <v>5.8454011899999996</v>
      </c>
      <c r="I10" s="45">
        <f>[1]!f_prt_convertiblebondtonav(A10,$E$1)</f>
        <v>0</v>
      </c>
      <c r="J10" s="45">
        <f>[1]!f_prt_stocktonav(A10,$E$1)+0.5*I10</f>
        <v>0</v>
      </c>
      <c r="K10" s="46">
        <v>13.37225580576446</v>
      </c>
      <c r="L10" s="59">
        <f>VLOOKUP(A10,二级筛选!A:Q,12,0)/100</f>
        <v>3.9232214273039467E-2</v>
      </c>
      <c r="M10" s="63">
        <v>145</v>
      </c>
      <c r="N10" s="48">
        <f>VLOOKUP(A10,二级筛选!A:U,19,0)</f>
        <v>2.1679190843827878</v>
      </c>
      <c r="O10" s="65">
        <v>10</v>
      </c>
      <c r="P10" s="48">
        <f>VLOOKUP(A10,二级筛选!A:Z,24,0)</f>
        <v>21.797418250100709</v>
      </c>
      <c r="Q10" s="67">
        <v>1</v>
      </c>
      <c r="R10" s="48">
        <f>VLOOKUP(A10,二级筛选!A:AE,29,0)</f>
        <v>1</v>
      </c>
      <c r="S10" s="67">
        <v>1</v>
      </c>
      <c r="T10" s="50">
        <f>VLOOKUP(A10,二级筛选!A:AJ,34,0)</f>
        <v>-0.17998560115190801</v>
      </c>
      <c r="U10" s="66">
        <v>1</v>
      </c>
      <c r="V10" s="49">
        <f>VLOOKUP(A10,二级筛选!A:AR,39,0)/100</f>
        <v>4.7591782732519849E-2</v>
      </c>
      <c r="W10" s="66">
        <v>142</v>
      </c>
      <c r="X10" s="48">
        <f>VLOOKUP(A10,二级筛选!A:AV,46,0)</f>
        <v>2.4899114405748675</v>
      </c>
      <c r="Y10" s="66">
        <v>1</v>
      </c>
      <c r="Z10" s="48">
        <f>VLOOKUP(A10,二级筛选!A:BA,51,0)</f>
        <v>15.630295189546596</v>
      </c>
      <c r="AA10" s="66">
        <v>2</v>
      </c>
      <c r="AB10" s="48">
        <f>VLOOKUP(A10,二级筛选!A:BF,56,0)</f>
        <v>1</v>
      </c>
      <c r="AC10" s="66">
        <v>2</v>
      </c>
      <c r="AD10" s="48">
        <f>VLOOKUP(A10,二级筛选!A:BK,61,0)</f>
        <v>-0.30448422218122162</v>
      </c>
      <c r="AE10" s="66">
        <v>1</v>
      </c>
      <c r="AF10">
        <f>(M10+O10+Q10+S10+U10)+(W10+Y10+AA10+AC10+AE10)*2</f>
        <v>454</v>
      </c>
      <c r="AG10" s="69">
        <f>(W10+Y10+AE10)*2+(M10+O10+S10)</f>
        <v>444</v>
      </c>
    </row>
    <row r="11" spans="1:33" hidden="1" x14ac:dyDescent="0.35">
      <c r="A11" s="43" t="s">
        <v>91</v>
      </c>
      <c r="B11" s="43" t="s">
        <v>92</v>
      </c>
      <c r="C11" s="44">
        <v>20110323</v>
      </c>
      <c r="D11" s="44" t="str">
        <f>[1]!f_info_regulopenfundornot(A11)</f>
        <v>否</v>
      </c>
      <c r="E11" s="44" t="str">
        <f>[1]!f_dq_status(A11,$E$1)</f>
        <v>开放申购|开放赎回</v>
      </c>
      <c r="F11" s="40" t="str">
        <f>[1]!f_info_fundmanager(A11)</f>
        <v>王影峰,殷婧</v>
      </c>
      <c r="G11" s="44">
        <v>20210817</v>
      </c>
      <c r="H11" s="45">
        <f>[1]!f_netasset_total(A11,$E$1,100000000)</f>
        <v>0.53056636030000004</v>
      </c>
      <c r="I11" s="45">
        <f>[1]!f_prt_convertiblebondtonav(A11,$E$1)</f>
        <v>12.389941215515137</v>
      </c>
      <c r="J11" s="45">
        <f>[1]!f_prt_stocktonav(A11,$E$1)+0.5*I11</f>
        <v>11.886454582214355</v>
      </c>
      <c r="K11" s="46">
        <v>0</v>
      </c>
      <c r="L11" s="59">
        <f>VLOOKUP(A11,二级筛选!A:Q,12,0)/100</f>
        <v>7.1660464199604146E-2</v>
      </c>
      <c r="M11" s="63">
        <v>69</v>
      </c>
      <c r="N11" s="48">
        <f>VLOOKUP(A11,二级筛选!A:U,19,0)</f>
        <v>1.5699167952849877</v>
      </c>
      <c r="O11" s="65">
        <v>28</v>
      </c>
      <c r="P11" s="48">
        <f>VLOOKUP(A11,二级筛选!A:Z,24,0)</f>
        <v>5.1721993866419806</v>
      </c>
      <c r="Q11" s="67">
        <v>32</v>
      </c>
      <c r="R11" s="48">
        <f>VLOOKUP(A11,二级筛选!A:AE,29,0)</f>
        <v>1</v>
      </c>
      <c r="S11" s="67">
        <v>31</v>
      </c>
      <c r="T11" s="50">
        <f>VLOOKUP(A11,二级筛选!A:AJ,34,0)</f>
        <v>-1.385493072534647</v>
      </c>
      <c r="U11" s="66">
        <v>39</v>
      </c>
      <c r="V11" s="49">
        <f>VLOOKUP(A11,二级筛选!A:AR,39,0)/100</f>
        <v>9.1536827333995388E-2</v>
      </c>
      <c r="W11" s="66">
        <v>64</v>
      </c>
      <c r="X11" s="48">
        <f>VLOOKUP(A11,二级筛选!A:AV,46,0)</f>
        <v>1.2195641941199395</v>
      </c>
      <c r="Y11" s="66">
        <v>52</v>
      </c>
      <c r="Z11" s="48">
        <f>VLOOKUP(A11,二级筛选!A:BA,51,0)</f>
        <v>3.8109832446720131</v>
      </c>
      <c r="AA11" s="66">
        <v>26</v>
      </c>
      <c r="AB11" s="48">
        <f>VLOOKUP(A11,二级筛选!A:BF,56,0)</f>
        <v>1</v>
      </c>
      <c r="AC11" s="66">
        <v>26</v>
      </c>
      <c r="AD11" s="48">
        <f>VLOOKUP(A11,二级筛选!A:BK,61,0)</f>
        <v>-2.4019215372297804</v>
      </c>
      <c r="AE11" s="66">
        <v>55</v>
      </c>
      <c r="AF11">
        <f>(M11+O11+Q11+S11+U11)+(W11+Y11+AA11+AC11+AE11)*2</f>
        <v>645</v>
      </c>
      <c r="AG11" s="69">
        <f>(W11+Y11+AE11)*2+(M11+O11+S11)</f>
        <v>470</v>
      </c>
    </row>
    <row r="12" spans="1:33" hidden="1" x14ac:dyDescent="0.35">
      <c r="A12" s="43" t="s">
        <v>337</v>
      </c>
      <c r="B12" s="43" t="s">
        <v>338</v>
      </c>
      <c r="C12" s="44">
        <v>20170801</v>
      </c>
      <c r="D12" s="44" t="str">
        <f>[1]!f_info_regulopenfundornot(A12)</f>
        <v>否</v>
      </c>
      <c r="E12" s="44" t="str">
        <f>[1]!f_dq_status(A12,$E$1)</f>
        <v>开放申购|开放赎回</v>
      </c>
      <c r="F12" s="40" t="str">
        <f>[1]!f_info_fundmanager(A12)</f>
        <v>朱垚,程放</v>
      </c>
      <c r="G12" s="44">
        <v>20190515</v>
      </c>
      <c r="H12" s="45">
        <f>[1]!f_netasset_total(A12,$E$1,100000000)</f>
        <v>2.1362822134999999</v>
      </c>
      <c r="I12" s="45">
        <f>[1]!f_prt_convertiblebondtonav(A12,$E$1)</f>
        <v>9.6361913681030273</v>
      </c>
      <c r="J12" s="45">
        <f>[1]!f_prt_stocktonav(A12,$E$1)+0.5*I12</f>
        <v>9.4392690658569336</v>
      </c>
      <c r="K12" s="46">
        <v>9.5057665469815511</v>
      </c>
      <c r="L12" s="59">
        <f>VLOOKUP(A12,二级筛选!A:Q,12,0)/100</f>
        <v>9.7435506942497252E-2</v>
      </c>
      <c r="M12" s="63">
        <v>32</v>
      </c>
      <c r="N12" s="48">
        <f>VLOOKUP(A12,二级筛选!A:U,19,0)</f>
        <v>2.0913827038858499</v>
      </c>
      <c r="O12" s="65">
        <v>13</v>
      </c>
      <c r="P12" s="48">
        <f>VLOOKUP(A12,二级筛选!A:Z,24,0)</f>
        <v>5.367678449623261</v>
      </c>
      <c r="Q12" s="67">
        <v>29</v>
      </c>
      <c r="R12" s="48">
        <f>VLOOKUP(A12,二级筛选!A:AE,29,0)</f>
        <v>1</v>
      </c>
      <c r="S12" s="67">
        <v>28</v>
      </c>
      <c r="T12" s="50">
        <f>VLOOKUP(A12,二级筛选!A:AJ,34,0)</f>
        <v>-1.81522622595502</v>
      </c>
      <c r="U12" s="66">
        <v>52</v>
      </c>
      <c r="V12" s="49">
        <f>VLOOKUP(A12,二级筛选!A:AR,39,0)/100</f>
        <v>8.986651775156318E-2</v>
      </c>
      <c r="W12" s="66">
        <v>67</v>
      </c>
      <c r="X12" s="48">
        <f>VLOOKUP(A12,二级筛选!A:AV,46,0)</f>
        <v>1.260624281416721</v>
      </c>
      <c r="Y12" s="66">
        <v>48</v>
      </c>
      <c r="Z12" s="48">
        <f>VLOOKUP(A12,二级筛选!A:BA,51,0)</f>
        <v>2.9799935886457569</v>
      </c>
      <c r="AA12" s="66">
        <v>50</v>
      </c>
      <c r="AB12" s="48">
        <f>VLOOKUP(A12,二级筛选!A:BF,56,0)</f>
        <v>1</v>
      </c>
      <c r="AC12" s="66">
        <v>50</v>
      </c>
      <c r="AD12" s="48">
        <f>VLOOKUP(A12,二级筛选!A:BK,61,0)</f>
        <v>-3.0156614461846063</v>
      </c>
      <c r="AE12" s="66">
        <v>87</v>
      </c>
      <c r="AF12">
        <f>(M12+O12+Q12+S12+U12)+(W12+Y12+AA12+AC12+AE12)*2</f>
        <v>758</v>
      </c>
      <c r="AG12" s="69">
        <f>(W12+Y12+AE12)*2+(M12+O12+S12)</f>
        <v>477</v>
      </c>
    </row>
    <row r="13" spans="1:33" x14ac:dyDescent="0.35">
      <c r="A13" s="39" t="s">
        <v>73</v>
      </c>
      <c r="B13" s="39" t="s">
        <v>74</v>
      </c>
      <c r="C13" s="37">
        <v>20100908</v>
      </c>
      <c r="D13" s="37" t="str">
        <f>[1]!f_info_regulopenfundornot(A13)</f>
        <v>否</v>
      </c>
      <c r="E13" s="37" t="str">
        <f>[1]!f_dq_status(A13,$E$1)</f>
        <v>开放申购|开放赎回</v>
      </c>
      <c r="F13" s="40" t="str">
        <f>[1]!f_info_fundmanager(A13)</f>
        <v>吴潇,宋璐,杨枫</v>
      </c>
      <c r="G13" s="37">
        <v>20200710</v>
      </c>
      <c r="H13" s="41">
        <f>[1]!f_netasset_total(A13,$E$1,100000000)</f>
        <v>31.7399847585</v>
      </c>
      <c r="I13" s="41">
        <f>[1]!f_prt_convertiblebondtonav(A13,$E$1)</f>
        <v>9.1009654998779297</v>
      </c>
      <c r="J13" s="41">
        <f>[1]!f_prt_stocktonav(A13,$E$1)+0.5*I13</f>
        <v>22.389313697814941</v>
      </c>
      <c r="K13" s="42">
        <v>6.2148738098298413</v>
      </c>
      <c r="L13" s="59">
        <f>VLOOKUP(A13,二级筛选!A:Q,12,0)/100</f>
        <v>5.9269160316034686E-2</v>
      </c>
      <c r="M13" s="63">
        <v>96</v>
      </c>
      <c r="N13" s="48">
        <f>VLOOKUP(A13,二级筛选!A:U,19,0)</f>
        <v>0.79705525519461207</v>
      </c>
      <c r="O13" s="65">
        <v>92</v>
      </c>
      <c r="P13" s="48">
        <f>VLOOKUP(A13,二级筛选!A:Z,24,0)</f>
        <v>4.0208198358397942</v>
      </c>
      <c r="Q13" s="67">
        <v>45</v>
      </c>
      <c r="R13" s="48">
        <f>VLOOKUP(A13,二级筛选!A:AE,29,0)</f>
        <v>1</v>
      </c>
      <c r="S13" s="67">
        <v>44</v>
      </c>
      <c r="T13" s="50">
        <f>VLOOKUP(A13,二级筛选!A:AJ,34,0)</f>
        <v>-1.4740566037735845</v>
      </c>
      <c r="U13" s="66">
        <v>43</v>
      </c>
      <c r="V13" s="49">
        <f>VLOOKUP(A13,二级筛选!A:AR,39,0)/100</f>
        <v>0.11190469930479185</v>
      </c>
      <c r="W13" s="66">
        <v>39</v>
      </c>
      <c r="X13" s="48">
        <f>VLOOKUP(A13,二级筛选!A:AV,46,0)</f>
        <v>1.5576959804522725</v>
      </c>
      <c r="Y13" s="66">
        <v>26</v>
      </c>
      <c r="Z13" s="48">
        <f>VLOOKUP(A13,二级筛选!A:BA,51,0)</f>
        <v>4.0650032631182311</v>
      </c>
      <c r="AA13" s="66">
        <v>21</v>
      </c>
      <c r="AB13" s="48">
        <f>VLOOKUP(A13,二级筛选!A:BF,56,0)</f>
        <v>1</v>
      </c>
      <c r="AC13" s="66">
        <v>21</v>
      </c>
      <c r="AD13" s="48">
        <f>VLOOKUP(A13,二级筛选!A:BK,61,0)</f>
        <v>-2.752880921895021</v>
      </c>
      <c r="AE13" s="66">
        <v>75</v>
      </c>
      <c r="AF13">
        <f>(M13+O13+Q13+S13+U13)+(W13+Y13+AA13+AC13+AE13)*2</f>
        <v>684</v>
      </c>
      <c r="AG13" s="69">
        <f>(W13+Y13+AE13+U13)+(M13+O13+S13+AC13)</f>
        <v>436</v>
      </c>
    </row>
    <row r="14" spans="1:33" x14ac:dyDescent="0.35">
      <c r="A14" s="43" t="s">
        <v>381</v>
      </c>
      <c r="B14" s="43" t="s">
        <v>382</v>
      </c>
      <c r="C14" s="44">
        <v>20181012</v>
      </c>
      <c r="D14" s="44" t="str">
        <f>[1]!f_info_regulopenfundornot(A14)</f>
        <v>是</v>
      </c>
      <c r="E14" s="44" t="str">
        <f>[1]!f_dq_status(A14,$E$1)</f>
        <v>暂停申购|暂停赎回</v>
      </c>
      <c r="F14" s="40" t="str">
        <f>[1]!f_info_fundmanager(A14)</f>
        <v>何文忠</v>
      </c>
      <c r="G14" s="44">
        <v>20191230</v>
      </c>
      <c r="H14" s="45">
        <f>[1]!f_netasset_total(A14,$E$1,100000000)</f>
        <v>15.1577244277</v>
      </c>
      <c r="I14" s="45">
        <f>[1]!f_prt_convertiblebondtonav(A14,$E$1)</f>
        <v>0.36143288016319275</v>
      </c>
      <c r="J14" s="45">
        <f>[1]!f_prt_stocktonav(A14,$E$1)+0.5*I14</f>
        <v>0.18071644008159637</v>
      </c>
      <c r="K14" s="46">
        <v>31.512922818882501</v>
      </c>
      <c r="L14" s="59">
        <f>VLOOKUP(A14,二级筛选!A:Q,12,0)/100</f>
        <v>3.8291328734603169E-2</v>
      </c>
      <c r="M14" s="63">
        <v>148</v>
      </c>
      <c r="N14" s="48">
        <f>VLOOKUP(A14,二级筛选!A:U,19,0)</f>
        <v>1.5676862573397439</v>
      </c>
      <c r="O14" s="65">
        <v>29</v>
      </c>
      <c r="P14" s="48">
        <f>VLOOKUP(A14,二级筛选!A:Z,24,0)</f>
        <v>6.0968304529651389</v>
      </c>
      <c r="Q14" s="67">
        <v>23</v>
      </c>
      <c r="R14" s="48">
        <f>VLOOKUP(A14,二级筛选!A:AE,29,0)</f>
        <v>1</v>
      </c>
      <c r="S14" s="67">
        <v>22</v>
      </c>
      <c r="T14" s="50">
        <f>VLOOKUP(A14,二级筛选!A:AJ,34,0)</f>
        <v>-0.62805303558967307</v>
      </c>
      <c r="U14" s="66">
        <v>10</v>
      </c>
      <c r="V14" s="49">
        <f>VLOOKUP(A14,二级筛选!A:AR,39,0)/100</f>
        <v>4.6942114719479511E-2</v>
      </c>
      <c r="W14" s="66">
        <v>143</v>
      </c>
      <c r="X14" s="48">
        <f>VLOOKUP(A14,二级筛选!A:AV,46,0)</f>
        <v>1.7290916648113763</v>
      </c>
      <c r="Y14" s="66">
        <v>19</v>
      </c>
      <c r="Z14" s="48">
        <f>VLOOKUP(A14,二级筛选!A:BA,51,0)</f>
        <v>3.0345725378979154</v>
      </c>
      <c r="AA14" s="66">
        <v>49</v>
      </c>
      <c r="AB14" s="48">
        <f>VLOOKUP(A14,二级筛选!A:BF,56,0)</f>
        <v>1</v>
      </c>
      <c r="AC14" s="66">
        <v>49</v>
      </c>
      <c r="AD14" s="48">
        <f>VLOOKUP(A14,二级筛选!A:BK,61,0)</f>
        <v>-1.546910285822229</v>
      </c>
      <c r="AE14" s="66">
        <v>18</v>
      </c>
      <c r="AF14">
        <f>(M14+O14+Q14+S14+U14)+(W14+Y14+AA14+AC14+AE14)*2</f>
        <v>788</v>
      </c>
      <c r="AG14" s="69">
        <f>(W14+Y14+AE14+U14)+(M14+O14+S14+AC14)</f>
        <v>438</v>
      </c>
    </row>
    <row r="15" spans="1:33" hidden="1" x14ac:dyDescent="0.35">
      <c r="A15" s="43" t="s">
        <v>71</v>
      </c>
      <c r="B15" s="43" t="s">
        <v>72</v>
      </c>
      <c r="C15" s="44">
        <v>20100809</v>
      </c>
      <c r="D15" s="44" t="str">
        <f>[1]!f_info_regulopenfundornot(A15)</f>
        <v>否</v>
      </c>
      <c r="E15" s="44" t="str">
        <f>[1]!f_dq_status(A15,$E$1)</f>
        <v>开放申购|开放赎回</v>
      </c>
      <c r="F15" s="40" t="str">
        <f>[1]!f_info_fundmanager(A15)</f>
        <v>张永志</v>
      </c>
      <c r="G15" s="44">
        <v>20100809</v>
      </c>
      <c r="H15" s="45">
        <f>[1]!f_netasset_total(A15,$E$1,100000000)</f>
        <v>4.3343323219999998</v>
      </c>
      <c r="I15" s="45">
        <f>[1]!f_prt_convertiblebondtonav(A15,$E$1)</f>
        <v>0.11277561634778976</v>
      </c>
      <c r="J15" s="45">
        <f>[1]!f_prt_stocktonav(A15,$E$1)+0.5*I15</f>
        <v>8.1674937270581722</v>
      </c>
      <c r="K15" s="46">
        <v>17.24994634594611</v>
      </c>
      <c r="L15" s="59">
        <f>VLOOKUP(A15,二级筛选!A:Q,12,0)/100</f>
        <v>0.1200948985416732</v>
      </c>
      <c r="M15" s="63">
        <v>19</v>
      </c>
      <c r="N15" s="48">
        <f>VLOOKUP(A15,二级筛选!A:U,19,0)</f>
        <v>1.6622285935860543</v>
      </c>
      <c r="O15" s="65">
        <v>24</v>
      </c>
      <c r="P15" s="48">
        <f>VLOOKUP(A15,二级筛选!A:Z,24,0)</f>
        <v>4.2716107049920593</v>
      </c>
      <c r="Q15" s="67">
        <v>42</v>
      </c>
      <c r="R15" s="48">
        <f>VLOOKUP(A15,二级筛选!A:AE,29,0)</f>
        <v>1</v>
      </c>
      <c r="S15" s="67">
        <v>41</v>
      </c>
      <c r="T15" s="50">
        <f>VLOOKUP(A15,二级筛选!A:AJ,34,0)</f>
        <v>-2.8114663726571134</v>
      </c>
      <c r="U15" s="66">
        <v>85</v>
      </c>
      <c r="V15" s="49">
        <f>VLOOKUP(A15,二级筛选!A:AR,39,0)/100</f>
        <v>0.11446517201454377</v>
      </c>
      <c r="W15" s="66">
        <v>37</v>
      </c>
      <c r="X15" s="48">
        <f>VLOOKUP(A15,二级筛选!A:AV,46,0)</f>
        <v>1.3129167029105169</v>
      </c>
      <c r="Y15" s="66">
        <v>41</v>
      </c>
      <c r="Z15" s="48">
        <f>VLOOKUP(A15,二级筛选!A:BA,51,0)</f>
        <v>2.9260159596217803</v>
      </c>
      <c r="AA15" s="66">
        <v>54</v>
      </c>
      <c r="AB15" s="48">
        <f>VLOOKUP(A15,二级筛选!A:BF,56,0)</f>
        <v>1</v>
      </c>
      <c r="AC15" s="66">
        <v>53</v>
      </c>
      <c r="AD15" s="48">
        <f>VLOOKUP(A15,二级筛选!A:BK,61,0)</f>
        <v>-3.9119804400977927</v>
      </c>
      <c r="AE15" s="66">
        <v>127</v>
      </c>
      <c r="AF15">
        <f>(M15+O15+Q15+S15+U15)+(W15+Y15+AA15+AC15+AE15)*2</f>
        <v>835</v>
      </c>
      <c r="AG15" s="69">
        <f>(W15+Y15+AE15)*2+(M15+O15+S15)</f>
        <v>494</v>
      </c>
    </row>
    <row r="16" spans="1:33" x14ac:dyDescent="0.35">
      <c r="A16" s="43" t="s">
        <v>223</v>
      </c>
      <c r="B16" s="43" t="s">
        <v>224</v>
      </c>
      <c r="C16" s="44">
        <v>20160217</v>
      </c>
      <c r="D16" s="44" t="str">
        <f>[1]!f_info_regulopenfundornot(A16)</f>
        <v>是</v>
      </c>
      <c r="E16" s="44" t="str">
        <f>[1]!f_dq_status(A16,$E$1)</f>
        <v>暂停申购|暂停赎回</v>
      </c>
      <c r="F16" s="40" t="str">
        <f>[1]!f_info_fundmanager(A16)</f>
        <v>吴江宏</v>
      </c>
      <c r="G16" s="44">
        <v>20190828</v>
      </c>
      <c r="H16" s="45">
        <f>[1]!f_netasset_total(A16,$E$1,100000000)</f>
        <v>12.4351602995</v>
      </c>
      <c r="I16" s="45">
        <f>[1]!f_prt_convertiblebondtonav(A16,$E$1)</f>
        <v>11.680988311767578</v>
      </c>
      <c r="J16" s="45">
        <f>[1]!f_prt_stocktonav(A16,$E$1)+0.5*I16</f>
        <v>22.64398193359375</v>
      </c>
      <c r="K16" s="46">
        <v>12.14057530131479</v>
      </c>
      <c r="L16" s="59">
        <f>VLOOKUP(A16,二级筛选!A:Q,12,0)/100</f>
        <v>8.3400179352979276E-2</v>
      </c>
      <c r="M16" s="63">
        <v>51</v>
      </c>
      <c r="N16" s="48">
        <f>VLOOKUP(A16,二级筛选!A:U,19,0)</f>
        <v>1.1320719524451808</v>
      </c>
      <c r="O16" s="65">
        <v>65</v>
      </c>
      <c r="P16" s="48">
        <f>VLOOKUP(A16,二级筛选!A:Z,24,0)</f>
        <v>2.2438619683063576</v>
      </c>
      <c r="Q16" s="67">
        <v>85</v>
      </c>
      <c r="R16" s="48">
        <f>VLOOKUP(A16,二级筛选!A:AE,29,0)</f>
        <v>1</v>
      </c>
      <c r="S16" s="67">
        <v>72</v>
      </c>
      <c r="T16" s="50">
        <f>VLOOKUP(A16,二级筛选!A:AJ,34,0)</f>
        <v>-3.7168141592920181</v>
      </c>
      <c r="U16" s="66">
        <v>116</v>
      </c>
      <c r="V16" s="49">
        <f>VLOOKUP(A16,二级筛选!A:AR,39,0)/100</f>
        <v>9.3489828094964977E-2</v>
      </c>
      <c r="W16" s="66">
        <v>61</v>
      </c>
      <c r="X16" s="48">
        <f>VLOOKUP(A16,二级筛选!A:AV,46,0)</f>
        <v>1.7210182376105223</v>
      </c>
      <c r="Y16" s="66">
        <v>20</v>
      </c>
      <c r="Z16" s="48">
        <f>VLOOKUP(A16,二级筛选!A:BA,51,0)</f>
        <v>4.5130089744024273</v>
      </c>
      <c r="AA16" s="66">
        <v>16</v>
      </c>
      <c r="AB16" s="48">
        <f>VLOOKUP(A16,二级筛选!A:BF,56,0)</f>
        <v>1</v>
      </c>
      <c r="AC16" s="66">
        <v>16</v>
      </c>
      <c r="AD16" s="48">
        <f>VLOOKUP(A16,二级筛选!A:BK,61,0)</f>
        <v>-2.0715630885122285</v>
      </c>
      <c r="AE16" s="66">
        <v>38</v>
      </c>
      <c r="AF16">
        <f>(M16+O16+Q16+S16+U16)+(W16+Y16+AA16+AC16+AE16)*2</f>
        <v>691</v>
      </c>
      <c r="AG16" s="69">
        <f>(W16+Y16+AE16+U16)+(M16+O16+S16+AC16)</f>
        <v>439</v>
      </c>
    </row>
    <row r="17" spans="1:33" x14ac:dyDescent="0.35">
      <c r="A17" s="39" t="s">
        <v>159</v>
      </c>
      <c r="B17" s="39" t="s">
        <v>160</v>
      </c>
      <c r="C17" s="37">
        <v>20141202</v>
      </c>
      <c r="D17" s="37" t="str">
        <f>[1]!f_info_regulopenfundornot(A17)</f>
        <v>否</v>
      </c>
      <c r="E17" s="37" t="str">
        <f>[1]!f_dq_status(A17,$E$1)</f>
        <v>开放申购|开放赎回</v>
      </c>
      <c r="F17" s="40" t="str">
        <f>[1]!f_info_fundmanager(A17)</f>
        <v>黎颖芳</v>
      </c>
      <c r="G17" s="37">
        <v>20141202</v>
      </c>
      <c r="H17" s="41">
        <f>[1]!f_netasset_total(A17,$E$1,100000000)</f>
        <v>28.690333243200001</v>
      </c>
      <c r="I17" s="41">
        <f>[1]!f_prt_convertiblebondtonav(A17,$E$1)</f>
        <v>1.4119445085525513</v>
      </c>
      <c r="J17" s="41">
        <f>[1]!f_prt_stocktonav(A17,$E$1)+0.5*I17</f>
        <v>10.351875841617584</v>
      </c>
      <c r="K17" s="42">
        <v>0</v>
      </c>
      <c r="L17" s="59">
        <f>VLOOKUP(A17,二级筛选!A:Q,12,0)/100</f>
        <v>7.764509595208513E-2</v>
      </c>
      <c r="M17" s="63">
        <v>58</v>
      </c>
      <c r="N17" s="48">
        <f>VLOOKUP(A17,二级筛选!A:U,19,0)</f>
        <v>2.218298498623966</v>
      </c>
      <c r="O17" s="65">
        <v>9</v>
      </c>
      <c r="P17" s="48">
        <f>VLOOKUP(A17,二级筛选!A:Z,24,0)</f>
        <v>5.3464194641293137</v>
      </c>
      <c r="Q17" s="67">
        <v>30</v>
      </c>
      <c r="R17" s="48">
        <f>VLOOKUP(A17,二级筛选!A:AE,29,0)</f>
        <v>1</v>
      </c>
      <c r="S17" s="67">
        <v>29</v>
      </c>
      <c r="T17" s="50">
        <f>VLOOKUP(A17,二级筛选!A:AJ,34,0)</f>
        <v>-1.4522821576763423</v>
      </c>
      <c r="U17" s="66">
        <v>42</v>
      </c>
      <c r="V17" s="49">
        <f>VLOOKUP(A17,二级筛选!A:AR,39,0)/100</f>
        <v>6.3244194547705135E-2</v>
      </c>
      <c r="W17" s="66">
        <v>116</v>
      </c>
      <c r="X17" s="48">
        <f>VLOOKUP(A17,二级筛选!A:AV,46,0)</f>
        <v>1.0245203211936418</v>
      </c>
      <c r="Y17" s="66">
        <v>84</v>
      </c>
      <c r="Z17" s="48">
        <f>VLOOKUP(A17,二级筛选!A:BA,51,0)</f>
        <v>2.8544213139197563</v>
      </c>
      <c r="AA17" s="66">
        <v>58</v>
      </c>
      <c r="AB17" s="48">
        <f>VLOOKUP(A17,二级筛选!A:BF,56,0)</f>
        <v>1</v>
      </c>
      <c r="AC17" s="66">
        <v>56</v>
      </c>
      <c r="AD17" s="48">
        <f>VLOOKUP(A17,二级筛选!A:BK,61,0)</f>
        <v>-2.2156573116691303</v>
      </c>
      <c r="AE17" s="66">
        <v>46</v>
      </c>
      <c r="AF17">
        <f>(M17+O17+Q17+S17+U17)+(W17+Y17+AA17+AC17+AE17)*2</f>
        <v>888</v>
      </c>
      <c r="AG17" s="69">
        <f>(W17+Y17+AE17+U17)+(M17+O17+S17+AC17)</f>
        <v>440</v>
      </c>
    </row>
    <row r="18" spans="1:33" hidden="1" x14ac:dyDescent="0.35">
      <c r="A18" s="43" t="s">
        <v>115</v>
      </c>
      <c r="B18" s="43" t="s">
        <v>116</v>
      </c>
      <c r="C18" s="44">
        <v>20120810</v>
      </c>
      <c r="D18" s="44" t="str">
        <f>[1]!f_info_regulopenfundornot(A18)</f>
        <v>否</v>
      </c>
      <c r="E18" s="44" t="str">
        <f>[1]!f_dq_status(A18,$E$1)</f>
        <v>开放申购|开放赎回</v>
      </c>
      <c r="F18" s="40" t="str">
        <f>[1]!f_info_fundmanager(A18)</f>
        <v>刘洋</v>
      </c>
      <c r="G18" s="44">
        <v>20170713</v>
      </c>
      <c r="H18" s="45">
        <f>[1]!f_netasset_total(A18,$E$1,100000000)</f>
        <v>0.54878157989999998</v>
      </c>
      <c r="I18" s="45">
        <f>[1]!f_prt_convertiblebondtonav(A18,$E$1)</f>
        <v>1.6506804227828979</v>
      </c>
      <c r="J18" s="45">
        <f>[1]!f_prt_stocktonav(A18,$E$1)+0.5*I18</f>
        <v>3.9579610228538513</v>
      </c>
      <c r="K18" s="46">
        <v>0</v>
      </c>
      <c r="L18" s="59">
        <f>VLOOKUP(A18,二级筛选!A:Q,12,0)/100</f>
        <v>5.564111572229713E-2</v>
      </c>
      <c r="M18" s="63">
        <v>101</v>
      </c>
      <c r="N18" s="48">
        <f>VLOOKUP(A18,二级筛选!A:U,19,0)</f>
        <v>1.6850304374257126</v>
      </c>
      <c r="O18" s="65">
        <v>22</v>
      </c>
      <c r="P18" s="48">
        <f>VLOOKUP(A18,二级筛选!A:Z,24,0)</f>
        <v>8.0192758034760772</v>
      </c>
      <c r="Q18" s="67">
        <v>12</v>
      </c>
      <c r="R18" s="48">
        <f>VLOOKUP(A18,二级筛选!A:AE,29,0)</f>
        <v>1</v>
      </c>
      <c r="S18" s="67">
        <v>12</v>
      </c>
      <c r="T18" s="50">
        <f>VLOOKUP(A18,二级筛选!A:AJ,34,0)</f>
        <v>-0.69384215091066748</v>
      </c>
      <c r="U18" s="66">
        <v>12</v>
      </c>
      <c r="V18" s="49">
        <f>VLOOKUP(A18,二级筛选!A:AR,39,0)/100</f>
        <v>5.4888878679122399E-2</v>
      </c>
      <c r="W18" s="66">
        <v>127</v>
      </c>
      <c r="X18" s="48">
        <f>VLOOKUP(A18,二级筛选!A:AV,46,0)</f>
        <v>1.2841432863498801</v>
      </c>
      <c r="Y18" s="66">
        <v>45</v>
      </c>
      <c r="Z18" s="48">
        <f>VLOOKUP(A18,二级筛选!A:BA,51,0)</f>
        <v>3.1862994073230566</v>
      </c>
      <c r="AA18" s="66">
        <v>40</v>
      </c>
      <c r="AB18" s="48">
        <f>VLOOKUP(A18,二级筛选!A:BF,56,0)</f>
        <v>1</v>
      </c>
      <c r="AC18" s="66">
        <v>40</v>
      </c>
      <c r="AD18" s="48">
        <f>VLOOKUP(A18,二级筛选!A:BK,61,0)</f>
        <v>-1.7226528854435823</v>
      </c>
      <c r="AE18" s="66">
        <v>26</v>
      </c>
      <c r="AF18">
        <f>(M18+O18+Q18+S18+U18)+(W18+Y18+AA18+AC18+AE18)*2</f>
        <v>715</v>
      </c>
      <c r="AG18" s="69">
        <f>(W18+Y18+AE18)*2+(M18+O18+S18)</f>
        <v>531</v>
      </c>
    </row>
    <row r="19" spans="1:33" x14ac:dyDescent="0.35">
      <c r="A19" s="39" t="s">
        <v>133</v>
      </c>
      <c r="B19" s="39" t="s">
        <v>134</v>
      </c>
      <c r="C19" s="37">
        <v>20130521</v>
      </c>
      <c r="D19" s="37" t="str">
        <f>[1]!f_info_regulopenfundornot(A19)</f>
        <v>否</v>
      </c>
      <c r="E19" s="37" t="str">
        <f>[1]!f_dq_status(A19,$E$1)</f>
        <v>开放申购|开放赎回</v>
      </c>
      <c r="F19" s="40" t="str">
        <f>[1]!f_info_fundmanager(A19)</f>
        <v>俞晓斌</v>
      </c>
      <c r="G19" s="37">
        <v>20190313</v>
      </c>
      <c r="H19" s="41">
        <f>[1]!f_netasset_total(A19,$E$1,100000000)</f>
        <v>29.453997660999999</v>
      </c>
      <c r="I19" s="41">
        <f>[1]!f_prt_convertiblebondtonav(A19,$E$1)</f>
        <v>5.1316652297973633</v>
      </c>
      <c r="J19" s="41">
        <f>[1]!f_prt_stocktonav(A19,$E$1)+0.5*I19</f>
        <v>17.174639225006104</v>
      </c>
      <c r="K19" s="42">
        <v>3.3910507208415721</v>
      </c>
      <c r="L19" s="59">
        <f>VLOOKUP(A19,二级筛选!A:Q,12,0)/100</f>
        <v>6.1927593953091442E-2</v>
      </c>
      <c r="M19" s="63">
        <v>87</v>
      </c>
      <c r="N19" s="48">
        <f>VLOOKUP(A19,二级筛选!A:U,19,0)</f>
        <v>1.1807143033593734</v>
      </c>
      <c r="O19" s="65">
        <v>58</v>
      </c>
      <c r="P19" s="48">
        <f>VLOOKUP(A19,二级筛选!A:Z,24,0)</f>
        <v>3.1557269751929575</v>
      </c>
      <c r="Q19" s="67">
        <v>59</v>
      </c>
      <c r="R19" s="48">
        <f>VLOOKUP(A19,二级筛选!A:AE,29,0)</f>
        <v>1</v>
      </c>
      <c r="S19" s="67">
        <v>54</v>
      </c>
      <c r="T19" s="50">
        <f>VLOOKUP(A19,二级筛选!A:AJ,34,0)</f>
        <v>-1.9623875715453765</v>
      </c>
      <c r="U19" s="66">
        <v>58</v>
      </c>
      <c r="V19" s="49">
        <f>VLOOKUP(A19,二级筛选!A:AR,39,0)/100</f>
        <v>6.3887475682508299E-2</v>
      </c>
      <c r="W19" s="66">
        <v>115</v>
      </c>
      <c r="X19" s="48">
        <f>VLOOKUP(A19,二级筛选!A:AV,46,0)</f>
        <v>1.1303768356847275</v>
      </c>
      <c r="Y19" s="66">
        <v>65</v>
      </c>
      <c r="Z19" s="48">
        <f>VLOOKUP(A19,二级筛选!A:BA,51,0)</f>
        <v>4.2662636539097276</v>
      </c>
      <c r="AA19" s="66">
        <v>18</v>
      </c>
      <c r="AB19" s="48">
        <f>VLOOKUP(A19,二级筛选!A:BF,56,0)</f>
        <v>1</v>
      </c>
      <c r="AC19" s="66">
        <v>18</v>
      </c>
      <c r="AD19" s="48">
        <f>VLOOKUP(A19,二级筛选!A:BK,61,0)</f>
        <v>-1.4975041597337746</v>
      </c>
      <c r="AE19" s="66">
        <v>17</v>
      </c>
      <c r="AF19">
        <f>(M19+O19+Q19+S19+U19)+(W19+Y19+AA19+AC19+AE19)*2</f>
        <v>782</v>
      </c>
      <c r="AG19" s="69">
        <f>(W19+Y19+AE19+U19)+(M19+O19+S19+AC19)</f>
        <v>472</v>
      </c>
    </row>
    <row r="20" spans="1:33" x14ac:dyDescent="0.35">
      <c r="A20" s="39" t="s">
        <v>345</v>
      </c>
      <c r="B20" s="39" t="s">
        <v>346</v>
      </c>
      <c r="C20" s="37">
        <v>20130605</v>
      </c>
      <c r="D20" s="37" t="str">
        <f>[1]!f_info_regulopenfundornot(A20)</f>
        <v>否</v>
      </c>
      <c r="E20" s="37" t="str">
        <f>[1]!f_dq_status(A20,$E$1)</f>
        <v>暂停大额申购|开放赎回</v>
      </c>
      <c r="F20" s="40" t="str">
        <f>[1]!f_info_fundmanager(A20)</f>
        <v>张芊</v>
      </c>
      <c r="G20" s="37">
        <v>20130712</v>
      </c>
      <c r="H20" s="41">
        <f>[1]!f_netasset_total(A20,$E$1,100000000)</f>
        <v>173.75107717900002</v>
      </c>
      <c r="I20" s="41">
        <f>[1]!f_prt_convertiblebondtonav(A20,$E$1)</f>
        <v>19.110431671142578</v>
      </c>
      <c r="J20" s="41">
        <f>[1]!f_prt_stocktonav(A20,$E$1)+0.5*I20</f>
        <v>29.580024719238281</v>
      </c>
      <c r="K20" s="42">
        <v>1.753197763983803</v>
      </c>
      <c r="L20" s="59">
        <f>VLOOKUP(A20,二级筛选!A:Q,12,0)/100</f>
        <v>8.3609184706001857E-2</v>
      </c>
      <c r="M20" s="63">
        <v>50</v>
      </c>
      <c r="N20" s="48">
        <f>VLOOKUP(A20,二级筛选!A:U,19,0)</f>
        <v>0.94651128833876352</v>
      </c>
      <c r="O20" s="65">
        <v>79</v>
      </c>
      <c r="P20" s="48">
        <f>VLOOKUP(A20,二级筛选!A:Z,24,0)</f>
        <v>2.3669000106771825</v>
      </c>
      <c r="Q20" s="67">
        <v>76</v>
      </c>
      <c r="R20" s="48">
        <f>VLOOKUP(A20,二级筛选!A:AE,29,0)</f>
        <v>1</v>
      </c>
      <c r="S20" s="67">
        <v>67</v>
      </c>
      <c r="T20" s="50">
        <f>VLOOKUP(A20,二级筛选!A:AJ,34,0)</f>
        <v>-3.5324341682723146</v>
      </c>
      <c r="U20" s="66">
        <v>113</v>
      </c>
      <c r="V20" s="49">
        <f>VLOOKUP(A20,二级筛选!A:AR,39,0)/100</f>
        <v>0.19434215771872901</v>
      </c>
      <c r="W20" s="66">
        <v>5</v>
      </c>
      <c r="X20" s="48">
        <f>VLOOKUP(A20,二级筛选!A:AV,46,0)</f>
        <v>2.0421747821578164</v>
      </c>
      <c r="Y20" s="66">
        <v>8</v>
      </c>
      <c r="Z20" s="48">
        <f>VLOOKUP(A20,二级筛选!A:BA,51,0)</f>
        <v>4.5488211291040086</v>
      </c>
      <c r="AA20" s="66">
        <v>15</v>
      </c>
      <c r="AB20" s="48">
        <f>VLOOKUP(A20,二级筛选!A:BF,56,0)</f>
        <v>1</v>
      </c>
      <c r="AC20" s="66">
        <v>15</v>
      </c>
      <c r="AD20" s="48">
        <f>VLOOKUP(A20,二级筛选!A:BK,61,0)</f>
        <v>-4.2723631508678164</v>
      </c>
      <c r="AE20" s="66">
        <v>140</v>
      </c>
      <c r="AF20">
        <f>(M20+O20+Q20+S20+U20)+(W20+Y20+AA20+AC20+AE20)*2</f>
        <v>751</v>
      </c>
      <c r="AG20" s="69">
        <f>(W20+Y20+AE20+U20)+(M20+O20+S20+AC20)</f>
        <v>477</v>
      </c>
    </row>
    <row r="21" spans="1:33" x14ac:dyDescent="0.35">
      <c r="A21" s="39" t="s">
        <v>217</v>
      </c>
      <c r="B21" s="39" t="s">
        <v>218</v>
      </c>
      <c r="C21" s="37">
        <v>20050919</v>
      </c>
      <c r="D21" s="37" t="str">
        <f>[1]!f_info_regulopenfundornot(A21)</f>
        <v>否</v>
      </c>
      <c r="E21" s="37" t="str">
        <f>[1]!f_dq_status(A21,$E$1)</f>
        <v>开放申购|开放赎回</v>
      </c>
      <c r="F21" s="40" t="str">
        <f>[1]!f_info_fundmanager(A21)</f>
        <v>胡剑</v>
      </c>
      <c r="G21" s="37">
        <v>20120229</v>
      </c>
      <c r="H21" s="41">
        <f>[1]!f_netasset_total(A21,$E$1,100000000)</f>
        <v>432.01732996319998</v>
      </c>
      <c r="I21" s="41">
        <f>[1]!f_prt_convertiblebondtonav(A21,$E$1)</f>
        <v>6.5069394111633301</v>
      </c>
      <c r="J21" s="41">
        <f>[1]!f_prt_stocktonav(A21,$E$1)+0.5*I21</f>
        <v>14.902575731277466</v>
      </c>
      <c r="K21" s="42">
        <v>2.7553454860280642</v>
      </c>
      <c r="L21" s="59">
        <f>VLOOKUP(A21,二级筛选!A:Q,12,0)/100</f>
        <v>9.706983481226894E-2</v>
      </c>
      <c r="M21" s="63">
        <v>34</v>
      </c>
      <c r="N21" s="48">
        <f>VLOOKUP(A21,二级筛选!A:U,19,0)</f>
        <v>1.9323083343840532</v>
      </c>
      <c r="O21" s="65">
        <v>16</v>
      </c>
      <c r="P21" s="48">
        <f>VLOOKUP(A21,二级筛选!A:Z,24,0)</f>
        <v>6.7848812373935958</v>
      </c>
      <c r="Q21" s="67">
        <v>19</v>
      </c>
      <c r="R21" s="48">
        <f>VLOOKUP(A21,二级筛选!A:AE,29,0)</f>
        <v>1</v>
      </c>
      <c r="S21" s="67">
        <v>18</v>
      </c>
      <c r="T21" s="50">
        <f>VLOOKUP(A21,二级筛选!A:AJ,34,0)</f>
        <v>-1.4306784660767062</v>
      </c>
      <c r="U21" s="66">
        <v>40</v>
      </c>
      <c r="V21" s="49">
        <f>VLOOKUP(A21,二级筛选!A:AR,39,0)/100</f>
        <v>6.8423408579925349E-2</v>
      </c>
      <c r="W21" s="66">
        <v>108</v>
      </c>
      <c r="X21" s="48">
        <f>VLOOKUP(A21,二级筛选!A:AV,46,0)</f>
        <v>0.80051709979330188</v>
      </c>
      <c r="Y21" s="66">
        <v>110</v>
      </c>
      <c r="Z21" s="48">
        <f>VLOOKUP(A21,二级筛选!A:BA,51,0)</f>
        <v>2.3206504146611415</v>
      </c>
      <c r="AA21" s="66">
        <v>88</v>
      </c>
      <c r="AB21" s="48">
        <f>VLOOKUP(A21,二级筛选!A:BF,56,0)</f>
        <v>1</v>
      </c>
      <c r="AC21" s="66">
        <v>85</v>
      </c>
      <c r="AD21" s="48">
        <f>VLOOKUP(A21,二级筛选!A:BK,61,0)</f>
        <v>-2.9484582489308906</v>
      </c>
      <c r="AE21" s="66">
        <v>85</v>
      </c>
      <c r="AF21">
        <f>(M21+O21+Q21+S21+U21)+(W21+Y21+AA21+AC21+AE21)*2</f>
        <v>1079</v>
      </c>
      <c r="AG21" s="69">
        <f>(W21+Y21+AE21+U21)+(M21+O21+S21+AC21)</f>
        <v>496</v>
      </c>
    </row>
    <row r="22" spans="1:33" hidden="1" x14ac:dyDescent="0.35">
      <c r="A22" s="43" t="s">
        <v>179</v>
      </c>
      <c r="B22" s="43" t="s">
        <v>180</v>
      </c>
      <c r="C22" s="44">
        <v>20141114</v>
      </c>
      <c r="D22" s="44" t="str">
        <f>[1]!f_info_regulopenfundornot(A22)</f>
        <v>否</v>
      </c>
      <c r="E22" s="44" t="str">
        <f>[1]!f_dq_status(A22,$E$1)</f>
        <v>开放申购|开放赎回</v>
      </c>
      <c r="F22" s="40" t="str">
        <f>[1]!f_info_fundmanager(A22)</f>
        <v>何天翔,朱浩然</v>
      </c>
      <c r="G22" s="44">
        <v>20170124</v>
      </c>
      <c r="H22" s="45">
        <f>[1]!f_netasset_total(A22,$E$1,100000000)</f>
        <v>0.17606772760000003</v>
      </c>
      <c r="I22" s="45">
        <f>[1]!f_prt_convertiblebondtonav(A22,$E$1)</f>
        <v>29.06257438659668</v>
      </c>
      <c r="J22" s="45">
        <f>[1]!f_prt_stocktonav(A22,$E$1)+0.5*I22</f>
        <v>26.238442420959473</v>
      </c>
      <c r="K22" s="46">
        <v>0</v>
      </c>
      <c r="L22" s="59">
        <f>VLOOKUP(A22,二级筛选!A:Q,12,0)/100</f>
        <v>0.12189794159772858</v>
      </c>
      <c r="M22" s="63">
        <v>17</v>
      </c>
      <c r="N22" s="48">
        <f>VLOOKUP(A22,二级筛选!A:U,19,0)</f>
        <v>1.2380890573801662</v>
      </c>
      <c r="O22" s="65">
        <v>51</v>
      </c>
      <c r="P22" s="48">
        <f>VLOOKUP(A22,二级筛选!A:Z,24,0)</f>
        <v>2.8458480980700456</v>
      </c>
      <c r="Q22" s="67">
        <v>66</v>
      </c>
      <c r="R22" s="48">
        <f>VLOOKUP(A22,二级筛选!A:AE,29,0)</f>
        <v>0.97478991596638653</v>
      </c>
      <c r="S22" s="67">
        <v>97</v>
      </c>
      <c r="T22" s="50">
        <f>VLOOKUP(A22,二级筛选!A:AJ,34,0)</f>
        <v>-4.2833607907743039</v>
      </c>
      <c r="U22" s="66">
        <v>132</v>
      </c>
      <c r="V22" s="49">
        <f>VLOOKUP(A22,二级筛选!A:AR,39,0)/100</f>
        <v>9.5605562623396492E-2</v>
      </c>
      <c r="W22" s="66">
        <v>59</v>
      </c>
      <c r="X22" s="48">
        <f>VLOOKUP(A22,二级筛选!A:AV,46,0)</f>
        <v>1.1651199885587211</v>
      </c>
      <c r="Y22" s="66">
        <v>56</v>
      </c>
      <c r="Z22" s="48">
        <f>VLOOKUP(A22,二级筛选!A:BA,51,0)</f>
        <v>3.4140438007774252</v>
      </c>
      <c r="AA22" s="66">
        <v>33</v>
      </c>
      <c r="AB22" s="48">
        <f>VLOOKUP(A22,二级筛选!A:BF,56,0)</f>
        <v>1</v>
      </c>
      <c r="AC22" s="66">
        <v>33</v>
      </c>
      <c r="AD22" s="48">
        <f>VLOOKUP(A22,二级筛选!A:BK,61,0)</f>
        <v>-2.8003613369466955</v>
      </c>
      <c r="AE22" s="66">
        <v>81</v>
      </c>
      <c r="AF22">
        <f>(M22+O22+Q22+S22+U22)+(W22+Y22+AA22+AC22+AE22)*2</f>
        <v>887</v>
      </c>
      <c r="AG22" s="69">
        <f>(W22+Y22+AE22)*2+(M22+O22+S22)</f>
        <v>557</v>
      </c>
    </row>
    <row r="23" spans="1:33" x14ac:dyDescent="0.35">
      <c r="A23" s="39" t="s">
        <v>287</v>
      </c>
      <c r="B23" s="39" t="s">
        <v>288</v>
      </c>
      <c r="C23" s="37">
        <v>20080310</v>
      </c>
      <c r="D23" s="37" t="str">
        <f>[1]!f_info_regulopenfundornot(A23)</f>
        <v>否</v>
      </c>
      <c r="E23" s="37" t="str">
        <f>[1]!f_dq_status(A23,$E$1)</f>
        <v>开放申购|开放赎回</v>
      </c>
      <c r="F23" s="40" t="str">
        <f>[1]!f_info_fundmanager(A23)</f>
        <v>何家琪</v>
      </c>
      <c r="G23" s="37">
        <v>20170908</v>
      </c>
      <c r="H23" s="41">
        <f>[1]!f_netasset_total(A23,$E$1,100000000)</f>
        <v>35.695800965499998</v>
      </c>
      <c r="I23" s="41">
        <f>[1]!f_prt_convertiblebondtonav(A23,$E$1)</f>
        <v>2.2299978733062744</v>
      </c>
      <c r="J23" s="41">
        <f>[1]!f_prt_stocktonav(A23,$E$1)+0.5*I23</f>
        <v>8.6122819185256958</v>
      </c>
      <c r="K23" s="42">
        <v>14.97940893711251</v>
      </c>
      <c r="L23" s="59">
        <f>VLOOKUP(A23,二级筛选!A:Q,12,0)/100</f>
        <v>7.0810129338199079E-2</v>
      </c>
      <c r="M23" s="63">
        <v>73</v>
      </c>
      <c r="N23" s="48">
        <f>VLOOKUP(A23,二级筛选!A:U,19,0)</f>
        <v>1.4101522171843883</v>
      </c>
      <c r="O23" s="65">
        <v>33</v>
      </c>
      <c r="P23" s="48">
        <f>VLOOKUP(A23,二级筛选!A:Z,24,0)</f>
        <v>4.2115167401623852</v>
      </c>
      <c r="Q23" s="67">
        <v>43</v>
      </c>
      <c r="R23" s="48">
        <f>VLOOKUP(A23,二级筛选!A:AE,29,0)</f>
        <v>1</v>
      </c>
      <c r="S23" s="67">
        <v>42</v>
      </c>
      <c r="T23" s="50">
        <f>VLOOKUP(A23,二级筛选!A:AJ,34,0)</f>
        <v>-1.6813450760608595</v>
      </c>
      <c r="U23" s="66">
        <v>49</v>
      </c>
      <c r="V23" s="49">
        <f>VLOOKUP(A23,二级筛选!A:AR,39,0)/100</f>
        <v>5.3396878526160041E-2</v>
      </c>
      <c r="W23" s="66">
        <v>132</v>
      </c>
      <c r="X23" s="48">
        <f>VLOOKUP(A23,二级筛选!A:AV,46,0)</f>
        <v>0.75656941049541904</v>
      </c>
      <c r="Y23" s="66">
        <v>114</v>
      </c>
      <c r="Z23" s="48">
        <f>VLOOKUP(A23,二级筛选!A:BA,51,0)</f>
        <v>3.4117795016188674</v>
      </c>
      <c r="AA23" s="66">
        <v>34</v>
      </c>
      <c r="AB23" s="48">
        <f>VLOOKUP(A23,二级筛选!A:BF,56,0)</f>
        <v>1</v>
      </c>
      <c r="AC23" s="66">
        <v>34</v>
      </c>
      <c r="AD23" s="48">
        <f>VLOOKUP(A23,二级筛选!A:BK,61,0)</f>
        <v>-1.565074135090605</v>
      </c>
      <c r="AE23" s="66">
        <v>19</v>
      </c>
      <c r="AF23">
        <f>(M23+O23+Q23+S23+U23)+(W23+Y23+AA23+AC23+AE23)*2</f>
        <v>906</v>
      </c>
      <c r="AG23" s="69">
        <f>(W23+Y23+AE23+U23)+(M23+O23+S23+AC23)</f>
        <v>496</v>
      </c>
    </row>
    <row r="24" spans="1:33" x14ac:dyDescent="0.35">
      <c r="A24" s="39" t="s">
        <v>199</v>
      </c>
      <c r="B24" s="39" t="s">
        <v>200</v>
      </c>
      <c r="C24" s="37">
        <v>20120820</v>
      </c>
      <c r="D24" s="37" t="str">
        <f>[1]!f_info_regulopenfundornot(A24)</f>
        <v>否</v>
      </c>
      <c r="E24" s="37" t="str">
        <f>[1]!f_dq_status(A24,$E$1)</f>
        <v>暂停大额申购|开放赎回</v>
      </c>
      <c r="F24" s="40" t="str">
        <f>[1]!f_info_fundmanager(A24)</f>
        <v>尹晓红,蔡振</v>
      </c>
      <c r="G24" s="37">
        <v>20171230</v>
      </c>
      <c r="H24" s="41">
        <f>[1]!f_netasset_total(A24,$E$1,100000000)</f>
        <v>26.6603018472</v>
      </c>
      <c r="I24" s="41">
        <f>[1]!f_prt_convertiblebondtonav(A24,$E$1)</f>
        <v>4.7040448188781738</v>
      </c>
      <c r="J24" s="41">
        <f>[1]!f_prt_stocktonav(A24,$E$1)+0.5*I24</f>
        <v>22.395654916763306</v>
      </c>
      <c r="K24" s="42">
        <v>17.18885264789786</v>
      </c>
      <c r="L24" s="59">
        <f>VLOOKUP(A24,二级筛选!A:Q,12,0)/100</f>
        <v>8.6357499795974166E-2</v>
      </c>
      <c r="M24" s="63">
        <v>47</v>
      </c>
      <c r="N24" s="48">
        <f>VLOOKUP(A24,二级筛选!A:U,19,0)</f>
        <v>1.406166497954294</v>
      </c>
      <c r="O24" s="65">
        <v>35</v>
      </c>
      <c r="P24" s="48">
        <f>VLOOKUP(A24,二级筛选!A:Z,24,0)</f>
        <v>2.9404501320317937</v>
      </c>
      <c r="Q24" s="67">
        <v>64</v>
      </c>
      <c r="R24" s="48">
        <f>VLOOKUP(A24,二级筛选!A:AE,29,0)</f>
        <v>1</v>
      </c>
      <c r="S24" s="67">
        <v>59</v>
      </c>
      <c r="T24" s="50">
        <f>VLOOKUP(A24,二级筛选!A:AJ,34,0)</f>
        <v>-2.9368802706510388</v>
      </c>
      <c r="U24" s="66">
        <v>91</v>
      </c>
      <c r="V24" s="49">
        <f>VLOOKUP(A24,二级筛选!A:AR,39,0)/100</f>
        <v>8.8638213511255545E-2</v>
      </c>
      <c r="W24" s="66">
        <v>68</v>
      </c>
      <c r="X24" s="48">
        <f>VLOOKUP(A24,二级筛选!A:AV,46,0)</f>
        <v>1.1185800506098253</v>
      </c>
      <c r="Y24" s="66">
        <v>67</v>
      </c>
      <c r="Z24" s="48">
        <f>VLOOKUP(A24,二级筛选!A:BA,51,0)</f>
        <v>3.051580953983891</v>
      </c>
      <c r="AA24" s="66">
        <v>47</v>
      </c>
      <c r="AB24" s="48">
        <f>VLOOKUP(A24,二级筛选!A:BF,56,0)</f>
        <v>1</v>
      </c>
      <c r="AC24" s="66">
        <v>47</v>
      </c>
      <c r="AD24" s="48">
        <f>VLOOKUP(A24,二级筛选!A:BK,61,0)</f>
        <v>-2.9046653144016008</v>
      </c>
      <c r="AE24" s="66">
        <v>84</v>
      </c>
      <c r="AF24">
        <f>(M24+O24+Q24+S24+U24)+(W24+Y24+AA24+AC24+AE24)*2</f>
        <v>922</v>
      </c>
      <c r="AG24" s="69">
        <f>(W24+Y24+AE24+U24)+(M24+O24+S24+AC24)</f>
        <v>498</v>
      </c>
    </row>
    <row r="25" spans="1:33" x14ac:dyDescent="0.35">
      <c r="A25" s="39" t="s">
        <v>67</v>
      </c>
      <c r="B25" s="39" t="s">
        <v>68</v>
      </c>
      <c r="C25" s="37">
        <v>20130918</v>
      </c>
      <c r="D25" s="37" t="str">
        <f>[1]!f_info_regulopenfundornot(A25)</f>
        <v>否</v>
      </c>
      <c r="E25" s="37" t="str">
        <f>[1]!f_dq_status(A25,$E$1)</f>
        <v>暂停大额申购|开放赎回</v>
      </c>
      <c r="F25" s="40" t="str">
        <f>[1]!f_info_fundmanager(A25)</f>
        <v>王石千</v>
      </c>
      <c r="G25" s="37">
        <v>20190724</v>
      </c>
      <c r="H25" s="41">
        <f>[1]!f_netasset_total(A25,$E$1,100000000)</f>
        <v>101.6690244583</v>
      </c>
      <c r="I25" s="41">
        <f>[1]!f_prt_convertiblebondtonav(A25,$E$1)</f>
        <v>2.310142993927002</v>
      </c>
      <c r="J25" s="41">
        <f>[1]!f_prt_stocktonav(A25,$E$1)+0.5*I25</f>
        <v>15.813322305679321</v>
      </c>
      <c r="K25" s="42">
        <v>5.9330263392800351</v>
      </c>
      <c r="L25" s="59">
        <f>VLOOKUP(A25,二级筛选!A:Q,12,0)/100</f>
        <v>7.4188162454104312E-2</v>
      </c>
      <c r="M25" s="63">
        <v>62</v>
      </c>
      <c r="N25" s="48">
        <f>VLOOKUP(A25,二级筛选!A:U,19,0)</f>
        <v>0.94252094221263616</v>
      </c>
      <c r="O25" s="65">
        <v>80</v>
      </c>
      <c r="P25" s="48">
        <f>VLOOKUP(A25,二级筛选!A:Z,24,0)</f>
        <v>2.2370342684713642</v>
      </c>
      <c r="Q25" s="67">
        <v>86</v>
      </c>
      <c r="R25" s="48">
        <f>VLOOKUP(A25,二级筛选!A:AE,29,0)</f>
        <v>1</v>
      </c>
      <c r="S25" s="67">
        <v>73</v>
      </c>
      <c r="T25" s="50">
        <f>VLOOKUP(A25,二级筛选!A:AJ,34,0)</f>
        <v>-3.3163623597415612</v>
      </c>
      <c r="U25" s="66">
        <v>107</v>
      </c>
      <c r="V25" s="49">
        <f>VLOOKUP(A25,二级筛选!A:AR,39,0)/100</f>
        <v>0.11480090374166707</v>
      </c>
      <c r="W25" s="66">
        <v>35</v>
      </c>
      <c r="X25" s="48">
        <f>VLOOKUP(A25,二级筛选!A:AV,46,0)</f>
        <v>1.5438498061604315</v>
      </c>
      <c r="Y25" s="66">
        <v>27</v>
      </c>
      <c r="Z25" s="48">
        <f>VLOOKUP(A25,二级筛选!A:BA,51,0)</f>
        <v>3.5283988607830348</v>
      </c>
      <c r="AA25" s="66">
        <v>29</v>
      </c>
      <c r="AB25" s="48">
        <f>VLOOKUP(A25,二级筛选!A:BF,56,0)</f>
        <v>1</v>
      </c>
      <c r="AC25" s="66">
        <v>29</v>
      </c>
      <c r="AD25" s="48">
        <f>VLOOKUP(A25,二级筛选!A:BK,61,0)</f>
        <v>-3.2536260290082413</v>
      </c>
      <c r="AE25" s="66">
        <v>99</v>
      </c>
      <c r="AF25">
        <f>(M25+O25+Q25+S25+U25)+(W25+Y25+AA25+AC25+AE25)*2</f>
        <v>846</v>
      </c>
      <c r="AG25" s="69">
        <f>(W25+Y25+AE25+U25)+(M25+O25+S25+AC25)</f>
        <v>512</v>
      </c>
    </row>
    <row r="26" spans="1:33" x14ac:dyDescent="0.35">
      <c r="A26" s="39" t="s">
        <v>117</v>
      </c>
      <c r="B26" s="39" t="s">
        <v>118</v>
      </c>
      <c r="C26" s="37">
        <v>20130204</v>
      </c>
      <c r="D26" s="37" t="str">
        <f>[1]!f_info_regulopenfundornot(A26)</f>
        <v>否</v>
      </c>
      <c r="E26" s="37" t="str">
        <f>[1]!f_dq_status(A26,$E$1)</f>
        <v>开放申购|开放赎回</v>
      </c>
      <c r="F26" s="40" t="str">
        <f>[1]!f_info_fundmanager(A26)</f>
        <v>陈玮</v>
      </c>
      <c r="G26" s="37">
        <v>20141231</v>
      </c>
      <c r="H26" s="41">
        <f>[1]!f_netasset_total(A26,$E$1,100000000)</f>
        <v>58.660637906800005</v>
      </c>
      <c r="I26" s="41">
        <f>[1]!f_prt_convertiblebondtonav(A26,$E$1)</f>
        <v>3.3480691909790039</v>
      </c>
      <c r="J26" s="41">
        <f>[1]!f_prt_stocktonav(A26,$E$1)+0.5*I26</f>
        <v>4.5415358543395996</v>
      </c>
      <c r="K26" s="42">
        <v>5.6493248594827259</v>
      </c>
      <c r="L26" s="59">
        <f>VLOOKUP(A26,二级筛选!A:Q,12,0)/100</f>
        <v>5.4263287200938537E-2</v>
      </c>
      <c r="M26" s="63">
        <v>105</v>
      </c>
      <c r="N26" s="48">
        <f>VLOOKUP(A26,二级筛选!A:U,19,0)</f>
        <v>1.6626996950250941</v>
      </c>
      <c r="O26" s="65">
        <v>23</v>
      </c>
      <c r="P26" s="48">
        <f>VLOOKUP(A26,二级筛选!A:Z,24,0)</f>
        <v>7.2550014987654157</v>
      </c>
      <c r="Q26" s="67">
        <v>14</v>
      </c>
      <c r="R26" s="48">
        <f>VLOOKUP(A26,二级筛选!A:AE,29,0)</f>
        <v>1</v>
      </c>
      <c r="S26" s="67">
        <v>14</v>
      </c>
      <c r="T26" s="50">
        <f>VLOOKUP(A26,二级筛选!A:AJ,34,0)</f>
        <v>-0.74794315632012653</v>
      </c>
      <c r="U26" s="66">
        <v>15</v>
      </c>
      <c r="V26" s="49">
        <f>VLOOKUP(A26,二级筛选!A:AR,39,0)/100</f>
        <v>4.0132786311327218E-2</v>
      </c>
      <c r="W26" s="66">
        <v>153</v>
      </c>
      <c r="X26" s="48">
        <f>VLOOKUP(A26,二级筛选!A:AV,46,0)</f>
        <v>0.5046439042898303</v>
      </c>
      <c r="Y26" s="66">
        <v>139</v>
      </c>
      <c r="Z26" s="48">
        <f>VLOOKUP(A26,二级筛选!A:BA,51,0)</f>
        <v>2.8895606144155281</v>
      </c>
      <c r="AA26" s="66">
        <v>55</v>
      </c>
      <c r="AB26" s="48">
        <f>VLOOKUP(A26,二级筛选!A:BF,56,0)</f>
        <v>1</v>
      </c>
      <c r="AC26" s="66">
        <v>54</v>
      </c>
      <c r="AD26" s="48">
        <f>VLOOKUP(A26,二级筛选!A:BK,61,0)</f>
        <v>-1.3888888888889039</v>
      </c>
      <c r="AE26" s="66">
        <v>12</v>
      </c>
      <c r="AF26">
        <f>(M26+O26+Q26+S26+U26)+(W26+Y26+AA26+AC26+AE26)*2</f>
        <v>997</v>
      </c>
      <c r="AG26" s="69">
        <f>(W26+Y26+AE26+U26)+(M26+O26+S26+AC26)</f>
        <v>515</v>
      </c>
    </row>
    <row r="27" spans="1:33" x14ac:dyDescent="0.35">
      <c r="A27" s="39" t="s">
        <v>81</v>
      </c>
      <c r="B27" s="39" t="s">
        <v>82</v>
      </c>
      <c r="C27" s="37">
        <v>20140128</v>
      </c>
      <c r="D27" s="37" t="str">
        <f>[1]!f_info_regulopenfundornot(A27)</f>
        <v>否</v>
      </c>
      <c r="E27" s="37" t="str">
        <f>[1]!f_dq_status(A27,$E$1)</f>
        <v>开放申购|开放赎回</v>
      </c>
      <c r="F27" s="40" t="str">
        <f>[1]!f_info_fundmanager(A27)</f>
        <v>吴江宏</v>
      </c>
      <c r="G27" s="37">
        <v>20180928</v>
      </c>
      <c r="H27" s="41">
        <f>[1]!f_netasset_total(A27,$E$1,100000000)</f>
        <v>229.56350590619999</v>
      </c>
      <c r="I27" s="41">
        <f>[1]!f_prt_convertiblebondtonav(A27,$E$1)</f>
        <v>7.2582106590270996</v>
      </c>
      <c r="J27" s="41">
        <f>[1]!f_prt_stocktonav(A27,$E$1)+0.5*I27</f>
        <v>21.379938840866089</v>
      </c>
      <c r="K27" s="42">
        <v>1.9207059861690829</v>
      </c>
      <c r="L27" s="59">
        <f>VLOOKUP(A27,二级筛选!A:Q,12,0)/100</f>
        <v>7.1077312526490966E-2</v>
      </c>
      <c r="M27" s="63">
        <v>71</v>
      </c>
      <c r="N27" s="48">
        <f>VLOOKUP(A27,二级筛选!A:U,19,0)</f>
        <v>0.86625998911940494</v>
      </c>
      <c r="O27" s="65">
        <v>87</v>
      </c>
      <c r="P27" s="48">
        <f>VLOOKUP(A27,二级筛选!A:Z,24,0)</f>
        <v>1.731777814616029</v>
      </c>
      <c r="Q27" s="67">
        <v>114</v>
      </c>
      <c r="R27" s="48">
        <f>VLOOKUP(A27,二级筛选!A:AE,29,0)</f>
        <v>0.97478991596638653</v>
      </c>
      <c r="S27" s="67">
        <v>98</v>
      </c>
      <c r="T27" s="50">
        <f>VLOOKUP(A27,二级筛选!A:AJ,34,0)</f>
        <v>-4.1042974408498401</v>
      </c>
      <c r="U27" s="66">
        <v>126</v>
      </c>
      <c r="V27" s="49">
        <f>VLOOKUP(A27,二级筛选!A:AR,39,0)/100</f>
        <v>0.11182488613187491</v>
      </c>
      <c r="W27" s="66">
        <v>40</v>
      </c>
      <c r="X27" s="48">
        <f>VLOOKUP(A27,二级筛选!A:AV,46,0)</f>
        <v>1.7522885394423762</v>
      </c>
      <c r="Y27" s="66">
        <v>16</v>
      </c>
      <c r="Z27" s="48">
        <f>VLOOKUP(A27,二级筛选!A:BA,51,0)</f>
        <v>4.4389617842783347</v>
      </c>
      <c r="AA27" s="66">
        <v>17</v>
      </c>
      <c r="AB27" s="48">
        <f>VLOOKUP(A27,二级筛选!A:BF,56,0)</f>
        <v>1</v>
      </c>
      <c r="AC27" s="66">
        <v>17</v>
      </c>
      <c r="AD27" s="48">
        <f>VLOOKUP(A27,二级筛选!A:BK,61,0)</f>
        <v>-2.5191675794085455</v>
      </c>
      <c r="AE27" s="66">
        <v>63</v>
      </c>
      <c r="AF27">
        <f>(M27+O27+Q27+S27+U27)+(W27+Y27+AA27+AC27+AE27)*2</f>
        <v>802</v>
      </c>
      <c r="AG27" s="69">
        <f>(W27+Y27+AE27+U27)+(M27+O27+S27+AC27)</f>
        <v>518</v>
      </c>
    </row>
    <row r="28" spans="1:33" x14ac:dyDescent="0.35">
      <c r="A28" s="39" t="s">
        <v>29</v>
      </c>
      <c r="B28" s="39" t="s">
        <v>30</v>
      </c>
      <c r="C28" s="37">
        <v>20170323</v>
      </c>
      <c r="D28" s="37" t="str">
        <f>[1]!f_info_regulopenfundornot(A28)</f>
        <v>否</v>
      </c>
      <c r="E28" s="37" t="str">
        <f>[1]!f_dq_status(A28,$E$1)</f>
        <v>开放申购|开放赎回</v>
      </c>
      <c r="F28" s="40" t="str">
        <f>[1]!f_info_fundmanager(A28)</f>
        <v>刘薇,孙蕾</v>
      </c>
      <c r="G28" s="37">
        <v>20210127</v>
      </c>
      <c r="H28" s="41">
        <f>[1]!f_netasset_total(A28,$E$1,100000000)</f>
        <v>10.2021456491</v>
      </c>
      <c r="I28" s="41">
        <f>[1]!f_prt_convertiblebondtonav(A28,$E$1)</f>
        <v>0</v>
      </c>
      <c r="J28" s="41">
        <f>[1]!f_prt_stocktonav(A28,$E$1)+0.5*I28</f>
        <v>0</v>
      </c>
      <c r="K28" s="42">
        <v>0</v>
      </c>
      <c r="L28" s="59">
        <f>VLOOKUP(A28,二级筛选!A:Q,12,0)/100</f>
        <v>4.3062469242046042E-2</v>
      </c>
      <c r="M28" s="63">
        <v>135</v>
      </c>
      <c r="N28" s="48">
        <f>VLOOKUP(A28,二级筛选!A:U,19,0)</f>
        <v>1.2055217097431747</v>
      </c>
      <c r="O28" s="65">
        <v>54</v>
      </c>
      <c r="P28" s="48">
        <f>VLOOKUP(A28,二级筛选!A:Z,24,0)</f>
        <v>9.7716652143325256</v>
      </c>
      <c r="Q28" s="67">
        <v>7</v>
      </c>
      <c r="R28" s="48">
        <f>VLOOKUP(A28,二级筛选!A:AE,29,0)</f>
        <v>1</v>
      </c>
      <c r="S28" s="67">
        <v>7</v>
      </c>
      <c r="T28" s="50">
        <f>VLOOKUP(A28,二级筛选!A:AJ,34,0)</f>
        <v>-0.44068711215038814</v>
      </c>
      <c r="U28" s="66">
        <v>7</v>
      </c>
      <c r="V28" s="49">
        <f>VLOOKUP(A28,二级筛选!A:AR,39,0)/100</f>
        <v>4.4819587297533658E-2</v>
      </c>
      <c r="W28" s="66">
        <v>146</v>
      </c>
      <c r="X28" s="48">
        <f>VLOOKUP(A28,二级筛选!A:AV,46,0)</f>
        <v>0.62120357437685603</v>
      </c>
      <c r="Y28" s="66">
        <v>127</v>
      </c>
      <c r="Z28" s="48">
        <f>VLOOKUP(A28,二级筛选!A:BA,51,0)</f>
        <v>3.1833325984381937</v>
      </c>
      <c r="AA28" s="66">
        <v>41</v>
      </c>
      <c r="AB28" s="48">
        <f>VLOOKUP(A28,二级筛选!A:BF,56,0)</f>
        <v>1</v>
      </c>
      <c r="AC28" s="66">
        <v>41</v>
      </c>
      <c r="AD28" s="48">
        <f>VLOOKUP(A28,二级筛选!A:BK,61,0)</f>
        <v>-1.4079454757420899</v>
      </c>
      <c r="AE28" s="66">
        <v>13</v>
      </c>
      <c r="AF28">
        <f>(M28+O28+Q28+S28+U28)+(W28+Y28+AA28+AC28+AE28)*2</f>
        <v>946</v>
      </c>
      <c r="AG28" s="69">
        <f>(W28+Y28+AE28+U28)+(M28+O28+S28+AC28)</f>
        <v>530</v>
      </c>
    </row>
    <row r="29" spans="1:33" x14ac:dyDescent="0.35">
      <c r="A29" s="43" t="s">
        <v>189</v>
      </c>
      <c r="B29" s="43" t="s">
        <v>190</v>
      </c>
      <c r="C29" s="44">
        <v>20150130</v>
      </c>
      <c r="D29" s="44" t="str">
        <f>[1]!f_info_regulopenfundornot(A29)</f>
        <v>是</v>
      </c>
      <c r="E29" s="44" t="str">
        <f>[1]!f_dq_status(A29,$E$1)</f>
        <v>暂停申购|暂停赎回</v>
      </c>
      <c r="F29" s="40" t="str">
        <f>[1]!f_info_fundmanager(A29)</f>
        <v>李建</v>
      </c>
      <c r="G29" s="44">
        <v>20150130</v>
      </c>
      <c r="H29" s="45">
        <f>[1]!f_netasset_total(A29,$E$1,100000000)</f>
        <v>33.065689739500002</v>
      </c>
      <c r="I29" s="45">
        <f>[1]!f_prt_convertiblebondtonav(A29,$E$1)</f>
        <v>0</v>
      </c>
      <c r="J29" s="45">
        <f>[1]!f_prt_stocktonav(A29,$E$1)+0.5*I29</f>
        <v>15.719645500183105</v>
      </c>
      <c r="K29" s="46">
        <v>13.70916510652696</v>
      </c>
      <c r="L29" s="59">
        <f>VLOOKUP(A29,二级筛选!A:Q,12,0)/100</f>
        <v>7.2829369549785694E-2</v>
      </c>
      <c r="M29" s="63">
        <v>66</v>
      </c>
      <c r="N29" s="48">
        <f>VLOOKUP(A29,二级筛选!A:U,19,0)</f>
        <v>0.43618906431047738</v>
      </c>
      <c r="O29" s="65">
        <v>125</v>
      </c>
      <c r="P29" s="48">
        <f>VLOOKUP(A29,二级筛选!A:Z,24,0)</f>
        <v>2.3458723244457218</v>
      </c>
      <c r="Q29" s="67">
        <v>78</v>
      </c>
      <c r="R29" s="48">
        <f>VLOOKUP(A29,二级筛选!A:AE,29,0)</f>
        <v>1</v>
      </c>
      <c r="S29" s="67">
        <v>69</v>
      </c>
      <c r="T29" s="50">
        <f>VLOOKUP(A29,二级筛选!A:AJ,34,0)</f>
        <v>-3.1045751633987018</v>
      </c>
      <c r="U29" s="66">
        <v>96</v>
      </c>
      <c r="V29" s="49">
        <f>VLOOKUP(A29,二级筛选!A:AR,39,0)/100</f>
        <v>0.10753935677332717</v>
      </c>
      <c r="W29" s="66">
        <v>44</v>
      </c>
      <c r="X29" s="48">
        <f>VLOOKUP(A29,二级筛选!A:AV,46,0)</f>
        <v>0.94968413699155119</v>
      </c>
      <c r="Y29" s="66">
        <v>91</v>
      </c>
      <c r="Z29" s="48">
        <f>VLOOKUP(A29,二级筛选!A:BA,51,0)</f>
        <v>5.6688603784796987</v>
      </c>
      <c r="AA29" s="66">
        <v>9</v>
      </c>
      <c r="AB29" s="48">
        <f>VLOOKUP(A29,二级筛选!A:BF,56,0)</f>
        <v>1</v>
      </c>
      <c r="AC29" s="66">
        <v>9</v>
      </c>
      <c r="AD29" s="48">
        <f>VLOOKUP(A29,二级筛选!A:BK,61,0)</f>
        <v>-1.8970189701896938</v>
      </c>
      <c r="AE29" s="66">
        <v>31</v>
      </c>
      <c r="AF29">
        <f>(M29+O29+Q29+S29+U29)+(W29+Y29+AA29+AC29+AE29)*2</f>
        <v>802</v>
      </c>
      <c r="AG29" s="69">
        <f>(W29+Y29+AE29+U29)+(M29+O29+S29+AC29)</f>
        <v>531</v>
      </c>
    </row>
    <row r="30" spans="1:33" hidden="1" x14ac:dyDescent="0.35">
      <c r="A30" s="43" t="s">
        <v>253</v>
      </c>
      <c r="B30" s="43" t="s">
        <v>254</v>
      </c>
      <c r="C30" s="44">
        <v>20160719</v>
      </c>
      <c r="D30" s="44" t="str">
        <f>[1]!f_info_regulopenfundornot(A30)</f>
        <v>否</v>
      </c>
      <c r="E30" s="44" t="str">
        <f>[1]!f_dq_status(A30,$E$1)</f>
        <v>开放申购|开放赎回</v>
      </c>
      <c r="F30" s="40" t="str">
        <f>[1]!f_info_fundmanager(A30)</f>
        <v>曾健飞,陆琦</v>
      </c>
      <c r="G30" s="44">
        <v>20190809</v>
      </c>
      <c r="H30" s="45">
        <f>[1]!f_netasset_total(A30,$E$1,100000000)</f>
        <v>1.0510670879000001</v>
      </c>
      <c r="I30" s="45">
        <f>[1]!f_prt_convertiblebondtonav(A30,$E$1)</f>
        <v>15.378678321838379</v>
      </c>
      <c r="J30" s="45">
        <f>[1]!f_prt_stocktonav(A30,$E$1)+0.5*I30</f>
        <v>17.265182018280029</v>
      </c>
      <c r="K30" s="46">
        <v>0</v>
      </c>
      <c r="L30" s="59">
        <f>VLOOKUP(A30,二级筛选!A:Q,12,0)/100</f>
        <v>0.1283563687896927</v>
      </c>
      <c r="M30" s="63">
        <v>13</v>
      </c>
      <c r="N30" s="48">
        <f>VLOOKUP(A30,二级筛选!A:U,19,0)</f>
        <v>2.329866457165235</v>
      </c>
      <c r="O30" s="65">
        <v>6</v>
      </c>
      <c r="P30" s="48">
        <f>VLOOKUP(A30,二级筛选!A:Z,24,0)</f>
        <v>5.7347791912823807</v>
      </c>
      <c r="Q30" s="67">
        <v>25</v>
      </c>
      <c r="R30" s="48">
        <f>VLOOKUP(A30,二级筛选!A:AE,29,0)</f>
        <v>1</v>
      </c>
      <c r="S30" s="67">
        <v>24</v>
      </c>
      <c r="T30" s="50">
        <f>VLOOKUP(A30,二级筛选!A:AJ,34,0)</f>
        <v>-2.2382094324540214</v>
      </c>
      <c r="U30" s="66">
        <v>64</v>
      </c>
      <c r="V30" s="49">
        <f>VLOOKUP(A30,二级筛选!A:AR,39,0)/100</f>
        <v>7.8596859414777676E-2</v>
      </c>
      <c r="W30" s="66">
        <v>87</v>
      </c>
      <c r="X30" s="48">
        <f>VLOOKUP(A30,二级筛选!A:AV,46,0)</f>
        <v>1.0563262068016774</v>
      </c>
      <c r="Y30" s="66">
        <v>81</v>
      </c>
      <c r="Z30" s="48">
        <f>VLOOKUP(A30,二级筛选!A:BA,51,0)</f>
        <v>2.2223261999528372</v>
      </c>
      <c r="AA30" s="66">
        <v>95</v>
      </c>
      <c r="AB30" s="48">
        <f>VLOOKUP(A30,二级筛选!A:BF,56,0)</f>
        <v>1</v>
      </c>
      <c r="AC30" s="66">
        <v>91</v>
      </c>
      <c r="AD30" s="48">
        <f>VLOOKUP(A30,二级筛选!A:BK,61,0)</f>
        <v>-3.5366931918656084</v>
      </c>
      <c r="AE30" s="66">
        <v>112</v>
      </c>
      <c r="AF30">
        <f>(M30+O30+Q30+S30+U30)+(W30+Y30+AA30+AC30+AE30)*2</f>
        <v>1064</v>
      </c>
      <c r="AG30" s="69">
        <f>(W30+Y30+AE30)*2+(M30+O30+S30)</f>
        <v>603</v>
      </c>
    </row>
    <row r="31" spans="1:33" hidden="1" x14ac:dyDescent="0.35">
      <c r="A31" s="43" t="s">
        <v>101</v>
      </c>
      <c r="B31" s="43" t="s">
        <v>102</v>
      </c>
      <c r="C31" s="44">
        <v>20110701</v>
      </c>
      <c r="D31" s="44" t="str">
        <f>[1]!f_info_regulopenfundornot(A31)</f>
        <v>否</v>
      </c>
      <c r="E31" s="44" t="str">
        <f>[1]!f_dq_status(A31,$E$1)</f>
        <v>开放申购|开放赎回</v>
      </c>
      <c r="F31" s="40" t="str">
        <f>[1]!f_info_fundmanager(A31)</f>
        <v>史向明,周宇</v>
      </c>
      <c r="G31" s="44">
        <v>20110701</v>
      </c>
      <c r="H31" s="45">
        <f>[1]!f_netasset_total(A31,$E$1,100000000)</f>
        <v>0.94374978840000001</v>
      </c>
      <c r="I31" s="45">
        <f>[1]!f_prt_convertiblebondtonav(A31,$E$1)</f>
        <v>3.1163606643676758</v>
      </c>
      <c r="J31" s="45">
        <f>[1]!f_prt_stocktonav(A31,$E$1)+0.5*I31</f>
        <v>7.2599425315856934</v>
      </c>
      <c r="K31" s="46">
        <v>12.191578892437709</v>
      </c>
      <c r="L31" s="59">
        <f>VLOOKUP(A31,二级筛选!A:Q,12,0)/100</f>
        <v>4.3152676757215236E-2</v>
      </c>
      <c r="M31" s="63">
        <v>134</v>
      </c>
      <c r="N31" s="48">
        <f>VLOOKUP(A31,二级筛选!A:U,19,0)</f>
        <v>0.50954001348093225</v>
      </c>
      <c r="O31" s="65">
        <v>117</v>
      </c>
      <c r="P31" s="48">
        <f>VLOOKUP(A31,二级筛选!A:Z,24,0)</f>
        <v>3.2027031506092407</v>
      </c>
      <c r="Q31" s="67">
        <v>57</v>
      </c>
      <c r="R31" s="48">
        <f>VLOOKUP(A31,二级筛选!A:AE,29,0)</f>
        <v>1</v>
      </c>
      <c r="S31" s="67">
        <v>53</v>
      </c>
      <c r="T31" s="50">
        <f>VLOOKUP(A31,二级筛选!A:AJ,34,0)</f>
        <v>-1.3473829676973474</v>
      </c>
      <c r="U31" s="66">
        <v>37</v>
      </c>
      <c r="V31" s="49">
        <f>VLOOKUP(A31,二级筛选!A:AR,39,0)/100</f>
        <v>9.0655870114215067E-2</v>
      </c>
      <c r="W31" s="66">
        <v>66</v>
      </c>
      <c r="X31" s="48">
        <f>VLOOKUP(A31,二级筛选!A:AV,46,0)</f>
        <v>1.5584272539148365</v>
      </c>
      <c r="Y31" s="66">
        <v>25</v>
      </c>
      <c r="Z31" s="48">
        <f>VLOOKUP(A31,二级筛选!A:BA,51,0)</f>
        <v>3.6358697279623677</v>
      </c>
      <c r="AA31" s="66">
        <v>27</v>
      </c>
      <c r="AB31" s="48">
        <f>VLOOKUP(A31,二级筛选!A:BF,56,0)</f>
        <v>1</v>
      </c>
      <c r="AC31" s="66">
        <v>27</v>
      </c>
      <c r="AD31" s="48">
        <f>VLOOKUP(A31,二级筛选!A:BK,61,0)</f>
        <v>-2.4933750903396881</v>
      </c>
      <c r="AE31" s="66">
        <v>61</v>
      </c>
      <c r="AF31">
        <f>(M31+O31+Q31+S31+U31)+(W31+Y31+AA31+AC31+AE31)*2</f>
        <v>810</v>
      </c>
      <c r="AG31" s="69">
        <f>(W31+Y31+AE31)*2+(M31+O31+S31)</f>
        <v>608</v>
      </c>
    </row>
    <row r="32" spans="1:33" x14ac:dyDescent="0.35">
      <c r="A32" s="43" t="s">
        <v>155</v>
      </c>
      <c r="B32" s="43" t="s">
        <v>156</v>
      </c>
      <c r="C32" s="44">
        <v>20130823</v>
      </c>
      <c r="D32" s="44" t="str">
        <f>[1]!f_info_regulopenfundornot(A32)</f>
        <v>否</v>
      </c>
      <c r="E32" s="44" t="str">
        <f>[1]!f_dq_status(A32,$E$1)</f>
        <v>开放申购|开放赎回</v>
      </c>
      <c r="F32" s="40" t="str">
        <f>[1]!f_info_fundmanager(A32)</f>
        <v>张清华,张雅君</v>
      </c>
      <c r="G32" s="44">
        <v>20140109</v>
      </c>
      <c r="H32" s="45">
        <f>[1]!f_netasset_total(A32,$E$1,100000000)</f>
        <v>512.01381487440005</v>
      </c>
      <c r="I32" s="45">
        <f>[1]!f_prt_convertiblebondtonav(A32,$E$1)</f>
        <v>6.361605167388916</v>
      </c>
      <c r="J32" s="45">
        <f>[1]!f_prt_stocktonav(A32,$E$1)+0.5*I32</f>
        <v>18.640601396560669</v>
      </c>
      <c r="K32" s="46">
        <v>0</v>
      </c>
      <c r="L32" s="59">
        <f>VLOOKUP(A32,二级筛选!A:Q,12,0)/100</f>
        <v>0.10683500928638789</v>
      </c>
      <c r="M32" s="63">
        <v>26</v>
      </c>
      <c r="N32" s="48">
        <f>VLOOKUP(A32,二级筛选!A:U,19,0)</f>
        <v>1.3989439002421853</v>
      </c>
      <c r="O32" s="65">
        <v>36</v>
      </c>
      <c r="P32" s="48">
        <f>VLOOKUP(A32,二级筛选!A:Z,24,0)</f>
        <v>2.4043499984662939</v>
      </c>
      <c r="Q32" s="67">
        <v>75</v>
      </c>
      <c r="R32" s="48">
        <f>VLOOKUP(A32,二级筛选!A:AE,29,0)</f>
        <v>1</v>
      </c>
      <c r="S32" s="67">
        <v>66</v>
      </c>
      <c r="T32" s="50">
        <f>VLOOKUP(A32,二级筛选!A:AJ,34,0)</f>
        <v>-4.4434050514499415</v>
      </c>
      <c r="U32" s="66">
        <v>140</v>
      </c>
      <c r="V32" s="75">
        <f>VLOOKUP(A32,二级筛选!A:AR,39,0)/100</f>
        <v>9.9707247370172988E-2</v>
      </c>
      <c r="W32" s="66">
        <v>52</v>
      </c>
      <c r="X32" s="48">
        <f>VLOOKUP(A32,二级筛选!A:AV,46,0)</f>
        <v>1.3484991114025382</v>
      </c>
      <c r="Y32" s="66">
        <v>39</v>
      </c>
      <c r="Z32" s="48">
        <f>VLOOKUP(A32,二级筛选!A:BA,51,0)</f>
        <v>2.4274879840507482</v>
      </c>
      <c r="AA32" s="66">
        <v>82</v>
      </c>
      <c r="AB32" s="48">
        <f>VLOOKUP(A32,二级筛选!A:BF,56,0)</f>
        <v>1</v>
      </c>
      <c r="AC32" s="66">
        <v>79</v>
      </c>
      <c r="AD32" s="48">
        <f>VLOOKUP(A32,二级筛选!A:BK,61,0)</f>
        <v>-4.1074249605055329</v>
      </c>
      <c r="AE32" s="66">
        <v>133</v>
      </c>
      <c r="AF32">
        <f>(M32+O32+Q32+S32+U32)+(W32+Y32+AA32+AC32+AE32)*2</f>
        <v>1113</v>
      </c>
      <c r="AG32" s="69">
        <f>(W32+Y32+AE32+U32)+(M32+O32+S32+AC32)</f>
        <v>571</v>
      </c>
    </row>
    <row r="33" spans="1:33" x14ac:dyDescent="0.35">
      <c r="A33" s="43" t="s">
        <v>301</v>
      </c>
      <c r="B33" s="43" t="s">
        <v>302</v>
      </c>
      <c r="C33" s="44">
        <v>20161118</v>
      </c>
      <c r="D33" s="44" t="str">
        <f>[1]!f_info_regulopenfundornot(A33)</f>
        <v>否</v>
      </c>
      <c r="E33" s="44" t="str">
        <f>[1]!f_dq_status(A33,$E$1)</f>
        <v>开放申购|开放赎回</v>
      </c>
      <c r="F33" s="40" t="str">
        <f>[1]!f_info_fundmanager(A33)</f>
        <v>何家琪,董阳阳</v>
      </c>
      <c r="G33" s="44">
        <v>20161118</v>
      </c>
      <c r="H33" s="45">
        <f>[1]!f_netasset_total(A33,$E$1,100000000)</f>
        <v>70.804104286599994</v>
      </c>
      <c r="I33" s="45">
        <f>[1]!f_prt_convertiblebondtonav(A33,$E$1)</f>
        <v>18.963212966918945</v>
      </c>
      <c r="J33" s="45">
        <f>[1]!f_prt_stocktonav(A33,$E$1)+0.5*I33</f>
        <v>24.145084381103516</v>
      </c>
      <c r="K33" s="46">
        <v>9.1591724312333813</v>
      </c>
      <c r="L33" s="59">
        <f>VLOOKUP(A33,二级筛选!A:Q,12,0)/100</f>
        <v>9.3091504240469872E-2</v>
      </c>
      <c r="M33" s="63">
        <v>40</v>
      </c>
      <c r="N33" s="48">
        <f>VLOOKUP(A33,二级筛选!A:U,19,0)</f>
        <v>0.84046383017765347</v>
      </c>
      <c r="O33" s="65">
        <v>89</v>
      </c>
      <c r="P33" s="48">
        <f>VLOOKUP(A33,二级筛选!A:Z,24,0)</f>
        <v>2.1441075492805068</v>
      </c>
      <c r="Q33" s="67">
        <v>91</v>
      </c>
      <c r="R33" s="48">
        <f>VLOOKUP(A33,二级筛选!A:AE,29,0)</f>
        <v>0.96638655462184875</v>
      </c>
      <c r="S33" s="67">
        <v>103</v>
      </c>
      <c r="T33" s="50">
        <f>VLOOKUP(A33,二级筛选!A:AJ,34,0)</f>
        <v>-4.3417366946778566</v>
      </c>
      <c r="U33" s="66">
        <v>136</v>
      </c>
      <c r="V33" s="49">
        <f>VLOOKUP(A33,二级筛选!A:AR,39,0)/100</f>
        <v>0.25850047263267362</v>
      </c>
      <c r="W33" s="66">
        <v>1</v>
      </c>
      <c r="X33" s="48">
        <f>VLOOKUP(A33,二级筛选!A:AV,46,0)</f>
        <v>1.6910273765577082</v>
      </c>
      <c r="Y33" s="66">
        <v>21</v>
      </c>
      <c r="Z33" s="48">
        <f>VLOOKUP(A33,二级筛选!A:BA,51,0)</f>
        <v>4.0964273930007602</v>
      </c>
      <c r="AA33" s="66">
        <v>20</v>
      </c>
      <c r="AB33" s="48">
        <f>VLOOKUP(A33,二级筛选!A:BF,56,0)</f>
        <v>1</v>
      </c>
      <c r="AC33" s="66">
        <v>20</v>
      </c>
      <c r="AD33" s="48">
        <f>VLOOKUP(A33,二级筛选!A:BK,61,0)</f>
        <v>-6.3103882440185037</v>
      </c>
      <c r="AE33" s="66">
        <v>172</v>
      </c>
      <c r="AF33">
        <f>(M33+O33+Q33+S33+U33)+(W33+Y33+AA33+AC33+AE33)*2</f>
        <v>927</v>
      </c>
      <c r="AG33" s="69">
        <f>(W33+Y33+AE33+U33)+(M33+O33+S33+AC33)</f>
        <v>582</v>
      </c>
    </row>
    <row r="34" spans="1:33" x14ac:dyDescent="0.35">
      <c r="A34" s="39" t="s">
        <v>97</v>
      </c>
      <c r="B34" s="39" t="s">
        <v>98</v>
      </c>
      <c r="C34" s="37">
        <v>20160715</v>
      </c>
      <c r="D34" s="37" t="str">
        <f>[1]!f_info_regulopenfundornot(A34)</f>
        <v>否</v>
      </c>
      <c r="E34" s="37" t="str">
        <f>[1]!f_dq_status(A34,$E$1)</f>
        <v>开放申购|开放赎回</v>
      </c>
      <c r="F34" s="40" t="str">
        <f>[1]!f_info_fundmanager(A34)</f>
        <v>毛静平</v>
      </c>
      <c r="G34" s="37">
        <v>20180912</v>
      </c>
      <c r="H34" s="41">
        <f>[1]!f_netasset_total(A34,$E$1,100000000)</f>
        <v>81.245127781199997</v>
      </c>
      <c r="I34" s="41">
        <f>[1]!f_prt_convertiblebondtonav(A34,$E$1)</f>
        <v>0</v>
      </c>
      <c r="J34" s="41">
        <f>[1]!f_prt_stocktonav(A34,$E$1)+0.5*I34</f>
        <v>19.548446655273438</v>
      </c>
      <c r="K34" s="42">
        <v>7.8118161338760572</v>
      </c>
      <c r="L34" s="59">
        <f>VLOOKUP(A34,二级筛选!A:Q,12,0)/100</f>
        <v>6.6674265443084746E-2</v>
      </c>
      <c r="M34" s="63">
        <v>80</v>
      </c>
      <c r="N34" s="48">
        <f>VLOOKUP(A34,二级筛选!A:U,19,0)</f>
        <v>0.73210924434566604</v>
      </c>
      <c r="O34" s="65">
        <v>100</v>
      </c>
      <c r="P34" s="48">
        <f>VLOOKUP(A34,二级筛选!A:Z,24,0)</f>
        <v>1.4731238647896652</v>
      </c>
      <c r="Q34" s="67">
        <v>130</v>
      </c>
      <c r="R34" s="48">
        <f>VLOOKUP(A34,二级筛选!A:AE,29,0)</f>
        <v>0.9327731092436975</v>
      </c>
      <c r="S34" s="67">
        <v>121</v>
      </c>
      <c r="T34" s="50">
        <f>VLOOKUP(A34,二级筛选!A:AJ,34,0)</f>
        <v>-4.5260461144321082</v>
      </c>
      <c r="U34" s="66">
        <v>143</v>
      </c>
      <c r="V34" s="49">
        <f>VLOOKUP(A34,二级筛选!A:AR,39,0)/100</f>
        <v>0.12924244509397065</v>
      </c>
      <c r="W34" s="66">
        <v>26</v>
      </c>
      <c r="X34" s="48">
        <f>VLOOKUP(A34,二级筛选!A:AV,46,0)</f>
        <v>2.3076823057837781</v>
      </c>
      <c r="Y34" s="66">
        <v>4</v>
      </c>
      <c r="Z34" s="48">
        <f>VLOOKUP(A34,二级筛选!A:BA,51,0)</f>
        <v>3.984975390397425</v>
      </c>
      <c r="AA34" s="66">
        <v>23</v>
      </c>
      <c r="AB34" s="48">
        <f>VLOOKUP(A34,二级筛选!A:BF,56,0)</f>
        <v>1</v>
      </c>
      <c r="AC34" s="66">
        <v>23</v>
      </c>
      <c r="AD34" s="48">
        <f>VLOOKUP(A34,二级筛选!A:BK,61,0)</f>
        <v>-3.2432432432432461</v>
      </c>
      <c r="AE34" s="66">
        <v>98</v>
      </c>
      <c r="AF34">
        <f>(M34+O34+Q34+S34+U34)+(W34+Y34+AA34+AC34+AE34)*2</f>
        <v>922</v>
      </c>
      <c r="AG34" s="69">
        <f>(W34+Y34+AE34+U34)+(M34+O34+S34+AC34)</f>
        <v>595</v>
      </c>
    </row>
    <row r="35" spans="1:33" x14ac:dyDescent="0.35">
      <c r="A35" s="43" t="s">
        <v>215</v>
      </c>
      <c r="B35" s="43" t="s">
        <v>216</v>
      </c>
      <c r="C35" s="44">
        <v>20160113</v>
      </c>
      <c r="D35" s="44" t="str">
        <f>[1]!f_info_regulopenfundornot(A35)</f>
        <v>否</v>
      </c>
      <c r="E35" s="44" t="str">
        <f>[1]!f_dq_status(A35,$E$1)</f>
        <v>开放申购|开放赎回</v>
      </c>
      <c r="F35" s="40" t="str">
        <f>[1]!f_info_fundmanager(A35)</f>
        <v>张清华,王成,李中阳</v>
      </c>
      <c r="G35" s="44">
        <v>20190219</v>
      </c>
      <c r="H35" s="45">
        <f>[1]!f_netasset_total(A35,$E$1,100000000)</f>
        <v>91.309690923199994</v>
      </c>
      <c r="I35" s="45">
        <f>[1]!f_prt_convertiblebondtonav(A35,$E$1)</f>
        <v>12.009032249450684</v>
      </c>
      <c r="J35" s="45">
        <f>[1]!f_prt_stocktonav(A35,$E$1)+0.5*I35</f>
        <v>22.599681377410889</v>
      </c>
      <c r="K35" s="46">
        <v>5.3288976786621616</v>
      </c>
      <c r="L35" s="59">
        <f>VLOOKUP(A35,二级筛选!A:Q,12,0)/100</f>
        <v>0.11953481151261179</v>
      </c>
      <c r="M35" s="63">
        <v>21</v>
      </c>
      <c r="N35" s="48">
        <f>VLOOKUP(A35,二级筛选!A:U,19,0)</f>
        <v>1.2643245048636358</v>
      </c>
      <c r="O35" s="65">
        <v>49</v>
      </c>
      <c r="P35" s="48">
        <f>VLOOKUP(A35,二级筛选!A:Z,24,0)</f>
        <v>1.875202355604098</v>
      </c>
      <c r="Q35" s="67">
        <v>105</v>
      </c>
      <c r="R35" s="48">
        <f>VLOOKUP(A35,二级筛选!A:AE,29,0)</f>
        <v>1</v>
      </c>
      <c r="S35" s="67">
        <v>83</v>
      </c>
      <c r="T35" s="50">
        <f>VLOOKUP(A35,二级筛选!A:AJ,34,0)</f>
        <v>-6.3745019920318713</v>
      </c>
      <c r="U35" s="66">
        <v>183</v>
      </c>
      <c r="V35" s="49">
        <f>VLOOKUP(A35,二级筛选!A:AR,39,0)/100</f>
        <v>0.18507469279459521</v>
      </c>
      <c r="W35" s="66">
        <v>7</v>
      </c>
      <c r="X35" s="48">
        <f>VLOOKUP(A35,二级筛选!A:AV,46,0)</f>
        <v>1.84641180860534</v>
      </c>
      <c r="Y35" s="66">
        <v>14</v>
      </c>
      <c r="Z35" s="48">
        <f>VLOOKUP(A35,二级筛选!A:BA,51,0)</f>
        <v>2.7648468065710361</v>
      </c>
      <c r="AA35" s="66">
        <v>64</v>
      </c>
      <c r="AB35" s="48">
        <f>VLOOKUP(A35,二级筛选!A:BF,56,0)</f>
        <v>1</v>
      </c>
      <c r="AC35" s="66">
        <v>62</v>
      </c>
      <c r="AD35" s="48">
        <f>VLOOKUP(A35,二级筛选!A:BK,61,0)</f>
        <v>-6.6938498131158628</v>
      </c>
      <c r="AE35" s="66">
        <v>177</v>
      </c>
      <c r="AF35">
        <f>(M35+O35+Q35+S35+U35)+(W35+Y35+AA35+AC35+AE35)*2</f>
        <v>1089</v>
      </c>
      <c r="AG35" s="69">
        <f>(W35+Y35+AE35+U35)+(M35+O35+S35+AC35)</f>
        <v>596</v>
      </c>
    </row>
    <row r="36" spans="1:33" hidden="1" x14ac:dyDescent="0.35">
      <c r="A36" s="43" t="s">
        <v>251</v>
      </c>
      <c r="B36" s="43" t="s">
        <v>252</v>
      </c>
      <c r="C36" s="44">
        <v>20160719</v>
      </c>
      <c r="D36" s="44" t="str">
        <f>[1]!f_info_regulopenfundornot(A36)</f>
        <v>否</v>
      </c>
      <c r="E36" s="44" t="str">
        <f>[1]!f_dq_status(A36,$E$1)</f>
        <v>暂停大额申购|开放赎回</v>
      </c>
      <c r="F36" s="40" t="str">
        <f>[1]!f_info_fundmanager(A36)</f>
        <v>宫志芳,李杰,顾宇笛</v>
      </c>
      <c r="G36" s="44">
        <v>20170818</v>
      </c>
      <c r="H36" s="45">
        <f>[1]!f_netasset_total(A36,$E$1,100000000)</f>
        <v>2.6710377341</v>
      </c>
      <c r="I36" s="45">
        <f>[1]!f_prt_convertiblebondtonav(A36,$E$1)</f>
        <v>12.750796318054199</v>
      </c>
      <c r="J36" s="45">
        <f>[1]!f_prt_stocktonav(A36,$E$1)+0.5*I36</f>
        <v>16.024820804595947</v>
      </c>
      <c r="K36" s="46">
        <v>21.64647068135929</v>
      </c>
      <c r="L36" s="59">
        <f>VLOOKUP(A36,二级筛选!A:Q,12,0)/100</f>
        <v>4.8895525958584596E-2</v>
      </c>
      <c r="M36" s="63">
        <v>112</v>
      </c>
      <c r="N36" s="48">
        <f>VLOOKUP(A36,二级筛选!A:U,19,0)</f>
        <v>0.80156748648569232</v>
      </c>
      <c r="O36" s="65">
        <v>90</v>
      </c>
      <c r="P36" s="48">
        <f>VLOOKUP(A36,二级筛选!A:Z,24,0)</f>
        <v>4.1987654283683797</v>
      </c>
      <c r="Q36" s="67">
        <v>44</v>
      </c>
      <c r="R36" s="48">
        <f>VLOOKUP(A36,二级筛选!A:AE,29,0)</f>
        <v>1</v>
      </c>
      <c r="S36" s="67">
        <v>43</v>
      </c>
      <c r="T36" s="50">
        <f>VLOOKUP(A36,二级筛选!A:AJ,34,0)</f>
        <v>-1.164521495490763</v>
      </c>
      <c r="U36" s="66">
        <v>29</v>
      </c>
      <c r="V36" s="49">
        <f>VLOOKUP(A36,二级筛选!A:AR,39,0)/100</f>
        <v>4.9706895565957199E-2</v>
      </c>
      <c r="W36" s="66">
        <v>138</v>
      </c>
      <c r="X36" s="48">
        <f>VLOOKUP(A36,二级筛选!A:AV,46,0)</f>
        <v>1.2394978711071487</v>
      </c>
      <c r="Y36" s="66">
        <v>50</v>
      </c>
      <c r="Z36" s="48">
        <f>VLOOKUP(A36,二级筛选!A:BA,51,0)</f>
        <v>5.0317971162824131</v>
      </c>
      <c r="AA36" s="66">
        <v>11</v>
      </c>
      <c r="AB36" s="48">
        <f>VLOOKUP(A36,二级筛选!A:BF,56,0)</f>
        <v>1</v>
      </c>
      <c r="AC36" s="66">
        <v>11</v>
      </c>
      <c r="AD36" s="48">
        <f>VLOOKUP(A36,二级筛选!A:BK,61,0)</f>
        <v>-0.98785571868767219</v>
      </c>
      <c r="AE36" s="66">
        <v>4</v>
      </c>
      <c r="AF36">
        <f>(M36+O36+Q36+S36+U36)+(W36+Y36+AA36+AC36+AE36)*2</f>
        <v>746</v>
      </c>
      <c r="AG36" s="69">
        <f>(W36+Y36+AE36)*2+(M36+O36+S36)</f>
        <v>629</v>
      </c>
    </row>
    <row r="37" spans="1:33" x14ac:dyDescent="0.35">
      <c r="A37" s="39" t="s">
        <v>399</v>
      </c>
      <c r="B37" s="39" t="s">
        <v>400</v>
      </c>
      <c r="C37" s="37">
        <v>20101123</v>
      </c>
      <c r="D37" s="37" t="str">
        <f>[1]!f_info_regulopenfundornot(A37)</f>
        <v>否</v>
      </c>
      <c r="E37" s="37" t="str">
        <f>[1]!f_dq_status(A37,$E$1)</f>
        <v>开放申购|开放赎回</v>
      </c>
      <c r="F37" s="40" t="str">
        <f>[1]!f_info_fundmanager(A37)</f>
        <v>陈轶平,江勇</v>
      </c>
      <c r="G37" s="37">
        <v>20151218</v>
      </c>
      <c r="H37" s="41">
        <f>[1]!f_netasset_total(A37,$E$1,100000000)</f>
        <v>16.924338517300001</v>
      </c>
      <c r="I37" s="41">
        <f>[1]!f_prt_convertiblebondtonav(A37,$E$1)</f>
        <v>5.2762289047241211</v>
      </c>
      <c r="J37" s="41">
        <f>[1]!f_prt_stocktonav(A37,$E$1)+0.5*I37</f>
        <v>19.089824199676514</v>
      </c>
      <c r="K37" s="42">
        <v>5.9940304252543326</v>
      </c>
      <c r="L37" s="59">
        <f>VLOOKUP(A37,二级筛选!A:Q,12,0)/100</f>
        <v>8.9952489397759017E-2</v>
      </c>
      <c r="M37" s="63">
        <v>42</v>
      </c>
      <c r="N37" s="48">
        <f>VLOOKUP(A37,二级筛选!A:U,19,0)</f>
        <v>1.3397634910286711</v>
      </c>
      <c r="O37" s="65">
        <v>40</v>
      </c>
      <c r="P37" s="48">
        <f>VLOOKUP(A37,二级筛选!A:Z,24,0)</f>
        <v>3.9237896237298435</v>
      </c>
      <c r="Q37" s="67">
        <v>46</v>
      </c>
      <c r="R37" s="48">
        <f>VLOOKUP(A37,二级筛选!A:AE,29,0)</f>
        <v>1</v>
      </c>
      <c r="S37" s="67">
        <v>45</v>
      </c>
      <c r="T37" s="50">
        <f>VLOOKUP(A37,二级筛选!A:AJ,34,0)</f>
        <v>-2.292490118577069</v>
      </c>
      <c r="U37" s="66">
        <v>67</v>
      </c>
      <c r="V37" s="49">
        <f>VLOOKUP(A37,二级筛选!A:AR,39,0)/100</f>
        <v>6.6031513995498115E-2</v>
      </c>
      <c r="W37" s="66">
        <v>112</v>
      </c>
      <c r="X37" s="48">
        <f>VLOOKUP(A37,二级筛选!A:AV,46,0)</f>
        <v>0.75327289413594212</v>
      </c>
      <c r="Y37" s="66">
        <v>115</v>
      </c>
      <c r="Z37" s="48">
        <f>VLOOKUP(A37,二级筛选!A:BA,51,0)</f>
        <v>2.2111124115063974</v>
      </c>
      <c r="AA37" s="66">
        <v>96</v>
      </c>
      <c r="AB37" s="48">
        <f>VLOOKUP(A37,二级筛选!A:BF,56,0)</f>
        <v>1</v>
      </c>
      <c r="AC37" s="66">
        <v>92</v>
      </c>
      <c r="AD37" s="48">
        <f>VLOOKUP(A37,二级筛选!A:BK,61,0)</f>
        <v>-2.9863481228668896</v>
      </c>
      <c r="AE37" s="66">
        <v>86</v>
      </c>
      <c r="AF37">
        <f>(M37+O37+Q37+S37+U37)+(W37+Y37+AA37+AC37+AE37)*2</f>
        <v>1242</v>
      </c>
      <c r="AG37" s="69">
        <f>(W37+Y37+AE37+U37)+(M37+O37+S37+AC37)</f>
        <v>599</v>
      </c>
    </row>
    <row r="38" spans="1:33" hidden="1" x14ac:dyDescent="0.35">
      <c r="A38" s="43" t="s">
        <v>103</v>
      </c>
      <c r="B38" s="43" t="s">
        <v>104</v>
      </c>
      <c r="C38" s="44">
        <v>20110810</v>
      </c>
      <c r="D38" s="44" t="str">
        <f>[1]!f_info_regulopenfundornot(A38)</f>
        <v>否</v>
      </c>
      <c r="E38" s="44" t="str">
        <f>[1]!f_dq_status(A38,$E$1)</f>
        <v>开放申购|开放赎回</v>
      </c>
      <c r="F38" s="40" t="str">
        <f>[1]!f_info_fundmanager(A38)</f>
        <v>陈圆明,唐瑭</v>
      </c>
      <c r="G38" s="44">
        <v>20191115</v>
      </c>
      <c r="H38" s="45">
        <f>[1]!f_netasset_total(A38,$E$1,100000000)</f>
        <v>5.7242317241999991</v>
      </c>
      <c r="I38" s="45">
        <f>[1]!f_prt_convertiblebondtonav(A38,$E$1)</f>
        <v>14.625189781188965</v>
      </c>
      <c r="J38" s="45">
        <f>[1]!f_prt_stocktonav(A38,$E$1)+0.5*I38</f>
        <v>19.669186115264893</v>
      </c>
      <c r="K38" s="46">
        <v>5.3268283796218023</v>
      </c>
      <c r="L38" s="59">
        <f>VLOOKUP(A38,二级筛选!A:Q,12,0)/100</f>
        <v>4.7274763398497344E-2</v>
      </c>
      <c r="M38" s="63">
        <v>120</v>
      </c>
      <c r="N38" s="48">
        <f>VLOOKUP(A38,二级筛选!A:U,19,0)</f>
        <v>0.98205727550779587</v>
      </c>
      <c r="O38" s="65">
        <v>74</v>
      </c>
      <c r="P38" s="48">
        <f>VLOOKUP(A38,二级筛选!A:Z,24,0)</f>
        <v>6.8275667908213684</v>
      </c>
      <c r="Q38" s="67">
        <v>18</v>
      </c>
      <c r="R38" s="48">
        <f>VLOOKUP(A38,二级筛选!A:AE,29,0)</f>
        <v>1</v>
      </c>
      <c r="S38" s="67">
        <v>17</v>
      </c>
      <c r="T38" s="50">
        <f>VLOOKUP(A38,二级筛选!A:AJ,34,0)</f>
        <v>-0.69241011984022061</v>
      </c>
      <c r="U38" s="66">
        <v>11</v>
      </c>
      <c r="V38" s="49">
        <f>VLOOKUP(A38,二级筛选!A:AR,39,0)/100</f>
        <v>5.8468358099858841E-2</v>
      </c>
      <c r="W38" s="66">
        <v>124</v>
      </c>
      <c r="X38" s="48">
        <f>VLOOKUP(A38,二级筛选!A:AV,46,0)</f>
        <v>1.1386970931104201</v>
      </c>
      <c r="Y38" s="66">
        <v>62</v>
      </c>
      <c r="Z38" s="48">
        <f>VLOOKUP(A38,二级筛选!A:BA,51,0)</f>
        <v>3.324807823694333</v>
      </c>
      <c r="AA38" s="66">
        <v>37</v>
      </c>
      <c r="AB38" s="48">
        <f>VLOOKUP(A38,二级筛选!A:BF,56,0)</f>
        <v>1</v>
      </c>
      <c r="AC38" s="66">
        <v>37</v>
      </c>
      <c r="AD38" s="48">
        <f>VLOOKUP(A38,二级筛选!A:BK,61,0)</f>
        <v>-1.7585484996510927</v>
      </c>
      <c r="AE38" s="66">
        <v>27</v>
      </c>
      <c r="AF38">
        <f>(M38+O38+Q38+S38+U38)+(W38+Y38+AA38+AC38+AE38)*2</f>
        <v>814</v>
      </c>
      <c r="AG38" s="69">
        <f>(W38+Y38+AE38)*2+(M38+O38+S38)</f>
        <v>637</v>
      </c>
    </row>
    <row r="39" spans="1:33" hidden="1" x14ac:dyDescent="0.35">
      <c r="A39" s="43" t="s">
        <v>111</v>
      </c>
      <c r="B39" s="43" t="s">
        <v>112</v>
      </c>
      <c r="C39" s="44">
        <v>20120626</v>
      </c>
      <c r="D39" s="44" t="str">
        <f>[1]!f_info_regulopenfundornot(A39)</f>
        <v>否</v>
      </c>
      <c r="E39" s="44" t="str">
        <f>[1]!f_dq_status(A39,$E$1)</f>
        <v>开放申购|开放赎回</v>
      </c>
      <c r="F39" s="40" t="str">
        <f>[1]!f_info_fundmanager(A39)</f>
        <v>林静,袁朔</v>
      </c>
      <c r="G39" s="44">
        <v>20170330</v>
      </c>
      <c r="H39" s="45">
        <f>[1]!f_netasset_total(A39,$E$1,100000000)</f>
        <v>4.9325756559</v>
      </c>
      <c r="I39" s="45">
        <f>[1]!f_prt_convertiblebondtonav(A39,$E$1)</f>
        <v>27.261501312255859</v>
      </c>
      <c r="J39" s="45">
        <f>[1]!f_prt_stocktonav(A39,$E$1)+0.5*I39</f>
        <v>18.932913780212402</v>
      </c>
      <c r="K39" s="46">
        <v>0</v>
      </c>
      <c r="L39" s="59">
        <f>VLOOKUP(A39,二级筛选!A:Q,12,0)/100</f>
        <v>0.24637853819597555</v>
      </c>
      <c r="M39" s="63">
        <v>1</v>
      </c>
      <c r="N39" s="48">
        <f>VLOOKUP(A39,二级筛选!A:U,19,0)</f>
        <v>1.2213927488634799</v>
      </c>
      <c r="O39" s="65">
        <v>52</v>
      </c>
      <c r="P39" s="48">
        <f>VLOOKUP(A39,二级筛选!A:Z,24,0)</f>
        <v>1.7584450535845515</v>
      </c>
      <c r="Q39" s="67">
        <v>111</v>
      </c>
      <c r="R39" s="48">
        <f>VLOOKUP(A39,二级筛选!A:AE,29,0)</f>
        <v>0.98319327731092432</v>
      </c>
      <c r="S39" s="67">
        <v>96</v>
      </c>
      <c r="T39" s="50">
        <f>VLOOKUP(A39,二级筛选!A:AJ,34,0)</f>
        <v>-14.01115933044017</v>
      </c>
      <c r="U39" s="66">
        <v>196</v>
      </c>
      <c r="V39" s="49">
        <f>VLOOKUP(A39,二级筛选!A:AR,39,0)/100</f>
        <v>0.21313276556033212</v>
      </c>
      <c r="W39" s="66">
        <v>4</v>
      </c>
      <c r="X39" s="48">
        <f>VLOOKUP(A39,二级筛选!A:AV,46,0)</f>
        <v>1.2822304163697573</v>
      </c>
      <c r="Y39" s="66">
        <v>46</v>
      </c>
      <c r="Z39" s="48">
        <f>VLOOKUP(A39,二级筛选!A:BA,51,0)</f>
        <v>1.8323696153207074</v>
      </c>
      <c r="AA39" s="66">
        <v>126</v>
      </c>
      <c r="AB39" s="48">
        <f>VLOOKUP(A39,二级筛选!A:BF,56,0)</f>
        <v>1</v>
      </c>
      <c r="AC39" s="66">
        <v>118</v>
      </c>
      <c r="AD39" s="48">
        <f>VLOOKUP(A39,二级筛选!A:BK,61,0)</f>
        <v>-11.631537861046059</v>
      </c>
      <c r="AE39" s="66">
        <v>194</v>
      </c>
      <c r="AF39">
        <f>(M39+O39+Q39+S39+U39)+(W39+Y39+AA39+AC39+AE39)*2</f>
        <v>1432</v>
      </c>
      <c r="AG39" s="69">
        <f>(W39+Y39+AE39)*2+(M39+O39+S39)</f>
        <v>637</v>
      </c>
    </row>
    <row r="40" spans="1:33" x14ac:dyDescent="0.35">
      <c r="A40" s="39" t="s">
        <v>35</v>
      </c>
      <c r="B40" s="39" t="s">
        <v>36</v>
      </c>
      <c r="C40" s="37">
        <v>20131113</v>
      </c>
      <c r="D40" s="37" t="str">
        <f>[1]!f_info_regulopenfundornot(A40)</f>
        <v>否</v>
      </c>
      <c r="E40" s="37" t="str">
        <f>[1]!f_dq_status(A40,$E$1)</f>
        <v>开放申购|开放赎回</v>
      </c>
      <c r="F40" s="40" t="str">
        <f>[1]!f_info_fundmanager(A40)</f>
        <v>董晗,李怡文</v>
      </c>
      <c r="G40" s="37">
        <v>20201030</v>
      </c>
      <c r="H40" s="41">
        <f>[1]!f_netasset_total(A40,$E$1,100000000)</f>
        <v>206.29594375419998</v>
      </c>
      <c r="I40" s="41">
        <f>[1]!f_prt_convertiblebondtonav(A40,$E$1)</f>
        <v>8.5740022659301758</v>
      </c>
      <c r="J40" s="41">
        <f>[1]!f_prt_stocktonav(A40,$E$1)+0.5*I40</f>
        <v>17.89761209487915</v>
      </c>
      <c r="K40" s="42">
        <v>6.7706081592385337</v>
      </c>
      <c r="L40" s="59">
        <f>VLOOKUP(A40,二级筛选!A:Q,12,0)/100</f>
        <v>0.1204785078111259</v>
      </c>
      <c r="M40" s="63">
        <v>18</v>
      </c>
      <c r="N40" s="48">
        <f>VLOOKUP(A40,二级筛选!A:U,19,0)</f>
        <v>2.545338698436185</v>
      </c>
      <c r="O40" s="65">
        <v>4</v>
      </c>
      <c r="P40" s="48">
        <f>VLOOKUP(A40,二级筛选!A:Z,24,0)</f>
        <v>5.2098814188594682</v>
      </c>
      <c r="Q40" s="67">
        <v>31</v>
      </c>
      <c r="R40" s="48">
        <f>VLOOKUP(A40,二级筛选!A:AE,29,0)</f>
        <v>1</v>
      </c>
      <c r="S40" s="67">
        <v>30</v>
      </c>
      <c r="T40" s="50">
        <f>VLOOKUP(A40,二级筛选!A:AJ,34,0)</f>
        <v>-2.3125000000000133</v>
      </c>
      <c r="U40" s="66">
        <v>68</v>
      </c>
      <c r="V40" s="49">
        <f>VLOOKUP(A40,二级筛选!A:AR,39,0)/100</f>
        <v>5.4766617431179831E-2</v>
      </c>
      <c r="W40" s="66">
        <v>128</v>
      </c>
      <c r="X40" s="48">
        <f>VLOOKUP(A40,二级筛选!A:AV,46,0)</f>
        <v>0.57951945878503242</v>
      </c>
      <c r="Y40" s="66">
        <v>133</v>
      </c>
      <c r="Z40" s="48">
        <f>VLOOKUP(A40,二级筛选!A:BA,51,0)</f>
        <v>1.6309498671005385</v>
      </c>
      <c r="AA40" s="66">
        <v>135</v>
      </c>
      <c r="AB40" s="48">
        <f>VLOOKUP(A40,二级筛选!A:BF,56,0)</f>
        <v>1</v>
      </c>
      <c r="AC40" s="66">
        <v>125</v>
      </c>
      <c r="AD40" s="48">
        <f>VLOOKUP(A40,二级筛选!A:BK,61,0)</f>
        <v>-3.3579583613163133</v>
      </c>
      <c r="AE40" s="66">
        <v>103</v>
      </c>
      <c r="AF40">
        <f>(M40+O40+Q40+S40+U40)+(W40+Y40+AA40+AC40+AE40)*2</f>
        <v>1399</v>
      </c>
      <c r="AG40" s="69">
        <f>(W40+Y40+AE40+U40)+(M40+O40+S40+AC40)</f>
        <v>609</v>
      </c>
    </row>
    <row r="41" spans="1:33" hidden="1" x14ac:dyDescent="0.35">
      <c r="A41" s="43" t="s">
        <v>291</v>
      </c>
      <c r="B41" s="43" t="s">
        <v>292</v>
      </c>
      <c r="C41" s="44">
        <v>20161107</v>
      </c>
      <c r="D41" s="44" t="str">
        <f>[1]!f_info_regulopenfundornot(A41)</f>
        <v>否</v>
      </c>
      <c r="E41" s="44" t="str">
        <f>[1]!f_dq_status(A41,$E$1)</f>
        <v>暂停大额申购|开放赎回</v>
      </c>
      <c r="F41" s="40" t="str">
        <f>[1]!f_info_fundmanager(A41)</f>
        <v>张弘弢</v>
      </c>
      <c r="G41" s="44">
        <v>20161229</v>
      </c>
      <c r="H41" s="45">
        <f>[1]!f_netasset_total(A41,$E$1,100000000)</f>
        <v>1.2872286371999999</v>
      </c>
      <c r="I41" s="45">
        <f>[1]!f_prt_convertiblebondtonav(A41,$E$1)</f>
        <v>7.6729164123535156</v>
      </c>
      <c r="J41" s="45">
        <f>[1]!f_prt_stocktonav(A41,$E$1)+0.5*I41</f>
        <v>14.564215660095215</v>
      </c>
      <c r="K41" s="46">
        <v>31.452842820579221</v>
      </c>
      <c r="L41" s="59">
        <f>VLOOKUP(A41,二级筛选!A:Q,12,0)/100</f>
        <v>8.5280173381703683E-2</v>
      </c>
      <c r="M41" s="63">
        <v>48</v>
      </c>
      <c r="N41" s="48">
        <f>VLOOKUP(A41,二级筛选!A:U,19,0)</f>
        <v>1.2813434680280118</v>
      </c>
      <c r="O41" s="65">
        <v>48</v>
      </c>
      <c r="P41" s="48">
        <f>VLOOKUP(A41,二级筛选!A:Z,24,0)</f>
        <v>2.6505767019747792</v>
      </c>
      <c r="Q41" s="67">
        <v>68</v>
      </c>
      <c r="R41" s="48">
        <f>VLOOKUP(A41,二级筛选!A:AE,29,0)</f>
        <v>1</v>
      </c>
      <c r="S41" s="67">
        <v>61</v>
      </c>
      <c r="T41" s="50">
        <f>VLOOKUP(A41,二级筛选!A:AJ,34,0)</f>
        <v>-3.2174195645108759</v>
      </c>
      <c r="U41" s="66">
        <v>98</v>
      </c>
      <c r="V41" s="49">
        <f>VLOOKUP(A41,二级筛选!A:AR,39,0)/100</f>
        <v>9.6278674265592765E-2</v>
      </c>
      <c r="W41" s="66">
        <v>56</v>
      </c>
      <c r="X41" s="48">
        <f>VLOOKUP(A41,二级筛选!A:AV,46,0)</f>
        <v>1.1742731027581548</v>
      </c>
      <c r="Y41" s="66">
        <v>55</v>
      </c>
      <c r="Z41" s="48">
        <f>VLOOKUP(A41,二级筛选!A:BA,51,0)</f>
        <v>2.3283051312823915</v>
      </c>
      <c r="AA41" s="66">
        <v>86</v>
      </c>
      <c r="AB41" s="48">
        <f>VLOOKUP(A41,二级筛选!A:BF,56,0)</f>
        <v>1</v>
      </c>
      <c r="AC41" s="66">
        <v>83</v>
      </c>
      <c r="AD41" s="48">
        <f>VLOOKUP(A41,二级筛选!A:BK,61,0)</f>
        <v>-4.1351398909027051</v>
      </c>
      <c r="AE41" s="66">
        <v>134</v>
      </c>
      <c r="AF41">
        <f>(M41+O41+Q41+S41+U41)+(W41+Y41+AA41+AC41+AE41)*2</f>
        <v>1151</v>
      </c>
      <c r="AG41" s="69">
        <f>(W41+Y41+AE41)*2+(M41+O41+S41)</f>
        <v>647</v>
      </c>
    </row>
    <row r="42" spans="1:33" x14ac:dyDescent="0.35">
      <c r="A42" s="39" t="s">
        <v>207</v>
      </c>
      <c r="B42" s="39" t="s">
        <v>208</v>
      </c>
      <c r="C42" s="37">
        <v>20170905</v>
      </c>
      <c r="D42" s="37" t="str">
        <f>[1]!f_info_regulopenfundornot(A42)</f>
        <v>否</v>
      </c>
      <c r="E42" s="37" t="str">
        <f>[1]!f_dq_status(A42,$E$1)</f>
        <v>开放申购|开放赎回</v>
      </c>
      <c r="F42" s="40" t="str">
        <f>[1]!f_info_fundmanager(A42)</f>
        <v>陈斯扬</v>
      </c>
      <c r="G42" s="37">
        <v>20180319</v>
      </c>
      <c r="H42" s="41">
        <f>[1]!f_netasset_total(A42,$E$1,100000000)</f>
        <v>13.431332446400001</v>
      </c>
      <c r="I42" s="41">
        <f>[1]!f_prt_convertiblebondtonav(A42,$E$1)</f>
        <v>25.523900985717773</v>
      </c>
      <c r="J42" s="41">
        <f>[1]!f_prt_stocktonav(A42,$E$1)+0.5*I42</f>
        <v>32.308991432189941</v>
      </c>
      <c r="K42" s="42">
        <v>0</v>
      </c>
      <c r="L42" s="59">
        <f>VLOOKUP(A42,二级筛选!A:Q,12,0)/100</f>
        <v>8.6474659144431421E-2</v>
      </c>
      <c r="M42" s="63">
        <v>46</v>
      </c>
      <c r="N42" s="48">
        <f>VLOOKUP(A42,二级筛选!A:U,19,0)</f>
        <v>1.2030062521777822</v>
      </c>
      <c r="O42" s="65">
        <v>56</v>
      </c>
      <c r="P42" s="48">
        <f>VLOOKUP(A42,二级筛选!A:Z,24,0)</f>
        <v>3.9168713425496846</v>
      </c>
      <c r="Q42" s="67">
        <v>47</v>
      </c>
      <c r="R42" s="48">
        <f>VLOOKUP(A42,二级筛选!A:AE,29,0)</f>
        <v>0.98319327731092432</v>
      </c>
      <c r="S42" s="67">
        <v>95</v>
      </c>
      <c r="T42" s="50">
        <f>VLOOKUP(A42,二级筛选!A:AJ,34,0)</f>
        <v>-2.2077482659448497</v>
      </c>
      <c r="U42" s="66">
        <v>62</v>
      </c>
      <c r="V42" s="49">
        <f>VLOOKUP(A42,二级筛选!A:AR,39,0)/100</f>
        <v>7.3408152306827734E-2</v>
      </c>
      <c r="W42" s="66">
        <v>98</v>
      </c>
      <c r="X42" s="48">
        <f>VLOOKUP(A42,二级筛选!A:AV,46,0)</f>
        <v>0.83418580490348937</v>
      </c>
      <c r="Y42" s="66">
        <v>106</v>
      </c>
      <c r="Z42" s="48">
        <f>VLOOKUP(A42,二级筛选!A:BA,51,0)</f>
        <v>2.6396830540868566</v>
      </c>
      <c r="AA42" s="66">
        <v>72</v>
      </c>
      <c r="AB42" s="48">
        <f>VLOOKUP(A42,二级筛选!A:BF,56,0)</f>
        <v>1</v>
      </c>
      <c r="AC42" s="66">
        <v>70</v>
      </c>
      <c r="AD42" s="48">
        <f>VLOOKUP(A42,二级筛选!A:BK,61,0)</f>
        <v>-2.7809456969909503</v>
      </c>
      <c r="AE42" s="66">
        <v>78</v>
      </c>
      <c r="AF42">
        <f>(M42+O42+Q42+S42+U42)+(W42+Y42+AA42+AC42+AE42)*2</f>
        <v>1154</v>
      </c>
      <c r="AG42" s="69">
        <f>(W42+Y42+AE42+U42)+(M42+O42+S42+AC42)</f>
        <v>611</v>
      </c>
    </row>
    <row r="43" spans="1:33" hidden="1" x14ac:dyDescent="0.35">
      <c r="A43" s="43" t="s">
        <v>45</v>
      </c>
      <c r="B43" s="43" t="s">
        <v>46</v>
      </c>
      <c r="C43" s="44">
        <v>20081024</v>
      </c>
      <c r="D43" s="44" t="str">
        <f>[1]!f_info_regulopenfundornot(A43)</f>
        <v>否</v>
      </c>
      <c r="E43" s="44" t="str">
        <f>[1]!f_dq_status(A43,$E$1)</f>
        <v>开放申购|开放赎回</v>
      </c>
      <c r="F43" s="40" t="str">
        <f>[1]!f_info_fundmanager(A43)</f>
        <v>刘怡敏</v>
      </c>
      <c r="G43" s="44">
        <v>20081024</v>
      </c>
      <c r="H43" s="45">
        <f>[1]!f_netasset_total(A43,$E$1,100000000)</f>
        <v>7.1096605572000007</v>
      </c>
      <c r="I43" s="45">
        <f>[1]!f_prt_convertiblebondtonav(A43,$E$1)</f>
        <v>20.229297637939453</v>
      </c>
      <c r="J43" s="45">
        <f>[1]!f_prt_stocktonav(A43,$E$1)+0.5*I43</f>
        <v>25.067219734191895</v>
      </c>
      <c r="K43" s="46">
        <v>0</v>
      </c>
      <c r="L43" s="59">
        <f>VLOOKUP(A43,二级筛选!A:Q,12,0)/100</f>
        <v>6.6739628055318967E-2</v>
      </c>
      <c r="M43" s="63">
        <v>78</v>
      </c>
      <c r="N43" s="48">
        <f>VLOOKUP(A43,二级筛选!A:U,19,0)</f>
        <v>1.3571267284546475</v>
      </c>
      <c r="O43" s="65">
        <v>39</v>
      </c>
      <c r="P43" s="48">
        <f>VLOOKUP(A43,二级筛选!A:Z,24,0)</f>
        <v>7.1882154752795193</v>
      </c>
      <c r="Q43" s="67">
        <v>15</v>
      </c>
      <c r="R43" s="48">
        <f>VLOOKUP(A43,二级筛选!A:AE,29,0)</f>
        <v>1</v>
      </c>
      <c r="S43" s="67">
        <v>15</v>
      </c>
      <c r="T43" s="50">
        <f>VLOOKUP(A43,二级筛选!A:AJ,34,0)</f>
        <v>-0.92845892398243313</v>
      </c>
      <c r="U43" s="66">
        <v>20</v>
      </c>
      <c r="V43" s="49">
        <f>VLOOKUP(A43,二级筛选!A:AR,39,0)/100</f>
        <v>6.5540137065708937E-2</v>
      </c>
      <c r="W43" s="66">
        <v>114</v>
      </c>
      <c r="X43" s="48">
        <f>VLOOKUP(A43,二级筛选!A:AV,46,0)</f>
        <v>0.97169652093235392</v>
      </c>
      <c r="Y43" s="66">
        <v>89</v>
      </c>
      <c r="Z43" s="48">
        <f>VLOOKUP(A43,二级筛选!A:BA,51,0)</f>
        <v>2.6840556418789014</v>
      </c>
      <c r="AA43" s="66">
        <v>69</v>
      </c>
      <c r="AB43" s="48">
        <f>VLOOKUP(A43,二级筛选!A:BF,56,0)</f>
        <v>1</v>
      </c>
      <c r="AC43" s="66">
        <v>67</v>
      </c>
      <c r="AD43" s="48">
        <f>VLOOKUP(A43,二级筛选!A:BK,61,0)</f>
        <v>-2.4418322795957135</v>
      </c>
      <c r="AE43" s="66">
        <v>58</v>
      </c>
      <c r="AF43">
        <f>(M43+O43+Q43+S43+U43)+(W43+Y43+AA43+AC43+AE43)*2</f>
        <v>961</v>
      </c>
      <c r="AG43" s="69">
        <f>(W43+Y43+AE43)*2+(M43+O43+S43)</f>
        <v>654</v>
      </c>
    </row>
    <row r="44" spans="1:33" hidden="1" x14ac:dyDescent="0.35">
      <c r="A44" s="43" t="s">
        <v>113</v>
      </c>
      <c r="B44" s="43" t="s">
        <v>114</v>
      </c>
      <c r="C44" s="44">
        <v>20120720</v>
      </c>
      <c r="D44" s="44" t="str">
        <f>[1]!f_info_regulopenfundornot(A44)</f>
        <v>否</v>
      </c>
      <c r="E44" s="44" t="str">
        <f>[1]!f_dq_status(A44,$E$1)</f>
        <v>开放申购|开放赎回</v>
      </c>
      <c r="F44" s="40" t="str">
        <f>[1]!f_info_fundmanager(A44)</f>
        <v>滕越</v>
      </c>
      <c r="G44" s="44">
        <v>20170729</v>
      </c>
      <c r="H44" s="45">
        <f>[1]!f_netasset_total(A44,$E$1,100000000)</f>
        <v>1.2254528133</v>
      </c>
      <c r="I44" s="45">
        <f>[1]!f_prt_convertiblebondtonav(A44,$E$1)</f>
        <v>2.3105370998382568</v>
      </c>
      <c r="J44" s="45">
        <f>[1]!f_prt_stocktonav(A44,$E$1)+0.5*I44</f>
        <v>5.2177828550338745</v>
      </c>
      <c r="K44" s="46">
        <v>41.305547998777442</v>
      </c>
      <c r="L44" s="59">
        <f>VLOOKUP(A44,二级筛选!A:Q,12,0)/100</f>
        <v>3.7267911896886385E-2</v>
      </c>
      <c r="M44" s="63">
        <v>153</v>
      </c>
      <c r="N44" s="48">
        <f>VLOOKUP(A44,二级筛选!A:U,19,0)</f>
        <v>0.39512235801541545</v>
      </c>
      <c r="O44" s="65">
        <v>129</v>
      </c>
      <c r="P44" s="48">
        <f>VLOOKUP(A44,二级筛选!A:Z,24,0)</f>
        <v>3.3416894334207856</v>
      </c>
      <c r="Q44" s="67">
        <v>53</v>
      </c>
      <c r="R44" s="48">
        <f>VLOOKUP(A44,二级筛选!A:AE,29,0)</f>
        <v>1</v>
      </c>
      <c r="S44" s="67">
        <v>49</v>
      </c>
      <c r="T44" s="50">
        <f>VLOOKUP(A44,二级筛选!A:AJ,34,0)</f>
        <v>-1.1152416356877413</v>
      </c>
      <c r="U44" s="66">
        <v>27</v>
      </c>
      <c r="V44" s="49">
        <f>VLOOKUP(A44,二级筛选!A:AR,39,0)/100</f>
        <v>6.0784825825484834E-2</v>
      </c>
      <c r="W44" s="66">
        <v>120</v>
      </c>
      <c r="X44" s="48">
        <f>VLOOKUP(A44,二级筛选!A:AV,46,0)</f>
        <v>1.3857075523710924</v>
      </c>
      <c r="Y44" s="66">
        <v>34</v>
      </c>
      <c r="Z44" s="48">
        <f>VLOOKUP(A44,二级筛选!A:BA,51,0)</f>
        <v>5.0170867955571605</v>
      </c>
      <c r="AA44" s="66">
        <v>12</v>
      </c>
      <c r="AB44" s="48">
        <f>VLOOKUP(A44,二级筛选!A:BF,56,0)</f>
        <v>1</v>
      </c>
      <c r="AC44" s="66">
        <v>12</v>
      </c>
      <c r="AD44" s="48">
        <f>VLOOKUP(A44,二级筛选!A:BK,61,0)</f>
        <v>-1.2115561939114214</v>
      </c>
      <c r="AE44" s="66">
        <v>10</v>
      </c>
      <c r="AF44">
        <f>(M44+O44+Q44+S44+U44)+(W44+Y44+AA44+AC44+AE44)*2</f>
        <v>787</v>
      </c>
      <c r="AG44" s="69">
        <f>(W44+Y44+AE44)*2+(M44+O44+S44)</f>
        <v>659</v>
      </c>
    </row>
    <row r="45" spans="1:33" x14ac:dyDescent="0.35">
      <c r="A45" s="39" t="s">
        <v>143</v>
      </c>
      <c r="B45" s="39" t="s">
        <v>144</v>
      </c>
      <c r="C45" s="37">
        <v>20160204</v>
      </c>
      <c r="D45" s="37" t="str">
        <f>[1]!f_info_regulopenfundornot(A45)</f>
        <v>否</v>
      </c>
      <c r="E45" s="37" t="str">
        <f>[1]!f_dq_status(A45,$E$1)</f>
        <v>开放申购|开放赎回</v>
      </c>
      <c r="F45" s="40" t="str">
        <f>[1]!f_info_fundmanager(A45)</f>
        <v>赵晓东</v>
      </c>
      <c r="G45" s="37">
        <v>20160204</v>
      </c>
      <c r="H45" s="41">
        <f>[1]!f_netasset_total(A45,$E$1,100000000)</f>
        <v>26.162112746799998</v>
      </c>
      <c r="I45" s="41">
        <f>[1]!f_prt_convertiblebondtonav(A45,$E$1)</f>
        <v>11.298450469970703</v>
      </c>
      <c r="J45" s="41">
        <f>[1]!f_prt_stocktonav(A45,$E$1)+0.5*I45</f>
        <v>19.695982933044434</v>
      </c>
      <c r="K45" s="42">
        <v>0</v>
      </c>
      <c r="L45" s="59">
        <f>VLOOKUP(A45,二级筛选!A:Q,12,0)/100</f>
        <v>0.1019433103082199</v>
      </c>
      <c r="M45" s="63">
        <v>29</v>
      </c>
      <c r="N45" s="48">
        <f>VLOOKUP(A45,二级筛选!A:U,19,0)</f>
        <v>1.8096609887457349</v>
      </c>
      <c r="O45" s="65">
        <v>18</v>
      </c>
      <c r="P45" s="48">
        <f>VLOOKUP(A45,二级筛选!A:Z,24,0)</f>
        <v>5.6068820669521306</v>
      </c>
      <c r="Q45" s="67">
        <v>28</v>
      </c>
      <c r="R45" s="48">
        <f>VLOOKUP(A45,二级筛选!A:AE,29,0)</f>
        <v>1</v>
      </c>
      <c r="S45" s="67">
        <v>27</v>
      </c>
      <c r="T45" s="50">
        <f>VLOOKUP(A45,二级筛选!A:AJ,34,0)</f>
        <v>-1.8181818181818066</v>
      </c>
      <c r="U45" s="66">
        <v>53</v>
      </c>
      <c r="V45" s="49">
        <f>VLOOKUP(A45,二级筛选!A:AR,39,0)/100</f>
        <v>5.3570746680042802E-2</v>
      </c>
      <c r="W45" s="66">
        <v>130</v>
      </c>
      <c r="X45" s="48">
        <f>VLOOKUP(A45,二级筛选!A:AV,46,0)</f>
        <v>0.53149622623535397</v>
      </c>
      <c r="Y45" s="66">
        <v>136</v>
      </c>
      <c r="Z45" s="48">
        <f>VLOOKUP(A45,二级筛选!A:BA,51,0)</f>
        <v>1.6909125426444216</v>
      </c>
      <c r="AA45" s="66">
        <v>132</v>
      </c>
      <c r="AB45" s="48">
        <f>VLOOKUP(A45,二级筛选!A:BF,56,0)</f>
        <v>1</v>
      </c>
      <c r="AC45" s="66">
        <v>124</v>
      </c>
      <c r="AD45" s="48">
        <f>VLOOKUP(A45,二级筛选!A:BK,61,0)</f>
        <v>-3.1681559707554952</v>
      </c>
      <c r="AE45" s="66">
        <v>96</v>
      </c>
      <c r="AF45">
        <f>(M45+O45+Q45+S45+U45)+(W45+Y45+AA45+AC45+AE45)*2</f>
        <v>1391</v>
      </c>
      <c r="AG45" s="69">
        <f>(W45+Y45+AE45+U45)+(M45+O45+S45+AC45)</f>
        <v>613</v>
      </c>
    </row>
    <row r="46" spans="1:33" x14ac:dyDescent="0.35">
      <c r="A46" s="39" t="s">
        <v>249</v>
      </c>
      <c r="B46" s="39" t="s">
        <v>250</v>
      </c>
      <c r="C46" s="37">
        <v>20130329</v>
      </c>
      <c r="D46" s="37" t="str">
        <f>[1]!f_info_regulopenfundornot(A46)</f>
        <v>否</v>
      </c>
      <c r="E46" s="37" t="str">
        <f>[1]!f_dq_status(A46,$E$1)</f>
        <v>开放申购|开放赎回</v>
      </c>
      <c r="F46" s="40" t="str">
        <f>[1]!f_info_fundmanager(A46)</f>
        <v>何秀红</v>
      </c>
      <c r="G46" s="37">
        <v>20130329</v>
      </c>
      <c r="H46" s="41">
        <f>[1]!f_netasset_total(A46,$E$1,100000000)</f>
        <v>200.61962545419999</v>
      </c>
      <c r="I46" s="41">
        <f>[1]!f_prt_convertiblebondtonav(A46,$E$1)</f>
        <v>14.964287757873535</v>
      </c>
      <c r="J46" s="41">
        <f>[1]!f_prt_stocktonav(A46,$E$1)+0.5*I46</f>
        <v>21.638584613800049</v>
      </c>
      <c r="K46" s="42">
        <v>0</v>
      </c>
      <c r="L46" s="59">
        <f>VLOOKUP(A46,二级筛选!A:Q,12,0)/100</f>
        <v>7.7368244667313624E-2</v>
      </c>
      <c r="M46" s="63">
        <v>59</v>
      </c>
      <c r="N46" s="48">
        <f>VLOOKUP(A46,二级筛选!A:U,19,0)</f>
        <v>1.1102036257268701</v>
      </c>
      <c r="O46" s="65">
        <v>66</v>
      </c>
      <c r="P46" s="48">
        <f>VLOOKUP(A46,二级筛选!A:Z,24,0)</f>
        <v>2.3483537793137512</v>
      </c>
      <c r="Q46" s="67">
        <v>77</v>
      </c>
      <c r="R46" s="48">
        <f>VLOOKUP(A46,二级筛选!A:AE,29,0)</f>
        <v>1</v>
      </c>
      <c r="S46" s="67">
        <v>68</v>
      </c>
      <c r="T46" s="50">
        <f>VLOOKUP(A46,二级筛选!A:AJ,34,0)</f>
        <v>-3.2945736434108577</v>
      </c>
      <c r="U46" s="66">
        <v>105</v>
      </c>
      <c r="V46" s="49">
        <f>VLOOKUP(A46,二级筛选!A:AR,39,0)/100</f>
        <v>7.1521705761472099E-2</v>
      </c>
      <c r="W46" s="66">
        <v>102</v>
      </c>
      <c r="X46" s="48">
        <f>VLOOKUP(A46,二级筛选!A:AV,46,0)</f>
        <v>1.1075025323325938</v>
      </c>
      <c r="Y46" s="66">
        <v>69</v>
      </c>
      <c r="Z46" s="48">
        <f>VLOOKUP(A46,二级筛选!A:BA,51,0)</f>
        <v>2.6096700443698047</v>
      </c>
      <c r="AA46" s="66">
        <v>74</v>
      </c>
      <c r="AB46" s="48">
        <f>VLOOKUP(A46,二级筛选!A:BF,56,0)</f>
        <v>1</v>
      </c>
      <c r="AC46" s="66">
        <v>72</v>
      </c>
      <c r="AD46" s="48">
        <f>VLOOKUP(A46,二级筛选!A:BK,61,0)</f>
        <v>-2.7406417112299533</v>
      </c>
      <c r="AE46" s="66">
        <v>74</v>
      </c>
      <c r="AF46">
        <f>(M46+O46+Q46+S46+U46)+(W46+Y46+AA46+AC46+AE46)*2</f>
        <v>1157</v>
      </c>
      <c r="AG46" s="69">
        <f>(W46+Y46+AE46+U46)+(M46+O46+S46+AC46)</f>
        <v>615</v>
      </c>
    </row>
    <row r="47" spans="1:33" x14ac:dyDescent="0.35">
      <c r="A47" s="43" t="s">
        <v>177</v>
      </c>
      <c r="B47" s="43" t="s">
        <v>178</v>
      </c>
      <c r="C47" s="44">
        <v>20141028</v>
      </c>
      <c r="D47" s="44" t="str">
        <f>[1]!f_info_regulopenfundornot(A47)</f>
        <v>否</v>
      </c>
      <c r="E47" s="44" t="str">
        <f>[1]!f_dq_status(A47,$E$1)</f>
        <v>开放申购|开放赎回</v>
      </c>
      <c r="F47" s="40" t="str">
        <f>[1]!f_info_fundmanager(A47)</f>
        <v>张明凯</v>
      </c>
      <c r="G47" s="44">
        <v>20190319</v>
      </c>
      <c r="H47" s="45">
        <f>[1]!f_netasset_total(A47,$E$1,100000000)</f>
        <v>96.804245157099984</v>
      </c>
      <c r="I47" s="45">
        <f>[1]!f_prt_convertiblebondtonav(A47,$E$1)</f>
        <v>18.775739669799805</v>
      </c>
      <c r="J47" s="45">
        <f>[1]!f_prt_stocktonav(A47,$E$1)+0.5*I47</f>
        <v>26.847392082214355</v>
      </c>
      <c r="K47" s="46">
        <v>0</v>
      </c>
      <c r="L47" s="59">
        <f>VLOOKUP(A47,二级筛选!A:Q,12,0)/100</f>
        <v>0.14040894615161115</v>
      </c>
      <c r="M47" s="63">
        <v>9</v>
      </c>
      <c r="N47" s="48">
        <f>VLOOKUP(A47,二级筛选!A:U,19,0)</f>
        <v>1.2892692103821619</v>
      </c>
      <c r="O47" s="65">
        <v>47</v>
      </c>
      <c r="P47" s="48">
        <f>VLOOKUP(A47,二级筛选!A:Z,24,0)</f>
        <v>3.0017155785384908</v>
      </c>
      <c r="Q47" s="67">
        <v>61</v>
      </c>
      <c r="R47" s="48">
        <f>VLOOKUP(A47,二级筛选!A:AE,29,0)</f>
        <v>1</v>
      </c>
      <c r="S47" s="67">
        <v>56</v>
      </c>
      <c r="T47" s="50">
        <f>VLOOKUP(A47,二级筛选!A:AJ,34,0)</f>
        <v>-4.6776232616940687</v>
      </c>
      <c r="U47" s="66">
        <v>147</v>
      </c>
      <c r="V47" s="49">
        <f>VLOOKUP(A47,二级筛选!A:AR,39,0)/100</f>
        <v>0.17357349365401209</v>
      </c>
      <c r="W47" s="66">
        <v>9</v>
      </c>
      <c r="X47" s="48">
        <f>VLOOKUP(A47,二级筛选!A:AV,46,0)</f>
        <v>1.1561816834421499</v>
      </c>
      <c r="Y47" s="66">
        <v>59</v>
      </c>
      <c r="Z47" s="48">
        <f>VLOOKUP(A47,二级筛选!A:BA,51,0)</f>
        <v>2.018793249268199</v>
      </c>
      <c r="AA47" s="66">
        <v>109</v>
      </c>
      <c r="AB47" s="48">
        <f>VLOOKUP(A47,二级筛选!A:BF,56,0)</f>
        <v>1</v>
      </c>
      <c r="AC47" s="66">
        <v>104</v>
      </c>
      <c r="AD47" s="48">
        <f>VLOOKUP(A47,二级筛选!A:BK,61,0)</f>
        <v>-8.5978835978836106</v>
      </c>
      <c r="AE47" s="66">
        <v>186</v>
      </c>
      <c r="AF47">
        <f>(M47+O47+Q47+S47+U47)+(W47+Y47+AA47+AC47+AE47)*2</f>
        <v>1254</v>
      </c>
      <c r="AG47" s="69">
        <f>(W47+Y47+AE47+U47)+(M47+O47+S47+AC47)</f>
        <v>617</v>
      </c>
    </row>
    <row r="48" spans="1:33" x14ac:dyDescent="0.35">
      <c r="A48" s="43" t="s">
        <v>379</v>
      </c>
      <c r="B48" s="43" t="s">
        <v>380</v>
      </c>
      <c r="C48" s="44">
        <v>20180906</v>
      </c>
      <c r="D48" s="44" t="str">
        <f>[1]!f_info_regulopenfundornot(A48)</f>
        <v>否</v>
      </c>
      <c r="E48" s="44" t="str">
        <f>[1]!f_dq_status(A48,$E$1)</f>
        <v>开放申购|开放赎回</v>
      </c>
      <c r="F48" s="40" t="str">
        <f>[1]!f_info_fundmanager(A48)</f>
        <v>黄波</v>
      </c>
      <c r="G48" s="44">
        <v>20201024</v>
      </c>
      <c r="H48" s="45">
        <f>[1]!f_netasset_total(A48,$E$1,100000000)</f>
        <v>12.936793766500001</v>
      </c>
      <c r="I48" s="45">
        <f>[1]!f_prt_convertiblebondtonav(A48,$E$1)</f>
        <v>9.8399925231933594</v>
      </c>
      <c r="J48" s="45">
        <f>[1]!f_prt_stocktonav(A48,$E$1)+0.5*I48</f>
        <v>22.632352828979492</v>
      </c>
      <c r="K48" s="46">
        <v>16.43676198585089</v>
      </c>
      <c r="L48" s="59">
        <f>VLOOKUP(A48,二级筛选!A:Q,12,0)/100</f>
        <v>2.5913989704599238E-2</v>
      </c>
      <c r="M48" s="63">
        <v>170</v>
      </c>
      <c r="N48" s="48">
        <f>VLOOKUP(A48,二级筛选!A:U,19,0)</f>
        <v>-0.12074533039031035</v>
      </c>
      <c r="O48" s="65">
        <v>171</v>
      </c>
      <c r="P48" s="48">
        <f>VLOOKUP(A48,二级筛选!A:Z,24,0)</f>
        <v>1.0688792832088068</v>
      </c>
      <c r="Q48" s="67">
        <v>154</v>
      </c>
      <c r="R48" s="48">
        <f>VLOOKUP(A48,二级筛选!A:AE,29,0)</f>
        <v>0.94117647058823528</v>
      </c>
      <c r="S48" s="67">
        <v>119</v>
      </c>
      <c r="T48" s="50">
        <f>VLOOKUP(A48,二级筛选!A:AJ,34,0)</f>
        <v>-2.4244075183873606</v>
      </c>
      <c r="U48" s="66">
        <v>74</v>
      </c>
      <c r="V48" s="49">
        <f>VLOOKUP(A48,二级筛选!A:AR,39,0)/100</f>
        <v>0.10361016801383836</v>
      </c>
      <c r="W48" s="66">
        <v>50</v>
      </c>
      <c r="X48" s="48">
        <f>VLOOKUP(A48,二级筛选!A:AV,46,0)</f>
        <v>2.2058571663890452</v>
      </c>
      <c r="Y48" s="66">
        <v>5</v>
      </c>
      <c r="Z48" s="48">
        <f>VLOOKUP(A48,二级筛选!A:BA,51,0)</f>
        <v>6.1927852828378285</v>
      </c>
      <c r="AA48" s="66">
        <v>5</v>
      </c>
      <c r="AB48" s="48">
        <f>VLOOKUP(A48,二级筛选!A:BF,56,0)</f>
        <v>1</v>
      </c>
      <c r="AC48" s="66">
        <v>5</v>
      </c>
      <c r="AD48" s="48">
        <f>VLOOKUP(A48,二级筛选!A:BK,61,0)</f>
        <v>-1.6730786436431924</v>
      </c>
      <c r="AE48" s="66">
        <v>24</v>
      </c>
      <c r="AF48">
        <f>(M48+O48+Q48+S48+U48)+(W48+Y48+AA48+AC48+AE48)*2</f>
        <v>866</v>
      </c>
      <c r="AG48" s="69">
        <f>(W48+Y48+AE48+U48)+(M48+O48+S48+AC48)</f>
        <v>618</v>
      </c>
    </row>
    <row r="49" spans="1:33" hidden="1" x14ac:dyDescent="0.35">
      <c r="A49" s="43" t="s">
        <v>387</v>
      </c>
      <c r="B49" s="43" t="s">
        <v>388</v>
      </c>
      <c r="C49" s="44">
        <v>20190117</v>
      </c>
      <c r="D49" s="44" t="str">
        <f>[1]!f_info_regulopenfundornot(A49)</f>
        <v>是</v>
      </c>
      <c r="E49" s="44" t="str">
        <f>[1]!f_dq_status(A49,$E$1)</f>
        <v>暂停申购|暂停赎回</v>
      </c>
      <c r="F49" s="40" t="str">
        <f>[1]!f_info_fundmanager(A49)</f>
        <v>李博良,陈晨,刘振超</v>
      </c>
      <c r="G49" s="44">
        <v>20190117</v>
      </c>
      <c r="H49" s="45">
        <f>[1]!f_netasset_total(A49,$E$1,100000000)</f>
        <v>6.4494699382000009</v>
      </c>
      <c r="I49" s="45">
        <f>[1]!f_prt_convertiblebondtonav(A49,$E$1)</f>
        <v>14.230898857116699</v>
      </c>
      <c r="J49" s="45">
        <f>[1]!f_prt_stocktonav(A49,$E$1)+0.5*I49</f>
        <v>7.1154494285583496</v>
      </c>
      <c r="K49" s="46">
        <v>0</v>
      </c>
      <c r="L49" s="59">
        <f>VLOOKUP(A49,二级筛选!A:Q,12,0)/100</f>
        <v>4.1554554516346265E-2</v>
      </c>
      <c r="M49" s="63">
        <v>139</v>
      </c>
      <c r="N49" s="48">
        <f>VLOOKUP(A49,二级筛选!A:U,19,0)</f>
        <v>0.27075708518746261</v>
      </c>
      <c r="O49" s="65">
        <v>143</v>
      </c>
      <c r="P49" s="48">
        <f>VLOOKUP(A49,二级筛选!A:Z,24,0)</f>
        <v>1.845669823972782</v>
      </c>
      <c r="Q49" s="67">
        <v>107</v>
      </c>
      <c r="R49" s="48">
        <f>VLOOKUP(A49,二级筛选!A:AE,29,0)</f>
        <v>0.90756302521008403</v>
      </c>
      <c r="S49" s="67">
        <v>129</v>
      </c>
      <c r="T49" s="50">
        <f>VLOOKUP(A49,二级筛选!A:AJ,34,0)</f>
        <v>-2.2514619883040936</v>
      </c>
      <c r="U49" s="66">
        <v>65</v>
      </c>
      <c r="V49" s="49">
        <f>VLOOKUP(A49,二级筛选!A:AR,39,0)/100</f>
        <v>6.0473265239612495E-2</v>
      </c>
      <c r="W49" s="66">
        <v>121</v>
      </c>
      <c r="X49" s="48">
        <f>VLOOKUP(A49,二级筛选!A:AV,46,0)</f>
        <v>1.944470488263462</v>
      </c>
      <c r="Y49" s="66">
        <v>10</v>
      </c>
      <c r="Z49" s="48">
        <f>VLOOKUP(A49,二级筛选!A:BA,51,0)</f>
        <v>19.629243938871763</v>
      </c>
      <c r="AA49" s="66">
        <v>1</v>
      </c>
      <c r="AB49" s="48">
        <f>VLOOKUP(A49,二级筛选!A:BF,56,0)</f>
        <v>1</v>
      </c>
      <c r="AC49" s="66">
        <v>1</v>
      </c>
      <c r="AD49" s="48">
        <f>VLOOKUP(A49,二级筛选!A:BK,61,0)</f>
        <v>-0.3080774044478472</v>
      </c>
      <c r="AE49" s="66">
        <v>2</v>
      </c>
      <c r="AF49">
        <f>(M49+O49+Q49+S49+U49)+(W49+Y49+AA49+AC49+AE49)*2</f>
        <v>853</v>
      </c>
      <c r="AG49" s="69">
        <f>(W49+Y49+AE49)*2+(M49+O49+S49)</f>
        <v>677</v>
      </c>
    </row>
    <row r="50" spans="1:33" hidden="1" x14ac:dyDescent="0.35">
      <c r="A50" s="43" t="s">
        <v>279</v>
      </c>
      <c r="B50" s="43" t="s">
        <v>280</v>
      </c>
      <c r="C50" s="44">
        <v>20161017</v>
      </c>
      <c r="D50" s="44" t="str">
        <f>[1]!f_info_regulopenfundornot(A50)</f>
        <v>否</v>
      </c>
      <c r="E50" s="44" t="str">
        <f>[1]!f_dq_status(A50,$E$1)</f>
        <v>开放申购|开放赎回</v>
      </c>
      <c r="F50" s="40" t="str">
        <f>[1]!f_info_fundmanager(A50)</f>
        <v>漆志伟</v>
      </c>
      <c r="G50" s="44">
        <v>20161017</v>
      </c>
      <c r="H50" s="45">
        <f>[1]!f_netasset_total(A50,$E$1,100000000)</f>
        <v>3.3306749225000001</v>
      </c>
      <c r="I50" s="45">
        <f>[1]!f_prt_convertiblebondtonav(A50,$E$1)</f>
        <v>11.594389915466309</v>
      </c>
      <c r="J50" s="45">
        <f>[1]!f_prt_stocktonav(A50,$E$1)+0.5*I50</f>
        <v>19.278387546539307</v>
      </c>
      <c r="K50" s="46">
        <v>4.4774708871336877</v>
      </c>
      <c r="L50" s="59">
        <f>VLOOKUP(A50,二级筛选!A:Q,12,0)/100</f>
        <v>9.2436151934422117E-2</v>
      </c>
      <c r="M50" s="63">
        <v>41</v>
      </c>
      <c r="N50" s="48">
        <f>VLOOKUP(A50,二级筛选!A:U,19,0)</f>
        <v>1.1395612830877733</v>
      </c>
      <c r="O50" s="65">
        <v>64</v>
      </c>
      <c r="P50" s="48">
        <f>VLOOKUP(A50,二级筛选!A:Z,24,0)</f>
        <v>2.2633074497501893</v>
      </c>
      <c r="Q50" s="67">
        <v>84</v>
      </c>
      <c r="R50" s="48">
        <f>VLOOKUP(A50,二级筛选!A:AE,29,0)</f>
        <v>1</v>
      </c>
      <c r="S50" s="67">
        <v>71</v>
      </c>
      <c r="T50" s="50">
        <f>VLOOKUP(A50,二级筛选!A:AJ,34,0)</f>
        <v>-4.0841182202013551</v>
      </c>
      <c r="U50" s="66">
        <v>125</v>
      </c>
      <c r="V50" s="49">
        <f>VLOOKUP(A50,二级筛选!A:AR,39,0)/100</f>
        <v>0.10673897104532815</v>
      </c>
      <c r="W50" s="66">
        <v>46</v>
      </c>
      <c r="X50" s="48">
        <f>VLOOKUP(A50,二级筛选!A:AV,46,0)</f>
        <v>1.0991165383521486</v>
      </c>
      <c r="Y50" s="66">
        <v>74</v>
      </c>
      <c r="Z50" s="48">
        <f>VLOOKUP(A50,二级筛选!A:BA,51,0)</f>
        <v>2.6262281149615654</v>
      </c>
      <c r="AA50" s="66">
        <v>73</v>
      </c>
      <c r="AB50" s="48">
        <f>VLOOKUP(A50,二级筛选!A:BF,56,0)</f>
        <v>1</v>
      </c>
      <c r="AC50" s="66">
        <v>71</v>
      </c>
      <c r="AD50" s="48">
        <f>VLOOKUP(A50,二级筛选!A:BK,61,0)</f>
        <v>-4.0643449987165434</v>
      </c>
      <c r="AE50" s="66">
        <v>131</v>
      </c>
      <c r="AF50">
        <f>(M50+O50+Q50+S50+U50)+(W50+Y50+AA50+AC50+AE50)*2</f>
        <v>1175</v>
      </c>
      <c r="AG50" s="69">
        <f>(W50+Y50+AE50)*2+(M50+O50+S50)</f>
        <v>678</v>
      </c>
    </row>
    <row r="51" spans="1:33" x14ac:dyDescent="0.35">
      <c r="A51" s="39" t="s">
        <v>19</v>
      </c>
      <c r="B51" s="39" t="s">
        <v>20</v>
      </c>
      <c r="C51" s="37">
        <v>20090721</v>
      </c>
      <c r="D51" s="37" t="str">
        <f>[1]!f_info_regulopenfundornot(A51)</f>
        <v>否</v>
      </c>
      <c r="E51" s="37" t="str">
        <f>[1]!f_dq_status(A51,$E$1)</f>
        <v>开放申购|开放赎回</v>
      </c>
      <c r="F51" s="40" t="str">
        <f>[1]!f_info_fundmanager(A51)</f>
        <v>关键</v>
      </c>
      <c r="G51" s="37">
        <v>20210414</v>
      </c>
      <c r="H51" s="41">
        <f>[1]!f_netasset_total(A51,$E$1,100000000)</f>
        <v>15.630156550899999</v>
      </c>
      <c r="I51" s="41">
        <f>[1]!f_prt_convertiblebondtonav(A51,$E$1)</f>
        <v>7.0513958930969238</v>
      </c>
      <c r="J51" s="41">
        <f>[1]!f_prt_stocktonav(A51,$E$1)+0.5*I51</f>
        <v>20.655365228652954</v>
      </c>
      <c r="K51" s="42">
        <v>12.911898824735649</v>
      </c>
      <c r="L51" s="59">
        <f>VLOOKUP(A51,二级筛选!A:Q,12,0)/100</f>
        <v>6.4376680607726833E-2</v>
      </c>
      <c r="M51" s="63">
        <v>83</v>
      </c>
      <c r="N51" s="48">
        <f>VLOOKUP(A51,二级筛选!A:U,19,0)</f>
        <v>0.52299966852056712</v>
      </c>
      <c r="O51" s="65">
        <v>114</v>
      </c>
      <c r="P51" s="48">
        <f>VLOOKUP(A51,二级筛选!A:Z,24,0)</f>
        <v>1.172624698381606</v>
      </c>
      <c r="Q51" s="67">
        <v>146</v>
      </c>
      <c r="R51" s="48">
        <f>VLOOKUP(A51,二级筛选!A:AE,29,0)</f>
        <v>1</v>
      </c>
      <c r="S51" s="67">
        <v>90</v>
      </c>
      <c r="T51" s="50">
        <f>VLOOKUP(A51,二级筛选!A:AJ,34,0)</f>
        <v>-5.4899645808736661</v>
      </c>
      <c r="U51" s="66">
        <v>165</v>
      </c>
      <c r="V51" s="49">
        <f>VLOOKUP(A51,二级筛选!A:AR,39,0)/100</f>
        <v>9.7200996747262458E-2</v>
      </c>
      <c r="W51" s="66">
        <v>54</v>
      </c>
      <c r="X51" s="48">
        <f>VLOOKUP(A51,二级筛选!A:AV,46,0)</f>
        <v>1.3735949818373516</v>
      </c>
      <c r="Y51" s="66">
        <v>38</v>
      </c>
      <c r="Z51" s="48">
        <f>VLOOKUP(A51,二级筛选!A:BA,51,0)</f>
        <v>3.9636406451383874</v>
      </c>
      <c r="AA51" s="66">
        <v>24</v>
      </c>
      <c r="AB51" s="48">
        <f>VLOOKUP(A51,二级筛选!A:BF,56,0)</f>
        <v>1</v>
      </c>
      <c r="AC51" s="66">
        <v>24</v>
      </c>
      <c r="AD51" s="48">
        <f>VLOOKUP(A51,二级筛选!A:BK,61,0)</f>
        <v>-2.4523160762942666</v>
      </c>
      <c r="AE51" s="66">
        <v>59</v>
      </c>
      <c r="AF51">
        <f>(M51+O51+Q51+S51+U51)+(W51+Y51+AA51+AC51+AE51)*2</f>
        <v>996</v>
      </c>
      <c r="AG51" s="69">
        <f>(W51+Y51+AE51+U51)+(M51+O51+S51+AC51)</f>
        <v>627</v>
      </c>
    </row>
    <row r="52" spans="1:33" x14ac:dyDescent="0.35">
      <c r="A52" s="43" t="s">
        <v>311</v>
      </c>
      <c r="B52" s="43" t="s">
        <v>312</v>
      </c>
      <c r="C52" s="44">
        <v>20170105</v>
      </c>
      <c r="D52" s="44" t="str">
        <f>[1]!f_info_regulopenfundornot(A52)</f>
        <v>否</v>
      </c>
      <c r="E52" s="44" t="str">
        <f>[1]!f_dq_status(A52,$E$1)</f>
        <v>开放申购|开放赎回</v>
      </c>
      <c r="F52" s="40" t="str">
        <f>[1]!f_info_fundmanager(A52)</f>
        <v>陈栋,沈荣,詹佳</v>
      </c>
      <c r="G52" s="44">
        <v>20201024</v>
      </c>
      <c r="H52" s="45">
        <f>[1]!f_netasset_total(A52,$E$1,100000000)</f>
        <v>17.911396910499999</v>
      </c>
      <c r="I52" s="45">
        <f>[1]!f_prt_convertiblebondtonav(A52,$E$1)</f>
        <v>1.8998696804046631</v>
      </c>
      <c r="J52" s="45">
        <f>[1]!f_prt_stocktonav(A52,$E$1)+0.5*I52</f>
        <v>14.094784617424011</v>
      </c>
      <c r="K52" s="46">
        <v>22.679582281037181</v>
      </c>
      <c r="L52" s="59">
        <f>VLOOKUP(A52,二级筛选!A:Q,12,0)/100</f>
        <v>1.7217507491380957E-2</v>
      </c>
      <c r="M52" s="63">
        <v>177</v>
      </c>
      <c r="N52" s="48">
        <f>VLOOKUP(A52,二级筛选!A:U,19,0)</f>
        <v>-0.56557953900663305</v>
      </c>
      <c r="O52" s="65">
        <v>183</v>
      </c>
      <c r="P52" s="48">
        <f>VLOOKUP(A52,二级筛选!A:Z,24,0)</f>
        <v>1.128691603901449</v>
      </c>
      <c r="Q52" s="67">
        <v>150</v>
      </c>
      <c r="R52" s="48">
        <f>VLOOKUP(A52,二级筛选!A:AE,29,0)</f>
        <v>0.91596638655462181</v>
      </c>
      <c r="S52" s="67">
        <v>127</v>
      </c>
      <c r="T52" s="50">
        <f>VLOOKUP(A52,二级筛选!A:AJ,34,0)</f>
        <v>-1.5254394940005502</v>
      </c>
      <c r="U52" s="66">
        <v>45</v>
      </c>
      <c r="V52" s="49">
        <f>VLOOKUP(A52,二级筛选!A:AR,39,0)/100</f>
        <v>9.6084756652288453E-2</v>
      </c>
      <c r="W52" s="66">
        <v>57</v>
      </c>
      <c r="X52" s="48">
        <f>VLOOKUP(A52,二级筛选!A:AV,46,0)</f>
        <v>2.0061056410900004</v>
      </c>
      <c r="Y52" s="66">
        <v>9</v>
      </c>
      <c r="Z52" s="48">
        <f>VLOOKUP(A52,二级筛选!A:BA,51,0)</f>
        <v>5.5838120953500185</v>
      </c>
      <c r="AA52" s="66">
        <v>10</v>
      </c>
      <c r="AB52" s="48">
        <f>VLOOKUP(A52,二级筛选!A:BF,56,0)</f>
        <v>1</v>
      </c>
      <c r="AC52" s="66">
        <v>10</v>
      </c>
      <c r="AD52" s="48">
        <f>VLOOKUP(A52,二级筛选!A:BK,61,0)</f>
        <v>-1.7207734610608421</v>
      </c>
      <c r="AE52" s="66">
        <v>25</v>
      </c>
      <c r="AF52">
        <f>(M52+O52+Q52+S52+U52)+(W52+Y52+AA52+AC52+AE52)*2</f>
        <v>904</v>
      </c>
      <c r="AG52" s="69">
        <f>(W52+Y52+AE52+U52)+(M52+O52+S52+AC52)</f>
        <v>633</v>
      </c>
    </row>
    <row r="53" spans="1:33" hidden="1" x14ac:dyDescent="0.35">
      <c r="A53" s="43" t="s">
        <v>233</v>
      </c>
      <c r="B53" s="43" t="s">
        <v>234</v>
      </c>
      <c r="C53" s="44">
        <v>20160513</v>
      </c>
      <c r="D53" s="44" t="str">
        <f>[1]!f_info_regulopenfundornot(A53)</f>
        <v>是</v>
      </c>
      <c r="E53" s="44" t="str">
        <f>[1]!f_dq_status(A53,$E$1)</f>
        <v>暂停申购|暂停赎回</v>
      </c>
      <c r="F53" s="40" t="str">
        <f>[1]!f_info_fundmanager(A53)</f>
        <v>许富强</v>
      </c>
      <c r="G53" s="44">
        <v>20180518</v>
      </c>
      <c r="H53" s="45">
        <f>[1]!f_netasset_total(A53,$E$1,100000000)</f>
        <v>3.3486553935000001</v>
      </c>
      <c r="I53" s="45">
        <f>[1]!f_prt_convertiblebondtonav(A53,$E$1)</f>
        <v>17.689554214477539</v>
      </c>
      <c r="J53" s="45">
        <f>[1]!f_prt_stocktonav(A53,$E$1)+0.5*I53</f>
        <v>8.8447771072387695</v>
      </c>
      <c r="K53" s="46">
        <v>24.3888935715893</v>
      </c>
      <c r="L53" s="59">
        <f>VLOOKUP(A53,二级筛选!A:Q,12,0)/100</f>
        <v>0.22649483713120833</v>
      </c>
      <c r="M53" s="63">
        <v>2</v>
      </c>
      <c r="N53" s="48">
        <f>VLOOKUP(A53,二级筛选!A:U,19,0)</f>
        <v>1.3025312648773291</v>
      </c>
      <c r="O53" s="65">
        <v>45</v>
      </c>
      <c r="P53" s="48">
        <f>VLOOKUP(A53,二级筛选!A:Z,24,0)</f>
        <v>20.29719419546403</v>
      </c>
      <c r="Q53" s="67">
        <v>2</v>
      </c>
      <c r="R53" s="48">
        <f>VLOOKUP(A53,二级筛选!A:AE,29,0)</f>
        <v>1</v>
      </c>
      <c r="S53" s="67">
        <v>2</v>
      </c>
      <c r="T53" s="50">
        <f>VLOOKUP(A53,二级筛选!A:AJ,34,0)</f>
        <v>-1.115892349208665</v>
      </c>
      <c r="U53" s="66">
        <v>28</v>
      </c>
      <c r="V53" s="49">
        <f>VLOOKUP(A53,二级筛选!A:AR,39,0)/100</f>
        <v>4.0376516576275501E-2</v>
      </c>
      <c r="W53" s="66">
        <v>152</v>
      </c>
      <c r="X53" s="48">
        <f>VLOOKUP(A53,二级筛选!A:AV,46,0)</f>
        <v>0.36566856163712952</v>
      </c>
      <c r="Y53" s="66">
        <v>151</v>
      </c>
      <c r="Z53" s="48">
        <f>VLOOKUP(A53,二级筛选!A:BA,51,0)</f>
        <v>2.8573549053236325</v>
      </c>
      <c r="AA53" s="66">
        <v>56</v>
      </c>
      <c r="AB53" s="48">
        <f>VLOOKUP(A53,二级筛选!A:BF,56,0)</f>
        <v>0.9916666666666667</v>
      </c>
      <c r="AC53" s="66">
        <v>146</v>
      </c>
      <c r="AD53" s="48">
        <f>VLOOKUP(A53,二级筛选!A:BK,61,0)</f>
        <v>-1.4130732063086975</v>
      </c>
      <c r="AE53" s="66">
        <v>14</v>
      </c>
      <c r="AF53">
        <f>(M53+O53+Q53+S53+U53)+(W53+Y53+AA53+AC53+AE53)*2</f>
        <v>1117</v>
      </c>
      <c r="AG53" s="69">
        <f>(W53+Y53+AE53)*2+(M53+O53+S53)</f>
        <v>683</v>
      </c>
    </row>
    <row r="54" spans="1:33" hidden="1" x14ac:dyDescent="0.35">
      <c r="A54" s="43" t="s">
        <v>339</v>
      </c>
      <c r="B54" s="43" t="s">
        <v>340</v>
      </c>
      <c r="C54" s="44">
        <v>20170809</v>
      </c>
      <c r="D54" s="44" t="str">
        <f>[1]!f_info_regulopenfundornot(A54)</f>
        <v>否</v>
      </c>
      <c r="E54" s="44" t="str">
        <f>[1]!f_dq_status(A54,$E$1)</f>
        <v>开放申购|开放赎回</v>
      </c>
      <c r="F54" s="40" t="str">
        <f>[1]!f_info_fundmanager(A54)</f>
        <v>王玉玺,蒲延杰</v>
      </c>
      <c r="G54" s="44">
        <v>20170809</v>
      </c>
      <c r="H54" s="45">
        <f>[1]!f_netasset_total(A54,$E$1,100000000)</f>
        <v>6.6548445865999994</v>
      </c>
      <c r="I54" s="45">
        <f>[1]!f_prt_convertiblebondtonav(A54,$E$1)</f>
        <v>6.5901813507080078</v>
      </c>
      <c r="J54" s="45">
        <f>[1]!f_prt_stocktonav(A54,$E$1)+0.5*I54</f>
        <v>16.784377098083496</v>
      </c>
      <c r="K54" s="46">
        <v>12.386164534326561</v>
      </c>
      <c r="L54" s="59">
        <f>VLOOKUP(A54,二级筛选!A:Q,12,0)/100</f>
        <v>7.7728099339891221E-2</v>
      </c>
      <c r="M54" s="63">
        <v>57</v>
      </c>
      <c r="N54" s="48">
        <f>VLOOKUP(A54,二级筛选!A:U,19,0)</f>
        <v>0.79986120319363851</v>
      </c>
      <c r="O54" s="65">
        <v>91</v>
      </c>
      <c r="P54" s="48">
        <f>VLOOKUP(A54,二级筛选!A:Z,24,0)</f>
        <v>1.4830101832075802</v>
      </c>
      <c r="Q54" s="67">
        <v>128</v>
      </c>
      <c r="R54" s="48">
        <f>VLOOKUP(A54,二级筛选!A:AE,29,0)</f>
        <v>1</v>
      </c>
      <c r="S54" s="67">
        <v>87</v>
      </c>
      <c r="T54" s="50">
        <f>VLOOKUP(A54,二级筛选!A:AJ,34,0)</f>
        <v>-5.2412384095552396</v>
      </c>
      <c r="U54" s="66">
        <v>161</v>
      </c>
      <c r="V54" s="49">
        <f>VLOOKUP(A54,二级筛选!A:AR,39,0)/100</f>
        <v>8.8531900204177116E-2</v>
      </c>
      <c r="W54" s="66">
        <v>69</v>
      </c>
      <c r="X54" s="48">
        <f>VLOOKUP(A54,二级筛选!A:AV,46,0)</f>
        <v>1.132550519754054</v>
      </c>
      <c r="Y54" s="66">
        <v>63</v>
      </c>
      <c r="Z54" s="48">
        <f>VLOOKUP(A54,二级筛选!A:BA,51,0)</f>
        <v>2.8269569777525612</v>
      </c>
      <c r="AA54" s="66">
        <v>59</v>
      </c>
      <c r="AB54" s="48">
        <f>VLOOKUP(A54,二级筛选!A:BF,56,0)</f>
        <v>1</v>
      </c>
      <c r="AC54" s="66">
        <v>57</v>
      </c>
      <c r="AD54" s="48">
        <f>VLOOKUP(A54,二级筛选!A:BK,61,0)</f>
        <v>-3.1317031317031301</v>
      </c>
      <c r="AE54" s="66">
        <v>94</v>
      </c>
      <c r="AF54">
        <f>(M54+O54+Q54+S54+U54)+(W54+Y54+AA54+AC54+AE54)*2</f>
        <v>1208</v>
      </c>
      <c r="AG54" s="69">
        <f>(W54+Y54+AE54)*2+(M54+O54+S54)</f>
        <v>687</v>
      </c>
    </row>
    <row r="55" spans="1:33" x14ac:dyDescent="0.35">
      <c r="A55" s="39" t="s">
        <v>185</v>
      </c>
      <c r="B55" s="39" t="s">
        <v>186</v>
      </c>
      <c r="C55" s="37">
        <v>20160526</v>
      </c>
      <c r="D55" s="37" t="str">
        <f>[1]!f_info_regulopenfundornot(A55)</f>
        <v>否</v>
      </c>
      <c r="E55" s="37" t="str">
        <f>[1]!f_dq_status(A55,$E$1)</f>
        <v>开放申购|开放赎回</v>
      </c>
      <c r="F55" s="40" t="str">
        <f>[1]!f_info_fundmanager(A55)</f>
        <v>孔令超,徐觅</v>
      </c>
      <c r="G55" s="37">
        <v>20160805</v>
      </c>
      <c r="H55" s="41">
        <f>[1]!f_netasset_total(A55,$E$1,100000000)</f>
        <v>39.156031195300002</v>
      </c>
      <c r="I55" s="41">
        <f>[1]!f_prt_convertiblebondtonav(A55,$E$1)</f>
        <v>12.689848899841309</v>
      </c>
      <c r="J55" s="41">
        <f>[1]!f_prt_stocktonav(A55,$E$1)+0.5*I55</f>
        <v>18.692248821258545</v>
      </c>
      <c r="K55" s="42">
        <v>0</v>
      </c>
      <c r="L55" s="59">
        <f>VLOOKUP(A55,二级筛选!A:Q,12,0)/100</f>
        <v>7.3041586753856524E-2</v>
      </c>
      <c r="M55" s="63">
        <v>64</v>
      </c>
      <c r="N55" s="48">
        <f>VLOOKUP(A55,二级筛选!A:U,19,0)</f>
        <v>1.6024771448573283</v>
      </c>
      <c r="O55" s="65">
        <v>26</v>
      </c>
      <c r="P55" s="48">
        <f>VLOOKUP(A55,二级筛选!A:Z,24,0)</f>
        <v>7.6605745663048381</v>
      </c>
      <c r="Q55" s="67">
        <v>13</v>
      </c>
      <c r="R55" s="48">
        <f>VLOOKUP(A55,二级筛选!A:AE,29,0)</f>
        <v>1</v>
      </c>
      <c r="S55" s="67">
        <v>13</v>
      </c>
      <c r="T55" s="50">
        <f>VLOOKUP(A55,二级筛选!A:AJ,34,0)</f>
        <v>-0.95347400017658113</v>
      </c>
      <c r="U55" s="66">
        <v>22</v>
      </c>
      <c r="V55" s="49">
        <f>VLOOKUP(A55,二级筛选!A:AR,39,0)/100</f>
        <v>5.8845298232499621E-2</v>
      </c>
      <c r="W55" s="66">
        <v>123</v>
      </c>
      <c r="X55" s="48">
        <f>VLOOKUP(A55,二级筛选!A:AV,46,0)</f>
        <v>0.63621844387969095</v>
      </c>
      <c r="Y55" s="66">
        <v>125</v>
      </c>
      <c r="Z55" s="48">
        <f>VLOOKUP(A55,二级筛选!A:BA,51,0)</f>
        <v>1.6047663596803803</v>
      </c>
      <c r="AA55" s="66">
        <v>137</v>
      </c>
      <c r="AB55" s="48">
        <f>VLOOKUP(A55,二级筛选!A:BF,56,0)</f>
        <v>0.98333333333333328</v>
      </c>
      <c r="AC55" s="66">
        <v>150</v>
      </c>
      <c r="AD55" s="48">
        <f>VLOOKUP(A55,二级筛选!A:BK,61,0)</f>
        <v>-3.6669075144508749</v>
      </c>
      <c r="AE55" s="66">
        <v>117</v>
      </c>
      <c r="AF55">
        <f>(M55+O55+Q55+S55+U55)+(W55+Y55+AA55+AC55+AE55)*2</f>
        <v>1442</v>
      </c>
      <c r="AG55" s="69">
        <f>(W55+Y55+AE55+U55)+(M55+O55+S55+AC55)</f>
        <v>640</v>
      </c>
    </row>
    <row r="56" spans="1:33" x14ac:dyDescent="0.35">
      <c r="A56" s="43" t="s">
        <v>99</v>
      </c>
      <c r="B56" s="43" t="s">
        <v>100</v>
      </c>
      <c r="C56" s="44">
        <v>20110621</v>
      </c>
      <c r="D56" s="44" t="str">
        <f>[1]!f_info_regulopenfundornot(A56)</f>
        <v>否</v>
      </c>
      <c r="E56" s="44" t="str">
        <f>[1]!f_dq_status(A56,$E$1)</f>
        <v>开放申购|开放赎回</v>
      </c>
      <c r="F56" s="40" t="str">
        <f>[1]!f_info_fundmanager(A56)</f>
        <v>张清华</v>
      </c>
      <c r="G56" s="44">
        <v>20131223</v>
      </c>
      <c r="H56" s="45">
        <f>[1]!f_netasset_total(A56,$E$1,100000000)</f>
        <v>302.07685069029998</v>
      </c>
      <c r="I56" s="45">
        <f>[1]!f_prt_convertiblebondtonav(A56,$E$1)</f>
        <v>28.497491836547852</v>
      </c>
      <c r="J56" s="45">
        <f>[1]!f_prt_stocktonav(A56,$E$1)+0.5*I56</f>
        <v>29.786260604858398</v>
      </c>
      <c r="K56" s="46">
        <v>0</v>
      </c>
      <c r="L56" s="59">
        <f>VLOOKUP(A56,二级筛选!A:Q,12,0)/100</f>
        <v>0.1197369017873644</v>
      </c>
      <c r="M56" s="63">
        <v>20</v>
      </c>
      <c r="N56" s="48">
        <f>VLOOKUP(A56,二级筛选!A:U,19,0)</f>
        <v>1.2185432112122665</v>
      </c>
      <c r="O56" s="65">
        <v>53</v>
      </c>
      <c r="P56" s="48">
        <f>VLOOKUP(A56,二级筛选!A:Z,24,0)</f>
        <v>1.9893296281207802</v>
      </c>
      <c r="Q56" s="67">
        <v>100</v>
      </c>
      <c r="R56" s="48">
        <f>VLOOKUP(A56,二级筛选!A:AE,29,0)</f>
        <v>1</v>
      </c>
      <c r="S56" s="67">
        <v>80</v>
      </c>
      <c r="T56" s="50">
        <f>VLOOKUP(A56,二级筛选!A:AJ,34,0)</f>
        <v>-6.0189573459715593</v>
      </c>
      <c r="U56" s="66">
        <v>177</v>
      </c>
      <c r="V56" s="49">
        <f>VLOOKUP(A56,二级筛选!A:AR,39,0)/100</f>
        <v>0.14885552524134105</v>
      </c>
      <c r="W56" s="66">
        <v>15</v>
      </c>
      <c r="X56" s="48">
        <f>VLOOKUP(A56,二级筛选!A:AV,46,0)</f>
        <v>1.3442248371005732</v>
      </c>
      <c r="Y56" s="66">
        <v>40</v>
      </c>
      <c r="Z56" s="48">
        <f>VLOOKUP(A56,二级筛选!A:BA,51,0)</f>
        <v>2.3261829537714629</v>
      </c>
      <c r="AA56" s="66">
        <v>87</v>
      </c>
      <c r="AB56" s="48">
        <f>VLOOKUP(A56,二级筛选!A:BF,56,0)</f>
        <v>1</v>
      </c>
      <c r="AC56" s="66">
        <v>84</v>
      </c>
      <c r="AD56" s="48">
        <f>VLOOKUP(A56,二级筛选!A:BK,61,0)</f>
        <v>-6.3991323210412219</v>
      </c>
      <c r="AE56" s="66">
        <v>174</v>
      </c>
      <c r="AF56">
        <f>(M56+O56+Q56+S56+U56)+(W56+Y56+AA56+AC56+AE56)*2</f>
        <v>1230</v>
      </c>
      <c r="AG56" s="69">
        <f>(W56+Y56+AE56+U56)+(M56+O56+S56+AC56)</f>
        <v>643</v>
      </c>
    </row>
    <row r="57" spans="1:33" hidden="1" x14ac:dyDescent="0.35">
      <c r="A57" s="43" t="s">
        <v>123</v>
      </c>
      <c r="B57" s="43" t="s">
        <v>124</v>
      </c>
      <c r="C57" s="44">
        <v>20120918</v>
      </c>
      <c r="D57" s="44" t="str">
        <f>[1]!f_info_regulopenfundornot(A57)</f>
        <v>否</v>
      </c>
      <c r="E57" s="44" t="str">
        <f>[1]!f_dq_status(A57,$E$1)</f>
        <v>开放申购|开放赎回</v>
      </c>
      <c r="F57" s="40" t="str">
        <f>[1]!f_info_fundmanager(A57)</f>
        <v>刘通</v>
      </c>
      <c r="G57" s="44">
        <v>20200610</v>
      </c>
      <c r="H57" s="45">
        <f>[1]!f_netasset_total(A57,$E$1,100000000)</f>
        <v>5.8990333584000005</v>
      </c>
      <c r="I57" s="45">
        <f>[1]!f_prt_convertiblebondtonav(A57,$E$1)</f>
        <v>2.0747716426849365</v>
      </c>
      <c r="J57" s="45">
        <f>[1]!f_prt_stocktonav(A57,$E$1)+0.5*I57</f>
        <v>12.416290163993835</v>
      </c>
      <c r="K57" s="46">
        <v>0</v>
      </c>
      <c r="L57" s="59">
        <f>VLOOKUP(A57,二级筛选!A:Q,12,0)/100</f>
        <v>0.11283360605118077</v>
      </c>
      <c r="M57" s="63">
        <v>23</v>
      </c>
      <c r="N57" s="48">
        <f>VLOOKUP(A57,二级筛选!A:U,19,0)</f>
        <v>1.0519932233012583</v>
      </c>
      <c r="O57" s="65">
        <v>71</v>
      </c>
      <c r="P57" s="48">
        <f>VLOOKUP(A57,二级筛选!A:Z,24,0)</f>
        <v>1.3926309936046621</v>
      </c>
      <c r="Q57" s="67">
        <v>135</v>
      </c>
      <c r="R57" s="48">
        <f>VLOOKUP(A57,二级筛选!A:AE,29,0)</f>
        <v>0.94117647058823528</v>
      </c>
      <c r="S57" s="67">
        <v>118</v>
      </c>
      <c r="T57" s="50">
        <f>VLOOKUP(A57,二级筛选!A:AJ,34,0)</f>
        <v>-8.1021897810219059</v>
      </c>
      <c r="U57" s="66">
        <v>190</v>
      </c>
      <c r="V57" s="49">
        <f>VLOOKUP(A57,二级筛选!A:AR,39,0)/100</f>
        <v>0.123381815265194</v>
      </c>
      <c r="W57" s="66">
        <v>28</v>
      </c>
      <c r="X57" s="48">
        <f>VLOOKUP(A57,二级筛选!A:AV,46,0)</f>
        <v>1.2184519045087838</v>
      </c>
      <c r="Y57" s="66">
        <v>53</v>
      </c>
      <c r="Z57" s="48">
        <f>VLOOKUP(A57,二级筛选!A:BA,51,0)</f>
        <v>2.1215262780664546</v>
      </c>
      <c r="AA57" s="66">
        <v>105</v>
      </c>
      <c r="AB57" s="48">
        <f>VLOOKUP(A57,二级筛选!A:BF,56,0)</f>
        <v>1</v>
      </c>
      <c r="AC57" s="66">
        <v>101</v>
      </c>
      <c r="AD57" s="48">
        <f>VLOOKUP(A57,二级筛选!A:BK,61,0)</f>
        <v>-5.8157099697885144</v>
      </c>
      <c r="AE57" s="66">
        <v>166</v>
      </c>
      <c r="AF57">
        <f>(M57+O57+Q57+S57+U57)+(W57+Y57+AA57+AC57+AE57)*2</f>
        <v>1443</v>
      </c>
      <c r="AG57" s="69">
        <f>(W57+Y57+AE57)*2+(M57+O57+S57)</f>
        <v>706</v>
      </c>
    </row>
    <row r="58" spans="1:33" x14ac:dyDescent="0.35">
      <c r="A58" s="39" t="s">
        <v>27</v>
      </c>
      <c r="B58" s="39" t="s">
        <v>28</v>
      </c>
      <c r="C58" s="37">
        <v>20080827</v>
      </c>
      <c r="D58" s="37" t="str">
        <f>[1]!f_info_regulopenfundornot(A58)</f>
        <v>否</v>
      </c>
      <c r="E58" s="37" t="str">
        <f>[1]!f_dq_status(A58,$E$1)</f>
        <v>开放申购|开放赎回</v>
      </c>
      <c r="F58" s="40" t="str">
        <f>[1]!f_info_fundmanager(A58)</f>
        <v>魏建</v>
      </c>
      <c r="G58" s="37">
        <v>20200710</v>
      </c>
      <c r="H58" s="41">
        <f>[1]!f_netasset_total(A58,$E$1,100000000)</f>
        <v>12.4677163895</v>
      </c>
      <c r="I58" s="41">
        <f>[1]!f_prt_convertiblebondtonav(A58,$E$1)</f>
        <v>0</v>
      </c>
      <c r="J58" s="41">
        <f>[1]!f_prt_stocktonav(A58,$E$1)+0.5*I58</f>
        <v>0</v>
      </c>
      <c r="K58" s="42">
        <v>28.605479051509189</v>
      </c>
      <c r="L58" s="59">
        <f>VLOOKUP(A58,二级筛选!A:Q,12,0)/100</f>
        <v>4.6620046164306261E-2</v>
      </c>
      <c r="M58" s="63">
        <v>123</v>
      </c>
      <c r="N58" s="48">
        <f>VLOOKUP(A58,二级筛选!A:U,19,0)</f>
        <v>3.4217594979849077</v>
      </c>
      <c r="O58" s="65">
        <v>2</v>
      </c>
      <c r="P58" s="48">
        <f>VLOOKUP(A58,二级筛选!A:Z,24,0)</f>
        <v>16.740967202312873</v>
      </c>
      <c r="Q58" s="67">
        <v>3</v>
      </c>
      <c r="R58" s="48">
        <f>VLOOKUP(A58,二级筛选!A:AE,29,0)</f>
        <v>1</v>
      </c>
      <c r="S58" s="67">
        <v>3</v>
      </c>
      <c r="T58" s="50">
        <f>VLOOKUP(A58,二级筛选!A:AJ,34,0)</f>
        <v>-0.27847880950310566</v>
      </c>
      <c r="U58" s="66">
        <v>3</v>
      </c>
      <c r="V58" s="49">
        <f>VLOOKUP(A58,二级筛选!A:AR,39,0)/100</f>
        <v>2.3562810468748641E-2</v>
      </c>
      <c r="W58" s="66">
        <v>177</v>
      </c>
      <c r="X58" s="48">
        <f>VLOOKUP(A58,二级筛选!A:AV,46,0)</f>
        <v>-0.79937709967270276</v>
      </c>
      <c r="Y58" s="66">
        <v>192</v>
      </c>
      <c r="Z58" s="48">
        <f>VLOOKUP(A58,二级筛选!A:BA,51,0)</f>
        <v>1.5895024380454763</v>
      </c>
      <c r="AA58" s="66">
        <v>143</v>
      </c>
      <c r="AB58" s="48">
        <f>VLOOKUP(A58,二级筛选!A:BF,56,0)</f>
        <v>1</v>
      </c>
      <c r="AC58" s="66">
        <v>131</v>
      </c>
      <c r="AD58" s="48">
        <f>VLOOKUP(A58,二级筛选!A:BK,61,0)</f>
        <v>-1.4824016563146976</v>
      </c>
      <c r="AE58" s="66">
        <v>16</v>
      </c>
      <c r="AF58">
        <f>(M58+O58+Q58+S58+U58)+(W58+Y58+AA58+AC58+AE58)*2</f>
        <v>1452</v>
      </c>
      <c r="AG58" s="69">
        <f>(W58+Y58+AE58+U58)+(M58+O58+S58+AC58)</f>
        <v>647</v>
      </c>
    </row>
    <row r="59" spans="1:33" hidden="1" x14ac:dyDescent="0.35">
      <c r="A59" s="43" t="s">
        <v>193</v>
      </c>
      <c r="B59" s="43" t="s">
        <v>194</v>
      </c>
      <c r="C59" s="44">
        <v>20150506</v>
      </c>
      <c r="D59" s="44" t="str">
        <f>[1]!f_info_regulopenfundornot(A59)</f>
        <v>否</v>
      </c>
      <c r="E59" s="44" t="str">
        <f>[1]!f_dq_status(A59,$E$1)</f>
        <v>开放申购|开放赎回</v>
      </c>
      <c r="F59" s="40" t="str">
        <f>[1]!f_info_fundmanager(A59)</f>
        <v>李家春,吴晖</v>
      </c>
      <c r="G59" s="44">
        <v>20190822</v>
      </c>
      <c r="H59" s="45">
        <f>[1]!f_netasset_total(A59,$E$1,100000000)</f>
        <v>7.9248500049999997</v>
      </c>
      <c r="I59" s="45">
        <f>[1]!f_prt_convertiblebondtonav(A59,$E$1)</f>
        <v>26.315711975097656</v>
      </c>
      <c r="J59" s="45">
        <f>[1]!f_prt_stocktonav(A59,$E$1)+0.5*I59</f>
        <v>30.172658920288086</v>
      </c>
      <c r="K59" s="46">
        <v>0</v>
      </c>
      <c r="L59" s="59">
        <f>VLOOKUP(A59,二级筛选!A:Q,12,0)/100</f>
        <v>0.13732903548438036</v>
      </c>
      <c r="M59" s="63">
        <v>11</v>
      </c>
      <c r="N59" s="48">
        <f>VLOOKUP(A59,二级筛选!A:U,19,0)</f>
        <v>0.86012100029301597</v>
      </c>
      <c r="O59" s="65">
        <v>88</v>
      </c>
      <c r="P59" s="48">
        <f>VLOOKUP(A59,二级筛选!A:Z,24,0)</f>
        <v>1.2360526285585487</v>
      </c>
      <c r="Q59" s="67">
        <v>144</v>
      </c>
      <c r="R59" s="48">
        <f>VLOOKUP(A59,二级筛选!A:AE,29,0)</f>
        <v>0.74789915966386555</v>
      </c>
      <c r="S59" s="67">
        <v>158</v>
      </c>
      <c r="T59" s="50">
        <f>VLOOKUP(A59,二级筛选!A:AJ,34,0)</f>
        <v>-11.110290315431778</v>
      </c>
      <c r="U59" s="66">
        <v>194</v>
      </c>
      <c r="V59" s="49">
        <f>VLOOKUP(A59,二级筛选!A:AR,39,0)/100</f>
        <v>0.22039514649746159</v>
      </c>
      <c r="W59" s="66">
        <v>3</v>
      </c>
      <c r="X59" s="48">
        <f>VLOOKUP(A59,二级筛选!A:AV,46,0)</f>
        <v>1.2907757190426132</v>
      </c>
      <c r="Y59" s="66">
        <v>43</v>
      </c>
      <c r="Z59" s="48">
        <f>VLOOKUP(A59,二级筛选!A:BA,51,0)</f>
        <v>2.4412541813748612</v>
      </c>
      <c r="AA59" s="66">
        <v>81</v>
      </c>
      <c r="AB59" s="48">
        <f>VLOOKUP(A59,二级筛选!A:BF,56,0)</f>
        <v>1</v>
      </c>
      <c r="AC59" s="66">
        <v>78</v>
      </c>
      <c r="AD59" s="48">
        <f>VLOOKUP(A59,二级筛选!A:BK,61,0)</f>
        <v>-9.0279475270919907</v>
      </c>
      <c r="AE59" s="66">
        <v>187</v>
      </c>
      <c r="AF59">
        <f>(M59+O59+Q59+S59+U59)+(W59+Y59+AA59+AC59+AE59)*2</f>
        <v>1379</v>
      </c>
      <c r="AG59" s="69">
        <f>(W59+Y59+AE59)*2+(M59+O59+S59)</f>
        <v>723</v>
      </c>
    </row>
    <row r="60" spans="1:33" x14ac:dyDescent="0.35">
      <c r="A60" s="39" t="s">
        <v>137</v>
      </c>
      <c r="B60" s="39" t="s">
        <v>138</v>
      </c>
      <c r="C60" s="37">
        <v>20100531</v>
      </c>
      <c r="D60" s="37" t="str">
        <f>[1]!f_info_regulopenfundornot(A60)</f>
        <v>否</v>
      </c>
      <c r="E60" s="37" t="str">
        <f>[1]!f_dq_status(A60,$E$1)</f>
        <v>开放申购|开放赎回</v>
      </c>
      <c r="F60" s="40" t="str">
        <f>[1]!f_info_fundmanager(A60)</f>
        <v>方昶</v>
      </c>
      <c r="G60" s="37">
        <v>20181010</v>
      </c>
      <c r="H60" s="41">
        <f>[1]!f_netasset_total(A60,$E$1,100000000)</f>
        <v>35.667470433699997</v>
      </c>
      <c r="I60" s="41">
        <f>[1]!f_prt_convertiblebondtonav(A60,$E$1)</f>
        <v>5.1119799613952637</v>
      </c>
      <c r="J60" s="41">
        <f>[1]!f_prt_stocktonav(A60,$E$1)+0.5*I60</f>
        <v>22.446767568588257</v>
      </c>
      <c r="K60" s="42">
        <v>1.961198794011128</v>
      </c>
      <c r="L60" s="59">
        <f>VLOOKUP(A60,二级筛选!A:Q,12,0)/100</f>
        <v>8.1004306231717185E-2</v>
      </c>
      <c r="M60" s="63">
        <v>54</v>
      </c>
      <c r="N60" s="48">
        <f>VLOOKUP(A60,二级筛选!A:U,19,0)</f>
        <v>0.96822243975078093</v>
      </c>
      <c r="O60" s="65">
        <v>75</v>
      </c>
      <c r="P60" s="48">
        <f>VLOOKUP(A60,二级筛选!A:Z,24,0)</f>
        <v>2.0281481852487016</v>
      </c>
      <c r="Q60" s="67">
        <v>97</v>
      </c>
      <c r="R60" s="48">
        <f>VLOOKUP(A60,二级筛选!A:AE,29,0)</f>
        <v>1</v>
      </c>
      <c r="S60" s="67">
        <v>78</v>
      </c>
      <c r="T60" s="50">
        <f>VLOOKUP(A60,二级筛选!A:AJ,34,0)</f>
        <v>-3.994003338655653</v>
      </c>
      <c r="U60" s="66">
        <v>123</v>
      </c>
      <c r="V60" s="49">
        <f>VLOOKUP(A60,二级筛选!A:AR,39,0)/100</f>
        <v>0.10894718401429969</v>
      </c>
      <c r="W60" s="66">
        <v>43</v>
      </c>
      <c r="X60" s="48">
        <f>VLOOKUP(A60,二级筛选!A:AV,46,0)</f>
        <v>1.301574237860295</v>
      </c>
      <c r="Y60" s="66">
        <v>42</v>
      </c>
      <c r="Z60" s="48">
        <f>VLOOKUP(A60,二级筛选!A:BA,51,0)</f>
        <v>2.2864252071162485</v>
      </c>
      <c r="AA60" s="66">
        <v>91</v>
      </c>
      <c r="AB60" s="48">
        <f>VLOOKUP(A60,二级筛选!A:BF,56,0)</f>
        <v>1</v>
      </c>
      <c r="AC60" s="66">
        <v>88</v>
      </c>
      <c r="AD60" s="48">
        <f>VLOOKUP(A60,二级筛选!A:BK,61,0)</f>
        <v>-4.7649572649572569</v>
      </c>
      <c r="AE60" s="66">
        <v>155</v>
      </c>
      <c r="AF60">
        <f>(M60+O60+Q60+S60+U60)+(W60+Y60+AA60+AC60+AE60)*2</f>
        <v>1265</v>
      </c>
      <c r="AG60" s="69">
        <f>(W60+Y60+AE60+U60)+(M60+O60+S60+AC60)</f>
        <v>658</v>
      </c>
    </row>
    <row r="61" spans="1:33" x14ac:dyDescent="0.35">
      <c r="A61" s="43" t="s">
        <v>79</v>
      </c>
      <c r="B61" s="43" t="s">
        <v>80</v>
      </c>
      <c r="C61" s="44">
        <v>20101103</v>
      </c>
      <c r="D61" s="44" t="str">
        <f>[1]!f_info_regulopenfundornot(A61)</f>
        <v>否</v>
      </c>
      <c r="E61" s="44" t="str">
        <f>[1]!f_dq_status(A61,$E$1)</f>
        <v>开放申购|开放赎回</v>
      </c>
      <c r="F61" s="40" t="str">
        <f>[1]!f_info_fundmanager(A61)</f>
        <v>刘文良</v>
      </c>
      <c r="G61" s="44">
        <v>20160624</v>
      </c>
      <c r="H61" s="45">
        <f>[1]!f_netasset_total(A61,$E$1,100000000)</f>
        <v>38.942273102800002</v>
      </c>
      <c r="I61" s="45">
        <f>[1]!f_prt_convertiblebondtonav(A61,$E$1)</f>
        <v>24.236295700073242</v>
      </c>
      <c r="J61" s="45">
        <f>[1]!f_prt_stocktonav(A61,$E$1)+0.5*I61</f>
        <v>31.677865028381348</v>
      </c>
      <c r="K61" s="46">
        <v>0</v>
      </c>
      <c r="L61" s="59">
        <f>VLOOKUP(A61,二级筛选!A:Q,12,0)/100</f>
        <v>0.15893211793329298</v>
      </c>
      <c r="M61" s="63">
        <v>7</v>
      </c>
      <c r="N61" s="48">
        <f>VLOOKUP(A61,二级筛选!A:U,19,0)</f>
        <v>1.3827644421466663</v>
      </c>
      <c r="O61" s="65">
        <v>38</v>
      </c>
      <c r="P61" s="48">
        <f>VLOOKUP(A61,二级筛选!A:Z,24,0)</f>
        <v>2.4296011732209859</v>
      </c>
      <c r="Q61" s="67">
        <v>74</v>
      </c>
      <c r="R61" s="48">
        <f>VLOOKUP(A61,二级筛选!A:AE,29,0)</f>
        <v>1</v>
      </c>
      <c r="S61" s="67">
        <v>65</v>
      </c>
      <c r="T61" s="50">
        <f>VLOOKUP(A61,二级筛选!A:AJ,34,0)</f>
        <v>-6.5414900060569412</v>
      </c>
      <c r="U61" s="66">
        <v>185</v>
      </c>
      <c r="V61" s="49">
        <f>VLOOKUP(A61,二级筛选!A:AR,39,0)/100</f>
        <v>0.1325125292663889</v>
      </c>
      <c r="W61" s="66">
        <v>25</v>
      </c>
      <c r="X61" s="48">
        <f>VLOOKUP(A61,二级筛选!A:AV,46,0)</f>
        <v>1.131133516694047</v>
      </c>
      <c r="Y61" s="66">
        <v>64</v>
      </c>
      <c r="Z61" s="48">
        <f>VLOOKUP(A61,二级筛选!A:BA,51,0)</f>
        <v>2.0969766229268765</v>
      </c>
      <c r="AA61" s="66">
        <v>106</v>
      </c>
      <c r="AB61" s="48">
        <f>VLOOKUP(A61,二级筛选!A:BF,56,0)</f>
        <v>1</v>
      </c>
      <c r="AC61" s="66">
        <v>102</v>
      </c>
      <c r="AD61" s="48">
        <f>VLOOKUP(A61,二级筛选!A:BK,61,0)</f>
        <v>-6.3192182410423445</v>
      </c>
      <c r="AE61" s="66">
        <v>173</v>
      </c>
      <c r="AF61">
        <f>(M61+O61+Q61+S61+U61)+(W61+Y61+AA61+AC61+AE61)*2</f>
        <v>1309</v>
      </c>
      <c r="AG61" s="69">
        <f>(W61+Y61+AE61+U61)+(M61+O61+S61+AC61)</f>
        <v>659</v>
      </c>
    </row>
    <row r="62" spans="1:33" x14ac:dyDescent="0.35">
      <c r="A62" s="43" t="s">
        <v>333</v>
      </c>
      <c r="B62" s="43" t="s">
        <v>334</v>
      </c>
      <c r="C62" s="44">
        <v>20170602</v>
      </c>
      <c r="D62" s="44" t="str">
        <f>[1]!f_info_regulopenfundornot(A62)</f>
        <v>否</v>
      </c>
      <c r="E62" s="44" t="str">
        <f>[1]!f_dq_status(A62,$E$1)</f>
        <v>开放申购|开放赎回</v>
      </c>
      <c r="F62" s="40" t="str">
        <f>[1]!f_info_fundmanager(A62)</f>
        <v>杨爱斌,焦翠</v>
      </c>
      <c r="G62" s="44">
        <v>20170602</v>
      </c>
      <c r="H62" s="45">
        <f>[1]!f_netasset_total(A62,$E$1,100000000)</f>
        <v>63.798212188500003</v>
      </c>
      <c r="I62" s="45">
        <f>[1]!f_prt_convertiblebondtonav(A62,$E$1)</f>
        <v>8.7225847244262695</v>
      </c>
      <c r="J62" s="45">
        <f>[1]!f_prt_stocktonav(A62,$E$1)+0.5*I62</f>
        <v>21.864965915679932</v>
      </c>
      <c r="K62" s="46">
        <v>0</v>
      </c>
      <c r="L62" s="59">
        <f>VLOOKUP(A62,二级筛选!A:Q,12,0)/100</f>
        <v>6.1127348735146247E-2</v>
      </c>
      <c r="M62" s="63">
        <v>90</v>
      </c>
      <c r="N62" s="48">
        <f>VLOOKUP(A62,二级筛选!A:U,19,0)</f>
        <v>1.2038025910003294</v>
      </c>
      <c r="O62" s="65">
        <v>55</v>
      </c>
      <c r="P62" s="48">
        <f>VLOOKUP(A62,二级筛选!A:Z,24,0)</f>
        <v>6.5650772541548443</v>
      </c>
      <c r="Q62" s="67">
        <v>20</v>
      </c>
      <c r="R62" s="48">
        <f>VLOOKUP(A62,二级筛选!A:AE,29,0)</f>
        <v>1</v>
      </c>
      <c r="S62" s="67">
        <v>19</v>
      </c>
      <c r="T62" s="50">
        <f>VLOOKUP(A62,二级筛选!A:AJ,34,0)</f>
        <v>-0.93109869646180543</v>
      </c>
      <c r="U62" s="66">
        <v>21</v>
      </c>
      <c r="V62" s="49">
        <f>VLOOKUP(A62,二级筛选!A:AR,39,0)/100</f>
        <v>3.6348758321607777E-2</v>
      </c>
      <c r="W62" s="66">
        <v>158</v>
      </c>
      <c r="X62" s="48">
        <f>VLOOKUP(A62,二级筛选!A:AV,46,0)</f>
        <v>0.1720386242096977</v>
      </c>
      <c r="Y62" s="66">
        <v>158</v>
      </c>
      <c r="Z62" s="48">
        <f>VLOOKUP(A62,二级筛选!A:BA,51,0)</f>
        <v>1.5967386822870273</v>
      </c>
      <c r="AA62" s="66">
        <v>140</v>
      </c>
      <c r="AB62" s="48">
        <f>VLOOKUP(A62,二级筛选!A:BF,56,0)</f>
        <v>1</v>
      </c>
      <c r="AC62" s="66">
        <v>129</v>
      </c>
      <c r="AD62" s="48">
        <f>VLOOKUP(A62,二级筛选!A:BK,61,0)</f>
        <v>-2.27643751133686</v>
      </c>
      <c r="AE62" s="66">
        <v>49</v>
      </c>
      <c r="AF62">
        <f>(M62+O62+Q62+S62+U62)+(W62+Y62+AA62+AC62+AE62)*2</f>
        <v>1473</v>
      </c>
      <c r="AG62" s="69">
        <f>(W62+Y62+AE62+U62)+(M62+O62+S62+AC62)</f>
        <v>679</v>
      </c>
    </row>
    <row r="63" spans="1:33" x14ac:dyDescent="0.35">
      <c r="A63" s="43" t="s">
        <v>191</v>
      </c>
      <c r="B63" s="43" t="s">
        <v>192</v>
      </c>
      <c r="C63" s="44">
        <v>20150309</v>
      </c>
      <c r="D63" s="44" t="str">
        <f>[1]!f_info_regulopenfundornot(A63)</f>
        <v>否</v>
      </c>
      <c r="E63" s="44" t="str">
        <f>[1]!f_dq_status(A63,$E$1)</f>
        <v>开放申购|开放赎回</v>
      </c>
      <c r="F63" s="40" t="str">
        <f>[1]!f_info_fundmanager(A63)</f>
        <v>林龙军</v>
      </c>
      <c r="G63" s="44">
        <v>20180517</v>
      </c>
      <c r="H63" s="45">
        <f>[1]!f_netasset_total(A63,$E$1,100000000)</f>
        <v>21.614960825600001</v>
      </c>
      <c r="I63" s="45">
        <f>[1]!f_prt_convertiblebondtonav(A63,$E$1)</f>
        <v>8.0083866119384766</v>
      </c>
      <c r="J63" s="45">
        <f>[1]!f_prt_stocktonav(A63,$E$1)+0.5*I63</f>
        <v>23.656107902526855</v>
      </c>
      <c r="K63" s="46">
        <v>0</v>
      </c>
      <c r="L63" s="59">
        <f>VLOOKUP(A63,二级筛选!A:Q,12,0)/100</f>
        <v>0.21299826531595259</v>
      </c>
      <c r="M63" s="63">
        <v>3</v>
      </c>
      <c r="N63" s="48">
        <f>VLOOKUP(A63,二级筛选!A:U,19,0)</f>
        <v>1.5830490510870028</v>
      </c>
      <c r="O63" s="65">
        <v>27</v>
      </c>
      <c r="P63" s="48">
        <f>VLOOKUP(A63,二级筛选!A:Z,24,0)</f>
        <v>2.7849085046788158</v>
      </c>
      <c r="Q63" s="67">
        <v>67</v>
      </c>
      <c r="R63" s="48">
        <f>VLOOKUP(A63,二级筛选!A:AE,29,0)</f>
        <v>1</v>
      </c>
      <c r="S63" s="67">
        <v>60</v>
      </c>
      <c r="T63" s="50">
        <f>VLOOKUP(A63,二级筛选!A:AJ,34,0)</f>
        <v>-7.6483038835244512</v>
      </c>
      <c r="U63" s="66">
        <v>189</v>
      </c>
      <c r="V63" s="49">
        <f>VLOOKUP(A63,二级筛选!A:AR,39,0)/100</f>
        <v>0.17438803017471938</v>
      </c>
      <c r="W63" s="66">
        <v>8</v>
      </c>
      <c r="X63" s="48">
        <f>VLOOKUP(A63,二级筛选!A:AV,46,0)</f>
        <v>0.91801346373972081</v>
      </c>
      <c r="Y63" s="66">
        <v>93</v>
      </c>
      <c r="Z63" s="48">
        <f>VLOOKUP(A63,二级筛选!A:BA,51,0)</f>
        <v>1.9260521753288524</v>
      </c>
      <c r="AA63" s="66">
        <v>119</v>
      </c>
      <c r="AB63" s="48">
        <f>VLOOKUP(A63,二级筛选!A:BF,56,0)</f>
        <v>1</v>
      </c>
      <c r="AC63" s="66">
        <v>112</v>
      </c>
      <c r="AD63" s="48">
        <f>VLOOKUP(A63,二级筛选!A:BK,61,0)</f>
        <v>-9.0541695810989395</v>
      </c>
      <c r="AE63" s="66">
        <v>188</v>
      </c>
      <c r="AF63">
        <f>(M63+O63+Q63+S63+U63)+(W63+Y63+AA63+AC63+AE63)*2</f>
        <v>1386</v>
      </c>
      <c r="AG63" s="69">
        <f>(W63+Y63+AE63+U63)+(M63+O63+S63+AC63)</f>
        <v>680</v>
      </c>
    </row>
    <row r="64" spans="1:33" hidden="1" x14ac:dyDescent="0.35">
      <c r="A64" s="43" t="s">
        <v>247</v>
      </c>
      <c r="B64" s="43" t="s">
        <v>248</v>
      </c>
      <c r="C64" s="44">
        <v>20160628</v>
      </c>
      <c r="D64" s="44" t="str">
        <f>[1]!f_info_regulopenfundornot(A64)</f>
        <v>否</v>
      </c>
      <c r="E64" s="44" t="str">
        <f>[1]!f_dq_status(A64,$E$1)</f>
        <v>开放申购|开放赎回</v>
      </c>
      <c r="F64" s="40" t="str">
        <f>[1]!f_info_fundmanager(A64)</f>
        <v>朱垚,程放</v>
      </c>
      <c r="G64" s="44">
        <v>20190515</v>
      </c>
      <c r="H64" s="45">
        <f>[1]!f_netasset_total(A64,$E$1,100000000)</f>
        <v>6.4256224820000005</v>
      </c>
      <c r="I64" s="45">
        <f>[1]!f_prt_convertiblebondtonav(A64,$E$1)</f>
        <v>6.9609427452087402</v>
      </c>
      <c r="J64" s="45">
        <f>[1]!f_prt_stocktonav(A64,$E$1)+0.5*I64</f>
        <v>15.76898455619812</v>
      </c>
      <c r="K64" s="46">
        <v>12.64811311708181</v>
      </c>
      <c r="L64" s="59">
        <f>VLOOKUP(A64,二级筛选!A:Q,12,0)/100</f>
        <v>3.6043054048280787E-2</v>
      </c>
      <c r="M64" s="63">
        <v>154</v>
      </c>
      <c r="N64" s="48">
        <f>VLOOKUP(A64,二级筛选!A:U,19,0)</f>
        <v>0.10901063930649203</v>
      </c>
      <c r="O64" s="65">
        <v>157</v>
      </c>
      <c r="P64" s="48">
        <f>VLOOKUP(A64,二级筛选!A:Z,24,0)</f>
        <v>0.75204768454959692</v>
      </c>
      <c r="Q64" s="67">
        <v>169</v>
      </c>
      <c r="R64" s="48">
        <f>VLOOKUP(A64,二级筛选!A:AE,29,0)</f>
        <v>0.73109243697478987</v>
      </c>
      <c r="S64" s="67">
        <v>164</v>
      </c>
      <c r="T64" s="50">
        <f>VLOOKUP(A64,二级筛选!A:AJ,34,0)</f>
        <v>-4.7926554111880622</v>
      </c>
      <c r="U64" s="66">
        <v>151</v>
      </c>
      <c r="V64" s="49">
        <f>VLOOKUP(A64,二级筛选!A:AR,39,0)/100</f>
        <v>0.12770530239563627</v>
      </c>
      <c r="W64" s="66">
        <v>27</v>
      </c>
      <c r="X64" s="48">
        <f>VLOOKUP(A64,二级筛选!A:AV,46,0)</f>
        <v>1.7494814614403331</v>
      </c>
      <c r="Y64" s="66">
        <v>17</v>
      </c>
      <c r="Z64" s="48">
        <f>VLOOKUP(A64,二级筛选!A:BA,51,0)</f>
        <v>4.1587029310394614</v>
      </c>
      <c r="AA64" s="66">
        <v>19</v>
      </c>
      <c r="AB64" s="48">
        <f>VLOOKUP(A64,二级筛选!A:BF,56,0)</f>
        <v>1</v>
      </c>
      <c r="AC64" s="66">
        <v>19</v>
      </c>
      <c r="AD64" s="48">
        <f>VLOOKUP(A64,二级筛选!A:BK,61,0)</f>
        <v>-3.0707964601769842</v>
      </c>
      <c r="AE64" s="66">
        <v>90</v>
      </c>
      <c r="AF64">
        <f>(M64+O64+Q64+S64+U64)+(W64+Y64+AA64+AC64+AE64)*2</f>
        <v>1139</v>
      </c>
      <c r="AG64" s="69">
        <f>(W64+Y64+AE64)*2+(M64+O64+S64)</f>
        <v>743</v>
      </c>
    </row>
    <row r="65" spans="1:33" x14ac:dyDescent="0.35">
      <c r="A65" s="39" t="s">
        <v>145</v>
      </c>
      <c r="B65" s="39" t="s">
        <v>146</v>
      </c>
      <c r="C65" s="37">
        <v>20161123</v>
      </c>
      <c r="D65" s="37" t="str">
        <f>[1]!f_info_regulopenfundornot(A65)</f>
        <v>否</v>
      </c>
      <c r="E65" s="37" t="str">
        <f>[1]!f_dq_status(A65,$E$1)</f>
        <v>开放申购|开放赎回</v>
      </c>
      <c r="F65" s="40" t="str">
        <f>[1]!f_info_fundmanager(A65)</f>
        <v>黄华,蒋雯文</v>
      </c>
      <c r="G65" s="37">
        <v>20170405</v>
      </c>
      <c r="H65" s="41">
        <f>[1]!f_netasset_total(A65,$E$1,100000000)</f>
        <v>95.90548736209999</v>
      </c>
      <c r="I65" s="41">
        <f>[1]!f_prt_convertiblebondtonav(A65,$E$1)</f>
        <v>0.45830294489860535</v>
      </c>
      <c r="J65" s="41">
        <f>[1]!f_prt_stocktonav(A65,$E$1)+0.5*I65</f>
        <v>20.255421385169029</v>
      </c>
      <c r="K65" s="42">
        <v>14.364516962398699</v>
      </c>
      <c r="L65" s="59">
        <f>VLOOKUP(A65,二级筛选!A:Q,12,0)/100</f>
        <v>6.671741912322382E-2</v>
      </c>
      <c r="M65" s="63">
        <v>79</v>
      </c>
      <c r="N65" s="48">
        <f>VLOOKUP(A65,二级筛选!A:U,19,0)</f>
        <v>0.72864914243793577</v>
      </c>
      <c r="O65" s="65">
        <v>101</v>
      </c>
      <c r="P65" s="48">
        <f>VLOOKUP(A65,二级筛选!A:Z,24,0)</f>
        <v>1.553866182838072</v>
      </c>
      <c r="Q65" s="67">
        <v>126</v>
      </c>
      <c r="R65" s="48">
        <f>VLOOKUP(A65,二级筛选!A:AE,29,0)</f>
        <v>0.96638655462184875</v>
      </c>
      <c r="S65" s="67">
        <v>106</v>
      </c>
      <c r="T65" s="50">
        <f>VLOOKUP(A65,二级筛选!A:AJ,34,0)</f>
        <v>-4.2936399453244567</v>
      </c>
      <c r="U65" s="66">
        <v>133</v>
      </c>
      <c r="V65" s="49">
        <f>VLOOKUP(A65,二级筛选!A:AR,39,0)/100</f>
        <v>9.5389888159749248E-2</v>
      </c>
      <c r="W65" s="66">
        <v>60</v>
      </c>
      <c r="X65" s="48">
        <f>VLOOKUP(A65,二级筛选!A:AV,46,0)</f>
        <v>1.5069672113313313</v>
      </c>
      <c r="Y65" s="66">
        <v>30</v>
      </c>
      <c r="Z65" s="48">
        <f>VLOOKUP(A65,二级筛选!A:BA,51,0)</f>
        <v>2.7091628141974069</v>
      </c>
      <c r="AA65" s="66">
        <v>66</v>
      </c>
      <c r="AB65" s="48">
        <f>VLOOKUP(A65,二级筛选!A:BF,56,0)</f>
        <v>1</v>
      </c>
      <c r="AC65" s="66">
        <v>64</v>
      </c>
      <c r="AD65" s="48">
        <f>VLOOKUP(A65,二级筛选!A:BK,61,0)</f>
        <v>-3.5210097990367046</v>
      </c>
      <c r="AE65" s="66">
        <v>111</v>
      </c>
      <c r="AF65">
        <f>(M65+O65+Q65+S65+U65)+(W65+Y65+AA65+AC65+AE65)*2</f>
        <v>1207</v>
      </c>
      <c r="AG65" s="69">
        <f>(W65+Y65+AE65+U65)+(M65+O65+S65+AC65)</f>
        <v>684</v>
      </c>
    </row>
    <row r="66" spans="1:33" x14ac:dyDescent="0.35">
      <c r="A66" s="39" t="s">
        <v>141</v>
      </c>
      <c r="B66" s="39" t="s">
        <v>142</v>
      </c>
      <c r="C66" s="37">
        <v>20150116</v>
      </c>
      <c r="D66" s="37" t="str">
        <f>[1]!f_info_regulopenfundornot(A66)</f>
        <v>否</v>
      </c>
      <c r="E66" s="37" t="str">
        <f>[1]!f_dq_status(A66,$E$1)</f>
        <v>暂停大额申购|开放赎回</v>
      </c>
      <c r="F66" s="40" t="str">
        <f>[1]!f_info_fundmanager(A66)</f>
        <v>姚秋</v>
      </c>
      <c r="G66" s="37">
        <v>20150611</v>
      </c>
      <c r="H66" s="41">
        <f>[1]!f_netasset_total(A66,$E$1,100000000)</f>
        <v>23.592101034499997</v>
      </c>
      <c r="I66" s="41">
        <f>[1]!f_prt_convertiblebondtonav(A66,$E$1)</f>
        <v>20.202695846557617</v>
      </c>
      <c r="J66" s="41">
        <f>[1]!f_prt_stocktonav(A66,$E$1)+0.5*I66</f>
        <v>32.509869575500488</v>
      </c>
      <c r="K66" s="42">
        <v>0</v>
      </c>
      <c r="L66" s="59">
        <f>VLOOKUP(A66,二级筛选!A:Q,12,0)/100</f>
        <v>4.272612858516589E-2</v>
      </c>
      <c r="M66" s="63">
        <v>136</v>
      </c>
      <c r="N66" s="48">
        <f>VLOOKUP(A66,二级筛选!A:U,19,0)</f>
        <v>0.34482200512995598</v>
      </c>
      <c r="O66" s="65">
        <v>133</v>
      </c>
      <c r="P66" s="48">
        <f>VLOOKUP(A66,二级筛选!A:Z,24,0)</f>
        <v>1.7692686389361953</v>
      </c>
      <c r="Q66" s="67">
        <v>110</v>
      </c>
      <c r="R66" s="48">
        <f>VLOOKUP(A66,二级筛选!A:AE,29,0)</f>
        <v>0.81512605042016806</v>
      </c>
      <c r="S66" s="67">
        <v>146</v>
      </c>
      <c r="T66" s="50">
        <f>VLOOKUP(A66,二级筛选!A:AJ,34,0)</f>
        <v>-2.4149034038638555</v>
      </c>
      <c r="U66" s="66">
        <v>73</v>
      </c>
      <c r="V66" s="49">
        <f>VLOOKUP(A66,二级筛选!A:AR,39,0)/100</f>
        <v>0.11426720293773339</v>
      </c>
      <c r="W66" s="66">
        <v>38</v>
      </c>
      <c r="X66" s="48">
        <f>VLOOKUP(A66,二级筛选!A:AV,46,0)</f>
        <v>1.8480110915945689</v>
      </c>
      <c r="Y66" s="66">
        <v>13</v>
      </c>
      <c r="Z66" s="48">
        <f>VLOOKUP(A66,二级筛选!A:BA,51,0)</f>
        <v>3.3109618802445717</v>
      </c>
      <c r="AA66" s="66">
        <v>38</v>
      </c>
      <c r="AB66" s="48">
        <f>VLOOKUP(A66,二级筛选!A:BF,56,0)</f>
        <v>1</v>
      </c>
      <c r="AC66" s="66">
        <v>38</v>
      </c>
      <c r="AD66" s="48">
        <f>VLOOKUP(A66,二级筛选!A:BK,61,0)</f>
        <v>-3.4511784511784467</v>
      </c>
      <c r="AE66" s="66">
        <v>107</v>
      </c>
      <c r="AF66">
        <f>(M66+O66+Q66+S66+U66)+(W66+Y66+AA66+AC66+AE66)*2</f>
        <v>1066</v>
      </c>
      <c r="AG66" s="69">
        <f>(W66+Y66+AE66+U66)+(M66+O66+S66+AC66)</f>
        <v>684</v>
      </c>
    </row>
    <row r="67" spans="1:33" hidden="1" x14ac:dyDescent="0.35">
      <c r="A67" s="43" t="s">
        <v>235</v>
      </c>
      <c r="B67" s="43" t="s">
        <v>236</v>
      </c>
      <c r="C67" s="44">
        <v>20160525</v>
      </c>
      <c r="D67" s="44" t="str">
        <f>[1]!f_info_regulopenfundornot(A67)</f>
        <v>是</v>
      </c>
      <c r="E67" s="44" t="str">
        <f>[1]!f_dq_status(A67,$E$1)</f>
        <v>暂停申购|暂停赎回</v>
      </c>
      <c r="F67" s="40" t="str">
        <f>[1]!f_info_fundmanager(A67)</f>
        <v>张明凯</v>
      </c>
      <c r="G67" s="44">
        <v>20190319</v>
      </c>
      <c r="H67" s="45">
        <f>[1]!f_netasset_total(A67,$E$1,100000000)</f>
        <v>5.3499331241000005</v>
      </c>
      <c r="I67" s="45">
        <f>[1]!f_prt_convertiblebondtonav(A67,$E$1)</f>
        <v>3.4691693782806396</v>
      </c>
      <c r="J67" s="45">
        <f>[1]!f_prt_stocktonav(A67,$E$1)+0.5*I67</f>
        <v>14.643396258354187</v>
      </c>
      <c r="K67" s="46">
        <v>0</v>
      </c>
      <c r="L67" s="59">
        <f>VLOOKUP(A67,二级筛选!A:Q,12,0)/100</f>
        <v>6.5243786224286504E-2</v>
      </c>
      <c r="M67" s="63">
        <v>81</v>
      </c>
      <c r="N67" s="48">
        <f>VLOOKUP(A67,二级筛选!A:U,19,0)</f>
        <v>0.93047789014141813</v>
      </c>
      <c r="O67" s="65">
        <v>81</v>
      </c>
      <c r="P67" s="48">
        <f>VLOOKUP(A67,二级筛选!A:Z,24,0)</f>
        <v>2.2202658160567768</v>
      </c>
      <c r="Q67" s="67">
        <v>88</v>
      </c>
      <c r="R67" s="48">
        <f>VLOOKUP(A67,二级筛选!A:AE,29,0)</f>
        <v>1</v>
      </c>
      <c r="S67" s="67">
        <v>75</v>
      </c>
      <c r="T67" s="50">
        <f>VLOOKUP(A67,二级筛选!A:AJ,34,0)</f>
        <v>-2.9385574354407882</v>
      </c>
      <c r="U67" s="66">
        <v>92</v>
      </c>
      <c r="V67" s="49">
        <f>VLOOKUP(A67,二级筛选!A:AR,39,0)/100</f>
        <v>7.9856040880246448E-2</v>
      </c>
      <c r="W67" s="66">
        <v>83</v>
      </c>
      <c r="X67" s="48">
        <f>VLOOKUP(A67,二级筛选!A:AV,46,0)</f>
        <v>1.0232859072376785</v>
      </c>
      <c r="Y67" s="66">
        <v>85</v>
      </c>
      <c r="Z67" s="48">
        <f>VLOOKUP(A67,二级筛选!A:BA,51,0)</f>
        <v>2.5782093198479559</v>
      </c>
      <c r="AA67" s="66">
        <v>75</v>
      </c>
      <c r="AB67" s="48">
        <f>VLOOKUP(A67,二级筛选!A:BF,56,0)</f>
        <v>1</v>
      </c>
      <c r="AC67" s="66">
        <v>73</v>
      </c>
      <c r="AD67" s="48">
        <f>VLOOKUP(A67,二级筛选!A:BK,61,0)</f>
        <v>-3.0973451327433636</v>
      </c>
      <c r="AE67" s="66">
        <v>93</v>
      </c>
      <c r="AF67">
        <f>(M67+O67+Q67+S67+U67)+(W67+Y67+AA67+AC67+AE67)*2</f>
        <v>1235</v>
      </c>
      <c r="AG67" s="69">
        <f>(W67+Y67+AE67)*2+(M67+O67+S67)</f>
        <v>759</v>
      </c>
    </row>
    <row r="68" spans="1:33" hidden="1" x14ac:dyDescent="0.35">
      <c r="A68" s="43" t="s">
        <v>23</v>
      </c>
      <c r="B68" s="43" t="s">
        <v>24</v>
      </c>
      <c r="C68" s="44">
        <v>20060523</v>
      </c>
      <c r="D68" s="44" t="str">
        <f>[1]!f_info_regulopenfundornot(A68)</f>
        <v>否</v>
      </c>
      <c r="E68" s="44" t="str">
        <f>[1]!f_dq_status(A68,$E$1)</f>
        <v>开放申购|开放赎回</v>
      </c>
      <c r="F68" s="40" t="str">
        <f>[1]!f_info_fundmanager(A68)</f>
        <v>蔡若林</v>
      </c>
      <c r="G68" s="44">
        <v>20160130</v>
      </c>
      <c r="H68" s="45">
        <f>[1]!f_netasset_total(A68,$E$1,100000000)</f>
        <v>1.3341399078</v>
      </c>
      <c r="I68" s="45">
        <f>[1]!f_prt_convertiblebondtonav(A68,$E$1)</f>
        <v>12.457004547119141</v>
      </c>
      <c r="J68" s="45">
        <f>[1]!f_prt_stocktonav(A68,$E$1)+0.5*I68</f>
        <v>7.3828788995742798</v>
      </c>
      <c r="K68" s="46">
        <v>19.199635548148169</v>
      </c>
      <c r="L68" s="59">
        <f>VLOOKUP(A68,二级筛选!A:Q,12,0)/100</f>
        <v>5.4091811815727864E-2</v>
      </c>
      <c r="M68" s="63">
        <v>106</v>
      </c>
      <c r="N68" s="48">
        <f>VLOOKUP(A68,二级筛选!A:U,19,0)</f>
        <v>1.3342805329577434</v>
      </c>
      <c r="O68" s="65">
        <v>41</v>
      </c>
      <c r="P68" s="48">
        <f>VLOOKUP(A68,二级筛选!A:Z,24,0)</f>
        <v>4.4008129284706134</v>
      </c>
      <c r="Q68" s="67">
        <v>40</v>
      </c>
      <c r="R68" s="48">
        <f>VLOOKUP(A68,二级筛选!A:AE,29,0)</f>
        <v>1</v>
      </c>
      <c r="S68" s="67">
        <v>39</v>
      </c>
      <c r="T68" s="50">
        <f>VLOOKUP(A68,二级筛选!A:AJ,34,0)</f>
        <v>-1.2291322693083899</v>
      </c>
      <c r="U68" s="66">
        <v>32</v>
      </c>
      <c r="V68" s="49">
        <f>VLOOKUP(A68,二级筛选!A:AR,39,0)/100</f>
        <v>4.4653031013077271E-2</v>
      </c>
      <c r="W68" s="66">
        <v>147</v>
      </c>
      <c r="X68" s="48">
        <f>VLOOKUP(A68,二级筛选!A:AV,46,0)</f>
        <v>0.72870555694153527</v>
      </c>
      <c r="Y68" s="66">
        <v>118</v>
      </c>
      <c r="Z68" s="48">
        <f>VLOOKUP(A68,二级筛选!A:BA,51,0)</f>
        <v>2.7545499824945847</v>
      </c>
      <c r="AA68" s="66">
        <v>65</v>
      </c>
      <c r="AB68" s="48">
        <f>VLOOKUP(A68,二级筛选!A:BF,56,0)</f>
        <v>1</v>
      </c>
      <c r="AC68" s="66">
        <v>63</v>
      </c>
      <c r="AD68" s="48">
        <f>VLOOKUP(A68,二级筛选!A:BK,61,0)</f>
        <v>-1.6210644677661084</v>
      </c>
      <c r="AE68" s="66">
        <v>22</v>
      </c>
      <c r="AF68">
        <f>(M68+O68+Q68+S68+U68)+(W68+Y68+AA68+AC68+AE68)*2</f>
        <v>1088</v>
      </c>
      <c r="AG68" s="69">
        <f>(W68+Y68+AE68)*2+(M68+O68+S68)</f>
        <v>760</v>
      </c>
    </row>
    <row r="69" spans="1:33" x14ac:dyDescent="0.35">
      <c r="A69" s="43" t="s">
        <v>89</v>
      </c>
      <c r="B69" s="43" t="s">
        <v>90</v>
      </c>
      <c r="C69" s="44">
        <v>20110315</v>
      </c>
      <c r="D69" s="44" t="str">
        <f>[1]!f_info_regulopenfundornot(A69)</f>
        <v>否</v>
      </c>
      <c r="E69" s="44" t="str">
        <f>[1]!f_dq_status(A69,$E$1)</f>
        <v>开放申购|开放赎回</v>
      </c>
      <c r="F69" s="40" t="str">
        <f>[1]!f_info_fundmanager(A69)</f>
        <v>张永志</v>
      </c>
      <c r="G69" s="44">
        <v>20110315</v>
      </c>
      <c r="H69" s="45">
        <f>[1]!f_netasset_total(A69,$E$1,100000000)</f>
        <v>57.092019120600007</v>
      </c>
      <c r="I69" s="45">
        <f>[1]!f_prt_convertiblebondtonav(A69,$E$1)</f>
        <v>29.997520446777344</v>
      </c>
      <c r="J69" s="45">
        <f>[1]!f_prt_stocktonav(A69,$E$1)+0.5*I69</f>
        <v>34.227504730224609</v>
      </c>
      <c r="K69" s="46">
        <v>10.12664307385463</v>
      </c>
      <c r="L69" s="59">
        <f>VLOOKUP(A69,二级筛选!A:Q,12,0)/100</f>
        <v>0.2027270622018269</v>
      </c>
      <c r="M69" s="63">
        <v>4</v>
      </c>
      <c r="N69" s="48">
        <f>VLOOKUP(A69,二级筛选!A:U,19,0)</f>
        <v>1.547072071370847</v>
      </c>
      <c r="O69" s="65">
        <v>30</v>
      </c>
      <c r="P69" s="48">
        <f>VLOOKUP(A69,二级筛选!A:Z,24,0)</f>
        <v>2.2665550233056697</v>
      </c>
      <c r="Q69" s="67">
        <v>83</v>
      </c>
      <c r="R69" s="48">
        <f>VLOOKUP(A69,二级筛选!A:AE,29,0)</f>
        <v>1</v>
      </c>
      <c r="S69" s="67">
        <v>70</v>
      </c>
      <c r="T69" s="50">
        <f>VLOOKUP(A69,二级筛选!A:AJ,34,0)</f>
        <v>-8.9442815249266925</v>
      </c>
      <c r="U69" s="66">
        <v>192</v>
      </c>
      <c r="V69" s="49">
        <f>VLOOKUP(A69,二级筛选!A:AR,39,0)/100</f>
        <v>0.13818297878846675</v>
      </c>
      <c r="W69" s="66">
        <v>18</v>
      </c>
      <c r="X69" s="48">
        <f>VLOOKUP(A69,二级筛选!A:AV,46,0)</f>
        <v>1.0956724505581239</v>
      </c>
      <c r="Y69" s="66">
        <v>75</v>
      </c>
      <c r="Z69" s="48">
        <f>VLOOKUP(A69,二级筛选!A:BA,51,0)</f>
        <v>1.8588614624848532</v>
      </c>
      <c r="AA69" s="66">
        <v>125</v>
      </c>
      <c r="AB69" s="48">
        <f>VLOOKUP(A69,二级筛选!A:BF,56,0)</f>
        <v>1</v>
      </c>
      <c r="AC69" s="66">
        <v>117</v>
      </c>
      <c r="AD69" s="48">
        <f>VLOOKUP(A69,二级筛选!A:BK,61,0)</f>
        <v>-7.4337427278603734</v>
      </c>
      <c r="AE69" s="66">
        <v>181</v>
      </c>
      <c r="AF69">
        <f>(M69+O69+Q69+S69+U69)+(W69+Y69+AA69+AC69+AE69)*2</f>
        <v>1411</v>
      </c>
      <c r="AG69" s="69">
        <f>(W69+Y69+AE69+U69)+(M69+O69+S69+AC69)</f>
        <v>687</v>
      </c>
    </row>
    <row r="70" spans="1:33" x14ac:dyDescent="0.35">
      <c r="A70" s="39" t="s">
        <v>267</v>
      </c>
      <c r="B70" s="39" t="s">
        <v>268</v>
      </c>
      <c r="C70" s="37">
        <v>20020920</v>
      </c>
      <c r="D70" s="37" t="str">
        <f>[1]!f_info_regulopenfundornot(A70)</f>
        <v>否</v>
      </c>
      <c r="E70" s="37" t="str">
        <f>[1]!f_dq_status(A70,$E$1)</f>
        <v>开放申购|开放赎回</v>
      </c>
      <c r="F70" s="40" t="str">
        <f>[1]!f_info_fundmanager(A70)</f>
        <v>林乐峰</v>
      </c>
      <c r="G70" s="37">
        <v>20160330</v>
      </c>
      <c r="H70" s="41">
        <f>[1]!f_netasset_total(A70,$E$1,100000000)</f>
        <v>173.1128148658</v>
      </c>
      <c r="I70" s="41">
        <f>[1]!f_prt_convertiblebondtonav(A70,$E$1)</f>
        <v>1.4902511835098267</v>
      </c>
      <c r="J70" s="41">
        <f>[1]!f_prt_stocktonav(A70,$E$1)+0.5*I70</f>
        <v>27.282933056354523</v>
      </c>
      <c r="K70" s="42">
        <v>1.158435325284624</v>
      </c>
      <c r="L70" s="59">
        <f>VLOOKUP(A70,二级筛选!A:Q,12,0)/100</f>
        <v>6.4238205587705322E-2</v>
      </c>
      <c r="M70" s="63">
        <v>85</v>
      </c>
      <c r="N70" s="48">
        <f>VLOOKUP(A70,二级筛选!A:U,19,0)</f>
        <v>0.74323668382732211</v>
      </c>
      <c r="O70" s="65">
        <v>97</v>
      </c>
      <c r="P70" s="48">
        <f>VLOOKUP(A70,二级筛选!A:Z,24,0)</f>
        <v>2.133057004921985</v>
      </c>
      <c r="Q70" s="67">
        <v>92</v>
      </c>
      <c r="R70" s="48">
        <f>VLOOKUP(A70,二级筛选!A:AE,29,0)</f>
        <v>0.84033613445378152</v>
      </c>
      <c r="S70" s="67">
        <v>142</v>
      </c>
      <c r="T70" s="50">
        <f>VLOOKUP(A70,二级筛选!A:AJ,34,0)</f>
        <v>-3.0115559705847987</v>
      </c>
      <c r="U70" s="66">
        <v>94</v>
      </c>
      <c r="V70" s="49">
        <f>VLOOKUP(A70,二级筛选!A:AR,39,0)/100</f>
        <v>0.12332140782173064</v>
      </c>
      <c r="W70" s="66">
        <v>29</v>
      </c>
      <c r="X70" s="48">
        <f>VLOOKUP(A70,二级筛选!A:AV,46,0)</f>
        <v>1.663720807977495</v>
      </c>
      <c r="Y70" s="66">
        <v>22</v>
      </c>
      <c r="Z70" s="48">
        <f>VLOOKUP(A70,二级筛选!A:BA,51,0)</f>
        <v>2.6561892641224998</v>
      </c>
      <c r="AA70" s="66">
        <v>71</v>
      </c>
      <c r="AB70" s="48">
        <f>VLOOKUP(A70,二级筛选!A:BF,56,0)</f>
        <v>1</v>
      </c>
      <c r="AC70" s="66">
        <v>69</v>
      </c>
      <c r="AD70" s="48">
        <f>VLOOKUP(A70,二级筛选!A:BK,61,0)</f>
        <v>-4.6427944532209819</v>
      </c>
      <c r="AE70" s="66">
        <v>149</v>
      </c>
      <c r="AF70">
        <f>(M70+O70+Q70+S70+U70)+(W70+Y70+AA70+AC70+AE70)*2</f>
        <v>1190</v>
      </c>
      <c r="AG70" s="69">
        <f>(W70+Y70+AE70+U70)+(M70+O70+S70+AC70)</f>
        <v>687</v>
      </c>
    </row>
    <row r="71" spans="1:33" x14ac:dyDescent="0.35">
      <c r="A71" s="43" t="s">
        <v>41</v>
      </c>
      <c r="B71" s="43" t="s">
        <v>42</v>
      </c>
      <c r="C71" s="44">
        <v>20080927</v>
      </c>
      <c r="D71" s="44" t="str">
        <f>[1]!f_info_regulopenfundornot(A71)</f>
        <v>否</v>
      </c>
      <c r="E71" s="44" t="str">
        <f>[1]!f_dq_status(A71,$E$1)</f>
        <v>开放申购|开放赎回</v>
      </c>
      <c r="F71" s="40" t="str">
        <f>[1]!f_info_fundmanager(A71)</f>
        <v>宋海娟,韩海平</v>
      </c>
      <c r="G71" s="44">
        <v>20140211</v>
      </c>
      <c r="H71" s="45">
        <f>[1]!f_netasset_total(A71,$E$1,100000000)</f>
        <v>20.1257658165</v>
      </c>
      <c r="I71" s="45">
        <f>[1]!f_prt_convertiblebondtonav(A71,$E$1)</f>
        <v>1.113016065210104E-2</v>
      </c>
      <c r="J71" s="45">
        <f>[1]!f_prt_stocktonav(A71,$E$1)+0.5*I71</f>
        <v>16.346949968021363</v>
      </c>
      <c r="K71" s="46">
        <v>20.078242173955388</v>
      </c>
      <c r="L71" s="59">
        <f>VLOOKUP(A71,二级筛选!A:Q,12,0)/100</f>
        <v>5.9382968099290334E-2</v>
      </c>
      <c r="M71" s="63">
        <v>95</v>
      </c>
      <c r="N71" s="48">
        <f>VLOOKUP(A71,二级筛选!A:U,19,0)</f>
        <v>0.51434142926144844</v>
      </c>
      <c r="O71" s="65">
        <v>116</v>
      </c>
      <c r="P71" s="48">
        <f>VLOOKUP(A71,二级筛选!A:Z,24,0)</f>
        <v>1.1547703335000485</v>
      </c>
      <c r="Q71" s="67">
        <v>147</v>
      </c>
      <c r="R71" s="48">
        <f>VLOOKUP(A71,二级筛选!A:AE,29,0)</f>
        <v>0.84873949579831931</v>
      </c>
      <c r="S71" s="67">
        <v>140</v>
      </c>
      <c r="T71" s="50">
        <f>VLOOKUP(A71,二级筛选!A:AJ,34,0)</f>
        <v>-5.1424050632911271</v>
      </c>
      <c r="U71" s="66">
        <v>158</v>
      </c>
      <c r="V71" s="49">
        <f>VLOOKUP(A71,二级筛选!A:AR,39,0)/100</f>
        <v>0.10736837463452709</v>
      </c>
      <c r="W71" s="66">
        <v>45</v>
      </c>
      <c r="X71" s="48">
        <f>VLOOKUP(A71,二级筛选!A:AV,46,0)</f>
        <v>1.8902029725050715</v>
      </c>
      <c r="Y71" s="66">
        <v>12</v>
      </c>
      <c r="Z71" s="48">
        <f>VLOOKUP(A71,二级筛选!A:BA,51,0)</f>
        <v>3.4706101638620273</v>
      </c>
      <c r="AA71" s="66">
        <v>32</v>
      </c>
      <c r="AB71" s="48">
        <f>VLOOKUP(A71,二级筛选!A:BF,56,0)</f>
        <v>1</v>
      </c>
      <c r="AC71" s="66">
        <v>32</v>
      </c>
      <c r="AD71" s="48">
        <f>VLOOKUP(A71,二级筛选!A:BK,61,0)</f>
        <v>-3.0936454849498181</v>
      </c>
      <c r="AE71" s="66">
        <v>91</v>
      </c>
      <c r="AF71">
        <f>(M71+O71+Q71+S71+U71)+(W71+Y71+AA71+AC71+AE71)*2</f>
        <v>1080</v>
      </c>
      <c r="AG71" s="69">
        <f>(W71+Y71+AE71+U71)+(M71+O71+S71+AC71)</f>
        <v>689</v>
      </c>
    </row>
    <row r="72" spans="1:33" hidden="1" x14ac:dyDescent="0.35">
      <c r="A72" s="43" t="s">
        <v>395</v>
      </c>
      <c r="B72" s="43" t="s">
        <v>396</v>
      </c>
      <c r="C72" s="44">
        <v>20190411</v>
      </c>
      <c r="D72" s="44" t="str">
        <f>[1]!f_info_regulopenfundornot(A72)</f>
        <v>否</v>
      </c>
      <c r="E72" s="44" t="str">
        <f>[1]!f_dq_status(A72,$E$1)</f>
        <v>开放申购|开放赎回</v>
      </c>
      <c r="F72" s="40" t="str">
        <f>[1]!f_info_fundmanager(A72)</f>
        <v>姚秋,姚海明</v>
      </c>
      <c r="G72" s="44">
        <v>20190411</v>
      </c>
      <c r="H72" s="45">
        <f>[1]!f_netasset_total(A72,$E$1,100000000)</f>
        <v>0.38672936539999997</v>
      </c>
      <c r="I72" s="45">
        <f>[1]!f_prt_convertiblebondtonav(A72,$E$1)</f>
        <v>16.731220245361328</v>
      </c>
      <c r="J72" s="45">
        <f>[1]!f_prt_stocktonav(A72,$E$1)+0.5*I72</f>
        <v>22.140752792358398</v>
      </c>
      <c r="K72" s="46">
        <v>0</v>
      </c>
      <c r="L72" s="59">
        <f>VLOOKUP(A72,二级筛选!A:Q,12,0)/100</f>
        <v>2.8350639341629957E-2</v>
      </c>
      <c r="M72" s="63">
        <v>166</v>
      </c>
      <c r="N72" s="48">
        <f>VLOOKUP(A72,二级筛选!A:U,19,0)</f>
        <v>-7.8938216998638275E-2</v>
      </c>
      <c r="O72" s="65">
        <v>167</v>
      </c>
      <c r="P72" s="48">
        <f>VLOOKUP(A72,二级筛选!A:Z,24,0)</f>
        <v>2.181535970500768</v>
      </c>
      <c r="Q72" s="67">
        <v>89</v>
      </c>
      <c r="R72" s="48">
        <f>VLOOKUP(A72,二级筛选!A:AE,29,0)</f>
        <v>0.89915966386554624</v>
      </c>
      <c r="S72" s="67">
        <v>130</v>
      </c>
      <c r="T72" s="50">
        <f>VLOOKUP(A72,二级筛选!A:AJ,34,0)</f>
        <v>-1.2995723987591237</v>
      </c>
      <c r="U72" s="66">
        <v>34</v>
      </c>
      <c r="V72" s="49">
        <f>VLOOKUP(A72,二级筛选!A:AR,39,0)/100</f>
        <v>8.522243678474585E-2</v>
      </c>
      <c r="W72" s="66">
        <v>71</v>
      </c>
      <c r="X72" s="48">
        <f>VLOOKUP(A72,二级筛选!A:AV,46,0)</f>
        <v>1.7674821753446235</v>
      </c>
      <c r="Y72" s="66">
        <v>15</v>
      </c>
      <c r="Z72" s="48">
        <f>VLOOKUP(A72,二级筛选!A:BA,51,0)</f>
        <v>3.1764218405540712</v>
      </c>
      <c r="AA72" s="66">
        <v>42</v>
      </c>
      <c r="AB72" s="48">
        <f>VLOOKUP(A72,二级筛选!A:BF,56,0)</f>
        <v>1</v>
      </c>
      <c r="AC72" s="66">
        <v>42</v>
      </c>
      <c r="AD72" s="48">
        <f>VLOOKUP(A72,二级筛选!A:BK,61,0)</f>
        <v>-2.6829697396199834</v>
      </c>
      <c r="AE72" s="66">
        <v>69</v>
      </c>
      <c r="AF72">
        <f>(M72+O72+Q72+S72+U72)+(W72+Y72+AA72+AC72+AE72)*2</f>
        <v>1064</v>
      </c>
      <c r="AG72" s="69">
        <f>(W72+Y72+AE72)*2+(M72+O72+S72)</f>
        <v>773</v>
      </c>
    </row>
    <row r="73" spans="1:33" x14ac:dyDescent="0.35">
      <c r="A73" s="43" t="s">
        <v>295</v>
      </c>
      <c r="B73" s="43" t="s">
        <v>296</v>
      </c>
      <c r="C73" s="44">
        <v>20161111</v>
      </c>
      <c r="D73" s="44" t="str">
        <f>[1]!f_info_regulopenfundornot(A73)</f>
        <v>否</v>
      </c>
      <c r="E73" s="44" t="str">
        <f>[1]!f_dq_status(A73,$E$1)</f>
        <v>开放申购|开放赎回</v>
      </c>
      <c r="F73" s="40" t="str">
        <f>[1]!f_info_fundmanager(A73)</f>
        <v>郑迎迎</v>
      </c>
      <c r="G73" s="44">
        <v>20180209</v>
      </c>
      <c r="H73" s="45">
        <f>[1]!f_netasset_total(A73,$E$1,100000000)</f>
        <v>10.2829174579</v>
      </c>
      <c r="I73" s="45">
        <f>[1]!f_prt_convertiblebondtonav(A73,$E$1)</f>
        <v>10.659097671508789</v>
      </c>
      <c r="J73" s="45">
        <f>[1]!f_prt_stocktonav(A73,$E$1)+0.5*I73</f>
        <v>13.437869071960449</v>
      </c>
      <c r="K73" s="46">
        <v>15.725303705104629</v>
      </c>
      <c r="L73" s="59">
        <f>VLOOKUP(A73,二级筛选!A:Q,12,0)/100</f>
        <v>3.7600582577161257E-2</v>
      </c>
      <c r="M73" s="63">
        <v>151</v>
      </c>
      <c r="N73" s="48">
        <f>VLOOKUP(A73,二级筛选!A:U,19,0)</f>
        <v>0.22870367702701813</v>
      </c>
      <c r="O73" s="65">
        <v>150</v>
      </c>
      <c r="P73" s="48">
        <f>VLOOKUP(A73,二级筛选!A:Z,24,0)</f>
        <v>2.2689244329279523</v>
      </c>
      <c r="Q73" s="67">
        <v>82</v>
      </c>
      <c r="R73" s="48">
        <f>VLOOKUP(A73,二级筛选!A:AE,29,0)</f>
        <v>0.81512605042016806</v>
      </c>
      <c r="S73" s="67">
        <v>145</v>
      </c>
      <c r="T73" s="50">
        <f>VLOOKUP(A73,二级筛选!A:AJ,34,0)</f>
        <v>-1.6571985400430138</v>
      </c>
      <c r="U73" s="66">
        <v>48</v>
      </c>
      <c r="V73" s="49">
        <f>VLOOKUP(A73,二级筛选!A:AR,39,0)/100</f>
        <v>7.9074218598831125E-2</v>
      </c>
      <c r="W73" s="66">
        <v>86</v>
      </c>
      <c r="X73" s="48">
        <f>VLOOKUP(A73,二级筛选!A:AV,46,0)</f>
        <v>1.2231401478961497</v>
      </c>
      <c r="Y73" s="66">
        <v>51</v>
      </c>
      <c r="Z73" s="48">
        <f>VLOOKUP(A73,二级筛选!A:BA,51,0)</f>
        <v>3.9401850767601161</v>
      </c>
      <c r="AA73" s="66">
        <v>25</v>
      </c>
      <c r="AB73" s="48">
        <f>VLOOKUP(A73,二级筛选!A:BF,56,0)</f>
        <v>1</v>
      </c>
      <c r="AC73" s="66">
        <v>25</v>
      </c>
      <c r="AD73" s="48">
        <f>VLOOKUP(A73,二级筛选!A:BK,61,0)</f>
        <v>-2.0068655928175647</v>
      </c>
      <c r="AE73" s="66">
        <v>35</v>
      </c>
      <c r="AF73">
        <f>(M73+O73+Q73+S73+U73)+(W73+Y73+AA73+AC73+AE73)*2</f>
        <v>1020</v>
      </c>
      <c r="AG73" s="69">
        <f>(W73+Y73+AE73+U73)+(M73+O73+S73+AC73)</f>
        <v>691</v>
      </c>
    </row>
    <row r="74" spans="1:33" x14ac:dyDescent="0.35">
      <c r="A74" s="43" t="s">
        <v>129</v>
      </c>
      <c r="B74" s="43" t="s">
        <v>130</v>
      </c>
      <c r="C74" s="44">
        <v>20121129</v>
      </c>
      <c r="D74" s="44" t="str">
        <f>[1]!f_info_regulopenfundornot(A74)</f>
        <v>否</v>
      </c>
      <c r="E74" s="44" t="str">
        <f>[1]!f_dq_status(A74,$E$1)</f>
        <v>开放申购|开放赎回</v>
      </c>
      <c r="F74" s="40" t="str">
        <f>[1]!f_info_fundmanager(A74)</f>
        <v>裴禹翔,夏荣尧,曲泉儒</v>
      </c>
      <c r="G74" s="44">
        <v>20170830</v>
      </c>
      <c r="H74" s="45">
        <f>[1]!f_netasset_total(A74,$E$1,100000000)</f>
        <v>16.744384396800001</v>
      </c>
      <c r="I74" s="45">
        <f>[1]!f_prt_convertiblebondtonav(A74,$E$1)</f>
        <v>16.540004730224609</v>
      </c>
      <c r="J74" s="45">
        <f>[1]!f_prt_stocktonav(A74,$E$1)+0.5*I74</f>
        <v>18.586475372314453</v>
      </c>
      <c r="K74" s="46">
        <v>6.0620323563163359</v>
      </c>
      <c r="L74" s="59">
        <f>VLOOKUP(A74,二级筛选!A:Q,12,0)/100</f>
        <v>0.10776336050760937</v>
      </c>
      <c r="M74" s="63">
        <v>25</v>
      </c>
      <c r="N74" s="48">
        <f>VLOOKUP(A74,二级筛选!A:U,19,0)</f>
        <v>0.9517814860859517</v>
      </c>
      <c r="O74" s="65">
        <v>78</v>
      </c>
      <c r="P74" s="48">
        <f>VLOOKUP(A74,二级筛选!A:Z,24,0)</f>
        <v>1.7303521873911716</v>
      </c>
      <c r="Q74" s="67">
        <v>115</v>
      </c>
      <c r="R74" s="48">
        <f>VLOOKUP(A74,二级筛选!A:AE,29,0)</f>
        <v>0.96638655462184875</v>
      </c>
      <c r="S74" s="67">
        <v>105</v>
      </c>
      <c r="T74" s="50">
        <f>VLOOKUP(A74,二级筛选!A:AJ,34,0)</f>
        <v>-6.2278281434765441</v>
      </c>
      <c r="U74" s="66">
        <v>181</v>
      </c>
      <c r="V74" s="49">
        <f>VLOOKUP(A74,二级筛选!A:AR,39,0)/100</f>
        <v>0.18899143990754871</v>
      </c>
      <c r="W74" s="66">
        <v>6</v>
      </c>
      <c r="X74" s="48">
        <f>VLOOKUP(A74,二级筛选!A:AV,46,0)</f>
        <v>1.3765121704397927</v>
      </c>
      <c r="Y74" s="66">
        <v>37</v>
      </c>
      <c r="Z74" s="48">
        <f>VLOOKUP(A74,二级筛选!A:BA,51,0)</f>
        <v>2.4590862936807771</v>
      </c>
      <c r="AA74" s="66">
        <v>80</v>
      </c>
      <c r="AB74" s="48">
        <f>VLOOKUP(A74,二级筛选!A:BF,56,0)</f>
        <v>1</v>
      </c>
      <c r="AC74" s="66">
        <v>77</v>
      </c>
      <c r="AD74" s="48">
        <f>VLOOKUP(A74,二级筛选!A:BK,61,0)</f>
        <v>-7.6854334226988454</v>
      </c>
      <c r="AE74" s="66">
        <v>183</v>
      </c>
      <c r="AF74">
        <f>(M74+O74+Q74+S74+U74)+(W74+Y74+AA74+AC74+AE74)*2</f>
        <v>1270</v>
      </c>
      <c r="AG74" s="69">
        <f>(W74+Y74+AE74+U74)+(M74+O74+S74+AC74)</f>
        <v>692</v>
      </c>
    </row>
    <row r="75" spans="1:33" x14ac:dyDescent="0.35">
      <c r="A75" s="43" t="s">
        <v>385</v>
      </c>
      <c r="B75" s="43" t="s">
        <v>386</v>
      </c>
      <c r="C75" s="44">
        <v>20181212</v>
      </c>
      <c r="D75" s="44" t="str">
        <f>[1]!f_info_regulopenfundornot(A75)</f>
        <v>否</v>
      </c>
      <c r="E75" s="44" t="str">
        <f>[1]!f_dq_status(A75,$E$1)</f>
        <v>开放申购|开放赎回</v>
      </c>
      <c r="F75" s="40" t="str">
        <f>[1]!f_info_fundmanager(A75)</f>
        <v>杨爱斌,焦翠</v>
      </c>
      <c r="G75" s="44">
        <v>20181212</v>
      </c>
      <c r="H75" s="45">
        <f>[1]!f_netasset_total(A75,$E$1,100000000)</f>
        <v>56.047685114399997</v>
      </c>
      <c r="I75" s="45">
        <f>[1]!f_prt_convertiblebondtonav(A75,$E$1)</f>
        <v>5.618833065032959</v>
      </c>
      <c r="J75" s="45">
        <f>[1]!f_prt_stocktonav(A75,$E$1)+0.5*I75</f>
        <v>19.816021680831909</v>
      </c>
      <c r="K75" s="46">
        <v>0</v>
      </c>
      <c r="L75" s="59">
        <f>VLOOKUP(A75,二级筛选!A:Q,12,0)/100</f>
        <v>6.161000935645311E-2</v>
      </c>
      <c r="M75" s="63">
        <v>88</v>
      </c>
      <c r="N75" s="48">
        <f>VLOOKUP(A75,二级筛选!A:U,19,0)</f>
        <v>1.1918304924963723</v>
      </c>
      <c r="O75" s="65">
        <v>57</v>
      </c>
      <c r="P75" s="48">
        <f>VLOOKUP(A75,二级筛选!A:Z,24,0)</f>
        <v>6.2988374062976131</v>
      </c>
      <c r="Q75" s="67">
        <v>22</v>
      </c>
      <c r="R75" s="48">
        <f>VLOOKUP(A75,二级筛选!A:AE,29,0)</f>
        <v>1</v>
      </c>
      <c r="S75" s="67">
        <v>21</v>
      </c>
      <c r="T75" s="50">
        <f>VLOOKUP(A75,二级筛选!A:AJ,34,0)</f>
        <v>-0.97811715690351175</v>
      </c>
      <c r="U75" s="66">
        <v>23</v>
      </c>
      <c r="V75" s="49">
        <f>VLOOKUP(A75,二级筛选!A:AR,39,0)/100</f>
        <v>3.5706502459807998E-2</v>
      </c>
      <c r="W75" s="66">
        <v>161</v>
      </c>
      <c r="X75" s="48">
        <f>VLOOKUP(A75,二级筛选!A:AV,46,0)</f>
        <v>0.14695650440591121</v>
      </c>
      <c r="Y75" s="66">
        <v>160</v>
      </c>
      <c r="Z75" s="48">
        <f>VLOOKUP(A75,二级筛选!A:BA,51,0)</f>
        <v>1.4732582557673126</v>
      </c>
      <c r="AA75" s="66">
        <v>147</v>
      </c>
      <c r="AB75" s="48">
        <f>VLOOKUP(A75,二级筛选!A:BF,56,0)</f>
        <v>1</v>
      </c>
      <c r="AC75" s="66">
        <v>134</v>
      </c>
      <c r="AD75" s="48">
        <f>VLOOKUP(A75,二级筛选!A:BK,61,0)</f>
        <v>-2.423641769528798</v>
      </c>
      <c r="AE75" s="66">
        <v>56</v>
      </c>
      <c r="AF75">
        <f>(M75+O75+Q75+S75+U75)+(W75+Y75+AA75+AC75+AE75)*2</f>
        <v>1527</v>
      </c>
      <c r="AG75" s="69">
        <f>(W75+Y75+AE75+U75)+(M75+O75+S75+AC75)</f>
        <v>700</v>
      </c>
    </row>
    <row r="76" spans="1:33" x14ac:dyDescent="0.35">
      <c r="A76" s="43" t="s">
        <v>373</v>
      </c>
      <c r="B76" s="43" t="s">
        <v>374</v>
      </c>
      <c r="C76" s="44">
        <v>20180719</v>
      </c>
      <c r="D76" s="44" t="str">
        <f>[1]!f_info_regulopenfundornot(A76)</f>
        <v>是</v>
      </c>
      <c r="E76" s="44" t="str">
        <f>[1]!f_dq_status(A76,$E$1)</f>
        <v>暂停申购|暂停赎回</v>
      </c>
      <c r="F76" s="40" t="str">
        <f>[1]!f_info_fundmanager(A76)</f>
        <v>朱浩然</v>
      </c>
      <c r="G76" s="44">
        <v>20180719</v>
      </c>
      <c r="H76" s="45">
        <f>[1]!f_netasset_total(A76,$E$1,100000000)</f>
        <v>21.408652636599999</v>
      </c>
      <c r="I76" s="45">
        <f>[1]!f_prt_convertiblebondtonav(A76,$E$1)</f>
        <v>0</v>
      </c>
      <c r="J76" s="45">
        <f>[1]!f_prt_stocktonav(A76,$E$1)+0.5*I76</f>
        <v>0</v>
      </c>
      <c r="K76" s="46">
        <v>26.876282677235281</v>
      </c>
      <c r="L76" s="59">
        <f>VLOOKUP(A76,二级筛选!A:Q,12,0)/100</f>
        <v>7.4353206914807179E-2</v>
      </c>
      <c r="M76" s="63">
        <v>61</v>
      </c>
      <c r="N76" s="48">
        <f>VLOOKUP(A76,二级筛选!A:U,19,0)</f>
        <v>3.9370666679703459</v>
      </c>
      <c r="O76" s="65">
        <v>1</v>
      </c>
      <c r="P76" s="48">
        <f>VLOOKUP(A76,二级筛选!A:Z,24,0)</f>
        <v>8.9975290282547977</v>
      </c>
      <c r="Q76" s="67">
        <v>9</v>
      </c>
      <c r="R76" s="48">
        <f>VLOOKUP(A76,二级筛选!A:AE,29,0)</f>
        <v>1</v>
      </c>
      <c r="S76" s="67">
        <v>9</v>
      </c>
      <c r="T76" s="50">
        <f>VLOOKUP(A76,二级筛选!A:AJ,34,0)</f>
        <v>-0.82637362637360756</v>
      </c>
      <c r="U76" s="66">
        <v>17</v>
      </c>
      <c r="V76" s="49">
        <f>VLOOKUP(A76,二级筛选!A:AR,39,0)/100</f>
        <v>2.2366582645462874E-2</v>
      </c>
      <c r="W76" s="66">
        <v>184</v>
      </c>
      <c r="X76" s="48">
        <f>VLOOKUP(A76,二级筛选!A:AV,46,0)</f>
        <v>-0.57420720422175253</v>
      </c>
      <c r="Y76" s="66">
        <v>186</v>
      </c>
      <c r="Z76" s="48">
        <f>VLOOKUP(A76,二级筛选!A:BA,51,0)</f>
        <v>0.87100010968635955</v>
      </c>
      <c r="AA76" s="66">
        <v>174</v>
      </c>
      <c r="AB76" s="48">
        <f>VLOOKUP(A76,二级筛选!A:BF,56,0)</f>
        <v>0.76666666666666672</v>
      </c>
      <c r="AC76" s="66">
        <v>184</v>
      </c>
      <c r="AD76" s="48">
        <f>VLOOKUP(A76,二级筛选!A:BK,61,0)</f>
        <v>-2.5679196129512438</v>
      </c>
      <c r="AE76" s="66">
        <v>66</v>
      </c>
      <c r="AF76">
        <f>(M76+O76+Q76+S76+U76)+(W76+Y76+AA76+AC76+AE76)*2</f>
        <v>1685</v>
      </c>
      <c r="AG76" s="69">
        <f>(W76+Y76+AE76+U76)+(M76+O76+S76+AC76)</f>
        <v>708</v>
      </c>
    </row>
    <row r="77" spans="1:33" hidden="1" x14ac:dyDescent="0.35">
      <c r="A77" s="43" t="s">
        <v>367</v>
      </c>
      <c r="B77" s="43" t="s">
        <v>368</v>
      </c>
      <c r="C77" s="44">
        <v>20180327</v>
      </c>
      <c r="D77" s="44" t="str">
        <f>[1]!f_info_regulopenfundornot(A77)</f>
        <v>否</v>
      </c>
      <c r="E77" s="44" t="str">
        <f>[1]!f_dq_status(A77,$E$1)</f>
        <v>开放申购|开放赎回</v>
      </c>
      <c r="F77" s="40" t="str">
        <f>[1]!f_info_fundmanager(A77)</f>
        <v>张昆</v>
      </c>
      <c r="G77" s="44">
        <v>20210421</v>
      </c>
      <c r="H77" s="45">
        <f>[1]!f_netasset_total(A77,$E$1,100000000)</f>
        <v>4.4997592516000005</v>
      </c>
      <c r="I77" s="45">
        <f>[1]!f_prt_convertiblebondtonav(A77,$E$1)</f>
        <v>9.6834545135498047</v>
      </c>
      <c r="J77" s="45">
        <f>[1]!f_prt_stocktonav(A77,$E$1)+0.5*I77</f>
        <v>15.780247688293457</v>
      </c>
      <c r="K77" s="46">
        <v>21.06568256208261</v>
      </c>
      <c r="L77" s="59">
        <f>VLOOKUP(A77,二级筛选!A:Q,12,0)/100</f>
        <v>3.460773671199302E-2</v>
      </c>
      <c r="M77" s="63">
        <v>158</v>
      </c>
      <c r="N77" s="48">
        <f>VLOOKUP(A77,二级筛选!A:U,19,0)</f>
        <v>0.19117614288436305</v>
      </c>
      <c r="O77" s="65">
        <v>153</v>
      </c>
      <c r="P77" s="48">
        <f>VLOOKUP(A77,二级筛选!A:Z,24,0)</f>
        <v>1.7963510674185212</v>
      </c>
      <c r="Q77" s="67">
        <v>108</v>
      </c>
      <c r="R77" s="48">
        <f>VLOOKUP(A77,二级筛选!A:AE,29,0)</f>
        <v>0.82352941176470584</v>
      </c>
      <c r="S77" s="67">
        <v>144</v>
      </c>
      <c r="T77" s="50">
        <f>VLOOKUP(A77,二级筛选!A:AJ,34,0)</f>
        <v>-1.9265575276288667</v>
      </c>
      <c r="U77" s="66">
        <v>57</v>
      </c>
      <c r="V77" s="49">
        <f>VLOOKUP(A77,二级筛选!A:AR,39,0)/100</f>
        <v>8.0506199981863494E-2</v>
      </c>
      <c r="W77" s="66">
        <v>81</v>
      </c>
      <c r="X77" s="48">
        <f>VLOOKUP(A77,二级筛选!A:AV,46,0)</f>
        <v>1.4197229743956465</v>
      </c>
      <c r="Y77" s="66">
        <v>33</v>
      </c>
      <c r="Z77" s="48">
        <f>VLOOKUP(A77,二级筛选!A:BA,51,0)</f>
        <v>3.5129978173903935</v>
      </c>
      <c r="AA77" s="66">
        <v>31</v>
      </c>
      <c r="AB77" s="48">
        <f>VLOOKUP(A77,二级筛选!A:BF,56,0)</f>
        <v>1</v>
      </c>
      <c r="AC77" s="66">
        <v>31</v>
      </c>
      <c r="AD77" s="48">
        <f>VLOOKUP(A77,二级筛选!A:BK,61,0)</f>
        <v>-2.2916666666666754</v>
      </c>
      <c r="AE77" s="66">
        <v>50</v>
      </c>
      <c r="AF77">
        <f>(M77+O77+Q77+S77+U77)+(W77+Y77+AA77+AC77+AE77)*2</f>
        <v>1072</v>
      </c>
      <c r="AG77" s="69">
        <f>(W77+Y77+AE77)*2+(M77+O77+S77)</f>
        <v>783</v>
      </c>
    </row>
    <row r="78" spans="1:33" hidden="1" x14ac:dyDescent="0.35">
      <c r="A78" s="43" t="s">
        <v>131</v>
      </c>
      <c r="B78" s="43" t="s">
        <v>132</v>
      </c>
      <c r="C78" s="44">
        <v>20121226</v>
      </c>
      <c r="D78" s="44" t="str">
        <f>[1]!f_info_regulopenfundornot(A78)</f>
        <v>否</v>
      </c>
      <c r="E78" s="44" t="str">
        <f>[1]!f_dq_status(A78,$E$1)</f>
        <v>开放申购|开放赎回</v>
      </c>
      <c r="F78" s="40" t="str">
        <f>[1]!f_info_fundmanager(A78)</f>
        <v>王维</v>
      </c>
      <c r="G78" s="44">
        <v>20200512</v>
      </c>
      <c r="H78" s="45">
        <f>[1]!f_netasset_total(A78,$E$1,100000000)</f>
        <v>1.2612579910999999</v>
      </c>
      <c r="I78" s="45">
        <f>[1]!f_prt_convertiblebondtonav(A78,$E$1)</f>
        <v>0</v>
      </c>
      <c r="J78" s="45">
        <f>[1]!f_prt_stocktonav(A78,$E$1)+0.5*I78</f>
        <v>14.200032234191895</v>
      </c>
      <c r="K78" s="46">
        <v>24.278141519082901</v>
      </c>
      <c r="L78" s="59">
        <f>VLOOKUP(A78,二级筛选!A:Q,12,0)/100</f>
        <v>5.3923118070300591E-2</v>
      </c>
      <c r="M78" s="63">
        <v>107</v>
      </c>
      <c r="N78" s="48">
        <f>VLOOKUP(A78,二级筛选!A:U,19,0)</f>
        <v>0.58544875723801848</v>
      </c>
      <c r="O78" s="65">
        <v>112</v>
      </c>
      <c r="P78" s="48">
        <f>VLOOKUP(A78,二级筛选!A:Z,24,0)</f>
        <v>2.5124094801746248</v>
      </c>
      <c r="Q78" s="67">
        <v>71</v>
      </c>
      <c r="R78" s="48">
        <f>VLOOKUP(A78,二级筛选!A:AE,29,0)</f>
        <v>0.94117647058823528</v>
      </c>
      <c r="S78" s="67">
        <v>116</v>
      </c>
      <c r="T78" s="50">
        <f>VLOOKUP(A78,二级筛选!A:AJ,34,0)</f>
        <v>-2.1462710794481108</v>
      </c>
      <c r="U78" s="66">
        <v>61</v>
      </c>
      <c r="V78" s="49">
        <f>VLOOKUP(A78,二级筛选!A:AR,39,0)/100</f>
        <v>5.3397725126469897E-2</v>
      </c>
      <c r="W78" s="66">
        <v>131</v>
      </c>
      <c r="X78" s="48">
        <f>VLOOKUP(A78,二级筛选!A:AV,46,0)</f>
        <v>0.97466936418681116</v>
      </c>
      <c r="Y78" s="66">
        <v>88</v>
      </c>
      <c r="Z78" s="48">
        <f>VLOOKUP(A78,二级筛选!A:BA,51,0)</f>
        <v>4.7553407179557352</v>
      </c>
      <c r="AA78" s="66">
        <v>14</v>
      </c>
      <c r="AB78" s="48">
        <f>VLOOKUP(A78,二级筛选!A:BF,56,0)</f>
        <v>1</v>
      </c>
      <c r="AC78" s="66">
        <v>14</v>
      </c>
      <c r="AD78" s="48">
        <f>VLOOKUP(A78,二级筛选!A:BK,61,0)</f>
        <v>-1.1229000884173226</v>
      </c>
      <c r="AE78" s="66">
        <v>6</v>
      </c>
      <c r="AF78">
        <f>(M78+O78+Q78+S78+U78)+(W78+Y78+AA78+AC78+AE78)*2</f>
        <v>973</v>
      </c>
      <c r="AG78" s="69">
        <f>(W78+Y78+AE78)*2+(M78+O78+S78)</f>
        <v>785</v>
      </c>
    </row>
    <row r="79" spans="1:33" hidden="1" x14ac:dyDescent="0.35">
      <c r="A79" s="43" t="s">
        <v>297</v>
      </c>
      <c r="B79" s="43" t="s">
        <v>298</v>
      </c>
      <c r="C79" s="44">
        <v>20161117</v>
      </c>
      <c r="D79" s="44" t="str">
        <f>[1]!f_info_regulopenfundornot(A79)</f>
        <v>否</v>
      </c>
      <c r="E79" s="44" t="str">
        <f>[1]!f_dq_status(A79,$E$1)</f>
        <v>开放申购|开放赎回</v>
      </c>
      <c r="F79" s="40" t="str">
        <f>[1]!f_info_fundmanager(A79)</f>
        <v>童国林,张英</v>
      </c>
      <c r="G79" s="44">
        <v>20190604</v>
      </c>
      <c r="H79" s="45">
        <f>[1]!f_netasset_total(A79,$E$1,100000000)</f>
        <v>0.98739128349999994</v>
      </c>
      <c r="I79" s="45">
        <f>[1]!f_prt_convertiblebondtonav(A79,$E$1)</f>
        <v>19.149221420288086</v>
      </c>
      <c r="J79" s="45">
        <f>[1]!f_prt_stocktonav(A79,$E$1)+0.5*I79</f>
        <v>16.433810234069824</v>
      </c>
      <c r="K79" s="46">
        <v>0</v>
      </c>
      <c r="L79" s="59">
        <f>VLOOKUP(A79,二级筛选!A:Q,12,0)/100</f>
        <v>0.12597655077390657</v>
      </c>
      <c r="M79" s="63">
        <v>14</v>
      </c>
      <c r="N79" s="48">
        <f>VLOOKUP(A79,二级筛选!A:U,19,0)</f>
        <v>1.1548724046266681</v>
      </c>
      <c r="O79" s="65">
        <v>61</v>
      </c>
      <c r="P79" s="48">
        <f>VLOOKUP(A79,二级筛选!A:Z,24,0)</f>
        <v>2.324438925174567</v>
      </c>
      <c r="Q79" s="67">
        <v>80</v>
      </c>
      <c r="R79" s="48">
        <f>VLOOKUP(A79,二级筛选!A:AE,29,0)</f>
        <v>0.96638655462184875</v>
      </c>
      <c r="S79" s="67">
        <v>102</v>
      </c>
      <c r="T79" s="50">
        <f>VLOOKUP(A79,二级筛选!A:AJ,34,0)</f>
        <v>-5.4196541543652579</v>
      </c>
      <c r="U79" s="66">
        <v>162</v>
      </c>
      <c r="V79" s="49">
        <f>VLOOKUP(A79,二级筛选!A:AR,39,0)/100</f>
        <v>9.1326877043784283E-2</v>
      </c>
      <c r="W79" s="66">
        <v>65</v>
      </c>
      <c r="X79" s="48">
        <f>VLOOKUP(A79,二级筛选!A:AV,46,0)</f>
        <v>0.94543229211587587</v>
      </c>
      <c r="Y79" s="66">
        <v>92</v>
      </c>
      <c r="Z79" s="48">
        <f>VLOOKUP(A79,二级筛选!A:BA,51,0)</f>
        <v>2.0022128292755221</v>
      </c>
      <c r="AA79" s="66">
        <v>110</v>
      </c>
      <c r="AB79" s="48">
        <f>VLOOKUP(A79,二级筛选!A:BF,56,0)</f>
        <v>0.98333333333333328</v>
      </c>
      <c r="AC79" s="66">
        <v>148</v>
      </c>
      <c r="AD79" s="48">
        <f>VLOOKUP(A79,二级筛选!A:BK,61,0)</f>
        <v>-4.5612971662373107</v>
      </c>
      <c r="AE79" s="66">
        <v>148</v>
      </c>
      <c r="AF79">
        <f>(M79+O79+Q79+S79+U79)+(W79+Y79+AA79+AC79+AE79)*2</f>
        <v>1545</v>
      </c>
      <c r="AG79" s="69">
        <f>(W79+Y79+AE79)*2+(M79+O79+S79)</f>
        <v>787</v>
      </c>
    </row>
    <row r="80" spans="1:33" x14ac:dyDescent="0.35">
      <c r="A80" s="39" t="s">
        <v>95</v>
      </c>
      <c r="B80" s="39" t="s">
        <v>96</v>
      </c>
      <c r="C80" s="37">
        <v>20101203</v>
      </c>
      <c r="D80" s="37" t="str">
        <f>[1]!f_info_regulopenfundornot(A80)</f>
        <v>否</v>
      </c>
      <c r="E80" s="37" t="str">
        <f>[1]!f_dq_status(A80,$E$1)</f>
        <v>开放申购|开放赎回</v>
      </c>
      <c r="F80" s="40" t="str">
        <f>[1]!f_info_fundmanager(A80)</f>
        <v>贾鹏,孙慧</v>
      </c>
      <c r="G80" s="37">
        <v>20190628</v>
      </c>
      <c r="H80" s="41">
        <f>[1]!f_netasset_total(A80,$E$1,100000000)</f>
        <v>27.903862555500002</v>
      </c>
      <c r="I80" s="41">
        <f>[1]!f_prt_convertiblebondtonav(A80,$E$1)</f>
        <v>8.2375583648681641</v>
      </c>
      <c r="J80" s="41">
        <f>[1]!f_prt_stocktonav(A80,$E$1)+0.5*I80</f>
        <v>19.115042686462402</v>
      </c>
      <c r="K80" s="42">
        <v>18.493210356581521</v>
      </c>
      <c r="L80" s="59">
        <f>VLOOKUP(A80,二级筛选!A:Q,12,0)/100</f>
        <v>4.6632543855498199E-2</v>
      </c>
      <c r="M80" s="63">
        <v>122</v>
      </c>
      <c r="N80" s="48">
        <f>VLOOKUP(A80,二级筛选!A:U,19,0)</f>
        <v>0.40010988058756108</v>
      </c>
      <c r="O80" s="65">
        <v>128</v>
      </c>
      <c r="P80" s="48">
        <f>VLOOKUP(A80,二级筛选!A:Z,24,0)</f>
        <v>1.3812115370533267</v>
      </c>
      <c r="Q80" s="67">
        <v>136</v>
      </c>
      <c r="R80" s="48">
        <f>VLOOKUP(A80,二级筛选!A:AE,29,0)</f>
        <v>0.95798319327731096</v>
      </c>
      <c r="S80" s="67">
        <v>110</v>
      </c>
      <c r="T80" s="50">
        <f>VLOOKUP(A80,二级筛选!A:AJ,34,0)</f>
        <v>-3.3762057877813527</v>
      </c>
      <c r="U80" s="66">
        <v>110</v>
      </c>
      <c r="V80" s="49">
        <f>VLOOKUP(A80,二级筛选!A:AR,39,0)/100</f>
        <v>0.11076862532418306</v>
      </c>
      <c r="W80" s="66">
        <v>41</v>
      </c>
      <c r="X80" s="48">
        <f>VLOOKUP(A80,二级筛选!A:AV,46,0)</f>
        <v>1.5287809626417925</v>
      </c>
      <c r="Y80" s="66">
        <v>29</v>
      </c>
      <c r="Z80" s="48">
        <f>VLOOKUP(A80,二级筛选!A:BA,51,0)</f>
        <v>2.9759837337097177</v>
      </c>
      <c r="AA80" s="66">
        <v>51</v>
      </c>
      <c r="AB80" s="48">
        <f>VLOOKUP(A80,二级筛选!A:BF,56,0)</f>
        <v>1</v>
      </c>
      <c r="AC80" s="66">
        <v>51</v>
      </c>
      <c r="AD80" s="48">
        <f>VLOOKUP(A80,二级筛选!A:BK,61,0)</f>
        <v>-3.7220843672456585</v>
      </c>
      <c r="AE80" s="66">
        <v>120</v>
      </c>
      <c r="AF80">
        <f>(M80+O80+Q80+S80+U80)+(W80+Y80+AA80+AC80+AE80)*2</f>
        <v>1190</v>
      </c>
      <c r="AG80" s="69">
        <f>(W80+Y80+AE80+U80)+(M80+O80+S80+AC80)</f>
        <v>711</v>
      </c>
    </row>
    <row r="81" spans="1:33" hidden="1" x14ac:dyDescent="0.35">
      <c r="A81" s="43" t="s">
        <v>47</v>
      </c>
      <c r="B81" s="43" t="s">
        <v>48</v>
      </c>
      <c r="C81" s="44">
        <v>20081203</v>
      </c>
      <c r="D81" s="44" t="str">
        <f>[1]!f_info_regulopenfundornot(A81)</f>
        <v>否</v>
      </c>
      <c r="E81" s="44" t="str">
        <f>[1]!f_dq_status(A81,$E$1)</f>
        <v>开放申购|开放赎回</v>
      </c>
      <c r="F81" s="40" t="str">
        <f>[1]!f_info_fundmanager(A81)</f>
        <v>贾鹏,冯帆</v>
      </c>
      <c r="G81" s="44">
        <v>20200219</v>
      </c>
      <c r="H81" s="45">
        <f>[1]!f_netasset_total(A81,$E$1,100000000)</f>
        <v>3.0326674500999999</v>
      </c>
      <c r="I81" s="45">
        <f>[1]!f_prt_convertiblebondtonav(A81,$E$1)</f>
        <v>8.5791597366333008</v>
      </c>
      <c r="J81" s="45">
        <f>[1]!f_prt_stocktonav(A81,$E$1)+0.5*I81</f>
        <v>19.097350597381592</v>
      </c>
      <c r="K81" s="46">
        <v>13.679706292436389</v>
      </c>
      <c r="L81" s="59">
        <f>VLOOKUP(A81,二级筛选!A:Q,12,0)/100</f>
        <v>6.1571050754674506E-2</v>
      </c>
      <c r="M81" s="63">
        <v>89</v>
      </c>
      <c r="N81" s="48">
        <f>VLOOKUP(A81,二级筛选!A:U,19,0)</f>
        <v>0.75389565177498941</v>
      </c>
      <c r="O81" s="65">
        <v>95</v>
      </c>
      <c r="P81" s="48">
        <f>VLOOKUP(A81,二级筛选!A:Z,24,0)</f>
        <v>2.1173600231746383</v>
      </c>
      <c r="Q81" s="67">
        <v>93</v>
      </c>
      <c r="R81" s="48">
        <f>VLOOKUP(A81,二级筛选!A:AE,29,0)</f>
        <v>1</v>
      </c>
      <c r="S81" s="67">
        <v>76</v>
      </c>
      <c r="T81" s="50">
        <f>VLOOKUP(A81,二级筛选!A:AJ,34,0)</f>
        <v>-2.9079159935379666</v>
      </c>
      <c r="U81" s="66">
        <v>89</v>
      </c>
      <c r="V81" s="49">
        <f>VLOOKUP(A81,二级筛选!A:AR,39,0)/100</f>
        <v>8.2448420017106519E-2</v>
      </c>
      <c r="W81" s="66">
        <v>77</v>
      </c>
      <c r="X81" s="48">
        <f>VLOOKUP(A81,二级筛选!A:AV,46,0)</f>
        <v>1.0779641023599371</v>
      </c>
      <c r="Y81" s="66">
        <v>79</v>
      </c>
      <c r="Z81" s="48">
        <f>VLOOKUP(A81,二级筛选!A:BA,51,0)</f>
        <v>2.3772627771599004</v>
      </c>
      <c r="AA81" s="66">
        <v>83</v>
      </c>
      <c r="AB81" s="48">
        <f>VLOOKUP(A81,二级筛选!A:BF,56,0)</f>
        <v>1</v>
      </c>
      <c r="AC81" s="66">
        <v>80</v>
      </c>
      <c r="AD81" s="48">
        <f>VLOOKUP(A81,二级筛选!A:BK,61,0)</f>
        <v>-3.4682080924855549</v>
      </c>
      <c r="AE81" s="66">
        <v>109</v>
      </c>
      <c r="AF81">
        <f>(M81+O81+Q81+S81+U81)+(W81+Y81+AA81+AC81+AE81)*2</f>
        <v>1298</v>
      </c>
      <c r="AG81" s="69">
        <f>(W81+Y81+AE81)*2+(M81+O81+S81)</f>
        <v>790</v>
      </c>
    </row>
    <row r="82" spans="1:33" hidden="1" x14ac:dyDescent="0.35">
      <c r="A82" s="43" t="s">
        <v>271</v>
      </c>
      <c r="B82" s="43" t="s">
        <v>272</v>
      </c>
      <c r="C82" s="44">
        <v>20160826</v>
      </c>
      <c r="D82" s="44" t="str">
        <f>[1]!f_info_regulopenfundornot(A82)</f>
        <v>否</v>
      </c>
      <c r="E82" s="44" t="str">
        <f>[1]!f_dq_status(A82,$E$1)</f>
        <v>开放申购|开放赎回</v>
      </c>
      <c r="F82" s="40" t="str">
        <f>[1]!f_info_fundmanager(A82)</f>
        <v>范文静</v>
      </c>
      <c r="G82" s="44">
        <v>20210915</v>
      </c>
      <c r="H82" s="45">
        <f>[1]!f_netasset_total(A82,$E$1,100000000)</f>
        <v>3.2319529773000002</v>
      </c>
      <c r="I82" s="45">
        <f>[1]!f_prt_convertiblebondtonav(A82,$E$1)</f>
        <v>7.3651442527770996</v>
      </c>
      <c r="J82" s="45">
        <f>[1]!f_prt_stocktonav(A82,$E$1)+0.5*I82</f>
        <v>16.409516096115112</v>
      </c>
      <c r="K82" s="46">
        <v>23.689236983874981</v>
      </c>
      <c r="L82" s="59">
        <f>VLOOKUP(A82,二级筛选!A:Q,12,0)/100</f>
        <v>5.6244611438091674E-2</v>
      </c>
      <c r="M82" s="63">
        <v>100</v>
      </c>
      <c r="N82" s="48">
        <f>VLOOKUP(A82,二级筛选!A:U,19,0)</f>
        <v>0.73833924735967493</v>
      </c>
      <c r="O82" s="65">
        <v>98</v>
      </c>
      <c r="P82" s="48">
        <f>VLOOKUP(A82,二级筛选!A:Z,24,0)</f>
        <v>2.9879949826486309</v>
      </c>
      <c r="Q82" s="67">
        <v>63</v>
      </c>
      <c r="R82" s="48">
        <f>VLOOKUP(A82,二级筛选!A:AE,29,0)</f>
        <v>1</v>
      </c>
      <c r="S82" s="67">
        <v>58</v>
      </c>
      <c r="T82" s="50">
        <f>VLOOKUP(A82,二级筛选!A:AJ,34,0)</f>
        <v>-1.8823529411764639</v>
      </c>
      <c r="U82" s="66">
        <v>54</v>
      </c>
      <c r="V82" s="49">
        <f>VLOOKUP(A82,二级筛选!A:AR,39,0)/100</f>
        <v>5.3288657818675089E-2</v>
      </c>
      <c r="W82" s="66">
        <v>133</v>
      </c>
      <c r="X82" s="48">
        <f>VLOOKUP(A82,二级筛选!A:AV,46,0)</f>
        <v>0.8340650645997123</v>
      </c>
      <c r="Y82" s="66">
        <v>107</v>
      </c>
      <c r="Z82" s="48">
        <f>VLOOKUP(A82,二级筛选!A:BA,51,0)</f>
        <v>2.9619154497874858</v>
      </c>
      <c r="AA82" s="66">
        <v>52</v>
      </c>
      <c r="AB82" s="48">
        <f>VLOOKUP(A82,二级筛选!A:BF,56,0)</f>
        <v>0.97499999999999998</v>
      </c>
      <c r="AC82" s="66">
        <v>154</v>
      </c>
      <c r="AD82" s="48">
        <f>VLOOKUP(A82,二级筛选!A:BK,61,0)</f>
        <v>-1.7991282574422742</v>
      </c>
      <c r="AE82" s="66">
        <v>28</v>
      </c>
      <c r="AF82">
        <f>(M82+O82+Q82+S82+U82)+(W82+Y82+AA82+AC82+AE82)*2</f>
        <v>1321</v>
      </c>
      <c r="AG82" s="69">
        <f>(W82+Y82+AE82)*2+(M82+O82+S82)</f>
        <v>792</v>
      </c>
    </row>
    <row r="83" spans="1:33" x14ac:dyDescent="0.35">
      <c r="A83" s="39" t="s">
        <v>181</v>
      </c>
      <c r="B83" s="39" t="s">
        <v>182</v>
      </c>
      <c r="C83" s="37">
        <v>20160613</v>
      </c>
      <c r="D83" s="37" t="str">
        <f>[1]!f_info_regulopenfundornot(A83)</f>
        <v>否</v>
      </c>
      <c r="E83" s="37" t="str">
        <f>[1]!f_dq_status(A83,$E$1)</f>
        <v>开放申购|开放赎回</v>
      </c>
      <c r="F83" s="40" t="str">
        <f>[1]!f_info_fundmanager(A83)</f>
        <v>孔令超,徐觅</v>
      </c>
      <c r="G83" s="37">
        <v>20160805</v>
      </c>
      <c r="H83" s="41">
        <f>[1]!f_netasset_total(A83,$E$1,100000000)</f>
        <v>31.2570689253</v>
      </c>
      <c r="I83" s="41">
        <f>[1]!f_prt_convertiblebondtonav(A83,$E$1)</f>
        <v>11.43462085723877</v>
      </c>
      <c r="J83" s="41">
        <f>[1]!f_prt_stocktonav(A83,$E$1)+0.5*I83</f>
        <v>17.854176044464111</v>
      </c>
      <c r="K83" s="42">
        <v>0</v>
      </c>
      <c r="L83" s="59">
        <f>VLOOKUP(A83,二级筛选!A:Q,12,0)/100</f>
        <v>7.5034844703878667E-2</v>
      </c>
      <c r="M83" s="63">
        <v>60</v>
      </c>
      <c r="N83" s="48">
        <f>VLOOKUP(A83,二级筛选!A:U,19,0)</f>
        <v>1.6497655794983841</v>
      </c>
      <c r="O83" s="65">
        <v>25</v>
      </c>
      <c r="P83" s="48">
        <f>VLOOKUP(A83,二级筛选!A:Z,24,0)</f>
        <v>6.8750871244643186</v>
      </c>
      <c r="Q83" s="67">
        <v>17</v>
      </c>
      <c r="R83" s="48">
        <f>VLOOKUP(A83,二级筛选!A:AE,29,0)</f>
        <v>0.99159663865546221</v>
      </c>
      <c r="S83" s="67">
        <v>91</v>
      </c>
      <c r="T83" s="50">
        <f>VLOOKUP(A83,二级筛选!A:AJ,34,0)</f>
        <v>-1.09140209200949</v>
      </c>
      <c r="U83" s="66">
        <v>26</v>
      </c>
      <c r="V83" s="49">
        <f>VLOOKUP(A83,二级筛选!A:AR,39,0)/100</f>
        <v>6.007446799441718E-2</v>
      </c>
      <c r="W83" s="66">
        <v>122</v>
      </c>
      <c r="X83" s="48">
        <f>VLOOKUP(A83,二级筛选!A:AV,46,0)</f>
        <v>0.67089090811421792</v>
      </c>
      <c r="Y83" s="66">
        <v>123</v>
      </c>
      <c r="Z83" s="48">
        <f>VLOOKUP(A83,二级筛选!A:BA,51,0)</f>
        <v>1.6691576866803308</v>
      </c>
      <c r="AA83" s="66">
        <v>134</v>
      </c>
      <c r="AB83" s="48">
        <f>VLOOKUP(A83,二级筛选!A:BF,56,0)</f>
        <v>0.98333333333333328</v>
      </c>
      <c r="AC83" s="66">
        <v>149</v>
      </c>
      <c r="AD83" s="48">
        <f>VLOOKUP(A83,二级筛选!A:BK,61,0)</f>
        <v>-3.5990888382687811</v>
      </c>
      <c r="AE83" s="66">
        <v>116</v>
      </c>
      <c r="AF83">
        <f>(M83+O83+Q83+S83+U83)+(W83+Y83+AA83+AC83+AE83)*2</f>
        <v>1507</v>
      </c>
      <c r="AG83" s="69">
        <f>(W83+Y83+AE83+U83)+(M83+O83+S83+AC83)</f>
        <v>712</v>
      </c>
    </row>
    <row r="84" spans="1:33" x14ac:dyDescent="0.35">
      <c r="A84" s="43" t="s">
        <v>307</v>
      </c>
      <c r="B84" s="43" t="s">
        <v>308</v>
      </c>
      <c r="C84" s="44">
        <v>20161128</v>
      </c>
      <c r="D84" s="44" t="str">
        <f>[1]!f_info_regulopenfundornot(A84)</f>
        <v>否</v>
      </c>
      <c r="E84" s="44" t="str">
        <f>[1]!f_dq_status(A84,$E$1)</f>
        <v>开放申购|开放赎回</v>
      </c>
      <c r="F84" s="40" t="str">
        <f>[1]!f_info_fundmanager(A84)</f>
        <v>章俊</v>
      </c>
      <c r="G84" s="44">
        <v>20210312</v>
      </c>
      <c r="H84" s="45">
        <f>[1]!f_netasset_total(A84,$E$1,100000000)</f>
        <v>16.141036684100001</v>
      </c>
      <c r="I84" s="45">
        <f>[1]!f_prt_convertiblebondtonav(A84,$E$1)</f>
        <v>0.39841094613075256</v>
      </c>
      <c r="J84" s="45">
        <f>[1]!f_prt_stocktonav(A84,$E$1)+0.5*I84</f>
        <v>20.50017936527729</v>
      </c>
      <c r="K84" s="46">
        <v>0</v>
      </c>
      <c r="L84" s="59">
        <f>VLOOKUP(A84,二级筛选!A:Q,12,0)/100</f>
        <v>0.20218664123209115</v>
      </c>
      <c r="M84" s="63">
        <v>5</v>
      </c>
      <c r="N84" s="48">
        <f>VLOOKUP(A84,二级筛选!A:U,19,0)</f>
        <v>2.1032860479667024</v>
      </c>
      <c r="O84" s="65">
        <v>12</v>
      </c>
      <c r="P84" s="48">
        <f>VLOOKUP(A84,二级筛选!A:Z,24,0)</f>
        <v>3.5183150590585388</v>
      </c>
      <c r="Q84" s="67">
        <v>51</v>
      </c>
      <c r="R84" s="48">
        <f>VLOOKUP(A84,二级筛选!A:AE,29,0)</f>
        <v>1</v>
      </c>
      <c r="S84" s="67">
        <v>47</v>
      </c>
      <c r="T84" s="50">
        <f>VLOOKUP(A84,二级筛选!A:AJ,34,0)</f>
        <v>-5.746689476018501</v>
      </c>
      <c r="U84" s="66">
        <v>169</v>
      </c>
      <c r="V84" s="49">
        <f>VLOOKUP(A84,二级筛选!A:AR,39,0)/100</f>
        <v>3.868895290114871E-2</v>
      </c>
      <c r="W84" s="66">
        <v>155</v>
      </c>
      <c r="X84" s="48">
        <f>VLOOKUP(A84,二级筛选!A:AV,46,0)</f>
        <v>0.38761851021224653</v>
      </c>
      <c r="Y84" s="66">
        <v>148</v>
      </c>
      <c r="Z84" s="48">
        <f>VLOOKUP(A84,二级筛选!A:BA,51,0)</f>
        <v>1.9379509754382414</v>
      </c>
      <c r="AA84" s="66">
        <v>116</v>
      </c>
      <c r="AB84" s="48">
        <f>VLOOKUP(A84,二级筛选!A:BF,56,0)</f>
        <v>0.97499999999999998</v>
      </c>
      <c r="AC84" s="66">
        <v>155</v>
      </c>
      <c r="AD84" s="48">
        <f>VLOOKUP(A84,二级筛选!A:BK,61,0)</f>
        <v>-1.9963845005108929</v>
      </c>
      <c r="AE84" s="66">
        <v>34</v>
      </c>
      <c r="AF84">
        <f>(M84+O84+Q84+S84+U84)+(W84+Y84+AA84+AC84+AE84)*2</f>
        <v>1500</v>
      </c>
      <c r="AG84" s="69">
        <f>(W84+Y84+AE84+U84)+(M84+O84+S84+AC84)</f>
        <v>725</v>
      </c>
    </row>
    <row r="85" spans="1:33" hidden="1" x14ac:dyDescent="0.35">
      <c r="A85" s="43" t="s">
        <v>195</v>
      </c>
      <c r="B85" s="43" t="s">
        <v>196</v>
      </c>
      <c r="C85" s="44">
        <v>20150507</v>
      </c>
      <c r="D85" s="44" t="str">
        <f>[1]!f_info_regulopenfundornot(A85)</f>
        <v>否</v>
      </c>
      <c r="E85" s="44" t="str">
        <f>[1]!f_dq_status(A85,$E$1)</f>
        <v>开放申购|开放赎回</v>
      </c>
      <c r="F85" s="40" t="str">
        <f>[1]!f_info_fundmanager(A85)</f>
        <v>杨超,方敬</v>
      </c>
      <c r="G85" s="44">
        <v>20210203</v>
      </c>
      <c r="H85" s="45">
        <f>[1]!f_netasset_total(A85,$E$1,100000000)</f>
        <v>7.0363700367999993</v>
      </c>
      <c r="I85" s="45">
        <f>[1]!f_prt_convertiblebondtonav(A85,$E$1)</f>
        <v>5.8831644058227539</v>
      </c>
      <c r="J85" s="45">
        <f>[1]!f_prt_stocktonav(A85,$E$1)+0.5*I85</f>
        <v>19.81878137588501</v>
      </c>
      <c r="K85" s="46">
        <v>15.737944340738711</v>
      </c>
      <c r="L85" s="59">
        <f>VLOOKUP(A85,二级筛选!A:Q,12,0)/100</f>
        <v>9.4619351615034861E-2</v>
      </c>
      <c r="M85" s="63">
        <v>38</v>
      </c>
      <c r="N85" s="48">
        <f>VLOOKUP(A85,二级筛选!A:U,19,0)</f>
        <v>1.1519300568906694</v>
      </c>
      <c r="O85" s="65">
        <v>62</v>
      </c>
      <c r="P85" s="48">
        <f>VLOOKUP(A85,二级筛选!A:Z,24,0)</f>
        <v>1.993887791305919</v>
      </c>
      <c r="Q85" s="67">
        <v>98</v>
      </c>
      <c r="R85" s="48">
        <f>VLOOKUP(A85,二级筛选!A:AE,29,0)</f>
        <v>1</v>
      </c>
      <c r="S85" s="67">
        <v>79</v>
      </c>
      <c r="T85" s="50">
        <f>VLOOKUP(A85,二级筛选!A:AJ,34,0)</f>
        <v>-4.745470232959442</v>
      </c>
      <c r="U85" s="66">
        <v>149</v>
      </c>
      <c r="V85" s="49">
        <f>VLOOKUP(A85,二级筛选!A:AR,39,0)/100</f>
        <v>0.13468465088975523</v>
      </c>
      <c r="W85" s="66">
        <v>21</v>
      </c>
      <c r="X85" s="48">
        <f>VLOOKUP(A85,二级筛选!A:AV,46,0)</f>
        <v>0.86776634904939187</v>
      </c>
      <c r="Y85" s="66">
        <v>98</v>
      </c>
      <c r="Z85" s="48">
        <f>VLOOKUP(A85,二级筛选!A:BA,51,0)</f>
        <v>1.272769950908188</v>
      </c>
      <c r="AA85" s="66">
        <v>153</v>
      </c>
      <c r="AB85" s="48">
        <f>VLOOKUP(A85,二级筛选!A:BF,56,0)</f>
        <v>0.96666666666666667</v>
      </c>
      <c r="AC85" s="66">
        <v>158</v>
      </c>
      <c r="AD85" s="48">
        <f>VLOOKUP(A85,二级筛选!A:BK,61,0)</f>
        <v>-10.582010582010573</v>
      </c>
      <c r="AE85" s="66">
        <v>192</v>
      </c>
      <c r="AF85">
        <f>(M85+O85+Q85+S85+U85)+(W85+Y85+AA85+AC85+AE85)*2</f>
        <v>1670</v>
      </c>
      <c r="AG85" s="69">
        <f>(W85+Y85+AE85)*2+(M85+O85+S85)</f>
        <v>801</v>
      </c>
    </row>
    <row r="86" spans="1:33" hidden="1" x14ac:dyDescent="0.35">
      <c r="A86" s="43" t="s">
        <v>313</v>
      </c>
      <c r="B86" s="43" t="s">
        <v>314</v>
      </c>
      <c r="C86" s="44">
        <v>20170111</v>
      </c>
      <c r="D86" s="44" t="str">
        <f>[1]!f_info_regulopenfundornot(A86)</f>
        <v>否</v>
      </c>
      <c r="E86" s="44" t="str">
        <f>[1]!f_dq_status(A86,$E$1)</f>
        <v>开放申购|开放赎回</v>
      </c>
      <c r="F86" s="40" t="str">
        <f>[1]!f_info_fundmanager(A86)</f>
        <v>黄波</v>
      </c>
      <c r="G86" s="44">
        <v>20191009</v>
      </c>
      <c r="H86" s="45">
        <f>[1]!f_netasset_total(A86,$E$1,100000000)</f>
        <v>5.4754669254999992</v>
      </c>
      <c r="I86" s="45">
        <f>[1]!f_prt_convertiblebondtonav(A86,$E$1)</f>
        <v>17.676885604858398</v>
      </c>
      <c r="J86" s="45">
        <f>[1]!f_prt_stocktonav(A86,$E$1)+0.5*I86</f>
        <v>25.778199195861816</v>
      </c>
      <c r="K86" s="46">
        <v>10.9881039952599</v>
      </c>
      <c r="L86" s="59">
        <f>VLOOKUP(A86,二级筛选!A:Q,12,0)/100</f>
        <v>8.294414422537312E-2</v>
      </c>
      <c r="M86" s="63">
        <v>52</v>
      </c>
      <c r="N86" s="48">
        <f>VLOOKUP(A86,二级筛选!A:U,19,0)</f>
        <v>1.3286214858283663</v>
      </c>
      <c r="O86" s="65">
        <v>42</v>
      </c>
      <c r="P86" s="48">
        <f>VLOOKUP(A86,二级筛选!A:Z,24,0)</f>
        <v>3.6254340133387815</v>
      </c>
      <c r="Q86" s="67">
        <v>50</v>
      </c>
      <c r="R86" s="48">
        <f>VLOOKUP(A86,二级筛选!A:AE,29,0)</f>
        <v>0.94117647058823528</v>
      </c>
      <c r="S86" s="67">
        <v>115</v>
      </c>
      <c r="T86" s="50">
        <f>VLOOKUP(A86,二级筛选!A:AJ,34,0)</f>
        <v>-2.2878404053198342</v>
      </c>
      <c r="U86" s="66">
        <v>66</v>
      </c>
      <c r="V86" s="49">
        <f>VLOOKUP(A86,二级筛选!A:AR,39,0)/100</f>
        <v>6.1331865768076144E-2</v>
      </c>
      <c r="W86" s="66">
        <v>119</v>
      </c>
      <c r="X86" s="48">
        <f>VLOOKUP(A86,二级筛选!A:AV,46,0)</f>
        <v>0.80194902518625832</v>
      </c>
      <c r="Y86" s="66">
        <v>109</v>
      </c>
      <c r="Z86" s="48">
        <f>VLOOKUP(A86,二级筛选!A:BA,51,0)</f>
        <v>2.2503927128489747</v>
      </c>
      <c r="AA86" s="66">
        <v>93</v>
      </c>
      <c r="AB86" s="48">
        <f>VLOOKUP(A86,二级筛选!A:BF,56,0)</f>
        <v>0.95</v>
      </c>
      <c r="AC86" s="66">
        <v>161</v>
      </c>
      <c r="AD86" s="48">
        <f>VLOOKUP(A86,二级筛选!A:BK,61,0)</f>
        <v>-2.7253850147084155</v>
      </c>
      <c r="AE86" s="66">
        <v>73</v>
      </c>
      <c r="AF86">
        <f>(M86+O86+Q86+S86+U86)+(W86+Y86+AA86+AC86+AE86)*2</f>
        <v>1435</v>
      </c>
      <c r="AG86" s="69">
        <f>(W86+Y86+AE86)*2+(M86+O86+S86)</f>
        <v>811</v>
      </c>
    </row>
    <row r="87" spans="1:33" hidden="1" x14ac:dyDescent="0.35">
      <c r="A87" s="43" t="s">
        <v>343</v>
      </c>
      <c r="B87" s="43" t="s">
        <v>344</v>
      </c>
      <c r="C87" s="44">
        <v>20170830</v>
      </c>
      <c r="D87" s="44" t="str">
        <f>[1]!f_info_regulopenfundornot(A87)</f>
        <v>否</v>
      </c>
      <c r="E87" s="44" t="str">
        <f>[1]!f_dq_status(A87,$E$1)</f>
        <v>开放申购|开放赎回</v>
      </c>
      <c r="F87" s="40" t="str">
        <f>[1]!f_info_fundmanager(A87)</f>
        <v>张一格</v>
      </c>
      <c r="G87" s="44">
        <v>20170830</v>
      </c>
      <c r="H87" s="45">
        <f>[1]!f_netasset_total(A87,$E$1,100000000)</f>
        <v>3.8063326500999999</v>
      </c>
      <c r="I87" s="45">
        <f>[1]!f_prt_convertiblebondtonav(A87,$E$1)</f>
        <v>27.287582397460938</v>
      </c>
      <c r="J87" s="45">
        <f>[1]!f_prt_stocktonav(A87,$E$1)+0.5*I87</f>
        <v>32.648696899414063</v>
      </c>
      <c r="K87" s="46">
        <v>31.565028872829469</v>
      </c>
      <c r="L87" s="59">
        <f>VLOOKUP(A87,二级筛选!A:Q,12,0)/100</f>
        <v>5.1359827195798902E-2</v>
      </c>
      <c r="M87" s="63">
        <v>111</v>
      </c>
      <c r="N87" s="48">
        <f>VLOOKUP(A87,二级筛选!A:U,19,0)</f>
        <v>0.32784804587392041</v>
      </c>
      <c r="O87" s="65">
        <v>136</v>
      </c>
      <c r="P87" s="48">
        <f>VLOOKUP(A87,二级筛选!A:Z,24,0)</f>
        <v>1.1296319188212551</v>
      </c>
      <c r="Q87" s="67">
        <v>149</v>
      </c>
      <c r="R87" s="48">
        <f>VLOOKUP(A87,二级筛选!A:AE,29,0)</f>
        <v>0.7142857142857143</v>
      </c>
      <c r="S87" s="67">
        <v>165</v>
      </c>
      <c r="T87" s="50">
        <f>VLOOKUP(A87,二级筛选!A:AJ,34,0)</f>
        <v>-4.5465984397281991</v>
      </c>
      <c r="U87" s="66">
        <v>144</v>
      </c>
      <c r="V87" s="49">
        <f>VLOOKUP(A87,二级筛选!A:AR,39,0)/100</f>
        <v>8.1613396101721816E-2</v>
      </c>
      <c r="W87" s="66">
        <v>79</v>
      </c>
      <c r="X87" s="48">
        <f>VLOOKUP(A87,二级筛选!A:AV,46,0)</f>
        <v>1.0933626690757339</v>
      </c>
      <c r="Y87" s="66">
        <v>76</v>
      </c>
      <c r="Z87" s="48">
        <f>VLOOKUP(A87,二级筛选!A:BA,51,0)</f>
        <v>3.4022007046631049</v>
      </c>
      <c r="AA87" s="66">
        <v>35</v>
      </c>
      <c r="AB87" s="48">
        <f>VLOOKUP(A87,二级筛选!A:BF,56,0)</f>
        <v>1</v>
      </c>
      <c r="AC87" s="66">
        <v>35</v>
      </c>
      <c r="AD87" s="48">
        <f>VLOOKUP(A87,二级筛选!A:BK,61,0)</f>
        <v>-2.3988413143839904</v>
      </c>
      <c r="AE87" s="66">
        <v>54</v>
      </c>
      <c r="AF87">
        <f>(M87+O87+Q87+S87+U87)+(W87+Y87+AA87+AC87+AE87)*2</f>
        <v>1263</v>
      </c>
      <c r="AG87" s="69">
        <f>(W87+Y87+AE87)*2+(M87+O87+S87)</f>
        <v>830</v>
      </c>
    </row>
    <row r="88" spans="1:33" hidden="1" x14ac:dyDescent="0.35">
      <c r="A88" s="43" t="s">
        <v>409</v>
      </c>
      <c r="B88" s="43" t="s">
        <v>410</v>
      </c>
      <c r="C88" s="44">
        <v>20190927</v>
      </c>
      <c r="D88" s="44" t="str">
        <f>[1]!f_info_regulopenfundornot(A88)</f>
        <v>否</v>
      </c>
      <c r="E88" s="44" t="str">
        <f>[1]!f_dq_status(A88,$E$1)</f>
        <v>开放申购|开放赎回</v>
      </c>
      <c r="F88" s="40" t="str">
        <f>[1]!f_info_fundmanager(A88)</f>
        <v>陈玮</v>
      </c>
      <c r="G88" s="44">
        <v>20190927</v>
      </c>
      <c r="H88" s="45">
        <f>[1]!f_netasset_total(A88,$E$1,100000000)</f>
        <v>3.9729468106999999</v>
      </c>
      <c r="I88" s="45">
        <f>[1]!f_prt_convertiblebondtonav(A88,$E$1)</f>
        <v>4.5678648948669434</v>
      </c>
      <c r="J88" s="45">
        <f>[1]!f_prt_stocktonav(A88,$E$1)+0.5*I88</f>
        <v>8.53035569190979</v>
      </c>
      <c r="K88" s="46">
        <v>17.874893217482459</v>
      </c>
      <c r="L88" s="59">
        <f>VLOOKUP(A88,二级筛选!A:Q,12,0)/100</f>
        <v>6.9400114770684196E-2</v>
      </c>
      <c r="M88" s="63">
        <v>76</v>
      </c>
      <c r="N88" s="48">
        <f>VLOOKUP(A88,二级筛选!A:U,19,0)</f>
        <v>1.3849928347269733</v>
      </c>
      <c r="O88" s="65">
        <v>37</v>
      </c>
      <c r="P88" s="48">
        <f>VLOOKUP(A88,二级筛选!A:Z,24,0)</f>
        <v>5.6623503713261014</v>
      </c>
      <c r="Q88" s="67">
        <v>27</v>
      </c>
      <c r="R88" s="48">
        <f>VLOOKUP(A88,二级筛选!A:AE,29,0)</f>
        <v>1</v>
      </c>
      <c r="S88" s="67">
        <v>26</v>
      </c>
      <c r="T88" s="50">
        <f>VLOOKUP(A88,二级筛选!A:AJ,34,0)</f>
        <v>-1.2256414778238272</v>
      </c>
      <c r="U88" s="66">
        <v>31</v>
      </c>
      <c r="V88" s="49">
        <f>VLOOKUP(A88,二级筛选!A:AR,39,0)/100</f>
        <v>4.9323141520559055E-2</v>
      </c>
      <c r="W88" s="66">
        <v>139</v>
      </c>
      <c r="X88" s="48">
        <f>VLOOKUP(A88,二级筛选!A:AV,46,0)</f>
        <v>0.44125439545776957</v>
      </c>
      <c r="Y88" s="66">
        <v>143</v>
      </c>
      <c r="Z88" s="48">
        <f>VLOOKUP(A88,二级筛选!A:BA,51,0)</f>
        <v>1.9501323908772574</v>
      </c>
      <c r="AA88" s="66">
        <v>115</v>
      </c>
      <c r="AB88" s="48">
        <f>VLOOKUP(A88,二级筛选!A:BF,56,0)</f>
        <v>1</v>
      </c>
      <c r="AC88" s="66">
        <v>109</v>
      </c>
      <c r="AD88" s="48">
        <f>VLOOKUP(A88,二级筛选!A:BK,61,0)</f>
        <v>-2.5292201571182193</v>
      </c>
      <c r="AE88" s="66">
        <v>64</v>
      </c>
      <c r="AF88">
        <f>(M88+O88+Q88+S88+U88)+(W88+Y88+AA88+AC88+AE88)*2</f>
        <v>1337</v>
      </c>
      <c r="AG88" s="69">
        <f>(W88+Y88+AE88)*2+(M88+O88+S88)</f>
        <v>831</v>
      </c>
    </row>
    <row r="89" spans="1:33" hidden="1" x14ac:dyDescent="0.35">
      <c r="A89" s="43" t="s">
        <v>359</v>
      </c>
      <c r="B89" s="43" t="s">
        <v>360</v>
      </c>
      <c r="C89" s="44">
        <v>20180124</v>
      </c>
      <c r="D89" s="44" t="str">
        <f>[1]!f_info_regulopenfundornot(A89)</f>
        <v>是</v>
      </c>
      <c r="E89" s="44" t="str">
        <f>[1]!f_dq_status(A89,$E$1)</f>
        <v>暂停申购|暂停赎回</v>
      </c>
      <c r="F89" s="40" t="str">
        <f>[1]!f_info_fundmanager(A89)</f>
        <v>刘波</v>
      </c>
      <c r="G89" s="44">
        <v>20210209</v>
      </c>
      <c r="H89" s="45">
        <f>[1]!f_netasset_total(A89,$E$1,100000000)</f>
        <v>0.58892150409999999</v>
      </c>
      <c r="I89" s="45">
        <f>[1]!f_prt_convertiblebondtonav(A89,$E$1)</f>
        <v>18.323768615722656</v>
      </c>
      <c r="J89" s="45">
        <f>[1]!f_prt_stocktonav(A89,$E$1)+0.5*I89</f>
        <v>22.903568267822266</v>
      </c>
      <c r="K89" s="46">
        <v>42.825741332952632</v>
      </c>
      <c r="L89" s="59">
        <f>VLOOKUP(A89,二级筛选!A:Q,12,0)/100</f>
        <v>4.4142864282311844E-2</v>
      </c>
      <c r="M89" s="63">
        <v>130</v>
      </c>
      <c r="N89" s="48">
        <f>VLOOKUP(A89,二级筛选!A:U,19,0)</f>
        <v>0.1677110569498354</v>
      </c>
      <c r="O89" s="65">
        <v>154</v>
      </c>
      <c r="P89" s="48">
        <f>VLOOKUP(A89,二级筛选!A:Z,24,0)</f>
        <v>1.9896276509853552</v>
      </c>
      <c r="Q89" s="67">
        <v>99</v>
      </c>
      <c r="R89" s="48">
        <f>VLOOKUP(A89,二级筛选!A:AE,29,0)</f>
        <v>0.99159663865546221</v>
      </c>
      <c r="S89" s="67">
        <v>93</v>
      </c>
      <c r="T89" s="50">
        <f>VLOOKUP(A89,二级筛选!A:AJ,34,0)</f>
        <v>-2.2186495176848928</v>
      </c>
      <c r="U89" s="66">
        <v>63</v>
      </c>
      <c r="V89" s="49">
        <f>VLOOKUP(A89,二级筛选!A:AR,39,0)/100</f>
        <v>7.0456785898067364E-2</v>
      </c>
      <c r="W89" s="66">
        <v>104</v>
      </c>
      <c r="X89" s="48">
        <f>VLOOKUP(A89,二级筛选!A:AV,46,0)</f>
        <v>0.69419232169390899</v>
      </c>
      <c r="Y89" s="66">
        <v>119</v>
      </c>
      <c r="Z89" s="48">
        <f>VLOOKUP(A89,二级筛选!A:BA,51,0)</f>
        <v>6.3486983846920575</v>
      </c>
      <c r="AA89" s="66">
        <v>4</v>
      </c>
      <c r="AB89" s="48">
        <f>VLOOKUP(A89,二级筛选!A:BF,56,0)</f>
        <v>1</v>
      </c>
      <c r="AC89" s="66">
        <v>4</v>
      </c>
      <c r="AD89" s="48">
        <f>VLOOKUP(A89,二级筛选!A:BK,61,0)</f>
        <v>-1.109783165443051</v>
      </c>
      <c r="AE89" s="66">
        <v>5</v>
      </c>
      <c r="AF89">
        <f>(M89+O89+Q89+S89+U89)+(W89+Y89+AA89+AC89+AE89)*2</f>
        <v>1011</v>
      </c>
      <c r="AG89" s="69">
        <f>(W89+Y89+AE89)*2+(M89+O89+S89)</f>
        <v>833</v>
      </c>
    </row>
    <row r="90" spans="1:33" x14ac:dyDescent="0.35">
      <c r="A90" s="43" t="s">
        <v>49</v>
      </c>
      <c r="B90" s="43" t="s">
        <v>50</v>
      </c>
      <c r="C90" s="44">
        <v>20081229</v>
      </c>
      <c r="D90" s="44" t="str">
        <f>[1]!f_info_regulopenfundornot(A90)</f>
        <v>否</v>
      </c>
      <c r="E90" s="44" t="str">
        <f>[1]!f_dq_status(A90,$E$1)</f>
        <v>开放申购|开放赎回</v>
      </c>
      <c r="F90" s="40" t="str">
        <f>[1]!f_info_fundmanager(A90)</f>
        <v>李家春,吴晖</v>
      </c>
      <c r="G90" s="44">
        <v>20181204</v>
      </c>
      <c r="H90" s="45">
        <f>[1]!f_netasset_total(A90,$E$1,100000000)</f>
        <v>13.058647094100001</v>
      </c>
      <c r="I90" s="45">
        <f>[1]!f_prt_convertiblebondtonav(A90,$E$1)</f>
        <v>4.8234286308288574</v>
      </c>
      <c r="J90" s="45">
        <f>[1]!f_prt_stocktonav(A90,$E$1)+0.5*I90</f>
        <v>21.017724752426147</v>
      </c>
      <c r="K90" s="46">
        <v>11.63099047746093</v>
      </c>
      <c r="L90" s="59">
        <f>VLOOKUP(A90,二级筛选!A:Q,12,0)/100</f>
        <v>7.0976085670894085E-2</v>
      </c>
      <c r="M90" s="63">
        <v>72</v>
      </c>
      <c r="N90" s="48">
        <f>VLOOKUP(A90,二级筛选!A:U,19,0)</f>
        <v>0.70511008483852899</v>
      </c>
      <c r="O90" s="65">
        <v>104</v>
      </c>
      <c r="P90" s="48">
        <f>VLOOKUP(A90,二级筛选!A:Z,24,0)</f>
        <v>1.6621116181736271</v>
      </c>
      <c r="Q90" s="67">
        <v>119</v>
      </c>
      <c r="R90" s="48">
        <f>VLOOKUP(A90,二级筛选!A:AE,29,0)</f>
        <v>0.89915966386554624</v>
      </c>
      <c r="S90" s="67">
        <v>133</v>
      </c>
      <c r="T90" s="50">
        <f>VLOOKUP(A90,二级筛选!A:AJ,34,0)</f>
        <v>-4.2702358189929814</v>
      </c>
      <c r="U90" s="66">
        <v>131</v>
      </c>
      <c r="V90" s="49">
        <f>VLOOKUP(A90,二级筛选!A:AR,39,0)/100</f>
        <v>0.10366587449828411</v>
      </c>
      <c r="W90" s="66">
        <v>49</v>
      </c>
      <c r="X90" s="48">
        <f>VLOOKUP(A90,二级筛选!A:AV,46,0)</f>
        <v>1.1065283652977322</v>
      </c>
      <c r="Y90" s="66">
        <v>72</v>
      </c>
      <c r="Z90" s="48">
        <f>VLOOKUP(A90,二级筛选!A:BA,51,0)</f>
        <v>2.9311017848338343</v>
      </c>
      <c r="AA90" s="66">
        <v>53</v>
      </c>
      <c r="AB90" s="48">
        <f>VLOOKUP(A90,二级筛选!A:BF,56,0)</f>
        <v>1</v>
      </c>
      <c r="AC90" s="66">
        <v>52</v>
      </c>
      <c r="AD90" s="48">
        <f>VLOOKUP(A90,二级筛选!A:BK,61,0)</f>
        <v>-3.5367545076282974</v>
      </c>
      <c r="AE90" s="66">
        <v>113</v>
      </c>
      <c r="AF90">
        <f>(M90+O90+Q90+S90+U90)+(W90+Y90+AA90+AC90+AE90)*2</f>
        <v>1237</v>
      </c>
      <c r="AG90" s="69">
        <f>(W90+Y90+AE90+U90)+(M90+O90+S90+AC90)</f>
        <v>726</v>
      </c>
    </row>
    <row r="91" spans="1:33" hidden="1" x14ac:dyDescent="0.35">
      <c r="A91" s="43" t="s">
        <v>365</v>
      </c>
      <c r="B91" s="43" t="s">
        <v>366</v>
      </c>
      <c r="C91" s="44">
        <v>20180208</v>
      </c>
      <c r="D91" s="44" t="str">
        <f>[1]!f_info_regulopenfundornot(A91)</f>
        <v>否</v>
      </c>
      <c r="E91" s="44" t="str">
        <f>[1]!f_dq_status(A91,$E$1)</f>
        <v>开放申购|开放赎回</v>
      </c>
      <c r="F91" s="40" t="str">
        <f>[1]!f_info_fundmanager(A91)</f>
        <v>陈斯扬</v>
      </c>
      <c r="G91" s="44">
        <v>20180319</v>
      </c>
      <c r="H91" s="45">
        <f>[1]!f_netasset_total(A91,$E$1,100000000)</f>
        <v>4.8633069627999994</v>
      </c>
      <c r="I91" s="45">
        <f>[1]!f_prt_convertiblebondtonav(A91,$E$1)</f>
        <v>23.249942779541016</v>
      </c>
      <c r="J91" s="45">
        <f>[1]!f_prt_stocktonav(A91,$E$1)+0.5*I91</f>
        <v>30.519105911254883</v>
      </c>
      <c r="K91" s="46">
        <v>4.2242860993853446</v>
      </c>
      <c r="L91" s="59">
        <f>VLOOKUP(A91,二级筛选!A:Q,12,0)/100</f>
        <v>0.11354899358952618</v>
      </c>
      <c r="M91" s="63">
        <v>22</v>
      </c>
      <c r="N91" s="48">
        <f>VLOOKUP(A91,二级筛选!A:U,19,0)</f>
        <v>1.6928849705861886</v>
      </c>
      <c r="O91" s="65">
        <v>21</v>
      </c>
      <c r="P91" s="48">
        <f>VLOOKUP(A91,二级筛选!A:Z,24,0)</f>
        <v>4.3113893101148602</v>
      </c>
      <c r="Q91" s="67">
        <v>41</v>
      </c>
      <c r="R91" s="48">
        <f>VLOOKUP(A91,二级筛选!A:AE,29,0)</f>
        <v>1</v>
      </c>
      <c r="S91" s="67">
        <v>40</v>
      </c>
      <c r="T91" s="50">
        <f>VLOOKUP(A91,二级筛选!A:AJ,34,0)</f>
        <v>-2.6336984536082433</v>
      </c>
      <c r="U91" s="66">
        <v>78</v>
      </c>
      <c r="V91" s="49">
        <f>VLOOKUP(A91,二级筛选!A:AR,39,0)/100</f>
        <v>4.8427238080429369E-2</v>
      </c>
      <c r="W91" s="66">
        <v>140</v>
      </c>
      <c r="X91" s="48">
        <f>VLOOKUP(A91,二级筛选!A:AV,46,0)</f>
        <v>0.38805097989993598</v>
      </c>
      <c r="Y91" s="66">
        <v>147</v>
      </c>
      <c r="Z91" s="48">
        <f>VLOOKUP(A91,二级筛选!A:BA,51,0)</f>
        <v>1.5920629979948604</v>
      </c>
      <c r="AA91" s="66">
        <v>141</v>
      </c>
      <c r="AB91" s="48">
        <f>VLOOKUP(A91,二级筛选!A:BF,56,0)</f>
        <v>1</v>
      </c>
      <c r="AC91" s="66">
        <v>130</v>
      </c>
      <c r="AD91" s="48">
        <f>VLOOKUP(A91,二级筛选!A:BK,61,0)</f>
        <v>-3.0417915711514896</v>
      </c>
      <c r="AE91" s="66">
        <v>89</v>
      </c>
      <c r="AF91">
        <f>(M91+O91+Q91+S91+U91)+(W91+Y91+AA91+AC91+AE91)*2</f>
        <v>1496</v>
      </c>
      <c r="AG91" s="69">
        <f>(W91+Y91+AE91)*2+(M91+O91+S91)</f>
        <v>835</v>
      </c>
    </row>
    <row r="92" spans="1:33" hidden="1" x14ac:dyDescent="0.35">
      <c r="A92" s="43" t="s">
        <v>325</v>
      </c>
      <c r="B92" s="43" t="s">
        <v>326</v>
      </c>
      <c r="C92" s="44">
        <v>20170324</v>
      </c>
      <c r="D92" s="44" t="str">
        <f>[1]!f_info_regulopenfundornot(A92)</f>
        <v>否</v>
      </c>
      <c r="E92" s="44" t="str">
        <f>[1]!f_dq_status(A92,$E$1)</f>
        <v>开放申购|开放赎回</v>
      </c>
      <c r="F92" s="40" t="str">
        <f>[1]!f_info_fundmanager(A92)</f>
        <v>罗黎军,金兴健</v>
      </c>
      <c r="G92" s="44">
        <v>20200716</v>
      </c>
      <c r="H92" s="45">
        <f>[1]!f_netasset_total(A92,$E$1,100000000)</f>
        <v>5.0460668E-2</v>
      </c>
      <c r="I92" s="45">
        <f>[1]!f_prt_convertiblebondtonav(A92,$E$1)</f>
        <v>4.9583072662353516</v>
      </c>
      <c r="J92" s="45">
        <f>[1]!f_prt_stocktonav(A92,$E$1)+0.5*I92</f>
        <v>9.1077399253845215</v>
      </c>
      <c r="K92" s="46">
        <v>0</v>
      </c>
      <c r="L92" s="59">
        <f>VLOOKUP(A92,二级筛选!A:Q,12,0)/100</f>
        <v>0.10905034738929607</v>
      </c>
      <c r="M92" s="63">
        <v>24</v>
      </c>
      <c r="N92" s="48">
        <f>VLOOKUP(A92,二级筛选!A:U,19,0)</f>
        <v>1.0282544051785671</v>
      </c>
      <c r="O92" s="65">
        <v>72</v>
      </c>
      <c r="P92" s="48">
        <f>VLOOKUP(A92,二级筛选!A:Z,24,0)</f>
        <v>1.8956266527174415</v>
      </c>
      <c r="Q92" s="67">
        <v>104</v>
      </c>
      <c r="R92" s="48">
        <f>VLOOKUP(A92,二级筛选!A:AE,29,0)</f>
        <v>1</v>
      </c>
      <c r="S92" s="67">
        <v>82</v>
      </c>
      <c r="T92" s="50">
        <f>VLOOKUP(A92,二级筛选!A:AJ,34,0)</f>
        <v>-5.7527333894028612</v>
      </c>
      <c r="U92" s="66">
        <v>170</v>
      </c>
      <c r="V92" s="49">
        <f>VLOOKUP(A92,二级筛选!A:AR,39,0)/100</f>
        <v>0.11753576976116985</v>
      </c>
      <c r="W92" s="66">
        <v>33</v>
      </c>
      <c r="X92" s="48">
        <f>VLOOKUP(A92,二级筛选!A:AV,46,0)</f>
        <v>0.68315878353474313</v>
      </c>
      <c r="Y92" s="66">
        <v>121</v>
      </c>
      <c r="Z92" s="48">
        <f>VLOOKUP(A92,二级筛选!A:BA,51,0)</f>
        <v>1.6890902012035691</v>
      </c>
      <c r="AA92" s="66">
        <v>133</v>
      </c>
      <c r="AB92" s="48">
        <f>VLOOKUP(A92,二级筛选!A:BF,56,0)</f>
        <v>0.85833333333333328</v>
      </c>
      <c r="AC92" s="66">
        <v>169</v>
      </c>
      <c r="AD92" s="48">
        <f>VLOOKUP(A92,二级筛选!A:BK,61,0)</f>
        <v>-6.9585253456221103</v>
      </c>
      <c r="AE92" s="66">
        <v>180</v>
      </c>
      <c r="AF92">
        <f>(M92+O92+Q92+S92+U92)+(W92+Y92+AA92+AC92+AE92)*2</f>
        <v>1724</v>
      </c>
      <c r="AG92" s="69">
        <f>(W92+Y92+AE92)*2+(M92+O92+S92)</f>
        <v>846</v>
      </c>
    </row>
    <row r="93" spans="1:33" x14ac:dyDescent="0.35">
      <c r="A93" s="39" t="s">
        <v>85</v>
      </c>
      <c r="B93" s="39" t="s">
        <v>86</v>
      </c>
      <c r="C93" s="37">
        <v>20110531</v>
      </c>
      <c r="D93" s="37" t="str">
        <f>[1]!f_info_regulopenfundornot(A93)</f>
        <v>否</v>
      </c>
      <c r="E93" s="37" t="str">
        <f>[1]!f_dq_status(A93,$E$1)</f>
        <v>开放申购|开放赎回</v>
      </c>
      <c r="F93" s="40" t="str">
        <f>[1]!f_info_fundmanager(A93)</f>
        <v>张沛,祝建辉</v>
      </c>
      <c r="G93" s="37">
        <v>20180202</v>
      </c>
      <c r="H93" s="41">
        <f>[1]!f_netasset_total(A93,$E$1,100000000)</f>
        <v>20.193188784300002</v>
      </c>
      <c r="I93" s="41">
        <f>[1]!f_prt_convertiblebondtonav(A93,$E$1)</f>
        <v>0</v>
      </c>
      <c r="J93" s="41">
        <f>[1]!f_prt_stocktonav(A93,$E$1)+0.5*I93</f>
        <v>13.768885612487793</v>
      </c>
      <c r="K93" s="42">
        <v>0</v>
      </c>
      <c r="L93" s="59">
        <f>VLOOKUP(A93,二级筛选!A:Q,12,0)/100</f>
        <v>2.7413298535093E-2</v>
      </c>
      <c r="M93" s="63">
        <v>167</v>
      </c>
      <c r="N93" s="48">
        <f>VLOOKUP(A93,二级筛选!A:U,19,0)</f>
        <v>-7.2134200172428456E-2</v>
      </c>
      <c r="O93" s="65">
        <v>166</v>
      </c>
      <c r="P93" s="48">
        <f>VLOOKUP(A93,二级筛选!A:Z,24,0)</f>
        <v>1.3419659269790087</v>
      </c>
      <c r="Q93" s="67">
        <v>140</v>
      </c>
      <c r="R93" s="48">
        <f>VLOOKUP(A93,二级筛选!A:AE,29,0)</f>
        <v>1</v>
      </c>
      <c r="S93" s="67">
        <v>88</v>
      </c>
      <c r="T93" s="50">
        <f>VLOOKUP(A93,二级筛选!A:AJ,34,0)</f>
        <v>-2.0427715774278226</v>
      </c>
      <c r="U93" s="66">
        <v>60</v>
      </c>
      <c r="V93" s="49">
        <f>VLOOKUP(A93,二级筛选!A:AR,39,0)/100</f>
        <v>7.7974903774388649E-2</v>
      </c>
      <c r="W93" s="66">
        <v>90</v>
      </c>
      <c r="X93" s="48">
        <f>VLOOKUP(A93,二级筛选!A:AV,46,0)</f>
        <v>1.0563277268656688</v>
      </c>
      <c r="Y93" s="66">
        <v>80</v>
      </c>
      <c r="Z93" s="48">
        <f>VLOOKUP(A93,二级筛选!A:BA,51,0)</f>
        <v>3.5238658436502583</v>
      </c>
      <c r="AA93" s="66">
        <v>30</v>
      </c>
      <c r="AB93" s="48">
        <f>VLOOKUP(A93,二级筛选!A:BF,56,0)</f>
        <v>1</v>
      </c>
      <c r="AC93" s="66">
        <v>30</v>
      </c>
      <c r="AD93" s="48">
        <f>VLOOKUP(A93,二级筛选!A:BK,61,0)</f>
        <v>-2.2127659574468073</v>
      </c>
      <c r="AE93" s="66">
        <v>45</v>
      </c>
      <c r="AF93">
        <f>(M93+O93+Q93+S93+U93)+(W93+Y93+AA93+AC93+AE93)*2</f>
        <v>1171</v>
      </c>
      <c r="AG93" s="69">
        <f>(W93+Y93+AE93+U93)+(M93+O93+S93+AC93)</f>
        <v>726</v>
      </c>
    </row>
    <row r="94" spans="1:33" hidden="1" x14ac:dyDescent="0.35">
      <c r="A94" s="43" t="s">
        <v>273</v>
      </c>
      <c r="B94" s="43" t="s">
        <v>274</v>
      </c>
      <c r="C94" s="44">
        <v>20160905</v>
      </c>
      <c r="D94" s="44" t="str">
        <f>[1]!f_info_regulopenfundornot(A94)</f>
        <v>否</v>
      </c>
      <c r="E94" s="44" t="str">
        <f>[1]!f_dq_status(A94,$E$1)</f>
        <v>开放申购|开放赎回</v>
      </c>
      <c r="F94" s="40" t="str">
        <f>[1]!f_info_fundmanager(A94)</f>
        <v>韩阅川</v>
      </c>
      <c r="G94" s="44">
        <v>20190928</v>
      </c>
      <c r="H94" s="45">
        <f>[1]!f_netasset_total(A94,$E$1,100000000)</f>
        <v>7.1200484166999995</v>
      </c>
      <c r="I94" s="45">
        <f>[1]!f_prt_convertiblebondtonav(A94,$E$1)</f>
        <v>18.340921401977539</v>
      </c>
      <c r="J94" s="45">
        <f>[1]!f_prt_stocktonav(A94,$E$1)+0.5*I94</f>
        <v>28.64400577545166</v>
      </c>
      <c r="K94" s="46">
        <v>14.557007752489151</v>
      </c>
      <c r="L94" s="59">
        <f>VLOOKUP(A94,二级筛选!A:Q,12,0)/100</f>
        <v>0.1227559801138085</v>
      </c>
      <c r="M94" s="63">
        <v>15</v>
      </c>
      <c r="N94" s="48">
        <f>VLOOKUP(A94,二级筛选!A:U,19,0)</f>
        <v>1.0549007989422687</v>
      </c>
      <c r="O94" s="65">
        <v>70</v>
      </c>
      <c r="P94" s="48">
        <f>VLOOKUP(A94,二级筛选!A:Z,24,0)</f>
        <v>1.6281967909803252</v>
      </c>
      <c r="Q94" s="67">
        <v>123</v>
      </c>
      <c r="R94" s="48">
        <f>VLOOKUP(A94,二级筛选!A:AE,29,0)</f>
        <v>0.86554621848739499</v>
      </c>
      <c r="S94" s="67">
        <v>136</v>
      </c>
      <c r="T94" s="50">
        <f>VLOOKUP(A94,二级筛选!A:AJ,34,0)</f>
        <v>-7.5393822659420699</v>
      </c>
      <c r="U94" s="66">
        <v>188</v>
      </c>
      <c r="V94" s="49">
        <f>VLOOKUP(A94,二级筛选!A:AR,39,0)/100</f>
        <v>0.13257242321917473</v>
      </c>
      <c r="W94" s="66">
        <v>24</v>
      </c>
      <c r="X94" s="48">
        <f>VLOOKUP(A94,二级筛选!A:AV,46,0)</f>
        <v>0.8605449594736343</v>
      </c>
      <c r="Y94" s="66">
        <v>101</v>
      </c>
      <c r="Z94" s="48">
        <f>VLOOKUP(A94,二级筛选!A:BA,51,0)</f>
        <v>1.3159040526940311</v>
      </c>
      <c r="AA94" s="66">
        <v>150</v>
      </c>
      <c r="AB94" s="48">
        <f>VLOOKUP(A94,二级筛选!A:BF,56,0)</f>
        <v>1</v>
      </c>
      <c r="AC94" s="66">
        <v>137</v>
      </c>
      <c r="AD94" s="48">
        <f>VLOOKUP(A94,二级筛选!A:BK,61,0)</f>
        <v>-10.07462686567164</v>
      </c>
      <c r="AE94" s="66">
        <v>190</v>
      </c>
      <c r="AF94">
        <f>(M94+O94+Q94+S94+U94)+(W94+Y94+AA94+AC94+AE94)*2</f>
        <v>1736</v>
      </c>
      <c r="AG94" s="69">
        <f>(W94+Y94+AE94)*2+(M94+O94+S94)</f>
        <v>851</v>
      </c>
    </row>
    <row r="95" spans="1:33" hidden="1" x14ac:dyDescent="0.35">
      <c r="A95" s="43" t="s">
        <v>393</v>
      </c>
      <c r="B95" s="43" t="s">
        <v>394</v>
      </c>
      <c r="C95" s="44">
        <v>20190328</v>
      </c>
      <c r="D95" s="44" t="str">
        <f>[1]!f_info_regulopenfundornot(A95)</f>
        <v>否</v>
      </c>
      <c r="E95" s="44" t="str">
        <f>[1]!f_dq_status(A95,$E$1)</f>
        <v>开放申购|开放赎回</v>
      </c>
      <c r="F95" s="40" t="str">
        <f>[1]!f_info_fundmanager(A95)</f>
        <v>王华</v>
      </c>
      <c r="G95" s="44">
        <v>20190328</v>
      </c>
      <c r="H95" s="45">
        <f>[1]!f_netasset_total(A95,$E$1,100000000)</f>
        <v>6.8813216248</v>
      </c>
      <c r="I95" s="45">
        <f>[1]!f_prt_convertiblebondtonav(A95,$E$1)</f>
        <v>8.4436531066894531</v>
      </c>
      <c r="J95" s="45">
        <f>[1]!f_prt_stocktonav(A95,$E$1)+0.5*I95</f>
        <v>23.078958511352539</v>
      </c>
      <c r="K95" s="46">
        <v>11.7433836704804</v>
      </c>
      <c r="L95" s="59">
        <f>VLOOKUP(A95,二级筛选!A:Q,12,0)/100</f>
        <v>3.8240037537946359E-2</v>
      </c>
      <c r="M95" s="63">
        <v>149</v>
      </c>
      <c r="N95" s="48">
        <f>VLOOKUP(A95,二级筛选!A:U,19,0)</f>
        <v>0.28483108939792534</v>
      </c>
      <c r="O95" s="65">
        <v>141</v>
      </c>
      <c r="P95" s="48">
        <f>VLOOKUP(A95,二级筛选!A:Z,24,0)</f>
        <v>2.5631506725155289</v>
      </c>
      <c r="Q95" s="67">
        <v>69</v>
      </c>
      <c r="R95" s="48">
        <f>VLOOKUP(A95,二级筛选!A:AE,29,0)</f>
        <v>0.90756302521008403</v>
      </c>
      <c r="S95" s="67">
        <v>128</v>
      </c>
      <c r="T95" s="50">
        <f>VLOOKUP(A95,二级筛选!A:AJ,34,0)</f>
        <v>-1.4919153192198724</v>
      </c>
      <c r="U95" s="66">
        <v>44</v>
      </c>
      <c r="V95" s="49">
        <f>VLOOKUP(A95,二级筛选!A:AR,39,0)/100</f>
        <v>9.5669939991875452E-2</v>
      </c>
      <c r="W95" s="66">
        <v>58</v>
      </c>
      <c r="X95" s="48">
        <f>VLOOKUP(A95,二级筛选!A:AV,46,0)</f>
        <v>1.2153418105568734</v>
      </c>
      <c r="Y95" s="66">
        <v>54</v>
      </c>
      <c r="Z95" s="48">
        <f>VLOOKUP(A95,二级筛选!A:BA,51,0)</f>
        <v>2.7924456755188212</v>
      </c>
      <c r="AA95" s="66">
        <v>63</v>
      </c>
      <c r="AB95" s="48">
        <f>VLOOKUP(A95,二级筛选!A:BF,56,0)</f>
        <v>1</v>
      </c>
      <c r="AC95" s="66">
        <v>61</v>
      </c>
      <c r="AD95" s="48">
        <f>VLOOKUP(A95,二级筛选!A:BK,61,0)</f>
        <v>-3.4260268993093481</v>
      </c>
      <c r="AE95" s="66">
        <v>105</v>
      </c>
      <c r="AF95">
        <f>(M95+O95+Q95+S95+U95)+(W95+Y95+AA95+AC95+AE95)*2</f>
        <v>1213</v>
      </c>
      <c r="AG95" s="69">
        <f>(W95+Y95+AE95)*2+(M95+O95+S95)</f>
        <v>852</v>
      </c>
    </row>
    <row r="96" spans="1:33" hidden="1" x14ac:dyDescent="0.35">
      <c r="A96" s="43" t="s">
        <v>269</v>
      </c>
      <c r="B96" s="43" t="s">
        <v>270</v>
      </c>
      <c r="C96" s="44">
        <v>20160825</v>
      </c>
      <c r="D96" s="44" t="str">
        <f>[1]!f_info_regulopenfundornot(A96)</f>
        <v>否</v>
      </c>
      <c r="E96" s="44" t="str">
        <f>[1]!f_dq_status(A96,$E$1)</f>
        <v>开放申购|开放赎回</v>
      </c>
      <c r="F96" s="40" t="str">
        <f>[1]!f_info_fundmanager(A96)</f>
        <v>闫宜乘,江刘玮</v>
      </c>
      <c r="G96" s="44">
        <v>20200902</v>
      </c>
      <c r="H96" s="45">
        <f>[1]!f_netasset_total(A96,$E$1,100000000)</f>
        <v>4.1105904937000002</v>
      </c>
      <c r="I96" s="45">
        <f>[1]!f_prt_convertiblebondtonav(A96,$E$1)</f>
        <v>10.026445388793945</v>
      </c>
      <c r="J96" s="45">
        <f>[1]!f_prt_stocktonav(A96,$E$1)+0.5*I96</f>
        <v>24.970870018005371</v>
      </c>
      <c r="K96" s="46">
        <v>29.286303314451711</v>
      </c>
      <c r="L96" s="59">
        <f>VLOOKUP(A96,二级筛选!A:Q,12,0)/100</f>
        <v>4.6805952905539572E-2</v>
      </c>
      <c r="M96" s="63">
        <v>121</v>
      </c>
      <c r="N96" s="48">
        <f>VLOOKUP(A96,二级筛选!A:U,19,0)</f>
        <v>0.31314255226947257</v>
      </c>
      <c r="O96" s="65">
        <v>138</v>
      </c>
      <c r="P96" s="48">
        <f>VLOOKUP(A96,二级筛选!A:Z,24,0)</f>
        <v>0.91935274662224076</v>
      </c>
      <c r="Q96" s="67">
        <v>164</v>
      </c>
      <c r="R96" s="48">
        <f>VLOOKUP(A96,二级筛选!A:AE,29,0)</f>
        <v>0.58823529411764708</v>
      </c>
      <c r="S96" s="67">
        <v>181</v>
      </c>
      <c r="T96" s="50">
        <f>VLOOKUP(A96,二级筛选!A:AJ,34,0)</f>
        <v>-5.0911854103343419</v>
      </c>
      <c r="U96" s="66">
        <v>157</v>
      </c>
      <c r="V96" s="49">
        <f>VLOOKUP(A96,二级筛选!A:AR,39,0)/100</f>
        <v>9.1649259201965302E-2</v>
      </c>
      <c r="W96" s="66">
        <v>63</v>
      </c>
      <c r="X96" s="48">
        <f>VLOOKUP(A96,二级筛选!A:AV,46,0)</f>
        <v>1.2674124080155476</v>
      </c>
      <c r="Y96" s="66">
        <v>47</v>
      </c>
      <c r="Z96" s="48">
        <f>VLOOKUP(A96,二级筛选!A:BA,51,0)</f>
        <v>2.8571656556212663</v>
      </c>
      <c r="AA96" s="66">
        <v>57</v>
      </c>
      <c r="AB96" s="48">
        <f>VLOOKUP(A96,二级筛选!A:BF,56,0)</f>
        <v>1</v>
      </c>
      <c r="AC96" s="66">
        <v>55</v>
      </c>
      <c r="AD96" s="48">
        <f>VLOOKUP(A96,二级筛选!A:BK,61,0)</f>
        <v>-3.2076984763432264</v>
      </c>
      <c r="AE96" s="66">
        <v>97</v>
      </c>
      <c r="AF96">
        <f>(M96+O96+Q96+S96+U96)+(W96+Y96+AA96+AC96+AE96)*2</f>
        <v>1399</v>
      </c>
      <c r="AG96" s="69">
        <f>(W96+Y96+AE96)*2+(M96+O96+S96)</f>
        <v>854</v>
      </c>
    </row>
    <row r="97" spans="1:33" hidden="1" x14ac:dyDescent="0.35">
      <c r="A97" s="43" t="s">
        <v>389</v>
      </c>
      <c r="B97" s="43" t="s">
        <v>390</v>
      </c>
      <c r="C97" s="44">
        <v>20190314</v>
      </c>
      <c r="D97" s="44" t="str">
        <f>[1]!f_info_regulopenfundornot(A97)</f>
        <v>否</v>
      </c>
      <c r="E97" s="44" t="str">
        <f>[1]!f_dq_status(A97,$E$1)</f>
        <v>暂停申购|暂停赎回</v>
      </c>
      <c r="F97" s="40" t="str">
        <f>[1]!f_info_fundmanager(A97)</f>
        <v>任翀,陈怡</v>
      </c>
      <c r="G97" s="44">
        <v>20190314</v>
      </c>
      <c r="H97" s="45">
        <f>[1]!f_netasset_total(A97,$E$1,100000000)</f>
        <v>8.2874397454000004</v>
      </c>
      <c r="I97" s="45">
        <f>[1]!f_prt_convertiblebondtonav(A97,$E$1)</f>
        <v>9.0655097961425781</v>
      </c>
      <c r="J97" s="45">
        <f>[1]!f_prt_stocktonav(A97,$E$1)+0.5*I97</f>
        <v>18.997170448303223</v>
      </c>
      <c r="K97" s="46">
        <v>24.383887691269901</v>
      </c>
      <c r="L97" s="59">
        <f>VLOOKUP(A97,二级筛选!A:Q,12,0)/100</f>
        <v>6.2250724492700638E-2</v>
      </c>
      <c r="M97" s="63">
        <v>86</v>
      </c>
      <c r="N97" s="48">
        <f>VLOOKUP(A97,二级筛选!A:U,19,0)</f>
        <v>0.68771760703977092</v>
      </c>
      <c r="O97" s="65">
        <v>106</v>
      </c>
      <c r="P97" s="48">
        <f>VLOOKUP(A97,二级筛选!A:Z,24,0)</f>
        <v>1.8966671121516419</v>
      </c>
      <c r="Q97" s="67">
        <v>103</v>
      </c>
      <c r="R97" s="48">
        <f>VLOOKUP(A97,二级筛选!A:AE,29,0)</f>
        <v>0.89915966386554624</v>
      </c>
      <c r="S97" s="67">
        <v>132</v>
      </c>
      <c r="T97" s="50">
        <f>VLOOKUP(A97,二级筛选!A:AJ,34,0)</f>
        <v>-3.2821112410222244</v>
      </c>
      <c r="U97" s="66">
        <v>103</v>
      </c>
      <c r="V97" s="49">
        <f>VLOOKUP(A97,二级筛选!A:AR,39,0)/100</f>
        <v>8.3177359705264298E-2</v>
      </c>
      <c r="W97" s="66">
        <v>75</v>
      </c>
      <c r="X97" s="48">
        <f>VLOOKUP(A97,二级筛选!A:AV,46,0)</f>
        <v>1.1115508885712702</v>
      </c>
      <c r="Y97" s="66">
        <v>68</v>
      </c>
      <c r="Z97" s="48">
        <f>VLOOKUP(A97,二级筛选!A:BA,51,0)</f>
        <v>2.2101706842475553</v>
      </c>
      <c r="AA97" s="66">
        <v>97</v>
      </c>
      <c r="AB97" s="48">
        <f>VLOOKUP(A97,二级筛选!A:BF,56,0)</f>
        <v>1</v>
      </c>
      <c r="AC97" s="66">
        <v>93</v>
      </c>
      <c r="AD97" s="48">
        <f>VLOOKUP(A97,二级筛选!A:BK,61,0)</f>
        <v>-3.763390777829529</v>
      </c>
      <c r="AE97" s="66">
        <v>123</v>
      </c>
      <c r="AF97">
        <f>(M97+O97+Q97+S97+U97)+(W97+Y97+AA97+AC97+AE97)*2</f>
        <v>1442</v>
      </c>
      <c r="AG97" s="69">
        <f>(W97+Y97+AE97)*2+(M97+O97+S97)</f>
        <v>856</v>
      </c>
    </row>
    <row r="98" spans="1:33" x14ac:dyDescent="0.35">
      <c r="A98" s="43" t="s">
        <v>37</v>
      </c>
      <c r="B98" s="43" t="s">
        <v>38</v>
      </c>
      <c r="C98" s="44">
        <v>20080910</v>
      </c>
      <c r="D98" s="44" t="str">
        <f>[1]!f_info_regulopenfundornot(A98)</f>
        <v>否</v>
      </c>
      <c r="E98" s="44" t="str">
        <f>[1]!f_dq_status(A98,$E$1)</f>
        <v>开放申购|开放赎回</v>
      </c>
      <c r="F98" s="40" t="str">
        <f>[1]!f_info_fundmanager(A98)</f>
        <v>王茜,洪流</v>
      </c>
      <c r="G98" s="44">
        <v>20090213</v>
      </c>
      <c r="H98" s="45">
        <f>[1]!f_netasset_total(A98,$E$1,100000000)</f>
        <v>25.464360860599999</v>
      </c>
      <c r="I98" s="45">
        <f>[1]!f_prt_convertiblebondtonav(A98,$E$1)</f>
        <v>20.778264999389648</v>
      </c>
      <c r="J98" s="45">
        <f>[1]!f_prt_stocktonav(A98,$E$1)+0.5*I98</f>
        <v>29.126181602478027</v>
      </c>
      <c r="K98" s="46">
        <v>0</v>
      </c>
      <c r="L98" s="59">
        <f>VLOOKUP(A98,二级筛选!A:Q,12,0)/100</f>
        <v>8.0613199848686326E-2</v>
      </c>
      <c r="M98" s="63">
        <v>55</v>
      </c>
      <c r="N98" s="48">
        <f>VLOOKUP(A98,二级筛选!A:U,19,0)</f>
        <v>0.72410912524964821</v>
      </c>
      <c r="O98" s="65">
        <v>103</v>
      </c>
      <c r="P98" s="48">
        <f>VLOOKUP(A98,二级筛选!A:Z,24,0)</f>
        <v>1.7054730092987693</v>
      </c>
      <c r="Q98" s="67">
        <v>116</v>
      </c>
      <c r="R98" s="48">
        <f>VLOOKUP(A98,二级筛选!A:AE,29,0)</f>
        <v>0.84873949579831931</v>
      </c>
      <c r="S98" s="67">
        <v>138</v>
      </c>
      <c r="T98" s="50">
        <f>VLOOKUP(A98,二级筛选!A:AJ,34,0)</f>
        <v>-4.7267355982274761</v>
      </c>
      <c r="U98" s="66">
        <v>148</v>
      </c>
      <c r="V98" s="49">
        <f>VLOOKUP(A98,二级筛选!A:AR,39,0)/100</f>
        <v>0.15421806357947521</v>
      </c>
      <c r="W98" s="66">
        <v>14</v>
      </c>
      <c r="X98" s="48">
        <f>VLOOKUP(A98,二级筛选!A:AV,46,0)</f>
        <v>1.5333137024981847</v>
      </c>
      <c r="Y98" s="66">
        <v>28</v>
      </c>
      <c r="Z98" s="48">
        <f>VLOOKUP(A98,二级筛选!A:BA,51,0)</f>
        <v>2.4614805212879802</v>
      </c>
      <c r="AA98" s="66">
        <v>79</v>
      </c>
      <c r="AB98" s="48">
        <f>VLOOKUP(A98,二级筛选!A:BF,56,0)</f>
        <v>1</v>
      </c>
      <c r="AC98" s="66">
        <v>76</v>
      </c>
      <c r="AD98" s="48">
        <f>VLOOKUP(A98,二级筛选!A:BK,61,0)</f>
        <v>-6.2652563059398068</v>
      </c>
      <c r="AE98" s="66">
        <v>171</v>
      </c>
      <c r="AF98">
        <f>(M98+O98+Q98+S98+U98)+(W98+Y98+AA98+AC98+AE98)*2</f>
        <v>1296</v>
      </c>
      <c r="AG98" s="69">
        <f>(W98+Y98+AE98+U98)+(M98+O98+S98+AC98)</f>
        <v>733</v>
      </c>
    </row>
    <row r="99" spans="1:33" hidden="1" x14ac:dyDescent="0.35">
      <c r="A99" s="43" t="s">
        <v>39</v>
      </c>
      <c r="B99" s="43" t="s">
        <v>40</v>
      </c>
      <c r="C99" s="44">
        <v>20080926</v>
      </c>
      <c r="D99" s="44" t="str">
        <f>[1]!f_info_regulopenfundornot(A99)</f>
        <v>否</v>
      </c>
      <c r="E99" s="44" t="str">
        <f>[1]!f_dq_status(A99,$E$1)</f>
        <v>开放申购|开放赎回</v>
      </c>
      <c r="F99" s="40" t="str">
        <f>[1]!f_info_fundmanager(A99)</f>
        <v>宋加旺,李宇璐</v>
      </c>
      <c r="G99" s="44">
        <v>20191016</v>
      </c>
      <c r="H99" s="45">
        <f>[1]!f_netasset_total(A99,$E$1,100000000)</f>
        <v>5.8176561915999994</v>
      </c>
      <c r="I99" s="45">
        <f>[1]!f_prt_convertiblebondtonav(A99,$E$1)</f>
        <v>3.3535492420196533</v>
      </c>
      <c r="J99" s="45">
        <f>[1]!f_prt_stocktonav(A99,$E$1)+0.5*I99</f>
        <v>17.840894341468811</v>
      </c>
      <c r="K99" s="46">
        <v>26.008412153758869</v>
      </c>
      <c r="L99" s="59">
        <f>VLOOKUP(A99,二级筛选!A:Q,12,0)/100</f>
        <v>8.7744683927427403E-2</v>
      </c>
      <c r="M99" s="63">
        <v>45</v>
      </c>
      <c r="N99" s="48">
        <f>VLOOKUP(A99,二级筛选!A:U,19,0)</f>
        <v>1.2997756799292983</v>
      </c>
      <c r="O99" s="65">
        <v>46</v>
      </c>
      <c r="P99" s="48">
        <f>VLOOKUP(A99,二级筛选!A:Z,24,0)</f>
        <v>4.6355040384916366</v>
      </c>
      <c r="Q99" s="67">
        <v>36</v>
      </c>
      <c r="R99" s="48">
        <f>VLOOKUP(A99,二级筛选!A:AE,29,0)</f>
        <v>1</v>
      </c>
      <c r="S99" s="67">
        <v>35</v>
      </c>
      <c r="T99" s="50">
        <f>VLOOKUP(A99,二级筛选!A:AJ,34,0)</f>
        <v>-1.8928833455612513</v>
      </c>
      <c r="U99" s="66">
        <v>56</v>
      </c>
      <c r="V99" s="49">
        <f>VLOOKUP(A99,二级筛选!A:AR,39,0)/100</f>
        <v>3.078964010800056E-2</v>
      </c>
      <c r="W99" s="66">
        <v>166</v>
      </c>
      <c r="X99" s="48">
        <f>VLOOKUP(A99,二级筛选!A:AV,46,0)</f>
        <v>2.225622172979811E-2</v>
      </c>
      <c r="Y99" s="66">
        <v>166</v>
      </c>
      <c r="Z99" s="48">
        <f>VLOOKUP(A99,二级筛选!A:BA,51,0)</f>
        <v>1.4113305303559092</v>
      </c>
      <c r="AA99" s="66">
        <v>148</v>
      </c>
      <c r="AB99" s="48">
        <f>VLOOKUP(A99,二级筛选!A:BF,56,0)</f>
        <v>1</v>
      </c>
      <c r="AC99" s="66">
        <v>135</v>
      </c>
      <c r="AD99" s="48">
        <f>VLOOKUP(A99,二级筛选!A:BK,61,0)</f>
        <v>-2.1816037735849187</v>
      </c>
      <c r="AE99" s="66">
        <v>43</v>
      </c>
      <c r="AF99">
        <f>(M99+O99+Q99+S99+U99)+(W99+Y99+AA99+AC99+AE99)*2</f>
        <v>1534</v>
      </c>
      <c r="AG99" s="69">
        <f>(W99+Y99+AE99)*2+(M99+O99+S99)</f>
        <v>876</v>
      </c>
    </row>
    <row r="100" spans="1:33" hidden="1" x14ac:dyDescent="0.35">
      <c r="A100" s="43" t="s">
        <v>357</v>
      </c>
      <c r="B100" s="43" t="s">
        <v>358</v>
      </c>
      <c r="C100" s="44">
        <v>20180124</v>
      </c>
      <c r="D100" s="44" t="str">
        <f>[1]!f_info_regulopenfundornot(A100)</f>
        <v>否</v>
      </c>
      <c r="E100" s="44" t="str">
        <f>[1]!f_dq_status(A100,$E$1)</f>
        <v>开放申购|开放赎回</v>
      </c>
      <c r="F100" s="40" t="str">
        <f>[1]!f_info_fundmanager(A100)</f>
        <v>于启明,叶平</v>
      </c>
      <c r="G100" s="44">
        <v>20190313</v>
      </c>
      <c r="H100" s="45">
        <f>[1]!f_netasset_total(A100,$E$1,100000000)</f>
        <v>3.2893355149999999</v>
      </c>
      <c r="I100" s="45">
        <f>[1]!f_prt_convertiblebondtonav(A100,$E$1)</f>
        <v>0</v>
      </c>
      <c r="J100" s="45">
        <f>[1]!f_prt_stocktonav(A100,$E$1)+0.5*I100</f>
        <v>5.2674770355224609</v>
      </c>
      <c r="K100" s="46">
        <v>34.848910814134449</v>
      </c>
      <c r="L100" s="59">
        <f>VLOOKUP(A100,二级筛选!A:Q,12,0)/100</f>
        <v>7.3943955150266971E-2</v>
      </c>
      <c r="M100" s="63">
        <v>63</v>
      </c>
      <c r="N100" s="48">
        <f>VLOOKUP(A100,二级筛选!A:U,19,0)</f>
        <v>2.4459770181572869</v>
      </c>
      <c r="O100" s="65">
        <v>5</v>
      </c>
      <c r="P100" s="48">
        <f>VLOOKUP(A100,二级筛选!A:Z,24,0)</f>
        <v>10.355592974765443</v>
      </c>
      <c r="Q100" s="67">
        <v>6</v>
      </c>
      <c r="R100" s="48">
        <f>VLOOKUP(A100,二级筛选!A:AE,29,0)</f>
        <v>1</v>
      </c>
      <c r="S100" s="67">
        <v>6</v>
      </c>
      <c r="T100" s="50">
        <f>VLOOKUP(A100,二级筛选!A:AJ,34,0)</f>
        <v>-0.71404848887411798</v>
      </c>
      <c r="U100" s="66">
        <v>13</v>
      </c>
      <c r="V100" s="49">
        <f>VLOOKUP(A100,二级筛选!A:AR,39,0)/100</f>
        <v>5.1729145836809876E-2</v>
      </c>
      <c r="W100" s="66">
        <v>135</v>
      </c>
      <c r="X100" s="48">
        <f>VLOOKUP(A100,二级筛选!A:AV,46,0)</f>
        <v>0.61190449513711731</v>
      </c>
      <c r="Y100" s="66">
        <v>128</v>
      </c>
      <c r="Z100" s="48">
        <f>VLOOKUP(A100,二级筛选!A:BA,51,0)</f>
        <v>1.213580510986177</v>
      </c>
      <c r="AA100" s="66">
        <v>155</v>
      </c>
      <c r="AB100" s="48">
        <f>VLOOKUP(A100,二级筛选!A:BF,56,0)</f>
        <v>0.67500000000000004</v>
      </c>
      <c r="AC100" s="66">
        <v>187</v>
      </c>
      <c r="AD100" s="48">
        <f>VLOOKUP(A100,二级筛选!A:BK,61,0)</f>
        <v>-4.2625227884364962</v>
      </c>
      <c r="AE100" s="66">
        <v>138</v>
      </c>
      <c r="AF100">
        <f>(M100+O100+Q100+S100+U100)+(W100+Y100+AA100+AC100+AE100)*2</f>
        <v>1579</v>
      </c>
      <c r="AG100" s="69">
        <f>(W100+Y100+AE100)*2+(M100+O100+S100)</f>
        <v>876</v>
      </c>
    </row>
    <row r="101" spans="1:33" hidden="1" x14ac:dyDescent="0.35">
      <c r="A101" s="43" t="s">
        <v>59</v>
      </c>
      <c r="B101" s="43" t="s">
        <v>60</v>
      </c>
      <c r="C101" s="44">
        <v>20090527</v>
      </c>
      <c r="D101" s="44" t="str">
        <f>[1]!f_info_regulopenfundornot(A101)</f>
        <v>否</v>
      </c>
      <c r="E101" s="44" t="str">
        <f>[1]!f_dq_status(A101,$E$1)</f>
        <v>开放申购|开放赎回</v>
      </c>
      <c r="F101" s="40" t="str">
        <f>[1]!f_info_fundmanager(A101)</f>
        <v>裴禹翔,张立,黄友文</v>
      </c>
      <c r="G101" s="44">
        <v>20160220</v>
      </c>
      <c r="H101" s="45">
        <f>[1]!f_netasset_total(A101,$E$1,100000000)</f>
        <v>0.39472820840000006</v>
      </c>
      <c r="I101" s="45">
        <f>[1]!f_prt_convertiblebondtonav(A101,$E$1)</f>
        <v>16.980411529541016</v>
      </c>
      <c r="J101" s="45">
        <f>[1]!f_prt_stocktonav(A101,$E$1)+0.5*I101</f>
        <v>28.061309814453125</v>
      </c>
      <c r="K101" s="46">
        <v>36.99912924692817</v>
      </c>
      <c r="L101" s="59">
        <f>VLOOKUP(A101,二级筛选!A:Q,12,0)/100</f>
        <v>6.036383659527722E-2</v>
      </c>
      <c r="M101" s="63">
        <v>92</v>
      </c>
      <c r="N101" s="48">
        <f>VLOOKUP(A101,二级筛选!A:U,19,0)</f>
        <v>0.21086606502434663</v>
      </c>
      <c r="O101" s="65">
        <v>151</v>
      </c>
      <c r="P101" s="48">
        <f>VLOOKUP(A101,二级筛选!A:Z,24,0)</f>
        <v>0.44503534431027914</v>
      </c>
      <c r="Q101" s="67">
        <v>180</v>
      </c>
      <c r="R101" s="48">
        <f>VLOOKUP(A101,二级筛选!A:AE,29,0)</f>
        <v>0.62184873949579833</v>
      </c>
      <c r="S101" s="67">
        <v>176</v>
      </c>
      <c r="T101" s="50">
        <f>VLOOKUP(A101,二级筛选!A:AJ,34,0)</f>
        <v>-13.563829787234042</v>
      </c>
      <c r="U101" s="66">
        <v>195</v>
      </c>
      <c r="V101" s="49">
        <f>VLOOKUP(A101,二级筛选!A:AR,39,0)/100</f>
        <v>0.25049985072336112</v>
      </c>
      <c r="W101" s="66">
        <v>2</v>
      </c>
      <c r="X101" s="48">
        <f>VLOOKUP(A101,二级筛选!A:AV,46,0)</f>
        <v>1.3799139472575996</v>
      </c>
      <c r="Y101" s="66">
        <v>36</v>
      </c>
      <c r="Z101" s="48">
        <f>VLOOKUP(A101,二级筛选!A:BA,51,0)</f>
        <v>2.3200364081529918</v>
      </c>
      <c r="AA101" s="66">
        <v>89</v>
      </c>
      <c r="AB101" s="48">
        <f>VLOOKUP(A101,二级筛选!A:BF,56,0)</f>
        <v>1</v>
      </c>
      <c r="AC101" s="66">
        <v>86</v>
      </c>
      <c r="AD101" s="48">
        <f>VLOOKUP(A101,二级筛选!A:BK,61,0)</f>
        <v>-10.797237915881976</v>
      </c>
      <c r="AE101" s="66">
        <v>193</v>
      </c>
      <c r="AF101">
        <f>(M101+O101+Q101+S101+U101)+(W101+Y101+AA101+AC101+AE101)*2</f>
        <v>1606</v>
      </c>
      <c r="AG101" s="69">
        <f>(W101+Y101+AE101)*2+(M101+O101+S101)</f>
        <v>881</v>
      </c>
    </row>
    <row r="102" spans="1:33" hidden="1" x14ac:dyDescent="0.35">
      <c r="A102" s="43" t="s">
        <v>93</v>
      </c>
      <c r="B102" s="43" t="s">
        <v>94</v>
      </c>
      <c r="C102" s="44">
        <v>20110323</v>
      </c>
      <c r="D102" s="44" t="str">
        <f>[1]!f_info_regulopenfundornot(A102)</f>
        <v>否</v>
      </c>
      <c r="E102" s="44" t="str">
        <f>[1]!f_dq_status(A102,$E$1)</f>
        <v>开放申购|开放赎回</v>
      </c>
      <c r="F102" s="40" t="str">
        <f>[1]!f_info_fundmanager(A102)</f>
        <v>王汉博,罗伟卿</v>
      </c>
      <c r="G102" s="44">
        <v>20201128</v>
      </c>
      <c r="H102" s="45">
        <f>[1]!f_netasset_total(A102,$E$1,100000000)</f>
        <v>0.70213797989999993</v>
      </c>
      <c r="I102" s="45">
        <f>[1]!f_prt_convertiblebondtonav(A102,$E$1)</f>
        <v>24.963268280029297</v>
      </c>
      <c r="J102" s="45">
        <f>[1]!f_prt_stocktonav(A102,$E$1)+0.5*I102</f>
        <v>31.49858283996582</v>
      </c>
      <c r="K102" s="46">
        <v>0</v>
      </c>
      <c r="L102" s="59">
        <f>VLOOKUP(A102,二级筛选!A:Q,12,0)/100</f>
        <v>2.4149706689667871E-2</v>
      </c>
      <c r="M102" s="63">
        <v>172</v>
      </c>
      <c r="N102" s="48">
        <f>VLOOKUP(A102,二级筛选!A:U,19,0)</f>
        <v>-0.11414045073562282</v>
      </c>
      <c r="O102" s="65">
        <v>169</v>
      </c>
      <c r="P102" s="48">
        <f>VLOOKUP(A102,二级筛选!A:Z,24,0)</f>
        <v>0.73150016728675193</v>
      </c>
      <c r="Q102" s="67">
        <v>170</v>
      </c>
      <c r="R102" s="48">
        <f>VLOOKUP(A102,二级筛选!A:AE,29,0)</f>
        <v>0.77310924369747902</v>
      </c>
      <c r="S102" s="67">
        <v>154</v>
      </c>
      <c r="T102" s="50">
        <f>VLOOKUP(A102,二级筛选!A:AJ,34,0)</f>
        <v>-3.3013945545963299</v>
      </c>
      <c r="U102" s="66">
        <v>106</v>
      </c>
      <c r="V102" s="49">
        <f>VLOOKUP(A102,二级筛选!A:AR,39,0)/100</f>
        <v>8.4297712786815845E-2</v>
      </c>
      <c r="W102" s="66">
        <v>73</v>
      </c>
      <c r="X102" s="48">
        <f>VLOOKUP(A102,二级筛选!A:AV,46,0)</f>
        <v>1.2851076172569129</v>
      </c>
      <c r="Y102" s="66">
        <v>44</v>
      </c>
      <c r="Z102" s="48">
        <f>VLOOKUP(A102,二级筛选!A:BA,51,0)</f>
        <v>3.0419174649762137</v>
      </c>
      <c r="AA102" s="66">
        <v>48</v>
      </c>
      <c r="AB102" s="48">
        <f>VLOOKUP(A102,二级筛选!A:BF,56,0)</f>
        <v>1</v>
      </c>
      <c r="AC102" s="66">
        <v>48</v>
      </c>
      <c r="AD102" s="48">
        <f>VLOOKUP(A102,二级筛选!A:BK,61,0)</f>
        <v>-2.7712031558185295</v>
      </c>
      <c r="AE102" s="66">
        <v>77</v>
      </c>
      <c r="AF102">
        <f>(M102+O102+Q102+S102+U102)+(W102+Y102+AA102+AC102+AE102)*2</f>
        <v>1351</v>
      </c>
      <c r="AG102" s="69">
        <f>(W102+Y102+AE102)*2+(M102+O102+S102)</f>
        <v>883</v>
      </c>
    </row>
    <row r="103" spans="1:33" hidden="1" x14ac:dyDescent="0.35">
      <c r="A103" s="43" t="s">
        <v>87</v>
      </c>
      <c r="B103" s="43" t="s">
        <v>88</v>
      </c>
      <c r="C103" s="44">
        <v>20110211</v>
      </c>
      <c r="D103" s="44" t="str">
        <f>[1]!f_info_regulopenfundornot(A103)</f>
        <v>否</v>
      </c>
      <c r="E103" s="44" t="str">
        <f>[1]!f_dq_status(A103,$E$1)</f>
        <v>开放申购|开放赎回</v>
      </c>
      <c r="F103" s="40" t="str">
        <f>[1]!f_info_fundmanager(A103)</f>
        <v>范磊</v>
      </c>
      <c r="G103" s="44">
        <v>20190327</v>
      </c>
      <c r="H103" s="45">
        <f>[1]!f_netasset_total(A103,$E$1,100000000)</f>
        <v>4.8807031635000007</v>
      </c>
      <c r="I103" s="45">
        <f>[1]!f_prt_convertiblebondtonav(A103,$E$1)</f>
        <v>23.71674919128418</v>
      </c>
      <c r="J103" s="45">
        <f>[1]!f_prt_stocktonav(A103,$E$1)+0.5*I103</f>
        <v>26.70006275177002</v>
      </c>
      <c r="K103" s="46">
        <v>12.384895777323379</v>
      </c>
      <c r="L103" s="59">
        <f>VLOOKUP(A103,二级筛选!A:Q,12,0)/100</f>
        <v>3.4115478374623365E-2</v>
      </c>
      <c r="M103" s="63">
        <v>159</v>
      </c>
      <c r="N103" s="48">
        <f>VLOOKUP(A103,二级筛选!A:U,19,0)</f>
        <v>7.0553642309965803E-2</v>
      </c>
      <c r="O103" s="65">
        <v>158</v>
      </c>
      <c r="P103" s="48">
        <f>VLOOKUP(A103,二级筛选!A:Z,24,0)</f>
        <v>0.70312579158545963</v>
      </c>
      <c r="Q103" s="67">
        <v>171</v>
      </c>
      <c r="R103" s="48">
        <f>VLOOKUP(A103,二级筛选!A:AE,29,0)</f>
        <v>0.9327731092436975</v>
      </c>
      <c r="S103" s="67">
        <v>122</v>
      </c>
      <c r="T103" s="50">
        <f>VLOOKUP(A103,二级筛选!A:AJ,34,0)</f>
        <v>-4.8519736842105141</v>
      </c>
      <c r="U103" s="66">
        <v>153</v>
      </c>
      <c r="V103" s="49">
        <f>VLOOKUP(A103,二级筛选!A:AR,39,0)/100</f>
        <v>9.3185118339575101E-2</v>
      </c>
      <c r="W103" s="66">
        <v>62</v>
      </c>
      <c r="X103" s="48">
        <f>VLOOKUP(A103,二级筛选!A:AV,46,0)</f>
        <v>1.1603242260874664</v>
      </c>
      <c r="Y103" s="66">
        <v>58</v>
      </c>
      <c r="Z103" s="48">
        <f>VLOOKUP(A103,二级筛选!A:BA,51,0)</f>
        <v>2.7046412396120694</v>
      </c>
      <c r="AA103" s="66">
        <v>67</v>
      </c>
      <c r="AB103" s="48">
        <f>VLOOKUP(A103,二级筛选!A:BF,56,0)</f>
        <v>1</v>
      </c>
      <c r="AC103" s="66">
        <v>65</v>
      </c>
      <c r="AD103" s="48">
        <f>VLOOKUP(A103,二级筛选!A:BK,61,0)</f>
        <v>-3.4453781512604893</v>
      </c>
      <c r="AE103" s="66">
        <v>106</v>
      </c>
      <c r="AF103">
        <f>(M103+O103+Q103+S103+U103)+(W103+Y103+AA103+AC103+AE103)*2</f>
        <v>1479</v>
      </c>
      <c r="AG103" s="69">
        <f>(W103+Y103+AE103)*2+(M103+O103+S103)</f>
        <v>891</v>
      </c>
    </row>
    <row r="104" spans="1:33" x14ac:dyDescent="0.35">
      <c r="A104" s="43" t="s">
        <v>305</v>
      </c>
      <c r="B104" s="43" t="s">
        <v>306</v>
      </c>
      <c r="C104" s="44">
        <v>20161123</v>
      </c>
      <c r="D104" s="44" t="str">
        <f>[1]!f_info_regulopenfundornot(A104)</f>
        <v>否</v>
      </c>
      <c r="E104" s="44" t="str">
        <f>[1]!f_dq_status(A104,$E$1)</f>
        <v>开放申购|开放赎回</v>
      </c>
      <c r="F104" s="40" t="str">
        <f>[1]!f_info_fundmanager(A104)</f>
        <v>张清华</v>
      </c>
      <c r="G104" s="44">
        <v>20161123</v>
      </c>
      <c r="H104" s="45">
        <f>[1]!f_netasset_total(A104,$E$1,100000000)</f>
        <v>242.53780423830003</v>
      </c>
      <c r="I104" s="45">
        <f>[1]!f_prt_convertiblebondtonav(A104,$E$1)</f>
        <v>7.1638450622558594</v>
      </c>
      <c r="J104" s="45">
        <f>[1]!f_prt_stocktonav(A104,$E$1)+0.5*I104</f>
        <v>18.20801830291748</v>
      </c>
      <c r="K104" s="46">
        <v>0</v>
      </c>
      <c r="L104" s="59">
        <f>VLOOKUP(A104,二级筛选!A:Q,12,0)/100</f>
        <v>9.8045399040243661E-2</v>
      </c>
      <c r="M104" s="63">
        <v>31</v>
      </c>
      <c r="N104" s="48">
        <f>VLOOKUP(A104,二级筛选!A:U,19,0)</f>
        <v>1.1654383227425635</v>
      </c>
      <c r="O104" s="65">
        <v>60</v>
      </c>
      <c r="P104" s="48">
        <f>VLOOKUP(A104,二级筛选!A:Z,24,0)</f>
        <v>1.9740353982495897</v>
      </c>
      <c r="Q104" s="67">
        <v>101</v>
      </c>
      <c r="R104" s="48">
        <f>VLOOKUP(A104,二级筛选!A:AE,29,0)</f>
        <v>1</v>
      </c>
      <c r="S104" s="67">
        <v>81</v>
      </c>
      <c r="T104" s="50">
        <f>VLOOKUP(A104,二级筛选!A:AJ,34,0)</f>
        <v>-4.9667497921862074</v>
      </c>
      <c r="U104" s="66">
        <v>156</v>
      </c>
      <c r="V104" s="49">
        <f>VLOOKUP(A104,二级筛选!A:AR,39,0)/100</f>
        <v>8.4201647298043358E-2</v>
      </c>
      <c r="W104" s="66">
        <v>74</v>
      </c>
      <c r="X104" s="48">
        <f>VLOOKUP(A104,二级筛选!A:AV,46,0)</f>
        <v>1.0475568238873714</v>
      </c>
      <c r="Y104" s="66">
        <v>83</v>
      </c>
      <c r="Z104" s="48">
        <f>VLOOKUP(A104,二级筛选!A:BA,51,0)</f>
        <v>1.9307842974011211</v>
      </c>
      <c r="AA104" s="66">
        <v>118</v>
      </c>
      <c r="AB104" s="48">
        <f>VLOOKUP(A104,二级筛选!A:BF,56,0)</f>
        <v>1</v>
      </c>
      <c r="AC104" s="66">
        <v>111</v>
      </c>
      <c r="AD104" s="48">
        <f>VLOOKUP(A104,二级筛选!A:BK,61,0)</f>
        <v>-4.3610074626865707</v>
      </c>
      <c r="AE104" s="66">
        <v>143</v>
      </c>
      <c r="AF104">
        <f>(M104+O104+Q104+S104+U104)+(W104+Y104+AA104+AC104+AE104)*2</f>
        <v>1487</v>
      </c>
      <c r="AG104" s="69">
        <f>(W104+Y104+AE104+U104)+(M104+O104+S104+AC104)</f>
        <v>739</v>
      </c>
    </row>
    <row r="105" spans="1:33" x14ac:dyDescent="0.35">
      <c r="A105" s="43" t="s">
        <v>75</v>
      </c>
      <c r="B105" s="43" t="s">
        <v>76</v>
      </c>
      <c r="C105" s="44">
        <v>20100901</v>
      </c>
      <c r="D105" s="44" t="str">
        <f>[1]!f_info_regulopenfundornot(A105)</f>
        <v>否</v>
      </c>
      <c r="E105" s="44" t="str">
        <f>[1]!f_dq_status(A105,$E$1)</f>
        <v>开放申购|开放赎回</v>
      </c>
      <c r="F105" s="40" t="str">
        <f>[1]!f_info_fundmanager(A105)</f>
        <v>胡永青</v>
      </c>
      <c r="G105" s="44">
        <v>20150418</v>
      </c>
      <c r="H105" s="45">
        <f>[1]!f_netasset_total(A105,$E$1,100000000)</f>
        <v>50.138554453400005</v>
      </c>
      <c r="I105" s="45">
        <f>[1]!f_prt_convertiblebondtonav(A105,$E$1)</f>
        <v>14.679477691650391</v>
      </c>
      <c r="J105" s="45">
        <f>[1]!f_prt_stocktonav(A105,$E$1)+0.5*I105</f>
        <v>22.547824859619141</v>
      </c>
      <c r="K105" s="46">
        <v>3.855077237610562</v>
      </c>
      <c r="L105" s="59">
        <f>VLOOKUP(A105,二级筛选!A:Q,12,0)/100</f>
        <v>7.2723740491916322E-2</v>
      </c>
      <c r="M105" s="63">
        <v>67</v>
      </c>
      <c r="N105" s="48">
        <f>VLOOKUP(A105,二级筛选!A:U,19,0)</f>
        <v>0.75358677077885561</v>
      </c>
      <c r="O105" s="65">
        <v>96</v>
      </c>
      <c r="P105" s="48">
        <f>VLOOKUP(A105,二级筛选!A:Z,24,0)</f>
        <v>1.9441479958172208</v>
      </c>
      <c r="Q105" s="67">
        <v>102</v>
      </c>
      <c r="R105" s="48">
        <f>VLOOKUP(A105,二级筛选!A:AE,29,0)</f>
        <v>0.89915966386554624</v>
      </c>
      <c r="S105" s="67">
        <v>131</v>
      </c>
      <c r="T105" s="50">
        <f>VLOOKUP(A105,二级筛选!A:AJ,34,0)</f>
        <v>-3.7406483790523861</v>
      </c>
      <c r="U105" s="66">
        <v>117</v>
      </c>
      <c r="V105" s="49">
        <f>VLOOKUP(A105,二级筛选!A:AR,39,0)/100</f>
        <v>0.10496232233785975</v>
      </c>
      <c r="W105" s="66">
        <v>47</v>
      </c>
      <c r="X105" s="48">
        <f>VLOOKUP(A105,二级筛选!A:AV,46,0)</f>
        <v>1.2430310716513122</v>
      </c>
      <c r="Y105" s="66">
        <v>49</v>
      </c>
      <c r="Z105" s="48">
        <f>VLOOKUP(A105,二级筛选!A:BA,51,0)</f>
        <v>2.3050753714201071</v>
      </c>
      <c r="AA105" s="66">
        <v>90</v>
      </c>
      <c r="AB105" s="48">
        <f>VLOOKUP(A105,二级筛选!A:BF,56,0)</f>
        <v>1</v>
      </c>
      <c r="AC105" s="66">
        <v>87</v>
      </c>
      <c r="AD105" s="48">
        <f>VLOOKUP(A105,二级筛选!A:BK,61,0)</f>
        <v>-4.5535310315338942</v>
      </c>
      <c r="AE105" s="66">
        <v>147</v>
      </c>
      <c r="AF105">
        <f>(M105+O105+Q105+S105+U105)+(W105+Y105+AA105+AC105+AE105)*2</f>
        <v>1353</v>
      </c>
      <c r="AG105" s="69">
        <f>(W105+Y105+AE105+U105)+(M105+O105+S105+AC105)</f>
        <v>741</v>
      </c>
    </row>
    <row r="106" spans="1:33" x14ac:dyDescent="0.35">
      <c r="A106" s="39" t="s">
        <v>275</v>
      </c>
      <c r="B106" s="39" t="s">
        <v>276</v>
      </c>
      <c r="C106" s="37">
        <v>20160401</v>
      </c>
      <c r="D106" s="37" t="str">
        <f>[1]!f_info_regulopenfundornot(A106)</f>
        <v>否</v>
      </c>
      <c r="E106" s="37" t="str">
        <f>[1]!f_dq_status(A106,$E$1)</f>
        <v>开放申购|开放赎回</v>
      </c>
      <c r="F106" s="40" t="str">
        <f>[1]!f_info_fundmanager(A106)</f>
        <v>孙慧,贾鹏</v>
      </c>
      <c r="G106" s="37">
        <v>20161222</v>
      </c>
      <c r="H106" s="41">
        <f>[1]!f_netasset_total(A106,$E$1,100000000)</f>
        <v>70.022850650899997</v>
      </c>
      <c r="I106" s="41">
        <f>[1]!f_prt_convertiblebondtonav(A106,$E$1)</f>
        <v>8.6936807632446289</v>
      </c>
      <c r="J106" s="41">
        <f>[1]!f_prt_stocktonav(A106,$E$1)+0.5*I106</f>
        <v>19.790952205657959</v>
      </c>
      <c r="K106" s="42">
        <v>11.268521527834411</v>
      </c>
      <c r="L106" s="59">
        <f>VLOOKUP(A106,二级筛选!A:Q,12,0)/100</f>
        <v>4.8449630401247168E-2</v>
      </c>
      <c r="M106" s="63">
        <v>113</v>
      </c>
      <c r="N106" s="48">
        <f>VLOOKUP(A106,二级筛选!A:U,19,0)</f>
        <v>0.43371398824191987</v>
      </c>
      <c r="O106" s="65">
        <v>126</v>
      </c>
      <c r="P106" s="48">
        <f>VLOOKUP(A106,二级筛选!A:Z,24,0)</f>
        <v>1.4097660748460406</v>
      </c>
      <c r="Q106" s="67">
        <v>133</v>
      </c>
      <c r="R106" s="48">
        <f>VLOOKUP(A106,二级筛选!A:AE,29,0)</f>
        <v>0.94957983193277307</v>
      </c>
      <c r="S106" s="67">
        <v>112</v>
      </c>
      <c r="T106" s="50">
        <f>VLOOKUP(A106,二级筛选!A:AJ,34,0)</f>
        <v>-3.4367141659681599</v>
      </c>
      <c r="U106" s="66">
        <v>112</v>
      </c>
      <c r="V106" s="49">
        <f>VLOOKUP(A106,二级筛选!A:AR,39,0)/100</f>
        <v>0.1191473434624486</v>
      </c>
      <c r="W106" s="66">
        <v>31</v>
      </c>
      <c r="X106" s="48">
        <f>VLOOKUP(A106,二级筛选!A:AV,46,0)</f>
        <v>1.4698488742791773</v>
      </c>
      <c r="Y106" s="66">
        <v>32</v>
      </c>
      <c r="Z106" s="48">
        <f>VLOOKUP(A106,二级筛选!A:BA,51,0)</f>
        <v>2.5594614521563046</v>
      </c>
      <c r="AA106" s="66">
        <v>76</v>
      </c>
      <c r="AB106" s="48">
        <f>VLOOKUP(A106,二级筛选!A:BF,56,0)</f>
        <v>1</v>
      </c>
      <c r="AC106" s="66">
        <v>74</v>
      </c>
      <c r="AD106" s="48">
        <f>VLOOKUP(A106,二级筛选!A:BK,61,0)</f>
        <v>-4.6551724137931005</v>
      </c>
      <c r="AE106" s="66">
        <v>151</v>
      </c>
      <c r="AF106">
        <f>(M106+O106+Q106+S106+U106)+(W106+Y106+AA106+AC106+AE106)*2</f>
        <v>1324</v>
      </c>
      <c r="AG106" s="69">
        <f>(W106+Y106+AE106+U106)+(M106+O106+S106+AC106)</f>
        <v>751</v>
      </c>
    </row>
    <row r="107" spans="1:33" hidden="1" x14ac:dyDescent="0.35">
      <c r="A107" s="43" t="s">
        <v>57</v>
      </c>
      <c r="B107" s="43" t="s">
        <v>58</v>
      </c>
      <c r="C107" s="44">
        <v>20090413</v>
      </c>
      <c r="D107" s="44" t="str">
        <f>[1]!f_info_regulopenfundornot(A107)</f>
        <v>否</v>
      </c>
      <c r="E107" s="44" t="str">
        <f>[1]!f_dq_status(A107,$E$1)</f>
        <v>开放申购|开放赎回</v>
      </c>
      <c r="F107" s="40" t="str">
        <f>[1]!f_info_fundmanager(A107)</f>
        <v>苏玉平</v>
      </c>
      <c r="G107" s="44">
        <v>20110719</v>
      </c>
      <c r="H107" s="45">
        <f>[1]!f_netasset_total(A107,$E$1,100000000)</f>
        <v>0.89548415030000006</v>
      </c>
      <c r="I107" s="45">
        <f>[1]!f_prt_convertiblebondtonav(A107,$E$1)</f>
        <v>19.127368927001953</v>
      </c>
      <c r="J107" s="45">
        <f>[1]!f_prt_stocktonav(A107,$E$1)+0.5*I107</f>
        <v>22.25128173828125</v>
      </c>
      <c r="K107" s="46">
        <v>16.854011313258638</v>
      </c>
      <c r="L107" s="59">
        <f>VLOOKUP(A107,二级筛选!A:Q,12,0)/100</f>
        <v>7.1948229890777426E-2</v>
      </c>
      <c r="M107" s="63">
        <v>68</v>
      </c>
      <c r="N107" s="48">
        <f>VLOOKUP(A107,二级筛选!A:U,19,0)</f>
        <v>0.50274764627763191</v>
      </c>
      <c r="O107" s="65">
        <v>120</v>
      </c>
      <c r="P107" s="48">
        <f>VLOOKUP(A107,二级筛选!A:Z,24,0)</f>
        <v>1.3269087360862277</v>
      </c>
      <c r="Q107" s="67">
        <v>141</v>
      </c>
      <c r="R107" s="48">
        <f>VLOOKUP(A107,二级筛选!A:AE,29,0)</f>
        <v>0.92436974789915971</v>
      </c>
      <c r="S107" s="67">
        <v>125</v>
      </c>
      <c r="T107" s="50">
        <f>VLOOKUP(A107,二级筛选!A:AJ,34,0)</f>
        <v>-5.4222440424193534</v>
      </c>
      <c r="U107" s="66">
        <v>163</v>
      </c>
      <c r="V107" s="49">
        <f>VLOOKUP(A107,二级筛选!A:AR,39,0)/100</f>
        <v>9.6426242726197278E-2</v>
      </c>
      <c r="W107" s="66">
        <v>55</v>
      </c>
      <c r="X107" s="48">
        <f>VLOOKUP(A107,二级筛选!A:AV,46,0)</f>
        <v>0.87557596782553082</v>
      </c>
      <c r="Y107" s="66">
        <v>97</v>
      </c>
      <c r="Z107" s="48">
        <f>VLOOKUP(A107,二级筛选!A:BA,51,0)</f>
        <v>2.1687446171050029</v>
      </c>
      <c r="AA107" s="66">
        <v>101</v>
      </c>
      <c r="AB107" s="48">
        <f>VLOOKUP(A107,二级筛选!A:BF,56,0)</f>
        <v>1</v>
      </c>
      <c r="AC107" s="66">
        <v>97</v>
      </c>
      <c r="AD107" s="48">
        <f>VLOOKUP(A107,二级筛选!A:BK,61,0)</f>
        <v>-4.4461778471138755</v>
      </c>
      <c r="AE107" s="66">
        <v>145</v>
      </c>
      <c r="AF107">
        <f>(M107+O107+Q107+S107+U107)+(W107+Y107+AA107+AC107+AE107)*2</f>
        <v>1607</v>
      </c>
      <c r="AG107" s="69">
        <f>(W107+Y107+AE107)*2+(M107+O107+S107)</f>
        <v>907</v>
      </c>
    </row>
    <row r="108" spans="1:33" hidden="1" x14ac:dyDescent="0.35">
      <c r="A108" s="43" t="s">
        <v>153</v>
      </c>
      <c r="B108" s="43" t="s">
        <v>154</v>
      </c>
      <c r="C108" s="44">
        <v>20130814</v>
      </c>
      <c r="D108" s="44" t="str">
        <f>[1]!f_info_regulopenfundornot(A108)</f>
        <v>否</v>
      </c>
      <c r="E108" s="44" t="str">
        <f>[1]!f_dq_status(A108,$E$1)</f>
        <v>开放申购|开放赎回</v>
      </c>
      <c r="F108" s="40" t="str">
        <f>[1]!f_info_fundmanager(A108)</f>
        <v>张洋</v>
      </c>
      <c r="G108" s="44">
        <v>20190605</v>
      </c>
      <c r="H108" s="45">
        <f>[1]!f_netasset_total(A108,$E$1,100000000)</f>
        <v>5.5453666669000006</v>
      </c>
      <c r="I108" s="45">
        <f>[1]!f_prt_convertiblebondtonav(A108,$E$1)</f>
        <v>27.528419494628906</v>
      </c>
      <c r="J108" s="45">
        <f>[1]!f_prt_stocktonav(A108,$E$1)+0.5*I108</f>
        <v>30.209943771362305</v>
      </c>
      <c r="K108" s="46">
        <v>16.33363588753172</v>
      </c>
      <c r="L108" s="59">
        <f>VLOOKUP(A108,二级筛选!A:Q,12,0)/100</f>
        <v>4.6177751718414317E-2</v>
      </c>
      <c r="M108" s="63">
        <v>125</v>
      </c>
      <c r="N108" s="48">
        <f>VLOOKUP(A108,二级筛选!A:U,19,0)</f>
        <v>0.30568462486740267</v>
      </c>
      <c r="O108" s="65">
        <v>139</v>
      </c>
      <c r="P108" s="48">
        <f>VLOOKUP(A108,二级筛选!A:Z,24,0)</f>
        <v>1.0441944107326457</v>
      </c>
      <c r="Q108" s="67">
        <v>155</v>
      </c>
      <c r="R108" s="48">
        <f>VLOOKUP(A108,二级筛选!A:AE,29,0)</f>
        <v>0.79831932773109249</v>
      </c>
      <c r="S108" s="67">
        <v>149</v>
      </c>
      <c r="T108" s="50">
        <f>VLOOKUP(A108,二级筛选!A:AJ,34,0)</f>
        <v>-4.4223327805417272</v>
      </c>
      <c r="U108" s="66">
        <v>139</v>
      </c>
      <c r="V108" s="49">
        <f>VLOOKUP(A108,二级筛选!A:AR,39,0)/100</f>
        <v>8.2019838285170454E-2</v>
      </c>
      <c r="W108" s="66">
        <v>78</v>
      </c>
      <c r="X108" s="48">
        <f>VLOOKUP(A108,二级筛选!A:AV,46,0)</f>
        <v>1.1468941798446965</v>
      </c>
      <c r="Y108" s="66">
        <v>60</v>
      </c>
      <c r="Z108" s="48">
        <f>VLOOKUP(A108,二级筛选!A:BA,51,0)</f>
        <v>2.3340899742508698</v>
      </c>
      <c r="AA108" s="66">
        <v>85</v>
      </c>
      <c r="AB108" s="48">
        <f>VLOOKUP(A108,二级筛选!A:BF,56,0)</f>
        <v>1</v>
      </c>
      <c r="AC108" s="66">
        <v>82</v>
      </c>
      <c r="AD108" s="48">
        <f>VLOOKUP(A108,二级筛选!A:BK,61,0)</f>
        <v>-3.5139964264443089</v>
      </c>
      <c r="AE108" s="66">
        <v>110</v>
      </c>
      <c r="AF108">
        <f>(M108+O108+Q108+S108+U108)+(W108+Y108+AA108+AC108+AE108)*2</f>
        <v>1537</v>
      </c>
      <c r="AG108" s="69">
        <f>(W108+Y108+AE108)*2+(M108+O108+S108)</f>
        <v>909</v>
      </c>
    </row>
    <row r="109" spans="1:33" x14ac:dyDescent="0.35">
      <c r="A109" s="43" t="s">
        <v>229</v>
      </c>
      <c r="B109" s="43" t="s">
        <v>230</v>
      </c>
      <c r="C109" s="44">
        <v>20160421</v>
      </c>
      <c r="D109" s="44" t="str">
        <f>[1]!f_info_regulopenfundornot(A109)</f>
        <v>否</v>
      </c>
      <c r="E109" s="44" t="str">
        <f>[1]!f_dq_status(A109,$E$1)</f>
        <v>暂停大额申购|开放赎回</v>
      </c>
      <c r="F109" s="40" t="str">
        <f>[1]!f_info_fundmanager(A109)</f>
        <v>曹建华</v>
      </c>
      <c r="G109" s="44">
        <v>20210928</v>
      </c>
      <c r="H109" s="45">
        <f>[1]!f_netasset_total(A109,$E$1,100000000)</f>
        <v>10.5007985018</v>
      </c>
      <c r="I109" s="45">
        <f>[1]!f_prt_convertiblebondtonav(A109,$E$1)</f>
        <v>0</v>
      </c>
      <c r="J109" s="45">
        <f>[1]!f_prt_stocktonav(A109,$E$1)+0.5*I109</f>
        <v>0</v>
      </c>
      <c r="K109" s="46">
        <v>44.960580847168053</v>
      </c>
      <c r="L109" s="59">
        <f>VLOOKUP(A109,二级筛选!A:Q,12,0)/100</f>
        <v>3.8434161865204652E-2</v>
      </c>
      <c r="M109" s="63">
        <v>147</v>
      </c>
      <c r="N109" s="48">
        <f>VLOOKUP(A109,二级筛选!A:U,19,0)</f>
        <v>2.0261132848910739</v>
      </c>
      <c r="O109" s="65">
        <v>14</v>
      </c>
      <c r="P109" s="48">
        <f>VLOOKUP(A109,二级筛选!A:Z,24,0)</f>
        <v>9.6872836271955247</v>
      </c>
      <c r="Q109" s="67">
        <v>8</v>
      </c>
      <c r="R109" s="48">
        <f>VLOOKUP(A109,二级筛选!A:AE,29,0)</f>
        <v>1</v>
      </c>
      <c r="S109" s="67">
        <v>8</v>
      </c>
      <c r="T109" s="50">
        <f>VLOOKUP(A109,二级筛选!A:AJ,34,0)</f>
        <v>-0.39674859686472674</v>
      </c>
      <c r="U109" s="66">
        <v>5</v>
      </c>
      <c r="V109" s="49">
        <f>VLOOKUP(A109,二级筛选!A:AR,39,0)/100</f>
        <v>2.4519130219753826E-2</v>
      </c>
      <c r="W109" s="66">
        <v>173</v>
      </c>
      <c r="X109" s="48">
        <f>VLOOKUP(A109,二级筛选!A:AV,46,0)</f>
        <v>-0.46968555816335045</v>
      </c>
      <c r="Y109" s="66">
        <v>183</v>
      </c>
      <c r="Z109" s="48">
        <f>VLOOKUP(A109,二级筛选!A:BA,51,0)</f>
        <v>0.96776822623005843</v>
      </c>
      <c r="AA109" s="66">
        <v>172</v>
      </c>
      <c r="AB109" s="48">
        <f>VLOOKUP(A109,二级筛选!A:BF,56,0)</f>
        <v>0.80833333333333335</v>
      </c>
      <c r="AC109" s="66">
        <v>175</v>
      </c>
      <c r="AD109" s="48">
        <f>VLOOKUP(A109,二级筛选!A:BK,61,0)</f>
        <v>-2.5335746261548708</v>
      </c>
      <c r="AE109" s="66">
        <v>65</v>
      </c>
      <c r="AF109">
        <f>(M109+O109+Q109+S109+U109)+(W109+Y109+AA109+AC109+AE109)*2</f>
        <v>1718</v>
      </c>
      <c r="AG109" s="69">
        <f>(W109+Y109+AE109+U109)+(M109+O109+S109+AC109)</f>
        <v>770</v>
      </c>
    </row>
    <row r="110" spans="1:33" hidden="1" x14ac:dyDescent="0.35">
      <c r="A110" s="43" t="s">
        <v>317</v>
      </c>
      <c r="B110" s="43" t="s">
        <v>318</v>
      </c>
      <c r="C110" s="44">
        <v>20170120</v>
      </c>
      <c r="D110" s="44" t="str">
        <f>[1]!f_info_regulopenfundornot(A110)</f>
        <v>否</v>
      </c>
      <c r="E110" s="44" t="str">
        <f>[1]!f_dq_status(A110,$E$1)</f>
        <v>开放申购|开放赎回</v>
      </c>
      <c r="F110" s="40" t="str">
        <f>[1]!f_info_fundmanager(A110)</f>
        <v>刘志辉</v>
      </c>
      <c r="G110" s="44">
        <v>20170206</v>
      </c>
      <c r="H110" s="45">
        <f>[1]!f_netasset_total(A110,$E$1,100000000)</f>
        <v>1.3126429309000001</v>
      </c>
      <c r="I110" s="45">
        <f>[1]!f_prt_convertiblebondtonav(A110,$E$1)</f>
        <v>9.7052850723266602</v>
      </c>
      <c r="J110" s="45">
        <f>[1]!f_prt_stocktonav(A110,$E$1)+0.5*I110</f>
        <v>20.083783626556396</v>
      </c>
      <c r="K110" s="46">
        <v>38.459049914958101</v>
      </c>
      <c r="L110" s="59">
        <f>VLOOKUP(A110,二级筛选!A:Q,12,0)/100</f>
        <v>0.10618226004758169</v>
      </c>
      <c r="M110" s="63">
        <v>27</v>
      </c>
      <c r="N110" s="48">
        <f>VLOOKUP(A110,二级筛选!A:U,19,0)</f>
        <v>1.4499366334746659</v>
      </c>
      <c r="O110" s="65">
        <v>32</v>
      </c>
      <c r="P110" s="48">
        <f>VLOOKUP(A110,二级筛选!A:Z,24,0)</f>
        <v>2.9947635206324645</v>
      </c>
      <c r="Q110" s="67">
        <v>62</v>
      </c>
      <c r="R110" s="48">
        <f>VLOOKUP(A110,二级筛选!A:AE,29,0)</f>
        <v>1</v>
      </c>
      <c r="S110" s="67">
        <v>57</v>
      </c>
      <c r="T110" s="50">
        <f>VLOOKUP(A110,二级筛选!A:AJ,34,0)</f>
        <v>-3.5455974842767231</v>
      </c>
      <c r="U110" s="66">
        <v>114</v>
      </c>
      <c r="V110" s="49">
        <f>VLOOKUP(A110,二级筛选!A:AR,39,0)/100</f>
        <v>2.2687267538602063E-2</v>
      </c>
      <c r="W110" s="66">
        <v>182</v>
      </c>
      <c r="X110" s="48">
        <f>VLOOKUP(A110,二级筛选!A:AV,46,0)</f>
        <v>-0.34384683462316973</v>
      </c>
      <c r="Y110" s="66">
        <v>179</v>
      </c>
      <c r="Z110" s="48">
        <f>VLOOKUP(A110,二级筛选!A:BA,51,0)</f>
        <v>1.0789375207914842</v>
      </c>
      <c r="AA110" s="66">
        <v>165</v>
      </c>
      <c r="AB110" s="48">
        <f>VLOOKUP(A110,二级筛选!A:BF,56,0)</f>
        <v>0.98333333333333328</v>
      </c>
      <c r="AC110" s="66">
        <v>152</v>
      </c>
      <c r="AD110" s="48">
        <f>VLOOKUP(A110,二级筛选!A:BK,61,0)</f>
        <v>-2.1027415491083485</v>
      </c>
      <c r="AE110" s="66">
        <v>39</v>
      </c>
      <c r="AF110">
        <f>(M110+O110+Q110+S110+U110)+(W110+Y110+AA110+AC110+AE110)*2</f>
        <v>1726</v>
      </c>
      <c r="AG110" s="69">
        <f>(W110+Y110+AE110)*2+(M110+O110+S110)</f>
        <v>916</v>
      </c>
    </row>
    <row r="111" spans="1:33" x14ac:dyDescent="0.35">
      <c r="A111" s="39" t="s">
        <v>161</v>
      </c>
      <c r="B111" s="39" t="s">
        <v>162</v>
      </c>
      <c r="C111" s="37">
        <v>20160824</v>
      </c>
      <c r="D111" s="37" t="str">
        <f>[1]!f_info_regulopenfundornot(A111)</f>
        <v>否</v>
      </c>
      <c r="E111" s="37" t="str">
        <f>[1]!f_dq_status(A111,$E$1)</f>
        <v>开放申购|开放赎回</v>
      </c>
      <c r="F111" s="40" t="str">
        <f>[1]!f_info_fundmanager(A111)</f>
        <v>任慧娟,陈怡</v>
      </c>
      <c r="G111" s="37">
        <v>20160824</v>
      </c>
      <c r="H111" s="41">
        <f>[1]!f_netasset_total(A111,$E$1,100000000)</f>
        <v>17.966698532399999</v>
      </c>
      <c r="I111" s="41">
        <f>[1]!f_prt_convertiblebondtonav(A111,$E$1)</f>
        <v>4.823972225189209</v>
      </c>
      <c r="J111" s="41">
        <f>[1]!f_prt_stocktonav(A111,$E$1)+0.5*I111</f>
        <v>16.261102437973022</v>
      </c>
      <c r="K111" s="42">
        <v>0</v>
      </c>
      <c r="L111" s="59">
        <f>VLOOKUP(A111,二级筛选!A:Q,12,0)/100</f>
        <v>4.7313192630544121E-2</v>
      </c>
      <c r="M111" s="63">
        <v>119</v>
      </c>
      <c r="N111" s="48">
        <f>VLOOKUP(A111,二级筛选!A:U,19,0)</f>
        <v>0.44041290260472232</v>
      </c>
      <c r="O111" s="65">
        <v>124</v>
      </c>
      <c r="P111" s="48">
        <f>VLOOKUP(A111,二级筛选!A:Z,24,0)</f>
        <v>1.4478276046502265</v>
      </c>
      <c r="Q111" s="67">
        <v>131</v>
      </c>
      <c r="R111" s="48">
        <f>VLOOKUP(A111,二级筛选!A:AE,29,0)</f>
        <v>0.89915966386554624</v>
      </c>
      <c r="S111" s="67">
        <v>134</v>
      </c>
      <c r="T111" s="50">
        <f>VLOOKUP(A111,二级筛选!A:AJ,34,0)</f>
        <v>-3.2678747441049296</v>
      </c>
      <c r="U111" s="66">
        <v>102</v>
      </c>
      <c r="V111" s="49">
        <f>VLOOKUP(A111,二级筛选!A:AR,39,0)/100</f>
        <v>7.3186648199963011E-2</v>
      </c>
      <c r="W111" s="66">
        <v>100</v>
      </c>
      <c r="X111" s="48">
        <f>VLOOKUP(A111,二级筛选!A:AV,46,0)</f>
        <v>1.0837957264362308</v>
      </c>
      <c r="Y111" s="66">
        <v>78</v>
      </c>
      <c r="Z111" s="48">
        <f>VLOOKUP(A111,二级筛选!A:BA,51,0)</f>
        <v>2.8022354410785963</v>
      </c>
      <c r="AA111" s="66">
        <v>62</v>
      </c>
      <c r="AB111" s="48">
        <f>VLOOKUP(A111,二级筛选!A:BF,56,0)</f>
        <v>1</v>
      </c>
      <c r="AC111" s="66">
        <v>60</v>
      </c>
      <c r="AD111" s="48">
        <f>VLOOKUP(A111,二级筛选!A:BK,61,0)</f>
        <v>-2.6117237376668485</v>
      </c>
      <c r="AE111" s="66">
        <v>67</v>
      </c>
      <c r="AF111">
        <f>(M111+O111+Q111+S111+U111)+(W111+Y111+AA111+AC111+AE111)*2</f>
        <v>1344</v>
      </c>
      <c r="AG111" s="69">
        <f>(W111+Y111+AE111+U111)+(M111+O111+S111+AC111)</f>
        <v>784</v>
      </c>
    </row>
    <row r="112" spans="1:33" hidden="1" x14ac:dyDescent="0.35">
      <c r="A112" s="43" t="s">
        <v>165</v>
      </c>
      <c r="B112" s="43" t="s">
        <v>166</v>
      </c>
      <c r="C112" s="44">
        <v>20131204</v>
      </c>
      <c r="D112" s="44" t="str">
        <f>[1]!f_info_regulopenfundornot(A112)</f>
        <v>否</v>
      </c>
      <c r="E112" s="44" t="str">
        <f>[1]!f_dq_status(A112,$E$1)</f>
        <v>开放申购|开放赎回</v>
      </c>
      <c r="F112" s="40" t="str">
        <f>[1]!f_info_fundmanager(A112)</f>
        <v>王丹</v>
      </c>
      <c r="G112" s="44">
        <v>20210202</v>
      </c>
      <c r="H112" s="45">
        <f>[1]!f_netasset_total(A112,$E$1,100000000)</f>
        <v>2.2600389115000001</v>
      </c>
      <c r="I112" s="45">
        <f>[1]!f_prt_convertiblebondtonav(A112,$E$1)</f>
        <v>24.055566787719727</v>
      </c>
      <c r="J112" s="45">
        <f>[1]!f_prt_stocktonav(A112,$E$1)+0.5*I112</f>
        <v>19.782966136932373</v>
      </c>
      <c r="K112" s="46">
        <v>11.42059982625215</v>
      </c>
      <c r="L112" s="59">
        <f>VLOOKUP(A112,二级筛选!A:Q,12,0)/100</f>
        <v>0.13837324105907101</v>
      </c>
      <c r="M112" s="63">
        <v>10</v>
      </c>
      <c r="N112" s="48">
        <f>VLOOKUP(A112,二级筛选!A:U,19,0)</f>
        <v>2.3171685682663345</v>
      </c>
      <c r="O112" s="65">
        <v>7</v>
      </c>
      <c r="P112" s="48">
        <f>VLOOKUP(A112,二级筛选!A:Z,24,0)</f>
        <v>6.8778783608518701</v>
      </c>
      <c r="Q112" s="67">
        <v>16</v>
      </c>
      <c r="R112" s="48">
        <f>VLOOKUP(A112,二级筛选!A:AE,29,0)</f>
        <v>1</v>
      </c>
      <c r="S112" s="67">
        <v>16</v>
      </c>
      <c r="T112" s="50">
        <f>VLOOKUP(A112,二级筛选!A:AJ,34,0)</f>
        <v>-2.0118593816179757</v>
      </c>
      <c r="U112" s="66">
        <v>59</v>
      </c>
      <c r="V112" s="49">
        <f>VLOOKUP(A112,二级筛选!A:AR,39,0)/100</f>
        <v>8.1256337760080566E-3</v>
      </c>
      <c r="W112" s="66">
        <v>193</v>
      </c>
      <c r="X112" s="48">
        <f>VLOOKUP(A112,二级筛选!A:AV,46,0)</f>
        <v>-0.70467376207786181</v>
      </c>
      <c r="Y112" s="66">
        <v>189</v>
      </c>
      <c r="Z112" s="48">
        <f>VLOOKUP(A112,二级筛选!A:BA,51,0)</f>
        <v>0.32705018534696562</v>
      </c>
      <c r="AA112" s="66">
        <v>192</v>
      </c>
      <c r="AB112" s="48">
        <f>VLOOKUP(A112,二级筛选!A:BF,56,0)</f>
        <v>0.31666666666666671</v>
      </c>
      <c r="AC112" s="66">
        <v>195</v>
      </c>
      <c r="AD112" s="48">
        <f>VLOOKUP(A112,二级筛选!A:BK,61,0)</f>
        <v>-2.4845219908337981</v>
      </c>
      <c r="AE112" s="66">
        <v>60</v>
      </c>
      <c r="AF112">
        <f>(M112+O112+Q112+S112+U112)+(W112+Y112+AA112+AC112+AE112)*2</f>
        <v>1766</v>
      </c>
      <c r="AG112" s="69">
        <f>(W112+Y112+AE112)*2+(M112+O112+S112)</f>
        <v>917</v>
      </c>
    </row>
    <row r="113" spans="1:33" x14ac:dyDescent="0.35">
      <c r="A113" s="39" t="s">
        <v>239</v>
      </c>
      <c r="B113" s="39" t="s">
        <v>240</v>
      </c>
      <c r="C113" s="37">
        <v>20100816</v>
      </c>
      <c r="D113" s="37" t="str">
        <f>[1]!f_info_regulopenfundornot(A113)</f>
        <v>否</v>
      </c>
      <c r="E113" s="37" t="str">
        <f>[1]!f_dq_status(A113,$E$1)</f>
        <v>暂停大额申购|开放赎回</v>
      </c>
      <c r="F113" s="40" t="str">
        <f>[1]!f_info_fundmanager(A113)</f>
        <v>欧阳凯,徐博文</v>
      </c>
      <c r="G113" s="37">
        <v>20100816</v>
      </c>
      <c r="H113" s="41">
        <f>[1]!f_netasset_total(A113,$E$1,100000000)</f>
        <v>224.49455836439998</v>
      </c>
      <c r="I113" s="41">
        <f>[1]!f_prt_convertiblebondtonav(A113,$E$1)</f>
        <v>1.6813770532608032</v>
      </c>
      <c r="J113" s="41">
        <f>[1]!f_prt_stocktonav(A113,$E$1)+0.5*I113</f>
        <v>16.571705639362335</v>
      </c>
      <c r="K113" s="42">
        <v>4.5686274423417972</v>
      </c>
      <c r="L113" s="59">
        <f>VLOOKUP(A113,二级筛选!A:Q,12,0)/100</f>
        <v>4.7806927145834122E-2</v>
      </c>
      <c r="M113" s="63">
        <v>118</v>
      </c>
      <c r="N113" s="48">
        <f>VLOOKUP(A113,二级筛选!A:U,19,0)</f>
        <v>0.88873968080385801</v>
      </c>
      <c r="O113" s="65">
        <v>84</v>
      </c>
      <c r="P113" s="48">
        <f>VLOOKUP(A113,二级筛选!A:Z,24,0)</f>
        <v>3.3005902501484372</v>
      </c>
      <c r="Q113" s="67">
        <v>56</v>
      </c>
      <c r="R113" s="48">
        <f>VLOOKUP(A113,二级筛选!A:AE,29,0)</f>
        <v>1</v>
      </c>
      <c r="S113" s="67">
        <v>52</v>
      </c>
      <c r="T113" s="50">
        <f>VLOOKUP(A113,二级筛选!A:AJ,34,0)</f>
        <v>-1.4484356894553665</v>
      </c>
      <c r="U113" s="66">
        <v>41</v>
      </c>
      <c r="V113" s="49">
        <f>VLOOKUP(A113,二级筛选!A:AR,39,0)/100</f>
        <v>5.0073894941353503E-2</v>
      </c>
      <c r="W113" s="66">
        <v>137</v>
      </c>
      <c r="X113" s="48">
        <f>VLOOKUP(A113,二级筛选!A:AV,46,0)</f>
        <v>0.56881454731509862</v>
      </c>
      <c r="Y113" s="66">
        <v>134</v>
      </c>
      <c r="Z113" s="48">
        <f>VLOOKUP(A113,二级筛选!A:BA,51,0)</f>
        <v>1.5343397242407126</v>
      </c>
      <c r="AA113" s="66">
        <v>144</v>
      </c>
      <c r="AB113" s="48">
        <f>VLOOKUP(A113,二级筛选!A:BF,56,0)</f>
        <v>1</v>
      </c>
      <c r="AC113" s="66">
        <v>132</v>
      </c>
      <c r="AD113" s="48">
        <f>VLOOKUP(A113,二级筛选!A:BK,61,0)</f>
        <v>-3.2635467980295694</v>
      </c>
      <c r="AE113" s="66">
        <v>100</v>
      </c>
      <c r="AF113">
        <f>(M113+O113+Q113+S113+U113)+(W113+Y113+AA113+AC113+AE113)*2</f>
        <v>1645</v>
      </c>
      <c r="AG113" s="69">
        <f>(W113+Y113+AE113+U113)+(M113+O113+S113+AC113)</f>
        <v>798</v>
      </c>
    </row>
    <row r="114" spans="1:33" hidden="1" x14ac:dyDescent="0.35">
      <c r="A114" s="43" t="s">
        <v>263</v>
      </c>
      <c r="B114" s="43" t="s">
        <v>264</v>
      </c>
      <c r="C114" s="44">
        <v>20160815</v>
      </c>
      <c r="D114" s="44" t="str">
        <f>[1]!f_info_regulopenfundornot(A114)</f>
        <v>否</v>
      </c>
      <c r="E114" s="44" t="str">
        <f>[1]!f_dq_status(A114,$E$1)</f>
        <v>开放申购|开放赎回</v>
      </c>
      <c r="F114" s="40" t="str">
        <f>[1]!f_info_fundmanager(A114)</f>
        <v>刘田</v>
      </c>
      <c r="G114" s="44">
        <v>20200706</v>
      </c>
      <c r="H114" s="45">
        <f>[1]!f_netasset_total(A114,$E$1,100000000)</f>
        <v>2.2564571062000001</v>
      </c>
      <c r="I114" s="45">
        <f>[1]!f_prt_convertiblebondtonav(A114,$E$1)</f>
        <v>0</v>
      </c>
      <c r="J114" s="45">
        <f>[1]!f_prt_stocktonav(A114,$E$1)+0.5*I114</f>
        <v>0</v>
      </c>
      <c r="K114" s="46">
        <v>26.685195935943909</v>
      </c>
      <c r="L114" s="59">
        <f>VLOOKUP(A114,二级筛选!A:Q,12,0)/100</f>
        <v>4.8202886036694537E-2</v>
      </c>
      <c r="M114" s="63">
        <v>115</v>
      </c>
      <c r="N114" s="48">
        <f>VLOOKUP(A114,二级筛选!A:U,19,0)</f>
        <v>2.7202701646752843</v>
      </c>
      <c r="O114" s="65">
        <v>3</v>
      </c>
      <c r="P114" s="48">
        <f>VLOOKUP(A114,二级筛选!A:Z,24,0)</f>
        <v>8.9134489264462413</v>
      </c>
      <c r="Q114" s="67">
        <v>10</v>
      </c>
      <c r="R114" s="48">
        <f>VLOOKUP(A114,二级筛选!A:AE,29,0)</f>
        <v>1</v>
      </c>
      <c r="S114" s="67">
        <v>10</v>
      </c>
      <c r="T114" s="50">
        <f>VLOOKUP(A114,二级筛选!A:AJ,34,0)</f>
        <v>-0.54078826764437238</v>
      </c>
      <c r="U114" s="66">
        <v>9</v>
      </c>
      <c r="V114" s="49">
        <f>VLOOKUP(A114,二级筛选!A:AR,39,0)/100</f>
        <v>3.1460862190773042E-2</v>
      </c>
      <c r="W114" s="66">
        <v>164</v>
      </c>
      <c r="X114" s="48">
        <f>VLOOKUP(A114,二级筛选!A:AV,46,0)</f>
        <v>0.10004860856934125</v>
      </c>
      <c r="Y114" s="66">
        <v>161</v>
      </c>
      <c r="Z114" s="48">
        <f>VLOOKUP(A114,二级筛选!A:BA,51,0)</f>
        <v>1.1640519010586046</v>
      </c>
      <c r="AA114" s="66">
        <v>156</v>
      </c>
      <c r="AB114" s="48">
        <f>VLOOKUP(A114,二级筛选!A:BF,56,0)</f>
        <v>0.89166666666666672</v>
      </c>
      <c r="AC114" s="66">
        <v>167</v>
      </c>
      <c r="AD114" s="48">
        <f>VLOOKUP(A114,二级筛选!A:BK,61,0)</f>
        <v>-2.7027027027026982</v>
      </c>
      <c r="AE114" s="66">
        <v>72</v>
      </c>
      <c r="AF114">
        <f>(M114+O114+Q114+S114+U114)+(W114+Y114+AA114+AC114+AE114)*2</f>
        <v>1587</v>
      </c>
      <c r="AG114" s="69">
        <f>(W114+Y114+AE114)*2+(M114+O114+S114)</f>
        <v>922</v>
      </c>
    </row>
    <row r="115" spans="1:33" hidden="1" x14ac:dyDescent="0.35">
      <c r="A115" s="43" t="s">
        <v>259</v>
      </c>
      <c r="B115" s="43" t="s">
        <v>260</v>
      </c>
      <c r="C115" s="44">
        <v>20160727</v>
      </c>
      <c r="D115" s="44" t="str">
        <f>[1]!f_info_regulopenfundornot(A115)</f>
        <v>否</v>
      </c>
      <c r="E115" s="44" t="str">
        <f>[1]!f_dq_status(A115,$E$1)</f>
        <v>开放申购|开放赎回</v>
      </c>
      <c r="F115" s="40" t="str">
        <f>[1]!f_info_fundmanager(A115)</f>
        <v>静鹏</v>
      </c>
      <c r="G115" s="44">
        <v>20160727</v>
      </c>
      <c r="H115" s="45">
        <f>[1]!f_netasset_total(A115,$E$1,100000000)</f>
        <v>3.1295720411000003</v>
      </c>
      <c r="I115" s="45">
        <f>[1]!f_prt_convertiblebondtonav(A115,$E$1)</f>
        <v>22.076652526855469</v>
      </c>
      <c r="J115" s="45">
        <f>[1]!f_prt_stocktonav(A115,$E$1)+0.5*I115</f>
        <v>30.864646911621094</v>
      </c>
      <c r="K115" s="46">
        <v>16.24215686120893</v>
      </c>
      <c r="L115" s="59">
        <f>VLOOKUP(A115,二级筛选!A:Q,12,0)/100</f>
        <v>5.176556713447833E-2</v>
      </c>
      <c r="M115" s="63">
        <v>109</v>
      </c>
      <c r="N115" s="48">
        <f>VLOOKUP(A115,二级筛选!A:U,19,0)</f>
        <v>0.46285158321929432</v>
      </c>
      <c r="O115" s="65">
        <v>122</v>
      </c>
      <c r="P115" s="48">
        <f>VLOOKUP(A115,二级筛选!A:Z,24,0)</f>
        <v>2.1656099881792974</v>
      </c>
      <c r="Q115" s="67">
        <v>90</v>
      </c>
      <c r="R115" s="48">
        <f>VLOOKUP(A115,二级筛选!A:AE,29,0)</f>
        <v>0.76470588235294112</v>
      </c>
      <c r="S115" s="67">
        <v>155</v>
      </c>
      <c r="T115" s="50">
        <f>VLOOKUP(A115,二级筛选!A:AJ,34,0)</f>
        <v>-2.3903457878858148</v>
      </c>
      <c r="U115" s="66">
        <v>72</v>
      </c>
      <c r="V115" s="49">
        <f>VLOOKUP(A115,二级筛选!A:AR,39,0)/100</f>
        <v>0.11070345503317824</v>
      </c>
      <c r="W115" s="66">
        <v>42</v>
      </c>
      <c r="X115" s="48">
        <f>VLOOKUP(A115,二级筛选!A:AV,46,0)</f>
        <v>1.1065365237078459</v>
      </c>
      <c r="Y115" s="66">
        <v>71</v>
      </c>
      <c r="Z115" s="48">
        <f>VLOOKUP(A115,二级筛选!A:BA,51,0)</f>
        <v>2.0837162209652287</v>
      </c>
      <c r="AA115" s="66">
        <v>107</v>
      </c>
      <c r="AB115" s="48">
        <f>VLOOKUP(A115,二级筛选!A:BF,56,0)</f>
        <v>1</v>
      </c>
      <c r="AC115" s="66">
        <v>103</v>
      </c>
      <c r="AD115" s="48">
        <f>VLOOKUP(A115,二级筛选!A:BK,61,0)</f>
        <v>-5.3127894249389529</v>
      </c>
      <c r="AE115" s="66">
        <v>159</v>
      </c>
      <c r="AF115">
        <f>(M115+O115+Q115+S115+U115)+(W115+Y115+AA115+AC115+AE115)*2</f>
        <v>1512</v>
      </c>
      <c r="AG115" s="69">
        <f>(W115+Y115+AE115)*2+(M115+O115+S115)</f>
        <v>930</v>
      </c>
    </row>
    <row r="116" spans="1:33" hidden="1" x14ac:dyDescent="0.35">
      <c r="A116" s="43" t="s">
        <v>375</v>
      </c>
      <c r="B116" s="43" t="s">
        <v>376</v>
      </c>
      <c r="C116" s="44">
        <v>20180725</v>
      </c>
      <c r="D116" s="44" t="str">
        <f>[1]!f_info_regulopenfundornot(A116)</f>
        <v>是</v>
      </c>
      <c r="E116" s="44" t="str">
        <f>[1]!f_dq_status(A116,$E$1)</f>
        <v>暂停申购|暂停赎回</v>
      </c>
      <c r="F116" s="40" t="str">
        <f>[1]!f_info_fundmanager(A116)</f>
        <v>何秀红</v>
      </c>
      <c r="G116" s="44">
        <v>20180725</v>
      </c>
      <c r="H116" s="45">
        <f>[1]!f_netasset_total(A116,$E$1,100000000)</f>
        <v>1.0409054820000001</v>
      </c>
      <c r="I116" s="45">
        <f>[1]!f_prt_convertiblebondtonav(A116,$E$1)</f>
        <v>13.536619186401367</v>
      </c>
      <c r="J116" s="45">
        <f>[1]!f_prt_stocktonav(A116,$E$1)+0.5*I116</f>
        <v>13.451150417327881</v>
      </c>
      <c r="K116" s="46">
        <v>48.189774064423652</v>
      </c>
      <c r="L116" s="59">
        <f>VLOOKUP(A116,二级筛选!A:Q,12,0)/100</f>
        <v>5.2116135838609301E-2</v>
      </c>
      <c r="M116" s="63">
        <v>108</v>
      </c>
      <c r="N116" s="48">
        <f>VLOOKUP(A116,二级筛选!A:U,19,0)</f>
        <v>0.51956442609946563</v>
      </c>
      <c r="O116" s="65">
        <v>115</v>
      </c>
      <c r="P116" s="48">
        <f>VLOOKUP(A116,二级筛选!A:Z,24,0)</f>
        <v>6.4080187891995264</v>
      </c>
      <c r="Q116" s="67">
        <v>21</v>
      </c>
      <c r="R116" s="48">
        <f>VLOOKUP(A116,二级筛选!A:AE,29,0)</f>
        <v>1</v>
      </c>
      <c r="S116" s="67">
        <v>20</v>
      </c>
      <c r="T116" s="50">
        <f>VLOOKUP(A116,二级筛选!A:AJ,34,0)</f>
        <v>-0.81329561527580219</v>
      </c>
      <c r="U116" s="66">
        <v>16</v>
      </c>
      <c r="V116" s="49">
        <f>VLOOKUP(A116,二级筛选!A:AR,39,0)/100</f>
        <v>3.5419202683457662E-2</v>
      </c>
      <c r="W116" s="66">
        <v>162</v>
      </c>
      <c r="X116" s="48">
        <f>VLOOKUP(A116,二级筛选!A:AV,46,0)</f>
        <v>0.16775547963464663</v>
      </c>
      <c r="Y116" s="66">
        <v>159</v>
      </c>
      <c r="Z116" s="48">
        <f>VLOOKUP(A116,二级筛选!A:BA,51,0)</f>
        <v>2.167420380784403</v>
      </c>
      <c r="AA116" s="66">
        <v>102</v>
      </c>
      <c r="AB116" s="48">
        <f>VLOOKUP(A116,二级筛选!A:BF,56,0)</f>
        <v>1</v>
      </c>
      <c r="AC116" s="66">
        <v>98</v>
      </c>
      <c r="AD116" s="48">
        <f>VLOOKUP(A116,二级筛选!A:BK,61,0)</f>
        <v>-1.6341639581076206</v>
      </c>
      <c r="AE116" s="66">
        <v>23</v>
      </c>
      <c r="AF116">
        <f>(M116+O116+Q116+S116+U116)+(W116+Y116+AA116+AC116+AE116)*2</f>
        <v>1368</v>
      </c>
      <c r="AG116" s="69">
        <f>(W116+Y116+AE116)*2+(M116+O116+S116)</f>
        <v>931</v>
      </c>
    </row>
    <row r="117" spans="1:33" hidden="1" x14ac:dyDescent="0.35">
      <c r="A117" s="43" t="s">
        <v>407</v>
      </c>
      <c r="B117" s="43" t="s">
        <v>408</v>
      </c>
      <c r="C117" s="44">
        <v>20190926</v>
      </c>
      <c r="D117" s="44" t="str">
        <f>[1]!f_info_regulopenfundornot(A117)</f>
        <v>是</v>
      </c>
      <c r="E117" s="44" t="str">
        <f>[1]!f_dq_status(A117,$E$1)</f>
        <v>暂停申购|暂停赎回</v>
      </c>
      <c r="F117" s="40" t="str">
        <f>[1]!f_info_fundmanager(A117)</f>
        <v>赖礼辉</v>
      </c>
      <c r="G117" s="44">
        <v>20201019</v>
      </c>
      <c r="H117" s="45">
        <f>[1]!f_netasset_total(A117,$E$1,100000000)</f>
        <v>4.9193016077999996</v>
      </c>
      <c r="I117" s="45">
        <f>[1]!f_prt_convertiblebondtonav(A117,$E$1)</f>
        <v>2.7731478214263916</v>
      </c>
      <c r="J117" s="45">
        <f>[1]!f_prt_stocktonav(A117,$E$1)+0.5*I117</f>
        <v>1.8887155055999756</v>
      </c>
      <c r="K117" s="46">
        <v>38.736799487523378</v>
      </c>
      <c r="L117" s="59">
        <f>VLOOKUP(A117,二级筛选!A:Q,12,0)/100</f>
        <v>6.4293425669232906E-2</v>
      </c>
      <c r="M117" s="63">
        <v>84</v>
      </c>
      <c r="N117" s="48">
        <f>VLOOKUP(A117,二级筛选!A:U,19,0)</f>
        <v>0.73659386677340977</v>
      </c>
      <c r="O117" s="65">
        <v>99</v>
      </c>
      <c r="P117" s="48">
        <f>VLOOKUP(A117,二级筛选!A:Z,24,0)</f>
        <v>3.7560148233506547</v>
      </c>
      <c r="Q117" s="67">
        <v>48</v>
      </c>
      <c r="R117" s="48">
        <f>VLOOKUP(A117,二级筛选!A:AE,29,0)</f>
        <v>0.95798319327731096</v>
      </c>
      <c r="S117" s="67">
        <v>107</v>
      </c>
      <c r="T117" s="50">
        <f>VLOOKUP(A117,二级筛选!A:AJ,34,0)</f>
        <v>-1.7117457915642147</v>
      </c>
      <c r="U117" s="66">
        <v>50</v>
      </c>
      <c r="V117" s="49">
        <f>VLOOKUP(A117,二级筛选!A:AR,39,0)/100</f>
        <v>3.9380001862398206E-2</v>
      </c>
      <c r="W117" s="66">
        <v>154</v>
      </c>
      <c r="X117" s="48">
        <f>VLOOKUP(A117,二级筛选!A:AV,46,0)</f>
        <v>0.38981267789661933</v>
      </c>
      <c r="Y117" s="66">
        <v>146</v>
      </c>
      <c r="Z117" s="48">
        <f>VLOOKUP(A117,二级筛选!A:BA,51,0)</f>
        <v>2.5056119257268139</v>
      </c>
      <c r="AA117" s="66">
        <v>78</v>
      </c>
      <c r="AB117" s="48">
        <f>VLOOKUP(A117,二级筛选!A:BF,56,0)</f>
        <v>1</v>
      </c>
      <c r="AC117" s="66">
        <v>75</v>
      </c>
      <c r="AD117" s="48">
        <f>VLOOKUP(A117,二级筛选!A:BK,61,0)</f>
        <v>-1.571672031812152</v>
      </c>
      <c r="AE117" s="66">
        <v>21</v>
      </c>
      <c r="AF117">
        <f>(M117+O117+Q117+S117+U117)+(W117+Y117+AA117+AC117+AE117)*2</f>
        <v>1336</v>
      </c>
      <c r="AG117" s="69">
        <f>(W117+Y117+AE117)*2+(M117+O117+S117)</f>
        <v>932</v>
      </c>
    </row>
    <row r="118" spans="1:33" x14ac:dyDescent="0.35">
      <c r="A118" s="43" t="s">
        <v>135</v>
      </c>
      <c r="B118" s="43" t="s">
        <v>136</v>
      </c>
      <c r="C118" s="44">
        <v>20130313</v>
      </c>
      <c r="D118" s="44" t="str">
        <f>[1]!f_info_regulopenfundornot(A118)</f>
        <v>否</v>
      </c>
      <c r="E118" s="44" t="str">
        <f>[1]!f_dq_status(A118,$E$1)</f>
        <v>开放申购|开放赎回</v>
      </c>
      <c r="F118" s="40" t="str">
        <f>[1]!f_info_fundmanager(A118)</f>
        <v>陈大烨,杨雅洁</v>
      </c>
      <c r="G118" s="44">
        <v>20210807</v>
      </c>
      <c r="H118" s="45">
        <f>[1]!f_netasset_total(A118,$E$1,100000000)</f>
        <v>18.3174994594</v>
      </c>
      <c r="I118" s="45">
        <f>[1]!f_prt_convertiblebondtonav(A118,$E$1)</f>
        <v>0</v>
      </c>
      <c r="J118" s="45">
        <f>[1]!f_prt_stocktonav(A118,$E$1)+0.5*I118</f>
        <v>8.4121799468994141</v>
      </c>
      <c r="K118" s="46">
        <v>17.54185939583072</v>
      </c>
      <c r="L118" s="59">
        <f>VLOOKUP(A118,二级筛选!A:Q,12,0)/100</f>
        <v>0.10365983300422531</v>
      </c>
      <c r="M118" s="63">
        <v>28</v>
      </c>
      <c r="N118" s="48">
        <f>VLOOKUP(A118,二级筛选!A:U,19,0)</f>
        <v>1.0147869968269096</v>
      </c>
      <c r="O118" s="65">
        <v>73</v>
      </c>
      <c r="P118" s="48">
        <f>VLOOKUP(A118,二级筛选!A:Z,24,0)</f>
        <v>1.6288391506875528</v>
      </c>
      <c r="Q118" s="67">
        <v>122</v>
      </c>
      <c r="R118" s="48">
        <f>VLOOKUP(A118,二级筛选!A:AE,29,0)</f>
        <v>0.94117647058823528</v>
      </c>
      <c r="S118" s="67">
        <v>117</v>
      </c>
      <c r="T118" s="50">
        <f>VLOOKUP(A118,二级筛选!A:AJ,34,0)</f>
        <v>-6.3640312771503087</v>
      </c>
      <c r="U118" s="66">
        <v>182</v>
      </c>
      <c r="V118" s="49">
        <f>VLOOKUP(A118,二级筛选!A:AR,39,0)/100</f>
        <v>0.10368673471213308</v>
      </c>
      <c r="W118" s="66">
        <v>48</v>
      </c>
      <c r="X118" s="48">
        <f>VLOOKUP(A118,二级筛选!A:AV,46,0)</f>
        <v>1.0933584289023177</v>
      </c>
      <c r="Y118" s="66">
        <v>77</v>
      </c>
      <c r="Z118" s="48">
        <f>VLOOKUP(A118,二级筛选!A:BA,51,0)</f>
        <v>1.8910695530902215</v>
      </c>
      <c r="AA118" s="66">
        <v>122</v>
      </c>
      <c r="AB118" s="48">
        <f>VLOOKUP(A118,二级筛选!A:BF,56,0)</f>
        <v>1</v>
      </c>
      <c r="AC118" s="66">
        <v>114</v>
      </c>
      <c r="AD118" s="48">
        <f>VLOOKUP(A118,二级筛选!A:BK,61,0)</f>
        <v>-5.4829678021465273</v>
      </c>
      <c r="AE118" s="66">
        <v>163</v>
      </c>
      <c r="AF118">
        <f>(M118+O118+Q118+S118+U118)+(W118+Y118+AA118+AC118+AE118)*2</f>
        <v>1570</v>
      </c>
      <c r="AG118" s="69">
        <f>(W118+Y118+AE118+U118)+(M118+O118+S118+AC118)</f>
        <v>802</v>
      </c>
    </row>
    <row r="119" spans="1:33" hidden="1" x14ac:dyDescent="0.35">
      <c r="A119" s="43" t="s">
        <v>241</v>
      </c>
      <c r="B119" s="43" t="s">
        <v>242</v>
      </c>
      <c r="C119" s="44">
        <v>20160526</v>
      </c>
      <c r="D119" s="44" t="str">
        <f>[1]!f_info_regulopenfundornot(A119)</f>
        <v>否</v>
      </c>
      <c r="E119" s="44" t="str">
        <f>[1]!f_dq_status(A119,$E$1)</f>
        <v>开放申购|开放赎回</v>
      </c>
      <c r="F119" s="40" t="str">
        <f>[1]!f_info_fundmanager(A119)</f>
        <v>李一鸣,李捷</v>
      </c>
      <c r="G119" s="44">
        <v>20160526</v>
      </c>
      <c r="H119" s="45">
        <f>[1]!f_netasset_total(A119,$E$1,100000000)</f>
        <v>2.7163513544</v>
      </c>
      <c r="I119" s="45">
        <f>[1]!f_prt_convertiblebondtonav(A119,$E$1)</f>
        <v>0.31593415141105652</v>
      </c>
      <c r="J119" s="45">
        <f>[1]!f_prt_stocktonav(A119,$E$1)+0.5*I119</f>
        <v>17.039146885275841</v>
      </c>
      <c r="K119" s="46">
        <v>15.00542259894919</v>
      </c>
      <c r="L119" s="59">
        <f>VLOOKUP(A119,二级筛选!A:Q,12,0)/100</f>
        <v>1.2311740851135289E-2</v>
      </c>
      <c r="M119" s="63">
        <v>181</v>
      </c>
      <c r="N119" s="48">
        <f>VLOOKUP(A119,二级筛选!A:U,19,0)</f>
        <v>-0.51820026923229345</v>
      </c>
      <c r="O119" s="65">
        <v>180</v>
      </c>
      <c r="P119" s="48">
        <f>VLOOKUP(A119,二级筛选!A:Z,24,0)</f>
        <v>0.34043395051162267</v>
      </c>
      <c r="Q119" s="67">
        <v>182</v>
      </c>
      <c r="R119" s="48">
        <f>VLOOKUP(A119,二级筛选!A:AE,29,0)</f>
        <v>0.53781512605042014</v>
      </c>
      <c r="S119" s="67">
        <v>183</v>
      </c>
      <c r="T119" s="50">
        <f>VLOOKUP(A119,二级筛选!A:AJ,34,0)</f>
        <v>-3.6164844407064969</v>
      </c>
      <c r="U119" s="66">
        <v>115</v>
      </c>
      <c r="V119" s="49">
        <f>VLOOKUP(A119,二级筛选!A:AR,39,0)/100</f>
        <v>9.7215553283479306E-2</v>
      </c>
      <c r="W119" s="66">
        <v>53</v>
      </c>
      <c r="X119" s="48">
        <f>VLOOKUP(A119,二级筛选!A:AV,46,0)</f>
        <v>1.3801260511668985</v>
      </c>
      <c r="Y119" s="66">
        <v>35</v>
      </c>
      <c r="Z119" s="48">
        <f>VLOOKUP(A119,二级筛选!A:BA,51,0)</f>
        <v>2.8115761331195781</v>
      </c>
      <c r="AA119" s="66">
        <v>61</v>
      </c>
      <c r="AB119" s="48">
        <f>VLOOKUP(A119,二级筛选!A:BF,56,0)</f>
        <v>1</v>
      </c>
      <c r="AC119" s="66">
        <v>59</v>
      </c>
      <c r="AD119" s="48">
        <f>VLOOKUP(A119,二级筛选!A:BK,61,0)</f>
        <v>-3.4576888080072727</v>
      </c>
      <c r="AE119" s="66">
        <v>108</v>
      </c>
      <c r="AF119">
        <f>(M119+O119+Q119+S119+U119)+(W119+Y119+AA119+AC119+AE119)*2</f>
        <v>1473</v>
      </c>
      <c r="AG119" s="69">
        <f>(W119+Y119+AE119)*2+(M119+O119+S119)</f>
        <v>936</v>
      </c>
    </row>
    <row r="120" spans="1:33" hidden="1" x14ac:dyDescent="0.35">
      <c r="A120" s="43" t="s">
        <v>201</v>
      </c>
      <c r="B120" s="43" t="s">
        <v>202</v>
      </c>
      <c r="C120" s="44">
        <v>20150529</v>
      </c>
      <c r="D120" s="44" t="str">
        <f>[1]!f_info_regulopenfundornot(A120)</f>
        <v>否</v>
      </c>
      <c r="E120" s="44" t="str">
        <f>[1]!f_dq_status(A120,$E$1)</f>
        <v>开放申购|开放赎回</v>
      </c>
      <c r="F120" s="40" t="str">
        <f>[1]!f_info_fundmanager(A120)</f>
        <v>王艺伟</v>
      </c>
      <c r="G120" s="44">
        <v>20191128</v>
      </c>
      <c r="H120" s="45">
        <f>[1]!f_netasset_total(A120,$E$1,100000000)</f>
        <v>0.77164358020000001</v>
      </c>
      <c r="I120" s="45">
        <f>[1]!f_prt_convertiblebondtonav(A120,$E$1)</f>
        <v>3.9694361388683319E-2</v>
      </c>
      <c r="J120" s="45">
        <f>[1]!f_prt_stocktonav(A120,$E$1)+0.5*I120</f>
        <v>15.071437146514654</v>
      </c>
      <c r="K120" s="46">
        <v>6.5496559936260592</v>
      </c>
      <c r="L120" s="59">
        <f>VLOOKUP(A120,二级筛选!A:Q,12,0)/100</f>
        <v>7.2889340546254955E-2</v>
      </c>
      <c r="M120" s="63">
        <v>65</v>
      </c>
      <c r="N120" s="48">
        <f>VLOOKUP(A120,二级筛选!A:U,19,0)</f>
        <v>1.101598310653944</v>
      </c>
      <c r="O120" s="65">
        <v>68</v>
      </c>
      <c r="P120" s="48">
        <f>VLOOKUP(A120,二级筛选!A:Z,24,0)</f>
        <v>2.2330643421898184</v>
      </c>
      <c r="Q120" s="67">
        <v>87</v>
      </c>
      <c r="R120" s="48">
        <f>VLOOKUP(A120,二级筛选!A:AE,29,0)</f>
        <v>1</v>
      </c>
      <c r="S120" s="67">
        <v>74</v>
      </c>
      <c r="T120" s="50">
        <f>VLOOKUP(A120,二级筛选!A:AJ,34,0)</f>
        <v>-3.2640949554896035</v>
      </c>
      <c r="U120" s="66">
        <v>101</v>
      </c>
      <c r="V120" s="49">
        <f>VLOOKUP(A120,二级筛选!A:AR,39,0)/100</f>
        <v>3.3434441393352721E-2</v>
      </c>
      <c r="W120" s="66">
        <v>163</v>
      </c>
      <c r="X120" s="48">
        <f>VLOOKUP(A120,二级筛选!A:AV,46,0)</f>
        <v>9.5300449613621135E-2</v>
      </c>
      <c r="Y120" s="66">
        <v>162</v>
      </c>
      <c r="Z120" s="48">
        <f>VLOOKUP(A120,二级筛选!A:BA,51,0)</f>
        <v>1.5340836192649989</v>
      </c>
      <c r="AA120" s="66">
        <v>145</v>
      </c>
      <c r="AB120" s="48">
        <f>VLOOKUP(A120,二级筛选!A:BF,56,0)</f>
        <v>1</v>
      </c>
      <c r="AC120" s="66">
        <v>133</v>
      </c>
      <c r="AD120" s="48">
        <f>VLOOKUP(A120,二级筛选!A:BK,61,0)</f>
        <v>-2.1794406102433732</v>
      </c>
      <c r="AE120" s="66">
        <v>42</v>
      </c>
      <c r="AF120">
        <f>(M120+O120+Q120+S120+U120)+(W120+Y120+AA120+AC120+AE120)*2</f>
        <v>1685</v>
      </c>
      <c r="AG120" s="69">
        <f>(W120+Y120+AE120)*2+(M120+O120+S120)</f>
        <v>941</v>
      </c>
    </row>
    <row r="121" spans="1:33" x14ac:dyDescent="0.35">
      <c r="A121" s="39" t="s">
        <v>303</v>
      </c>
      <c r="B121" s="39" t="s">
        <v>304</v>
      </c>
      <c r="C121" s="37">
        <v>20101124</v>
      </c>
      <c r="D121" s="37" t="str">
        <f>[1]!f_info_regulopenfundornot(A121)</f>
        <v>否</v>
      </c>
      <c r="E121" s="37" t="str">
        <f>[1]!f_dq_status(A121,$E$1)</f>
        <v>开放申购|开放赎回</v>
      </c>
      <c r="F121" s="40" t="str">
        <f>[1]!f_info_fundmanager(A121)</f>
        <v>奚鹏洲</v>
      </c>
      <c r="G121" s="37">
        <v>20101124</v>
      </c>
      <c r="H121" s="41">
        <f>[1]!f_netasset_total(A121,$E$1,100000000)</f>
        <v>36.259752983200002</v>
      </c>
      <c r="I121" s="41">
        <f>[1]!f_prt_convertiblebondtonav(A121,$E$1)</f>
        <v>5.124812126159668</v>
      </c>
      <c r="J121" s="41">
        <f>[1]!f_prt_stocktonav(A121,$E$1)+0.5*I121</f>
        <v>17.789594173431396</v>
      </c>
      <c r="K121" s="42">
        <v>8.5649507911400047</v>
      </c>
      <c r="L121" s="59">
        <f>VLOOKUP(A121,二级筛选!A:Q,12,0)/100</f>
        <v>6.093915379144943E-2</v>
      </c>
      <c r="M121" s="63">
        <v>91</v>
      </c>
      <c r="N121" s="48">
        <f>VLOOKUP(A121,二级筛选!A:U,19,0)</f>
        <v>0.72665196259542331</v>
      </c>
      <c r="O121" s="65">
        <v>102</v>
      </c>
      <c r="P121" s="48">
        <f>VLOOKUP(A121,二级筛选!A:Z,24,0)</f>
        <v>1.8517192867992709</v>
      </c>
      <c r="Q121" s="67">
        <v>106</v>
      </c>
      <c r="R121" s="48">
        <f>VLOOKUP(A121,二级筛选!A:AE,29,0)</f>
        <v>1</v>
      </c>
      <c r="S121" s="67">
        <v>84</v>
      </c>
      <c r="T121" s="50">
        <f>VLOOKUP(A121,二级筛选!A:AJ,34,0)</f>
        <v>-3.2909498878085253</v>
      </c>
      <c r="U121" s="66">
        <v>104</v>
      </c>
      <c r="V121" s="49">
        <f>VLOOKUP(A121,二级筛选!A:AR,39,0)/100</f>
        <v>7.9318305070503303E-2</v>
      </c>
      <c r="W121" s="66">
        <v>85</v>
      </c>
      <c r="X121" s="48">
        <f>VLOOKUP(A121,二级筛选!A:AV,46,0)</f>
        <v>0.8505017498835783</v>
      </c>
      <c r="Y121" s="66">
        <v>103</v>
      </c>
      <c r="Z121" s="48">
        <f>VLOOKUP(A121,二级筛选!A:BA,51,0)</f>
        <v>1.9515296190931368</v>
      </c>
      <c r="AA121" s="66">
        <v>114</v>
      </c>
      <c r="AB121" s="48">
        <f>VLOOKUP(A121,二级筛选!A:BF,56,0)</f>
        <v>1</v>
      </c>
      <c r="AC121" s="66">
        <v>108</v>
      </c>
      <c r="AD121" s="48">
        <f>VLOOKUP(A121,二级筛选!A:BK,61,0)</f>
        <v>-4.0644171779141125</v>
      </c>
      <c r="AE121" s="66">
        <v>132</v>
      </c>
      <c r="AF121">
        <f>(M121+O121+Q121+S121+U121)+(W121+Y121+AA121+AC121+AE121)*2</f>
        <v>1571</v>
      </c>
      <c r="AG121" s="69">
        <f>(W121+Y121+AE121+U121)+(M121+O121+S121+AC121)</f>
        <v>809</v>
      </c>
    </row>
    <row r="122" spans="1:33" hidden="1" x14ac:dyDescent="0.35">
      <c r="A122" s="43" t="s">
        <v>151</v>
      </c>
      <c r="B122" s="43" t="s">
        <v>152</v>
      </c>
      <c r="C122" s="44">
        <v>20130813</v>
      </c>
      <c r="D122" s="44" t="str">
        <f>[1]!f_info_regulopenfundornot(A122)</f>
        <v>否</v>
      </c>
      <c r="E122" s="44" t="str">
        <f>[1]!f_dq_status(A122,$E$1)</f>
        <v>开放申购|开放赎回</v>
      </c>
      <c r="F122" s="40" t="str">
        <f>[1]!f_info_fundmanager(A122)</f>
        <v>唐赟</v>
      </c>
      <c r="G122" s="44">
        <v>20200714</v>
      </c>
      <c r="H122" s="45">
        <f>[1]!f_netasset_total(A122,$E$1,100000000)</f>
        <v>0.13334792980000001</v>
      </c>
      <c r="I122" s="45">
        <f>[1]!f_prt_convertiblebondtonav(A122,$E$1)</f>
        <v>1.0503349825739861E-2</v>
      </c>
      <c r="J122" s="45">
        <f>[1]!f_prt_stocktonav(A122,$E$1)+0.5*I122</f>
        <v>11.215414791367948</v>
      </c>
      <c r="K122" s="46">
        <v>0</v>
      </c>
      <c r="L122" s="59">
        <f>VLOOKUP(A122,二级筛选!A:Q,12,0)/100</f>
        <v>2.4617630604753415E-2</v>
      </c>
      <c r="M122" s="63">
        <v>171</v>
      </c>
      <c r="N122" s="48">
        <f>VLOOKUP(A122,二级筛选!A:U,19,0)</f>
        <v>-0.11881140735598417</v>
      </c>
      <c r="O122" s="65">
        <v>170</v>
      </c>
      <c r="P122" s="48">
        <f>VLOOKUP(A122,二级筛选!A:Z,24,0)</f>
        <v>0.53520197690904936</v>
      </c>
      <c r="Q122" s="67">
        <v>176</v>
      </c>
      <c r="R122" s="48">
        <f>VLOOKUP(A122,二级筛选!A:AE,29,0)</f>
        <v>0.69747899159663862</v>
      </c>
      <c r="S122" s="67">
        <v>168</v>
      </c>
      <c r="T122" s="50">
        <f>VLOOKUP(A122,二级筛选!A:AJ,34,0)</f>
        <v>-4.5996897744899146</v>
      </c>
      <c r="U122" s="66">
        <v>145</v>
      </c>
      <c r="V122" s="49">
        <f>VLOOKUP(A122,二级筛选!A:AR,39,0)/100</f>
        <v>6.6024318401755488E-2</v>
      </c>
      <c r="W122" s="66">
        <v>113</v>
      </c>
      <c r="X122" s="48">
        <f>VLOOKUP(A122,二级筛选!A:AV,46,0)</f>
        <v>1.1074723293416093</v>
      </c>
      <c r="Y122" s="66">
        <v>70</v>
      </c>
      <c r="Z122" s="48">
        <f>VLOOKUP(A122,二级筛选!A:BA,51,0)</f>
        <v>3.206244002627002</v>
      </c>
      <c r="AA122" s="66">
        <v>39</v>
      </c>
      <c r="AB122" s="48">
        <f>VLOOKUP(A122,二级筛选!A:BF,56,0)</f>
        <v>1</v>
      </c>
      <c r="AC122" s="66">
        <v>39</v>
      </c>
      <c r="AD122" s="48">
        <f>VLOOKUP(A122,二级筛选!A:BK,61,0)</f>
        <v>-2.0592418526992695</v>
      </c>
      <c r="AE122" s="66">
        <v>37</v>
      </c>
      <c r="AF122">
        <f>(M122+O122+Q122+S122+U122)+(W122+Y122+AA122+AC122+AE122)*2</f>
        <v>1426</v>
      </c>
      <c r="AG122" s="69">
        <f>(W122+Y122+AE122)*2+(M122+O122+S122)</f>
        <v>949</v>
      </c>
    </row>
    <row r="123" spans="1:33" hidden="1" x14ac:dyDescent="0.35">
      <c r="A123" s="43" t="s">
        <v>349</v>
      </c>
      <c r="B123" s="43" t="s">
        <v>350</v>
      </c>
      <c r="C123" s="44">
        <v>20170920</v>
      </c>
      <c r="D123" s="44" t="str">
        <f>[1]!f_info_regulopenfundornot(A123)</f>
        <v>否</v>
      </c>
      <c r="E123" s="44" t="str">
        <f>[1]!f_dq_status(A123,$E$1)</f>
        <v>开放申购|开放赎回</v>
      </c>
      <c r="F123" s="40" t="str">
        <f>[1]!f_info_fundmanager(A123)</f>
        <v>尹诚庸</v>
      </c>
      <c r="G123" s="44">
        <v>20190212</v>
      </c>
      <c r="H123" s="45">
        <f>[1]!f_netasset_total(A123,$E$1,100000000)</f>
        <v>4.4013939454000006</v>
      </c>
      <c r="I123" s="45">
        <f>[1]!f_prt_convertiblebondtonav(A123,$E$1)</f>
        <v>6.3177814483642578</v>
      </c>
      <c r="J123" s="45">
        <f>[1]!f_prt_stocktonav(A123,$E$1)+0.5*I123</f>
        <v>15.088418006896973</v>
      </c>
      <c r="K123" s="46">
        <v>16.039918461237409</v>
      </c>
      <c r="L123" s="59">
        <f>VLOOKUP(A123,二级筛选!A:Q,12,0)/100</f>
        <v>4.8010973946222668E-2</v>
      </c>
      <c r="M123" s="63">
        <v>117</v>
      </c>
      <c r="N123" s="48">
        <f>VLOOKUP(A123,二级筛选!A:U,19,0)</f>
        <v>0.46873679789924355</v>
      </c>
      <c r="O123" s="65">
        <v>121</v>
      </c>
      <c r="P123" s="48">
        <f>VLOOKUP(A123,二级筛选!A:Z,24,0)</f>
        <v>1.7323029320363839</v>
      </c>
      <c r="Q123" s="67">
        <v>113</v>
      </c>
      <c r="R123" s="48">
        <f>VLOOKUP(A123,二级筛选!A:AE,29,0)</f>
        <v>0.77310924369747902</v>
      </c>
      <c r="S123" s="67">
        <v>152</v>
      </c>
      <c r="T123" s="50">
        <f>VLOOKUP(A123,二级筛选!A:AJ,34,0)</f>
        <v>-2.7715114405414103</v>
      </c>
      <c r="U123" s="66">
        <v>83</v>
      </c>
      <c r="V123" s="49">
        <f>VLOOKUP(A123,二级筛选!A:AR,39,0)/100</f>
        <v>7.5809319406175746E-2</v>
      </c>
      <c r="W123" s="66">
        <v>93</v>
      </c>
      <c r="X123" s="48">
        <f>VLOOKUP(A123,二级筛选!A:AV,46,0)</f>
        <v>1.0053519752271556</v>
      </c>
      <c r="Y123" s="66">
        <v>86</v>
      </c>
      <c r="Z123" s="48">
        <f>VLOOKUP(A123,二级筛选!A:BA,51,0)</f>
        <v>2.263643070533889</v>
      </c>
      <c r="AA123" s="66">
        <v>92</v>
      </c>
      <c r="AB123" s="48">
        <f>VLOOKUP(A123,二级筛选!A:BF,56,0)</f>
        <v>1</v>
      </c>
      <c r="AC123" s="66">
        <v>89</v>
      </c>
      <c r="AD123" s="48">
        <f>VLOOKUP(A123,二级筛选!A:BK,61,0)</f>
        <v>-3.3489961554891172</v>
      </c>
      <c r="AE123" s="66">
        <v>102</v>
      </c>
      <c r="AF123">
        <f>(M123+O123+Q123+S123+U123)+(W123+Y123+AA123+AC123+AE123)*2</f>
        <v>1510</v>
      </c>
      <c r="AG123" s="69">
        <f>(W123+Y123+AE123)*2+(M123+O123+S123)</f>
        <v>952</v>
      </c>
    </row>
    <row r="124" spans="1:33" hidden="1" x14ac:dyDescent="0.35">
      <c r="A124" s="43" t="s">
        <v>283</v>
      </c>
      <c r="B124" s="43" t="s">
        <v>284</v>
      </c>
      <c r="C124" s="44">
        <v>20161026</v>
      </c>
      <c r="D124" s="44" t="str">
        <f>[1]!f_info_regulopenfundornot(A124)</f>
        <v>否</v>
      </c>
      <c r="E124" s="44" t="str">
        <f>[1]!f_dq_status(A124,$E$1)</f>
        <v>开放申购|开放赎回</v>
      </c>
      <c r="F124" s="40" t="str">
        <f>[1]!f_info_fundmanager(A124)</f>
        <v>赵楠</v>
      </c>
      <c r="G124" s="44">
        <v>20170816</v>
      </c>
      <c r="H124" s="45">
        <f>[1]!f_netasset_total(A124,$E$1,100000000)</f>
        <v>0.57252798390000004</v>
      </c>
      <c r="I124" s="45">
        <f>[1]!f_prt_convertiblebondtonav(A124,$E$1)</f>
        <v>4.7292299270629883</v>
      </c>
      <c r="J124" s="45">
        <f>[1]!f_prt_stocktonav(A124,$E$1)+0.5*I124</f>
        <v>2.4554402157664299</v>
      </c>
      <c r="K124" s="46">
        <v>0</v>
      </c>
      <c r="L124" s="59">
        <f>VLOOKUP(A124,二级筛选!A:Q,12,0)/100</f>
        <v>5.4846933326713643E-2</v>
      </c>
      <c r="M124" s="63">
        <v>102</v>
      </c>
      <c r="N124" s="48">
        <f>VLOOKUP(A124,二级筛选!A:U,19,0)</f>
        <v>0.57231586019473057</v>
      </c>
      <c r="O124" s="65">
        <v>113</v>
      </c>
      <c r="P124" s="48">
        <f>VLOOKUP(A124,二级筛选!A:Z,24,0)</f>
        <v>2.3115120015167454</v>
      </c>
      <c r="Q124" s="67">
        <v>81</v>
      </c>
      <c r="R124" s="48">
        <f>VLOOKUP(A124,二级筛选!A:AE,29,0)</f>
        <v>0.95798319327731096</v>
      </c>
      <c r="S124" s="67">
        <v>109</v>
      </c>
      <c r="T124" s="50">
        <f>VLOOKUP(A124,二级筛选!A:AJ,34,0)</f>
        <v>-2.3727730286809985</v>
      </c>
      <c r="U124" s="66">
        <v>71</v>
      </c>
      <c r="V124" s="49">
        <f>VLOOKUP(A124,二级筛选!A:AR,39,0)/100</f>
        <v>8.2522382681943687E-2</v>
      </c>
      <c r="W124" s="66">
        <v>76</v>
      </c>
      <c r="X124" s="48">
        <f>VLOOKUP(A124,二级筛选!A:AV,46,0)</f>
        <v>0.86025481952544347</v>
      </c>
      <c r="Y124" s="66">
        <v>102</v>
      </c>
      <c r="Z124" s="48">
        <f>VLOOKUP(A124,二级筛选!A:BA,51,0)</f>
        <v>1.9338076423660269</v>
      </c>
      <c r="AA124" s="66">
        <v>117</v>
      </c>
      <c r="AB124" s="48">
        <f>VLOOKUP(A124,二级筛选!A:BF,56,0)</f>
        <v>1</v>
      </c>
      <c r="AC124" s="66">
        <v>110</v>
      </c>
      <c r="AD124" s="48">
        <f>VLOOKUP(A124,二级筛选!A:BK,61,0)</f>
        <v>-4.2673521850899805</v>
      </c>
      <c r="AE124" s="66">
        <v>139</v>
      </c>
      <c r="AF124">
        <f>(M124+O124+Q124+S124+U124)+(W124+Y124+AA124+AC124+AE124)*2</f>
        <v>1564</v>
      </c>
      <c r="AG124" s="69">
        <f>(W124+Y124+AE124)*2+(M124+O124+S124)</f>
        <v>958</v>
      </c>
    </row>
    <row r="125" spans="1:33" x14ac:dyDescent="0.35">
      <c r="A125" s="43" t="s">
        <v>351</v>
      </c>
      <c r="B125" s="43" t="s">
        <v>352</v>
      </c>
      <c r="C125" s="44">
        <v>20171124</v>
      </c>
      <c r="D125" s="44" t="str">
        <f>[1]!f_info_regulopenfundornot(A125)</f>
        <v>是</v>
      </c>
      <c r="E125" s="44" t="str">
        <f>[1]!f_dq_status(A125,$E$1)</f>
        <v>暂停申购|暂停赎回</v>
      </c>
      <c r="F125" s="40" t="str">
        <f>[1]!f_info_fundmanager(A125)</f>
        <v>王侃</v>
      </c>
      <c r="G125" s="44">
        <v>20210227</v>
      </c>
      <c r="H125" s="45">
        <f>[1]!f_netasset_total(A125,$E$1,100000000)</f>
        <v>31.113495730900002</v>
      </c>
      <c r="I125" s="45">
        <f>[1]!f_prt_convertiblebondtonav(A125,$E$1)</f>
        <v>0</v>
      </c>
      <c r="J125" s="45">
        <f>[1]!f_prt_stocktonav(A125,$E$1)+0.5*I125</f>
        <v>0</v>
      </c>
      <c r="K125" s="46">
        <v>19.320876226806782</v>
      </c>
      <c r="L125" s="59">
        <f>VLOOKUP(A125,二级筛选!A:Q,12,0)/100</f>
        <v>3.9731717279883894E-2</v>
      </c>
      <c r="M125" s="63">
        <v>144</v>
      </c>
      <c r="N125" s="48">
        <f>VLOOKUP(A125,二级筛选!A:U,19,0)</f>
        <v>1.9632905501648965</v>
      </c>
      <c r="O125" s="65">
        <v>15</v>
      </c>
      <c r="P125" s="48">
        <f>VLOOKUP(A125,二级筛选!A:Z,24,0)</f>
        <v>11.331265036459923</v>
      </c>
      <c r="Q125" s="67">
        <v>5</v>
      </c>
      <c r="R125" s="48">
        <f>VLOOKUP(A125,二级筛选!A:AE,29,0)</f>
        <v>1</v>
      </c>
      <c r="S125" s="67">
        <v>5</v>
      </c>
      <c r="T125" s="50">
        <f>VLOOKUP(A125,二级筛选!A:AJ,34,0)</f>
        <v>-0.35063796629980465</v>
      </c>
      <c r="U125" s="66">
        <v>4</v>
      </c>
      <c r="V125" s="49">
        <f>VLOOKUP(A125,二级筛选!A:AR,39,0)/100</f>
        <v>2.4258760399802792E-2</v>
      </c>
      <c r="W125" s="66">
        <v>174</v>
      </c>
      <c r="X125" s="48">
        <f>VLOOKUP(A125,二级筛选!A:AV,46,0)</f>
        <v>-0.28011680409061135</v>
      </c>
      <c r="Y125" s="66">
        <v>177</v>
      </c>
      <c r="Z125" s="48">
        <f>VLOOKUP(A125,二级筛选!A:BA,51,0)</f>
        <v>0.67910951230210681</v>
      </c>
      <c r="AA125" s="66">
        <v>182</v>
      </c>
      <c r="AB125" s="48">
        <f>VLOOKUP(A125,二级筛选!A:BF,56,0)</f>
        <v>0.79166666666666663</v>
      </c>
      <c r="AC125" s="66">
        <v>179</v>
      </c>
      <c r="AD125" s="48">
        <f>VLOOKUP(A125,二级筛选!A:BK,61,0)</f>
        <v>-3.5721426309533282</v>
      </c>
      <c r="AE125" s="66">
        <v>115</v>
      </c>
      <c r="AF125">
        <f>(M125+O125+Q125+S125+U125)+(W125+Y125+AA125+AC125+AE125)*2</f>
        <v>1827</v>
      </c>
      <c r="AG125" s="69">
        <f>(W125+Y125+AE125+U125)+(M125+O125+S125+AC125)</f>
        <v>813</v>
      </c>
    </row>
    <row r="126" spans="1:33" hidden="1" x14ac:dyDescent="0.35">
      <c r="A126" s="43" t="s">
        <v>107</v>
      </c>
      <c r="B126" s="43" t="s">
        <v>108</v>
      </c>
      <c r="C126" s="44">
        <v>20120222</v>
      </c>
      <c r="D126" s="44" t="str">
        <f>[1]!f_info_regulopenfundornot(A126)</f>
        <v>否</v>
      </c>
      <c r="E126" s="44" t="str">
        <f>[1]!f_dq_status(A126,$E$1)</f>
        <v>开放申购|开放赎回</v>
      </c>
      <c r="F126" s="40" t="str">
        <f>[1]!f_info_fundmanager(A126)</f>
        <v>王欢,李德清</v>
      </c>
      <c r="G126" s="44">
        <v>20171229</v>
      </c>
      <c r="H126" s="45">
        <f>[1]!f_netasset_total(A126,$E$1,100000000)</f>
        <v>0.51051016890000001</v>
      </c>
      <c r="I126" s="45">
        <f>[1]!f_prt_convertiblebondtonav(A126,$E$1)</f>
        <v>6.8621015548706055</v>
      </c>
      <c r="J126" s="45">
        <f>[1]!f_prt_stocktonav(A126,$E$1)+0.5*I126</f>
        <v>12.253115177154541</v>
      </c>
      <c r="K126" s="46">
        <v>0</v>
      </c>
      <c r="L126" s="59">
        <f>VLOOKUP(A126,二级筛选!A:Q,12,0)/100</f>
        <v>3.1015525751427298E-2</v>
      </c>
      <c r="M126" s="63">
        <v>163</v>
      </c>
      <c r="N126" s="48">
        <f>VLOOKUP(A126,二级筛选!A:U,19,0)</f>
        <v>2.6574959855240693E-2</v>
      </c>
      <c r="O126" s="65">
        <v>163</v>
      </c>
      <c r="P126" s="48">
        <f>VLOOKUP(A126,二级筛选!A:Z,24,0)</f>
        <v>0.9970917167495843</v>
      </c>
      <c r="Q126" s="67">
        <v>158</v>
      </c>
      <c r="R126" s="48">
        <f>VLOOKUP(A126,二级筛选!A:AE,29,0)</f>
        <v>0.80672268907563027</v>
      </c>
      <c r="S126" s="67">
        <v>148</v>
      </c>
      <c r="T126" s="50">
        <f>VLOOKUP(A126,二级筛选!A:AJ,34,0)</f>
        <v>-3.1105990783410276</v>
      </c>
      <c r="U126" s="66">
        <v>97</v>
      </c>
      <c r="V126" s="49">
        <f>VLOOKUP(A126,二级筛选!A:AR,39,0)/100</f>
        <v>8.8190956717643085E-2</v>
      </c>
      <c r="W126" s="66">
        <v>70</v>
      </c>
      <c r="X126" s="48">
        <f>VLOOKUP(A126,二级筛选!A:AV,46,0)</f>
        <v>1.1043100775187247</v>
      </c>
      <c r="Y126" s="66">
        <v>73</v>
      </c>
      <c r="Z126" s="48">
        <f>VLOOKUP(A126,二级筛选!A:BA,51,0)</f>
        <v>2.6782545741801091</v>
      </c>
      <c r="AA126" s="66">
        <v>70</v>
      </c>
      <c r="AB126" s="48">
        <f>VLOOKUP(A126,二级筛选!A:BF,56,0)</f>
        <v>1</v>
      </c>
      <c r="AC126" s="66">
        <v>68</v>
      </c>
      <c r="AD126" s="48">
        <f>VLOOKUP(A126,二级筛选!A:BK,61,0)</f>
        <v>-3.2928519031705892</v>
      </c>
      <c r="AE126" s="66">
        <v>101</v>
      </c>
      <c r="AF126">
        <f>(M126+O126+Q126+S126+U126)+(W126+Y126+AA126+AC126+AE126)*2</f>
        <v>1493</v>
      </c>
      <c r="AG126" s="69">
        <f>(W126+Y126+AE126)*2+(M126+O126+S126)</f>
        <v>962</v>
      </c>
    </row>
    <row r="127" spans="1:33" hidden="1" x14ac:dyDescent="0.35">
      <c r="A127" s="43" t="s">
        <v>353</v>
      </c>
      <c r="B127" s="43" t="s">
        <v>354</v>
      </c>
      <c r="C127" s="44">
        <v>20171128</v>
      </c>
      <c r="D127" s="44" t="str">
        <f>[1]!f_info_regulopenfundornot(A127)</f>
        <v>否</v>
      </c>
      <c r="E127" s="44" t="str">
        <f>[1]!f_dq_status(A127,$E$1)</f>
        <v>暂停大额申购|开放赎回</v>
      </c>
      <c r="F127" s="40" t="str">
        <f>[1]!f_info_fundmanager(A127)</f>
        <v>陈晨</v>
      </c>
      <c r="G127" s="44">
        <v>20200709</v>
      </c>
      <c r="H127" s="45">
        <f>[1]!f_netasset_total(A127,$E$1,100000000)</f>
        <v>1.5288957584</v>
      </c>
      <c r="I127" s="45">
        <f>[1]!f_prt_convertiblebondtonav(A127,$E$1)</f>
        <v>13.410345077514648</v>
      </c>
      <c r="J127" s="45">
        <f>[1]!f_prt_stocktonav(A127,$E$1)+0.5*I127</f>
        <v>18.525975227355957</v>
      </c>
      <c r="K127" s="46">
        <v>33.222016426518977</v>
      </c>
      <c r="L127" s="59">
        <f>VLOOKUP(A127,二级筛选!A:Q,12,0)/100</f>
        <v>5.7083829817628162E-2</v>
      </c>
      <c r="M127" s="63">
        <v>98</v>
      </c>
      <c r="N127" s="48">
        <f>VLOOKUP(A127,二级筛选!A:U,19,0)</f>
        <v>0.79000442434129181</v>
      </c>
      <c r="O127" s="65">
        <v>93</v>
      </c>
      <c r="P127" s="48">
        <f>VLOOKUP(A127,二级筛选!A:Z,24,0)</f>
        <v>2.0932719677221256</v>
      </c>
      <c r="Q127" s="67">
        <v>94</v>
      </c>
      <c r="R127" s="48">
        <f>VLOOKUP(A127,二级筛选!A:AE,29,0)</f>
        <v>1</v>
      </c>
      <c r="S127" s="67">
        <v>77</v>
      </c>
      <c r="T127" s="50">
        <f>VLOOKUP(A127,二级筛选!A:AJ,34,0)</f>
        <v>-2.7270144872644586</v>
      </c>
      <c r="U127" s="66">
        <v>82</v>
      </c>
      <c r="V127" s="49">
        <f>VLOOKUP(A127,二级筛选!A:AR,39,0)/100</f>
        <v>4.2476788668245113E-2</v>
      </c>
      <c r="W127" s="66">
        <v>150</v>
      </c>
      <c r="X127" s="48">
        <f>VLOOKUP(A127,二级筛选!A:AV,46,0)</f>
        <v>0.37872873993255307</v>
      </c>
      <c r="Y127" s="66">
        <v>150</v>
      </c>
      <c r="Z127" s="48">
        <f>VLOOKUP(A127,二级筛选!A:BA,51,0)</f>
        <v>1.8801041507683802</v>
      </c>
      <c r="AA127" s="66">
        <v>123</v>
      </c>
      <c r="AB127" s="48">
        <f>VLOOKUP(A127,二级筛选!A:BF,56,0)</f>
        <v>1</v>
      </c>
      <c r="AC127" s="66">
        <v>115</v>
      </c>
      <c r="AD127" s="48">
        <f>VLOOKUP(A127,二级筛选!A:BK,61,0)</f>
        <v>-2.2592784900179739</v>
      </c>
      <c r="AE127" s="66">
        <v>48</v>
      </c>
      <c r="AF127">
        <f>(M127+O127+Q127+S127+U127)+(W127+Y127+AA127+AC127+AE127)*2</f>
        <v>1616</v>
      </c>
      <c r="AG127" s="69">
        <f>(W127+Y127+AE127)*2+(M127+O127+S127)</f>
        <v>964</v>
      </c>
    </row>
    <row r="128" spans="1:33" hidden="1" x14ac:dyDescent="0.35">
      <c r="A128" s="43" t="s">
        <v>315</v>
      </c>
      <c r="B128" s="43" t="s">
        <v>316</v>
      </c>
      <c r="C128" s="44">
        <v>20170113</v>
      </c>
      <c r="D128" s="44" t="str">
        <f>[1]!f_info_regulopenfundornot(A128)</f>
        <v>否</v>
      </c>
      <c r="E128" s="44" t="str">
        <f>[1]!f_dq_status(A128,$E$1)</f>
        <v>暂停大额申购|开放赎回</v>
      </c>
      <c r="F128" s="40" t="str">
        <f>[1]!f_info_fundmanager(A128)</f>
        <v>潘巍,李君</v>
      </c>
      <c r="G128" s="44">
        <v>20180912</v>
      </c>
      <c r="H128" s="45">
        <f>[1]!f_netasset_total(A128,$E$1,100000000)</f>
        <v>2.9016768756000002</v>
      </c>
      <c r="I128" s="45">
        <f>[1]!f_prt_convertiblebondtonav(A128,$E$1)</f>
        <v>14.914239883422852</v>
      </c>
      <c r="J128" s="45">
        <f>[1]!f_prt_stocktonav(A128,$E$1)+0.5*I128</f>
        <v>15.836030006408691</v>
      </c>
      <c r="K128" s="46">
        <v>6.8918769585138167</v>
      </c>
      <c r="L128" s="59">
        <f>VLOOKUP(A128,二级筛选!A:Q,12,0)/100</f>
        <v>4.4990986822862178E-2</v>
      </c>
      <c r="M128" s="63">
        <v>129</v>
      </c>
      <c r="N128" s="48">
        <f>VLOOKUP(A128,二级筛选!A:U,19,0)</f>
        <v>0.96739544055432991</v>
      </c>
      <c r="O128" s="65">
        <v>77</v>
      </c>
      <c r="P128" s="48">
        <f>VLOOKUP(A128,二级筛选!A:Z,24,0)</f>
        <v>4.5363769285109372</v>
      </c>
      <c r="Q128" s="67">
        <v>38</v>
      </c>
      <c r="R128" s="48">
        <f>VLOOKUP(A128,二级筛选!A:AE,29,0)</f>
        <v>1</v>
      </c>
      <c r="S128" s="67">
        <v>37</v>
      </c>
      <c r="T128" s="50">
        <f>VLOOKUP(A128,二级筛选!A:AJ,34,0)</f>
        <v>-0.99178237461035756</v>
      </c>
      <c r="U128" s="66">
        <v>24</v>
      </c>
      <c r="V128" s="49">
        <f>VLOOKUP(A128,二级筛选!A:AR,39,0)/100</f>
        <v>3.113371539477594E-2</v>
      </c>
      <c r="W128" s="66">
        <v>165</v>
      </c>
      <c r="X128" s="48">
        <f>VLOOKUP(A128,二级筛选!A:AV,46,0)</f>
        <v>7.0128741390242236E-2</v>
      </c>
      <c r="Y128" s="66">
        <v>164</v>
      </c>
      <c r="Z128" s="48">
        <f>VLOOKUP(A128,二级筛选!A:BA,51,0)</f>
        <v>1.5906960735593307</v>
      </c>
      <c r="AA128" s="66">
        <v>142</v>
      </c>
      <c r="AB128" s="48">
        <f>VLOOKUP(A128,二级筛选!A:BF,56,0)</f>
        <v>0.95833333333333337</v>
      </c>
      <c r="AC128" s="66">
        <v>160</v>
      </c>
      <c r="AD128" s="48">
        <f>VLOOKUP(A128,二级筛选!A:BK,61,0)</f>
        <v>-1.9572384638576086</v>
      </c>
      <c r="AE128" s="66">
        <v>33</v>
      </c>
      <c r="AF128">
        <f>(M128+O128+Q128+S128+U128)+(W128+Y128+AA128+AC128+AE128)*2</f>
        <v>1633</v>
      </c>
      <c r="AG128" s="69">
        <f>(W128+Y128+AE128)*2+(M128+O128+S128)</f>
        <v>967</v>
      </c>
    </row>
    <row r="129" spans="1:33" hidden="1" x14ac:dyDescent="0.35">
      <c r="A129" s="43" t="s">
        <v>403</v>
      </c>
      <c r="B129" s="43" t="s">
        <v>404</v>
      </c>
      <c r="C129" s="44">
        <v>20190821</v>
      </c>
      <c r="D129" s="44" t="str">
        <f>[1]!f_info_regulopenfundornot(A129)</f>
        <v>否</v>
      </c>
      <c r="E129" s="44" t="str">
        <f>[1]!f_dq_status(A129,$E$1)</f>
        <v>开放申购|开放赎回</v>
      </c>
      <c r="F129" s="40" t="str">
        <f>[1]!f_info_fundmanager(A129)</f>
        <v>刘明宇,董阳阳</v>
      </c>
      <c r="G129" s="44">
        <v>20190821</v>
      </c>
      <c r="H129" s="45">
        <f>[1]!f_netasset_total(A129,$E$1,100000000)</f>
        <v>6.0086642122000002</v>
      </c>
      <c r="I129" s="45">
        <f>[1]!f_prt_convertiblebondtonav(A129,$E$1)</f>
        <v>20.396341323852539</v>
      </c>
      <c r="J129" s="45">
        <f>[1]!f_prt_stocktonav(A129,$E$1)+0.5*I129</f>
        <v>16.377645015716553</v>
      </c>
      <c r="K129" s="46">
        <v>38.660839047776669</v>
      </c>
      <c r="L129" s="59">
        <f>VLOOKUP(A129,二级筛选!A:Q,12,0)/100</f>
        <v>8.9934156140653698E-2</v>
      </c>
      <c r="M129" s="63">
        <v>43</v>
      </c>
      <c r="N129" s="48">
        <f>VLOOKUP(A129,二级筛选!A:U,19,0)</f>
        <v>1.1688721834391478</v>
      </c>
      <c r="O129" s="65">
        <v>59</v>
      </c>
      <c r="P129" s="48">
        <f>VLOOKUP(A129,二级筛选!A:Z,24,0)</f>
        <v>3.1911021711989616</v>
      </c>
      <c r="Q129" s="67">
        <v>58</v>
      </c>
      <c r="R129" s="48">
        <f>VLOOKUP(A129,二级筛选!A:AE,29,0)</f>
        <v>0.99159663865546221</v>
      </c>
      <c r="S129" s="67">
        <v>92</v>
      </c>
      <c r="T129" s="50">
        <f>VLOOKUP(A129,二级筛选!A:AJ,34,0)</f>
        <v>-2.818278805120916</v>
      </c>
      <c r="U129" s="66">
        <v>86</v>
      </c>
      <c r="V129" s="49">
        <f>VLOOKUP(A129,二级筛选!A:AR,39,0)/100</f>
        <v>7.5801493320679869E-2</v>
      </c>
      <c r="W129" s="66">
        <v>94</v>
      </c>
      <c r="X129" s="48">
        <f>VLOOKUP(A129,二级筛选!A:AV,46,0)</f>
        <v>0.62495087457254828</v>
      </c>
      <c r="Y129" s="66">
        <v>126</v>
      </c>
      <c r="Z129" s="48">
        <f>VLOOKUP(A129,二级筛选!A:BA,51,0)</f>
        <v>1.2556203821029315</v>
      </c>
      <c r="AA129" s="66">
        <v>154</v>
      </c>
      <c r="AB129" s="48">
        <f>VLOOKUP(A129,二级筛选!A:BF,56,0)</f>
        <v>1</v>
      </c>
      <c r="AC129" s="66">
        <v>140</v>
      </c>
      <c r="AD129" s="48">
        <f>VLOOKUP(A129,二级筛选!A:BK,61,0)</f>
        <v>-6.0369753789538212</v>
      </c>
      <c r="AE129" s="66">
        <v>168</v>
      </c>
      <c r="AF129">
        <f>(M129+O129+Q129+S129+U129)+(W129+Y129+AA129+AC129+AE129)*2</f>
        <v>1702</v>
      </c>
      <c r="AG129" s="69">
        <f>(W129+Y129+AE129)*2+(M129+O129+S129)</f>
        <v>970</v>
      </c>
    </row>
    <row r="130" spans="1:33" x14ac:dyDescent="0.35">
      <c r="A130" s="39" t="s">
        <v>221</v>
      </c>
      <c r="B130" s="39" t="s">
        <v>222</v>
      </c>
      <c r="C130" s="37">
        <v>20160922</v>
      </c>
      <c r="D130" s="37" t="str">
        <f>[1]!f_info_regulopenfundornot(A130)</f>
        <v>否</v>
      </c>
      <c r="E130" s="37" t="str">
        <f>[1]!f_dq_status(A130,$E$1)</f>
        <v>开放申购|开放赎回</v>
      </c>
      <c r="F130" s="40" t="str">
        <f>[1]!f_info_fundmanager(A130)</f>
        <v>周博洋,贾丽杰</v>
      </c>
      <c r="G130" s="37">
        <v>20180126</v>
      </c>
      <c r="H130" s="41">
        <f>[1]!f_netasset_total(A130,$E$1,100000000)</f>
        <v>20.929110575799999</v>
      </c>
      <c r="I130" s="41">
        <f>[1]!f_prt_convertiblebondtonav(A130,$E$1)</f>
        <v>2.9992146492004395</v>
      </c>
      <c r="J130" s="41">
        <f>[1]!f_prt_stocktonav(A130,$E$1)+0.5*I130</f>
        <v>16.966816186904907</v>
      </c>
      <c r="K130" s="42">
        <v>8.6971684410933108</v>
      </c>
      <c r="L130" s="59">
        <f>VLOOKUP(A130,二级筛选!A:Q,12,0)/100</f>
        <v>9.729210509444508E-2</v>
      </c>
      <c r="M130" s="63">
        <v>33</v>
      </c>
      <c r="N130" s="48">
        <f>VLOOKUP(A130,二级筛选!A:U,19,0)</f>
        <v>1.0803305886411894</v>
      </c>
      <c r="O130" s="65">
        <v>69</v>
      </c>
      <c r="P130" s="48">
        <f>VLOOKUP(A130,二级筛选!A:Z,24,0)</f>
        <v>2.5344291227708231</v>
      </c>
      <c r="Q130" s="67">
        <v>70</v>
      </c>
      <c r="R130" s="48">
        <f>VLOOKUP(A130,二级筛选!A:AE,29,0)</f>
        <v>1</v>
      </c>
      <c r="S130" s="67">
        <v>62</v>
      </c>
      <c r="T130" s="50">
        <f>VLOOKUP(A130,二级筛选!A:AJ,34,0)</f>
        <v>-3.8388173581306639</v>
      </c>
      <c r="U130" s="66">
        <v>118</v>
      </c>
      <c r="V130" s="49">
        <f>VLOOKUP(A130,二级筛选!A:AR,39,0)/100</f>
        <v>6.2972796686329158E-2</v>
      </c>
      <c r="W130" s="66">
        <v>117</v>
      </c>
      <c r="X130" s="48">
        <f>VLOOKUP(A130,二级筛选!A:AV,46,0)</f>
        <v>0.47342777302744121</v>
      </c>
      <c r="Y130" s="66">
        <v>140</v>
      </c>
      <c r="Z130" s="48">
        <f>VLOOKUP(A130,二级筛选!A:BA,51,0)</f>
        <v>1.1506847394501953</v>
      </c>
      <c r="AA130" s="66">
        <v>158</v>
      </c>
      <c r="AB130" s="48">
        <f>VLOOKUP(A130,二级筛选!A:BF,56,0)</f>
        <v>0.98333333333333328</v>
      </c>
      <c r="AC130" s="66">
        <v>151</v>
      </c>
      <c r="AD130" s="48">
        <f>VLOOKUP(A130,二级筛选!A:BK,61,0)</f>
        <v>-5.4726368159204029</v>
      </c>
      <c r="AE130" s="66">
        <v>161</v>
      </c>
      <c r="AF130">
        <f>(M130+O130+Q130+S130+U130)+(W130+Y130+AA130+AC130+AE130)*2</f>
        <v>1806</v>
      </c>
      <c r="AG130" s="69">
        <f>(W130+Y130+AE130+U130)+(M130+O130+S130+AC130)</f>
        <v>851</v>
      </c>
    </row>
    <row r="131" spans="1:33" hidden="1" x14ac:dyDescent="0.35">
      <c r="A131" s="43" t="s">
        <v>205</v>
      </c>
      <c r="B131" s="43" t="s">
        <v>206</v>
      </c>
      <c r="C131" s="44">
        <v>20151020</v>
      </c>
      <c r="D131" s="44" t="str">
        <f>[1]!f_info_regulopenfundornot(A131)</f>
        <v>否</v>
      </c>
      <c r="E131" s="44" t="str">
        <f>[1]!f_dq_status(A131,$E$1)</f>
        <v>开放申购|开放赎回</v>
      </c>
      <c r="F131" s="40" t="str">
        <f>[1]!f_info_fundmanager(A131)</f>
        <v>赵睿</v>
      </c>
      <c r="G131" s="44">
        <v>20190916</v>
      </c>
      <c r="H131" s="45">
        <f>[1]!f_netasset_total(A131,$E$1,100000000)</f>
        <v>0.1462989941</v>
      </c>
      <c r="I131" s="45">
        <f>[1]!f_prt_convertiblebondtonav(A131,$E$1)</f>
        <v>1.9484535455703735</v>
      </c>
      <c r="J131" s="45">
        <f>[1]!f_prt_stocktonav(A131,$E$1)+0.5*I131</f>
        <v>8.5946620106697083</v>
      </c>
      <c r="K131" s="46">
        <v>0</v>
      </c>
      <c r="L131" s="59">
        <f>VLOOKUP(A131,二级筛选!A:Q,12,0)/100</f>
        <v>3.9183297334876688E-2</v>
      </c>
      <c r="M131" s="63">
        <v>146</v>
      </c>
      <c r="N131" s="48">
        <f>VLOOKUP(A131,二级筛选!A:U,19,0)</f>
        <v>0.20491975572020177</v>
      </c>
      <c r="O131" s="65">
        <v>152</v>
      </c>
      <c r="P131" s="48">
        <f>VLOOKUP(A131,二级筛选!A:Z,24,0)</f>
        <v>0.88652210220158445</v>
      </c>
      <c r="Q131" s="67">
        <v>165</v>
      </c>
      <c r="R131" s="48">
        <f>VLOOKUP(A131,二级筛选!A:AE,29,0)</f>
        <v>0.73109243697478987</v>
      </c>
      <c r="S131" s="67">
        <v>163</v>
      </c>
      <c r="T131" s="50">
        <f>VLOOKUP(A131,二级筛选!A:AJ,34,0)</f>
        <v>-4.4198895027624339</v>
      </c>
      <c r="U131" s="66">
        <v>138</v>
      </c>
      <c r="V131" s="49">
        <f>VLOOKUP(A131,二级筛选!A:AR,39,0)/100</f>
        <v>0.1189593744139399</v>
      </c>
      <c r="W131" s="66">
        <v>32</v>
      </c>
      <c r="X131" s="48">
        <f>VLOOKUP(A131,二级筛选!A:AV,46,0)</f>
        <v>1.1275856323963109</v>
      </c>
      <c r="Y131" s="66">
        <v>66</v>
      </c>
      <c r="Z131" s="48">
        <f>VLOOKUP(A131,二级筛选!A:BA,51,0)</f>
        <v>2.1721100587434234</v>
      </c>
      <c r="AA131" s="66">
        <v>100</v>
      </c>
      <c r="AB131" s="48">
        <f>VLOOKUP(A131,二级筛选!A:BF,56,0)</f>
        <v>1</v>
      </c>
      <c r="AC131" s="66">
        <v>96</v>
      </c>
      <c r="AD131" s="48">
        <f>VLOOKUP(A131,二级筛选!A:BK,61,0)</f>
        <v>-5.4766734279918801</v>
      </c>
      <c r="AE131" s="66">
        <v>162</v>
      </c>
      <c r="AF131">
        <f>(M131+O131+Q131+S131+U131)+(W131+Y131+AA131+AC131+AE131)*2</f>
        <v>1676</v>
      </c>
      <c r="AG131" s="69">
        <f>(W131+Y131+AE131)*2+(M131+O131+S131)</f>
        <v>981</v>
      </c>
    </row>
    <row r="132" spans="1:33" hidden="1" x14ac:dyDescent="0.35">
      <c r="A132" s="43" t="s">
        <v>127</v>
      </c>
      <c r="B132" s="43" t="s">
        <v>128</v>
      </c>
      <c r="C132" s="44">
        <v>20121105</v>
      </c>
      <c r="D132" s="44" t="str">
        <f>[1]!f_info_regulopenfundornot(A132)</f>
        <v>否</v>
      </c>
      <c r="E132" s="44" t="str">
        <f>[1]!f_dq_status(A132,$E$1)</f>
        <v>开放申购|开放赎回</v>
      </c>
      <c r="F132" s="40" t="str">
        <f>[1]!f_info_fundmanager(A132)</f>
        <v>戴钢</v>
      </c>
      <c r="G132" s="44">
        <v>20121105</v>
      </c>
      <c r="H132" s="45">
        <f>[1]!f_netasset_total(A132,$E$1,100000000)</f>
        <v>3.0896911002999996</v>
      </c>
      <c r="I132" s="45">
        <f>[1]!f_prt_convertiblebondtonav(A132,$E$1)</f>
        <v>21.482606887817383</v>
      </c>
      <c r="J132" s="45">
        <f>[1]!f_prt_stocktonav(A132,$E$1)+0.5*I132</f>
        <v>30.488812446594238</v>
      </c>
      <c r="K132" s="46">
        <v>26.020724205145871</v>
      </c>
      <c r="L132" s="59">
        <f>VLOOKUP(A132,二级筛选!A:Q,12,0)/100</f>
        <v>7.8395649844861026E-2</v>
      </c>
      <c r="M132" s="63">
        <v>56</v>
      </c>
      <c r="N132" s="48">
        <f>VLOOKUP(A132,二级筛选!A:U,19,0)</f>
        <v>0.70245511058363974</v>
      </c>
      <c r="O132" s="65">
        <v>105</v>
      </c>
      <c r="P132" s="48">
        <f>VLOOKUP(A132,二级筛选!A:Z,24,0)</f>
        <v>2.0340107696112164</v>
      </c>
      <c r="Q132" s="67">
        <v>96</v>
      </c>
      <c r="R132" s="48">
        <f>VLOOKUP(A132,二级筛选!A:AE,29,0)</f>
        <v>0.83193277310924374</v>
      </c>
      <c r="S132" s="67">
        <v>143</v>
      </c>
      <c r="T132" s="50">
        <f>VLOOKUP(A132,二级筛选!A:AJ,34,0)</f>
        <v>-3.8542396636299854</v>
      </c>
      <c r="U132" s="66">
        <v>120</v>
      </c>
      <c r="V132" s="49">
        <f>VLOOKUP(A132,二级筛选!A:AR,39,0)/100</f>
        <v>0.13278179297740378</v>
      </c>
      <c r="W132" s="66">
        <v>23</v>
      </c>
      <c r="X132" s="48">
        <f>VLOOKUP(A132,二级筛选!A:AV,46,0)</f>
        <v>0.67868249800350822</v>
      </c>
      <c r="Y132" s="66">
        <v>122</v>
      </c>
      <c r="Z132" s="48">
        <f>VLOOKUP(A132,二级筛选!A:BA,51,0)</f>
        <v>1.0345306727580144</v>
      </c>
      <c r="AA132" s="66">
        <v>167</v>
      </c>
      <c r="AB132" s="48">
        <f>VLOOKUP(A132,二级筛选!A:BF,56,0)</f>
        <v>0.97499999999999998</v>
      </c>
      <c r="AC132" s="66">
        <v>157</v>
      </c>
      <c r="AD132" s="48">
        <f>VLOOKUP(A132,二级筛选!A:BK,61,0)</f>
        <v>-12.834978843441464</v>
      </c>
      <c r="AE132" s="66">
        <v>195</v>
      </c>
      <c r="AF132">
        <f>(M132+O132+Q132+S132+U132)+(W132+Y132+AA132+AC132+AE132)*2</f>
        <v>1848</v>
      </c>
      <c r="AG132" s="69">
        <f>(W132+Y132+AE132)*2+(M132+O132+S132)</f>
        <v>984</v>
      </c>
    </row>
    <row r="133" spans="1:33" hidden="1" x14ac:dyDescent="0.35">
      <c r="A133" s="43" t="s">
        <v>257</v>
      </c>
      <c r="B133" s="43" t="s">
        <v>258</v>
      </c>
      <c r="C133" s="44">
        <v>20160721</v>
      </c>
      <c r="D133" s="44" t="str">
        <f>[1]!f_info_regulopenfundornot(A133)</f>
        <v>否</v>
      </c>
      <c r="E133" s="44" t="str">
        <f>[1]!f_dq_status(A133,$E$1)</f>
        <v>暂停大额申购|开放赎回</v>
      </c>
      <c r="F133" s="40" t="str">
        <f>[1]!f_info_fundmanager(A133)</f>
        <v>赵睿</v>
      </c>
      <c r="G133" s="44">
        <v>20190916</v>
      </c>
      <c r="H133" s="45">
        <f>[1]!f_netasset_total(A133,$E$1,100000000)</f>
        <v>8.7344318136000005</v>
      </c>
      <c r="I133" s="45">
        <f>[1]!f_prt_convertiblebondtonav(A133,$E$1)</f>
        <v>0</v>
      </c>
      <c r="J133" s="45">
        <f>[1]!f_prt_stocktonav(A133,$E$1)+0.5*I133</f>
        <v>0</v>
      </c>
      <c r="K133" s="46">
        <v>0</v>
      </c>
      <c r="L133" s="59">
        <f>VLOOKUP(A133,二级筛选!A:Q,12,0)/100</f>
        <v>4.8174807005756382E-2</v>
      </c>
      <c r="M133" s="63">
        <v>116</v>
      </c>
      <c r="N133" s="48">
        <f>VLOOKUP(A133,二级筛选!A:U,19,0)</f>
        <v>0.4427730371454543</v>
      </c>
      <c r="O133" s="65">
        <v>123</v>
      </c>
      <c r="P133" s="48">
        <f>VLOOKUP(A133,二级筛选!A:Z,24,0)</f>
        <v>1.1089840572725109</v>
      </c>
      <c r="Q133" s="67">
        <v>153</v>
      </c>
      <c r="R133" s="48">
        <f>VLOOKUP(A133,二级筛选!A:AE,29,0)</f>
        <v>0.7142857142857143</v>
      </c>
      <c r="S133" s="67">
        <v>166</v>
      </c>
      <c r="T133" s="50">
        <f>VLOOKUP(A133,二级筛选!A:AJ,34,0)</f>
        <v>-4.3440486533449212</v>
      </c>
      <c r="U133" s="66">
        <v>137</v>
      </c>
      <c r="V133" s="49">
        <f>VLOOKUP(A133,二级筛选!A:AR,39,0)/100</f>
        <v>0.10260886954042148</v>
      </c>
      <c r="W133" s="66">
        <v>51</v>
      </c>
      <c r="X133" s="48">
        <f>VLOOKUP(A133,二级筛选!A:AV,46,0)</f>
        <v>0.98499416306197352</v>
      </c>
      <c r="Y133" s="66">
        <v>87</v>
      </c>
      <c r="Z133" s="48">
        <f>VLOOKUP(A133,二级筛选!A:BA,51,0)</f>
        <v>2.1975399559906914</v>
      </c>
      <c r="AA133" s="66">
        <v>98</v>
      </c>
      <c r="AB133" s="48">
        <f>VLOOKUP(A133,二级筛选!A:BF,56,0)</f>
        <v>1</v>
      </c>
      <c r="AC133" s="66">
        <v>94</v>
      </c>
      <c r="AD133" s="48">
        <f>VLOOKUP(A133,二级筛选!A:BK,61,0)</f>
        <v>-4.6692607003891089</v>
      </c>
      <c r="AE133" s="66">
        <v>152</v>
      </c>
      <c r="AF133">
        <f>(M133+O133+Q133+S133+U133)+(W133+Y133+AA133+AC133+AE133)*2</f>
        <v>1659</v>
      </c>
      <c r="AG133" s="69">
        <f>(W133+Y133+AE133)*2+(M133+O133+S133)</f>
        <v>985</v>
      </c>
    </row>
    <row r="134" spans="1:33" hidden="1" x14ac:dyDescent="0.35">
      <c r="A134" s="43" t="s">
        <v>121</v>
      </c>
      <c r="B134" s="43" t="s">
        <v>122</v>
      </c>
      <c r="C134" s="44">
        <v>20120907</v>
      </c>
      <c r="D134" s="44" t="str">
        <f>[1]!f_info_regulopenfundornot(A134)</f>
        <v>否</v>
      </c>
      <c r="E134" s="44" t="str">
        <f>[1]!f_dq_status(A134,$E$1)</f>
        <v>暂停大额申购|开放赎回</v>
      </c>
      <c r="F134" s="40" t="str">
        <f>[1]!f_info_fundmanager(A134)</f>
        <v>郑可成</v>
      </c>
      <c r="G134" s="44">
        <v>20120907</v>
      </c>
      <c r="H134" s="45">
        <f>[1]!f_netasset_total(A134,$E$1,100000000)</f>
        <v>0.95552872040000003</v>
      </c>
      <c r="I134" s="45">
        <f>[1]!f_prt_convertiblebondtonav(A134,$E$1)</f>
        <v>0.50374877452850342</v>
      </c>
      <c r="J134" s="45">
        <f>[1]!f_prt_stocktonav(A134,$E$1)+0.5*I134</f>
        <v>4.9456319212913513</v>
      </c>
      <c r="K134" s="46">
        <v>0</v>
      </c>
      <c r="L134" s="59">
        <f>VLOOKUP(A134,二级筛选!A:Q,12,0)/100</f>
        <v>9.624362029263267E-2</v>
      </c>
      <c r="M134" s="63">
        <v>37</v>
      </c>
      <c r="N134" s="48">
        <f>VLOOKUP(A134,二级筛选!A:U,19,0)</f>
        <v>0.78744007764258017</v>
      </c>
      <c r="O134" s="65">
        <v>94</v>
      </c>
      <c r="P134" s="48">
        <f>VLOOKUP(A134,二级筛选!A:Z,24,0)</f>
        <v>1.352813861072895</v>
      </c>
      <c r="Q134" s="67">
        <v>139</v>
      </c>
      <c r="R134" s="48">
        <f>VLOOKUP(A134,二级筛选!A:AE,29,0)</f>
        <v>0.73109243697478987</v>
      </c>
      <c r="S134" s="67">
        <v>162</v>
      </c>
      <c r="T134" s="50">
        <f>VLOOKUP(A134,二级筛选!A:AJ,34,0)</f>
        <v>-7.1143283685978345</v>
      </c>
      <c r="U134" s="66">
        <v>187</v>
      </c>
      <c r="V134" s="49">
        <f>VLOOKUP(A134,二级筛选!A:AR,39,0)/100</f>
        <v>8.5028218364914032E-2</v>
      </c>
      <c r="W134" s="66">
        <v>72</v>
      </c>
      <c r="X134" s="48">
        <f>VLOOKUP(A134,二级筛选!A:AV,46,0)</f>
        <v>0.7312113292287733</v>
      </c>
      <c r="Y134" s="66">
        <v>117</v>
      </c>
      <c r="Z134" s="48">
        <f>VLOOKUP(A134,二级筛选!A:BA,51,0)</f>
        <v>1.6045647659185431</v>
      </c>
      <c r="AA134" s="66">
        <v>138</v>
      </c>
      <c r="AB134" s="48">
        <f>VLOOKUP(A134,二级筛选!A:BF,56,0)</f>
        <v>1</v>
      </c>
      <c r="AC134" s="66">
        <v>127</v>
      </c>
      <c r="AD134" s="48">
        <f>VLOOKUP(A134,二级筛选!A:BK,61,0)</f>
        <v>-5.2991452991452856</v>
      </c>
      <c r="AE134" s="66">
        <v>158</v>
      </c>
      <c r="AF134">
        <f>(M134+O134+Q134+S134+U134)+(W134+Y134+AA134+AC134+AE134)*2</f>
        <v>1843</v>
      </c>
      <c r="AG134" s="69">
        <f>(W134+Y134+AE134)*2+(M134+O134+S134)</f>
        <v>987</v>
      </c>
    </row>
    <row r="135" spans="1:33" x14ac:dyDescent="0.35">
      <c r="A135" s="39" t="s">
        <v>83</v>
      </c>
      <c r="B135" s="39" t="s">
        <v>84</v>
      </c>
      <c r="C135" s="37">
        <v>20090610</v>
      </c>
      <c r="D135" s="37" t="str">
        <f>[1]!f_info_regulopenfundornot(A135)</f>
        <v>否</v>
      </c>
      <c r="E135" s="37" t="str">
        <f>[1]!f_dq_status(A135,$E$1)</f>
        <v>开放申购|开放赎回</v>
      </c>
      <c r="F135" s="40" t="str">
        <f>[1]!f_info_fundmanager(A135)</f>
        <v>张明凯</v>
      </c>
      <c r="G135" s="37">
        <v>20190319</v>
      </c>
      <c r="H135" s="41">
        <f>[1]!f_netasset_total(A135,$E$1,100000000)</f>
        <v>42.144380172300004</v>
      </c>
      <c r="I135" s="41">
        <f>[1]!f_prt_convertiblebondtonav(A135,$E$1)</f>
        <v>6.1661076545715332</v>
      </c>
      <c r="J135" s="41">
        <f>[1]!f_prt_stocktonav(A135,$E$1)+0.5*I135</f>
        <v>14.83527684211731</v>
      </c>
      <c r="K135" s="42">
        <v>4.7470148850710183</v>
      </c>
      <c r="L135" s="59">
        <f>VLOOKUP(A135,二级筛选!A:Q,12,0)/100</f>
        <v>7.0215211322524729E-2</v>
      </c>
      <c r="M135" s="63">
        <v>75</v>
      </c>
      <c r="N135" s="48">
        <f>VLOOKUP(A135,二级筛选!A:U,19,0)</f>
        <v>0.91937474606770098</v>
      </c>
      <c r="O135" s="65">
        <v>82</v>
      </c>
      <c r="P135" s="48">
        <f>VLOOKUP(A135,二级筛选!A:Z,24,0)</f>
        <v>2.5047926346785214</v>
      </c>
      <c r="Q135" s="67">
        <v>73</v>
      </c>
      <c r="R135" s="48">
        <f>VLOOKUP(A135,二级筛选!A:AE,29,0)</f>
        <v>1</v>
      </c>
      <c r="S135" s="67">
        <v>64</v>
      </c>
      <c r="T135" s="50">
        <f>VLOOKUP(A135,二级筛选!A:AJ,34,0)</f>
        <v>-2.8032345013477147</v>
      </c>
      <c r="U135" s="66">
        <v>84</v>
      </c>
      <c r="V135" s="49">
        <f>VLOOKUP(A135,二级筛选!A:AR,39,0)/100</f>
        <v>6.230466638830201E-2</v>
      </c>
      <c r="W135" s="66">
        <v>118</v>
      </c>
      <c r="X135" s="48">
        <f>VLOOKUP(A135,二级筛选!A:AV,46,0)</f>
        <v>0.47081134074095476</v>
      </c>
      <c r="Y135" s="66">
        <v>141</v>
      </c>
      <c r="Z135" s="48">
        <f>VLOOKUP(A135,二级筛选!A:BA,51,0)</f>
        <v>1.4818407141001551</v>
      </c>
      <c r="AA135" s="66">
        <v>146</v>
      </c>
      <c r="AB135" s="48">
        <f>VLOOKUP(A135,二级筛选!A:BF,56,0)</f>
        <v>0.97499999999999998</v>
      </c>
      <c r="AC135" s="66">
        <v>156</v>
      </c>
      <c r="AD135" s="48">
        <f>VLOOKUP(A135,二级筛选!A:BK,61,0)</f>
        <v>-4.2045454545454568</v>
      </c>
      <c r="AE135" s="66">
        <v>136</v>
      </c>
      <c r="AF135">
        <f>(M135+O135+Q135+S135+U135)+(W135+Y135+AA135+AC135+AE135)*2</f>
        <v>1772</v>
      </c>
      <c r="AG135" s="69">
        <f>(W135+Y135+AE135+U135)+(M135+O135+S135+AC135)</f>
        <v>856</v>
      </c>
    </row>
    <row r="136" spans="1:33" x14ac:dyDescent="0.35">
      <c r="A136" s="43" t="s">
        <v>157</v>
      </c>
      <c r="B136" s="43" t="s">
        <v>158</v>
      </c>
      <c r="C136" s="44">
        <v>20130911</v>
      </c>
      <c r="D136" s="44" t="str">
        <f>[1]!f_info_regulopenfundornot(A136)</f>
        <v>否</v>
      </c>
      <c r="E136" s="44" t="str">
        <f>[1]!f_dq_status(A136,$E$1)</f>
        <v>暂停大额申购|开放赎回</v>
      </c>
      <c r="F136" s="40" t="str">
        <f>[1]!f_info_fundmanager(A136)</f>
        <v>马泽宇</v>
      </c>
      <c r="G136" s="44">
        <v>20210917</v>
      </c>
      <c r="H136" s="45">
        <f>[1]!f_netasset_total(A136,$E$1,100000000)</f>
        <v>20.7924894047</v>
      </c>
      <c r="I136" s="45">
        <f>[1]!f_prt_convertiblebondtonav(A136,$E$1)</f>
        <v>0</v>
      </c>
      <c r="J136" s="45">
        <f>[1]!f_prt_stocktonav(A136,$E$1)+0.5*I136</f>
        <v>0</v>
      </c>
      <c r="K136" s="46">
        <v>42.211588180567048</v>
      </c>
      <c r="L136" s="59">
        <f>VLOOKUP(A136,二级筛选!A:Q,12,0)/100</f>
        <v>3.758479748457666E-2</v>
      </c>
      <c r="M136" s="63">
        <v>152</v>
      </c>
      <c r="N136" s="48">
        <f>VLOOKUP(A136,二级筛选!A:U,19,0)</f>
        <v>1.5287019140413562</v>
      </c>
      <c r="O136" s="65">
        <v>31</v>
      </c>
      <c r="P136" s="48">
        <f>VLOOKUP(A136,二级筛选!A:Z,24,0)</f>
        <v>8.7230898161930437</v>
      </c>
      <c r="Q136" s="67">
        <v>11</v>
      </c>
      <c r="R136" s="48">
        <f>VLOOKUP(A136,二级筛选!A:AE,29,0)</f>
        <v>1</v>
      </c>
      <c r="S136" s="67">
        <v>11</v>
      </c>
      <c r="T136" s="50">
        <f>VLOOKUP(A136,二级筛选!A:AJ,34,0)</f>
        <v>-0.43086564825695589</v>
      </c>
      <c r="U136" s="66">
        <v>6</v>
      </c>
      <c r="V136" s="49">
        <f>VLOOKUP(A136,二级筛选!A:AR,39,0)/100</f>
        <v>2.354724517545459E-2</v>
      </c>
      <c r="W136" s="66">
        <v>178</v>
      </c>
      <c r="X136" s="48">
        <f>VLOOKUP(A136,二级筛选!A:AV,46,0)</f>
        <v>-0.35274133283810194</v>
      </c>
      <c r="Y136" s="66">
        <v>180</v>
      </c>
      <c r="Z136" s="48">
        <f>VLOOKUP(A136,二级筛选!A:BA,51,0)</f>
        <v>0.59531093628042342</v>
      </c>
      <c r="AA136" s="66">
        <v>185</v>
      </c>
      <c r="AB136" s="48">
        <f>VLOOKUP(A136,二级筛选!A:BF,56,0)</f>
        <v>0.77500000000000002</v>
      </c>
      <c r="AC136" s="66">
        <v>183</v>
      </c>
      <c r="AD136" s="48">
        <f>VLOOKUP(A136,二级筛选!A:BK,61,0)</f>
        <v>-3.9554531490015448</v>
      </c>
      <c r="AE136" s="66">
        <v>128</v>
      </c>
      <c r="AF136">
        <f>(M136+O136+Q136+S136+U136)+(W136+Y136+AA136+AC136+AE136)*2</f>
        <v>1919</v>
      </c>
      <c r="AG136" s="69">
        <f>(W136+Y136+AE136+U136)+(M136+O136+S136+AC136)</f>
        <v>869</v>
      </c>
    </row>
    <row r="137" spans="1:33" hidden="1" x14ac:dyDescent="0.35">
      <c r="A137" s="43" t="s">
        <v>163</v>
      </c>
      <c r="B137" s="43" t="s">
        <v>164</v>
      </c>
      <c r="C137" s="44">
        <v>20131203</v>
      </c>
      <c r="D137" s="44" t="str">
        <f>[1]!f_info_regulopenfundornot(A137)</f>
        <v>否</v>
      </c>
      <c r="E137" s="44" t="str">
        <f>[1]!f_dq_status(A137,$E$1)</f>
        <v>开放申购|开放赎回</v>
      </c>
      <c r="F137" s="40" t="str">
        <f>[1]!f_info_fundmanager(A137)</f>
        <v>徐光</v>
      </c>
      <c r="G137" s="44">
        <v>20200708</v>
      </c>
      <c r="H137" s="45">
        <f>[1]!f_netasset_total(A137,$E$1,100000000)</f>
        <v>3.4673062070999996</v>
      </c>
      <c r="I137" s="45">
        <f>[1]!f_prt_convertiblebondtonav(A137,$E$1)</f>
        <v>3.0985438823699951</v>
      </c>
      <c r="J137" s="45">
        <f>[1]!f_prt_stocktonav(A137,$E$1)+0.5*I137</f>
        <v>19.352595686912537</v>
      </c>
      <c r="K137" s="46">
        <v>22.501041252209749</v>
      </c>
      <c r="L137" s="59">
        <f>VLOOKUP(A137,二级筛选!A:Q,12,0)/100</f>
        <v>4.8251752192273178E-2</v>
      </c>
      <c r="M137" s="63">
        <v>114</v>
      </c>
      <c r="N137" s="48">
        <f>VLOOKUP(A137,二级筛选!A:U,19,0)</f>
        <v>0.3365782507900365</v>
      </c>
      <c r="O137" s="65">
        <v>135</v>
      </c>
      <c r="P137" s="48">
        <f>VLOOKUP(A137,二级筛选!A:Z,24,0)</f>
        <v>0.98215663333304482</v>
      </c>
      <c r="Q137" s="67">
        <v>161</v>
      </c>
      <c r="R137" s="48">
        <f>VLOOKUP(A137,二级筛选!A:AE,29,0)</f>
        <v>0.94957983193277307</v>
      </c>
      <c r="S137" s="67">
        <v>114</v>
      </c>
      <c r="T137" s="50">
        <f>VLOOKUP(A137,二级筛选!A:AJ,34,0)</f>
        <v>-4.9128367670364481</v>
      </c>
      <c r="U137" s="66">
        <v>155</v>
      </c>
      <c r="V137" s="49">
        <f>VLOOKUP(A137,二级筛选!A:AR,39,0)/100</f>
        <v>8.0276774081292177E-2</v>
      </c>
      <c r="W137" s="66">
        <v>82</v>
      </c>
      <c r="X137" s="48">
        <f>VLOOKUP(A137,二级筛选!A:AV,46,0)</f>
        <v>0.86328833373191338</v>
      </c>
      <c r="Y137" s="66">
        <v>100</v>
      </c>
      <c r="Z137" s="48">
        <f>VLOOKUP(A137,二级筛选!A:BA,51,0)</f>
        <v>1.9073761521714963</v>
      </c>
      <c r="AA137" s="66">
        <v>120</v>
      </c>
      <c r="AB137" s="48">
        <f>VLOOKUP(A137,二级筛选!A:BF,56,0)</f>
        <v>0.93333333333333335</v>
      </c>
      <c r="AC137" s="66">
        <v>163</v>
      </c>
      <c r="AD137" s="48">
        <f>VLOOKUP(A137,二级筛选!A:BK,61,0)</f>
        <v>-4.2087542087542218</v>
      </c>
      <c r="AE137" s="66">
        <v>137</v>
      </c>
      <c r="AF137">
        <f>(M137+O137+Q137+S137+U137)+(W137+Y137+AA137+AC137+AE137)*2</f>
        <v>1883</v>
      </c>
      <c r="AG137" s="69">
        <f>(W137+Y137+AE137)*2+(M137+O137+S137)</f>
        <v>1001</v>
      </c>
    </row>
    <row r="138" spans="1:33" x14ac:dyDescent="0.35">
      <c r="A138" s="43" t="s">
        <v>265</v>
      </c>
      <c r="B138" s="43" t="s">
        <v>266</v>
      </c>
      <c r="C138" s="44">
        <v>20160816</v>
      </c>
      <c r="D138" s="44" t="str">
        <f>[1]!f_info_regulopenfundornot(A138)</f>
        <v>否</v>
      </c>
      <c r="E138" s="44" t="str">
        <f>[1]!f_dq_status(A138,$E$1)</f>
        <v>开放申购|开放赎回</v>
      </c>
      <c r="F138" s="40" t="str">
        <f>[1]!f_info_fundmanager(A138)</f>
        <v>吴国清,李炳智,王旭巍</v>
      </c>
      <c r="G138" s="44">
        <v>20160816</v>
      </c>
      <c r="H138" s="45">
        <f>[1]!f_netasset_total(A138,$E$1,100000000)</f>
        <v>21.641248206100002</v>
      </c>
      <c r="I138" s="45">
        <f>[1]!f_prt_convertiblebondtonav(A138,$E$1)</f>
        <v>0</v>
      </c>
      <c r="J138" s="45">
        <f>[1]!f_prt_stocktonav(A138,$E$1)+0.5*I138</f>
        <v>13.062355041503906</v>
      </c>
      <c r="K138" s="46">
        <v>10.872820735620779</v>
      </c>
      <c r="L138" s="59">
        <f>VLOOKUP(A138,二级筛选!A:Q,12,0)/100</f>
        <v>4.5940340835129323E-2</v>
      </c>
      <c r="M138" s="63">
        <v>126</v>
      </c>
      <c r="N138" s="48">
        <f>VLOOKUP(A138,二级筛选!A:U,19,0)</f>
        <v>0.3462583393727125</v>
      </c>
      <c r="O138" s="65">
        <v>132</v>
      </c>
      <c r="P138" s="48">
        <f>VLOOKUP(A138,二级筛选!A:Z,24,0)</f>
        <v>1.1102998225319871</v>
      </c>
      <c r="Q138" s="67">
        <v>152</v>
      </c>
      <c r="R138" s="48">
        <f>VLOOKUP(A138,二级筛选!A:AE,29,0)</f>
        <v>0.97478991596638653</v>
      </c>
      <c r="S138" s="67">
        <v>99</v>
      </c>
      <c r="T138" s="50">
        <f>VLOOKUP(A138,二级筛选!A:AJ,34,0)</f>
        <v>-4.1376518218623604</v>
      </c>
      <c r="U138" s="66">
        <v>127</v>
      </c>
      <c r="V138" s="49">
        <f>VLOOKUP(A138,二级筛选!A:AR,39,0)/100</f>
        <v>5.0125768761425382E-2</v>
      </c>
      <c r="W138" s="66">
        <v>136</v>
      </c>
      <c r="X138" s="48">
        <f>VLOOKUP(A138,二级筛选!A:AV,46,0)</f>
        <v>0.64374149303035177</v>
      </c>
      <c r="Y138" s="66">
        <v>124</v>
      </c>
      <c r="Z138" s="48">
        <f>VLOOKUP(A138,二级筛选!A:BA,51,0)</f>
        <v>2.1839182523565319</v>
      </c>
      <c r="AA138" s="66">
        <v>99</v>
      </c>
      <c r="AB138" s="48">
        <f>VLOOKUP(A138,二级筛选!A:BF,56,0)</f>
        <v>1</v>
      </c>
      <c r="AC138" s="66">
        <v>95</v>
      </c>
      <c r="AD138" s="48">
        <f>VLOOKUP(A138,二级筛选!A:BK,61,0)</f>
        <v>-2.2952218430034068</v>
      </c>
      <c r="AE138" s="66">
        <v>51</v>
      </c>
      <c r="AF138">
        <f>(M138+O138+Q138+S138+U138)+(W138+Y138+AA138+AC138+AE138)*2</f>
        <v>1646</v>
      </c>
      <c r="AG138" s="69">
        <f>(W138+Y138+AE138+U138)+(M138+O138+S138+AC138)</f>
        <v>890</v>
      </c>
    </row>
    <row r="139" spans="1:33" x14ac:dyDescent="0.35">
      <c r="A139" s="39" t="s">
        <v>17</v>
      </c>
      <c r="B139" s="39" t="s">
        <v>18</v>
      </c>
      <c r="C139" s="37">
        <v>20110425</v>
      </c>
      <c r="D139" s="37" t="str">
        <f>[1]!f_info_regulopenfundornot(A139)</f>
        <v>否</v>
      </c>
      <c r="E139" s="37" t="str">
        <f>[1]!f_dq_status(A139,$E$1)</f>
        <v>开放申购|开放赎回</v>
      </c>
      <c r="F139" s="40" t="str">
        <f>[1]!f_info_fundmanager(A139)</f>
        <v>范晶伟</v>
      </c>
      <c r="G139" s="37">
        <v>20210807</v>
      </c>
      <c r="H139" s="41">
        <f>[1]!f_netasset_total(A139,$E$1,100000000)</f>
        <v>41.5615881648</v>
      </c>
      <c r="I139" s="41">
        <f>[1]!f_prt_convertiblebondtonav(A139,$E$1)</f>
        <v>1.4293267726898193</v>
      </c>
      <c r="J139" s="41">
        <f>[1]!f_prt_stocktonav(A139,$E$1)+0.5*I139</f>
        <v>16.070038676261902</v>
      </c>
      <c r="K139" s="42">
        <v>3.9274004485286849</v>
      </c>
      <c r="L139" s="59">
        <f>VLOOKUP(A139,二级筛选!A:Q,12,0)/100</f>
        <v>8.859539012513018E-2</v>
      </c>
      <c r="M139" s="63">
        <v>44</v>
      </c>
      <c r="N139" s="48">
        <f>VLOOKUP(A139,二级筛选!A:U,19,0)</f>
        <v>0.87187311104643883</v>
      </c>
      <c r="O139" s="65">
        <v>86</v>
      </c>
      <c r="P139" s="48">
        <f>VLOOKUP(A139,二级筛选!A:Z,24,0)</f>
        <v>1.5974856281937588</v>
      </c>
      <c r="Q139" s="67">
        <v>125</v>
      </c>
      <c r="R139" s="48">
        <f>VLOOKUP(A139,二级筛选!A:AE,29,0)</f>
        <v>0.94957983193277307</v>
      </c>
      <c r="S139" s="67">
        <v>111</v>
      </c>
      <c r="T139" s="50">
        <f>VLOOKUP(A139,二级筛选!A:AJ,34,0)</f>
        <v>-5.5459272097053542</v>
      </c>
      <c r="U139" s="66">
        <v>166</v>
      </c>
      <c r="V139" s="49">
        <f>VLOOKUP(A139,二级筛选!A:AR,39,0)/100</f>
        <v>8.1255906660047797E-2</v>
      </c>
      <c r="W139" s="66">
        <v>80</v>
      </c>
      <c r="X139" s="48">
        <f>VLOOKUP(A139,二级筛选!A:AV,46,0)</f>
        <v>0.78201743338799645</v>
      </c>
      <c r="Y139" s="66">
        <v>112</v>
      </c>
      <c r="Z139" s="48">
        <f>VLOOKUP(A139,二级筛选!A:BA,51,0)</f>
        <v>1.3784933350956399</v>
      </c>
      <c r="AA139" s="66">
        <v>149</v>
      </c>
      <c r="AB139" s="48">
        <f>VLOOKUP(A139,二级筛选!A:BF,56,0)</f>
        <v>1</v>
      </c>
      <c r="AC139" s="66">
        <v>136</v>
      </c>
      <c r="AD139" s="48">
        <f>VLOOKUP(A139,二级筛选!A:BK,61,0)</f>
        <v>-5.8945447606687384</v>
      </c>
      <c r="AE139" s="66">
        <v>167</v>
      </c>
      <c r="AF139">
        <f>(M139+O139+Q139+S139+U139)+(W139+Y139+AA139+AC139+AE139)*2</f>
        <v>1820</v>
      </c>
      <c r="AG139" s="69">
        <f>(W139+Y139+AE139+U139)+(M139+O139+S139+AC139)</f>
        <v>902</v>
      </c>
    </row>
    <row r="140" spans="1:33" x14ac:dyDescent="0.35">
      <c r="A140" s="43" t="s">
        <v>261</v>
      </c>
      <c r="B140" s="43" t="s">
        <v>262</v>
      </c>
      <c r="C140" s="44">
        <v>20160727</v>
      </c>
      <c r="D140" s="44" t="str">
        <f>[1]!f_info_regulopenfundornot(A140)</f>
        <v>否</v>
      </c>
      <c r="E140" s="44" t="str">
        <f>[1]!f_dq_status(A140,$E$1)</f>
        <v>开放申购|开放赎回</v>
      </c>
      <c r="F140" s="40" t="str">
        <f>[1]!f_info_fundmanager(A140)</f>
        <v>李明阳,林铮</v>
      </c>
      <c r="G140" s="44">
        <v>20180103</v>
      </c>
      <c r="H140" s="45">
        <f>[1]!f_netasset_total(A140,$E$1,100000000)</f>
        <v>30.5517946127</v>
      </c>
      <c r="I140" s="45">
        <f>[1]!f_prt_convertiblebondtonav(A140,$E$1)</f>
        <v>7.3848991394042969</v>
      </c>
      <c r="J140" s="45">
        <f>[1]!f_prt_stocktonav(A140,$E$1)+0.5*I140</f>
        <v>23.631065368652344</v>
      </c>
      <c r="K140" s="46">
        <v>10.10799214628225</v>
      </c>
      <c r="L140" s="59">
        <f>VLOOKUP(A140,二级筛选!A:Q,12,0)/100</f>
        <v>5.7060176517082395E-2</v>
      </c>
      <c r="M140" s="63">
        <v>99</v>
      </c>
      <c r="N140" s="48">
        <f>VLOOKUP(A140,二级筛选!A:U,19,0)</f>
        <v>0.50656872406195252</v>
      </c>
      <c r="O140" s="65">
        <v>119</v>
      </c>
      <c r="P140" s="48">
        <f>VLOOKUP(A140,二级筛选!A:Z,24,0)</f>
        <v>1.3199532669819001</v>
      </c>
      <c r="Q140" s="67">
        <v>142</v>
      </c>
      <c r="R140" s="48">
        <f>VLOOKUP(A140,二级筛选!A:AE,29,0)</f>
        <v>1</v>
      </c>
      <c r="S140" s="67">
        <v>89</v>
      </c>
      <c r="T140" s="50">
        <f>VLOOKUP(A140,二级筛选!A:AJ,34,0)</f>
        <v>-4.3228936921040884</v>
      </c>
      <c r="U140" s="66">
        <v>134</v>
      </c>
      <c r="V140" s="49">
        <f>VLOOKUP(A140,二级筛选!A:AR,39,0)/100</f>
        <v>7.4752997414242905E-2</v>
      </c>
      <c r="W140" s="66">
        <v>96</v>
      </c>
      <c r="X140" s="48">
        <f>VLOOKUP(A140,二级筛选!A:AV,46,0)</f>
        <v>0.78094242864748753</v>
      </c>
      <c r="Y140" s="66">
        <v>113</v>
      </c>
      <c r="Z140" s="48">
        <f>VLOOKUP(A140,二级筛选!A:BA,51,0)</f>
        <v>1.6066166245026712</v>
      </c>
      <c r="AA140" s="66">
        <v>136</v>
      </c>
      <c r="AB140" s="48">
        <f>VLOOKUP(A140,二级筛选!A:BF,56,0)</f>
        <v>1</v>
      </c>
      <c r="AC140" s="66">
        <v>126</v>
      </c>
      <c r="AD140" s="48">
        <f>VLOOKUP(A140,二级筛选!A:BK,61,0)</f>
        <v>-4.6528211070505217</v>
      </c>
      <c r="AE140" s="66">
        <v>150</v>
      </c>
      <c r="AF140">
        <f>(M140+O140+Q140+S140+U140)+(W140+Y140+AA140+AC140+AE140)*2</f>
        <v>1825</v>
      </c>
      <c r="AG140" s="69">
        <f>(W140+Y140+AE140+U140)+(M140+O140+S140+AC140)</f>
        <v>926</v>
      </c>
    </row>
    <row r="141" spans="1:33" hidden="1" x14ac:dyDescent="0.35">
      <c r="A141" s="43" t="s">
        <v>203</v>
      </c>
      <c r="B141" s="43" t="s">
        <v>204</v>
      </c>
      <c r="C141" s="44">
        <v>20150619</v>
      </c>
      <c r="D141" s="44" t="str">
        <f>[1]!f_info_regulopenfundornot(A141)</f>
        <v>否</v>
      </c>
      <c r="E141" s="44" t="str">
        <f>[1]!f_dq_status(A141,$E$1)</f>
        <v>开放申购|开放赎回</v>
      </c>
      <c r="F141" s="40" t="str">
        <f>[1]!f_info_fundmanager(A141)</f>
        <v>丁孙楠,黎莹</v>
      </c>
      <c r="G141" s="44">
        <v>20170124</v>
      </c>
      <c r="H141" s="45">
        <f>[1]!f_netasset_total(A141,$E$1,100000000)</f>
        <v>1.4547374900000001</v>
      </c>
      <c r="I141" s="45">
        <f>[1]!f_prt_convertiblebondtonav(A141,$E$1)</f>
        <v>5.0869250297546387</v>
      </c>
      <c r="J141" s="45">
        <f>[1]!f_prt_stocktonav(A141,$E$1)+0.5*I141</f>
        <v>20.431905508041382</v>
      </c>
      <c r="K141" s="46">
        <v>35.336340991665793</v>
      </c>
      <c r="L141" s="59">
        <f>VLOOKUP(A141,二级筛选!A:Q,12,0)/100</f>
        <v>4.1847262991302925E-2</v>
      </c>
      <c r="M141" s="63">
        <v>137</v>
      </c>
      <c r="N141" s="48">
        <f>VLOOKUP(A141,二级筛选!A:U,19,0)</f>
        <v>0.31571470489630926</v>
      </c>
      <c r="O141" s="65">
        <v>137</v>
      </c>
      <c r="P141" s="48">
        <f>VLOOKUP(A141,二级筛选!A:Z,24,0)</f>
        <v>1.6362419787000757</v>
      </c>
      <c r="Q141" s="67">
        <v>121</v>
      </c>
      <c r="R141" s="48">
        <f>VLOOKUP(A141,二级筛选!A:AE,29,0)</f>
        <v>0.68067226890756305</v>
      </c>
      <c r="S141" s="67">
        <v>170</v>
      </c>
      <c r="T141" s="50">
        <f>VLOOKUP(A141,二级筛选!A:AJ,34,0)</f>
        <v>-2.5575228808485151</v>
      </c>
      <c r="U141" s="66">
        <v>76</v>
      </c>
      <c r="V141" s="49">
        <f>VLOOKUP(A141,二级筛选!A:AR,39,0)/100</f>
        <v>7.6666459200340986E-2</v>
      </c>
      <c r="W141" s="66">
        <v>91</v>
      </c>
      <c r="X141" s="48">
        <f>VLOOKUP(A141,二级筛选!A:AV,46,0)</f>
        <v>1.0531567025374633</v>
      </c>
      <c r="Y141" s="66">
        <v>82</v>
      </c>
      <c r="Z141" s="48">
        <f>VLOOKUP(A141,二级筛选!A:BA,51,0)</f>
        <v>2.1595376530824675</v>
      </c>
      <c r="AA141" s="66">
        <v>103</v>
      </c>
      <c r="AB141" s="48">
        <f>VLOOKUP(A141,二级筛选!A:BF,56,0)</f>
        <v>1</v>
      </c>
      <c r="AC141" s="66">
        <v>99</v>
      </c>
      <c r="AD141" s="48">
        <f>VLOOKUP(A141,二级筛选!A:BK,61,0)</f>
        <v>-3.5501330153197044</v>
      </c>
      <c r="AE141" s="66">
        <v>114</v>
      </c>
      <c r="AF141">
        <f>(M141+O141+Q141+S141+U141)+(W141+Y141+AA141+AC141+AE141)*2</f>
        <v>1619</v>
      </c>
      <c r="AG141" s="69">
        <f>(W141+Y141+AE141)*2+(M141+O141+S141)</f>
        <v>1018</v>
      </c>
    </row>
    <row r="142" spans="1:33" x14ac:dyDescent="0.35">
      <c r="A142" s="43" t="s">
        <v>327</v>
      </c>
      <c r="B142" s="43" t="s">
        <v>328</v>
      </c>
      <c r="C142" s="44">
        <v>20170330</v>
      </c>
      <c r="D142" s="44" t="str">
        <f>[1]!f_info_regulopenfundornot(A142)</f>
        <v>否</v>
      </c>
      <c r="E142" s="44" t="str">
        <f>[1]!f_dq_status(A142,$E$1)</f>
        <v>开放申购|开放赎回</v>
      </c>
      <c r="F142" s="40" t="str">
        <f>[1]!f_info_fundmanager(A142)</f>
        <v>吴国清,李炳智,王旭巍</v>
      </c>
      <c r="G142" s="44">
        <v>20180209</v>
      </c>
      <c r="H142" s="45">
        <f>[1]!f_netasset_total(A142,$E$1,100000000)</f>
        <v>12.509841591800001</v>
      </c>
      <c r="I142" s="45">
        <f>[1]!f_prt_convertiblebondtonav(A142,$E$1)</f>
        <v>0</v>
      </c>
      <c r="J142" s="45">
        <f>[1]!f_prt_stocktonav(A142,$E$1)+0.5*I142</f>
        <v>13.127395629882813</v>
      </c>
      <c r="K142" s="46">
        <v>24.351067738513869</v>
      </c>
      <c r="L142" s="59">
        <f>VLOOKUP(A142,二级筛选!A:Q,12,0)/100</f>
        <v>4.3507347695208143E-2</v>
      </c>
      <c r="M142" s="63">
        <v>132</v>
      </c>
      <c r="N142" s="48">
        <f>VLOOKUP(A142,二级筛选!A:U,19,0)</f>
        <v>0.29201644032779184</v>
      </c>
      <c r="O142" s="65">
        <v>140</v>
      </c>
      <c r="P142" s="48">
        <f>VLOOKUP(A142,二级筛选!A:Z,24,0)</f>
        <v>1.0425618142041155</v>
      </c>
      <c r="Q142" s="67">
        <v>156</v>
      </c>
      <c r="R142" s="48">
        <f>VLOOKUP(A142,二级筛选!A:AE,29,0)</f>
        <v>0.97478991596638653</v>
      </c>
      <c r="S142" s="67">
        <v>100</v>
      </c>
      <c r="T142" s="50">
        <f>VLOOKUP(A142,二级筛选!A:AJ,34,0)</f>
        <v>-4.1731192436221489</v>
      </c>
      <c r="U142" s="66">
        <v>128</v>
      </c>
      <c r="V142" s="49">
        <f>VLOOKUP(A142,二级筛选!A:AR,39,0)/100</f>
        <v>4.8223677031366874E-2</v>
      </c>
      <c r="W142" s="66">
        <v>141</v>
      </c>
      <c r="X142" s="48">
        <f>VLOOKUP(A142,二级筛选!A:AV,46,0)</f>
        <v>0.58954204141636102</v>
      </c>
      <c r="Y142" s="66">
        <v>131</v>
      </c>
      <c r="Z142" s="48">
        <f>VLOOKUP(A142,二级筛选!A:BA,51,0)</f>
        <v>1.9753029398094748</v>
      </c>
      <c r="AA142" s="66">
        <v>112</v>
      </c>
      <c r="AB142" s="48">
        <f>VLOOKUP(A142,二级筛选!A:BF,56,0)</f>
        <v>1</v>
      </c>
      <c r="AC142" s="66">
        <v>106</v>
      </c>
      <c r="AD142" s="48">
        <f>VLOOKUP(A142,二级筛选!A:BK,61,0)</f>
        <v>-2.4413306971546462</v>
      </c>
      <c r="AE142" s="66">
        <v>57</v>
      </c>
      <c r="AF142">
        <f>(M142+O142+Q142+S142+U142)+(W142+Y142+AA142+AC142+AE142)*2</f>
        <v>1750</v>
      </c>
      <c r="AG142" s="69">
        <f>(W142+Y142+AE142+U142)+(M142+O142+S142+AC142)</f>
        <v>935</v>
      </c>
    </row>
    <row r="143" spans="1:33" x14ac:dyDescent="0.35">
      <c r="A143" s="43" t="s">
        <v>109</v>
      </c>
      <c r="B143" s="43" t="s">
        <v>110</v>
      </c>
      <c r="C143" s="44">
        <v>20120229</v>
      </c>
      <c r="D143" s="44" t="str">
        <f>[1]!f_info_regulopenfundornot(A143)</f>
        <v>否</v>
      </c>
      <c r="E143" s="44" t="str">
        <f>[1]!f_dq_status(A143,$E$1)</f>
        <v>开放申购|开放赎回</v>
      </c>
      <c r="F143" s="40" t="str">
        <f>[1]!f_info_fundmanager(A143)</f>
        <v>王衍胜,王申</v>
      </c>
      <c r="G143" s="44">
        <v>20180319</v>
      </c>
      <c r="H143" s="45">
        <f>[1]!f_netasset_total(A143,$E$1,100000000)</f>
        <v>14.988705746099999</v>
      </c>
      <c r="I143" s="45">
        <f>[1]!f_prt_convertiblebondtonav(A143,$E$1)</f>
        <v>12.19511604309082</v>
      </c>
      <c r="J143" s="45">
        <f>[1]!f_prt_stocktonav(A143,$E$1)+0.5*I143</f>
        <v>22.173418998718262</v>
      </c>
      <c r="K143" s="46">
        <v>6.7017127230038982</v>
      </c>
      <c r="L143" s="59">
        <f>VLOOKUP(A143,二级筛选!A:Q,12,0)/100</f>
        <v>-9.2831959667997177E-3</v>
      </c>
      <c r="M143" s="63">
        <v>190</v>
      </c>
      <c r="N143" s="48">
        <f>VLOOKUP(A143,二级筛选!A:U,19,0)</f>
        <v>-0.62462980102943411</v>
      </c>
      <c r="O143" s="65">
        <v>185</v>
      </c>
      <c r="P143" s="48">
        <f>VLOOKUP(A143,二级筛选!A:Z,24,0)</f>
        <v>-0.1620433429315821</v>
      </c>
      <c r="Q143" s="67">
        <v>190</v>
      </c>
      <c r="R143" s="48">
        <f>VLOOKUP(A143,二级筛选!A:AE,29,0)</f>
        <v>0.58823529411764708</v>
      </c>
      <c r="S143" s="67">
        <v>182</v>
      </c>
      <c r="T143" s="50">
        <f>VLOOKUP(A143,二级筛选!A:AJ,34,0)</f>
        <v>-5.7288351368554933</v>
      </c>
      <c r="U143" s="66">
        <v>168</v>
      </c>
      <c r="V143" s="49">
        <f>VLOOKUP(A143,二级筛选!A:AR,39,0)/100</f>
        <v>0.11736047110560686</v>
      </c>
      <c r="W143" s="66">
        <v>34</v>
      </c>
      <c r="X143" s="48">
        <f>VLOOKUP(A143,二级筛选!A:AV,46,0)</f>
        <v>1.5834630766851718</v>
      </c>
      <c r="Y143" s="66">
        <v>24</v>
      </c>
      <c r="Z143" s="48">
        <f>VLOOKUP(A143,二级筛选!A:BA,51,0)</f>
        <v>3.152545068664407</v>
      </c>
      <c r="AA143" s="66">
        <v>43</v>
      </c>
      <c r="AB143" s="48">
        <f>VLOOKUP(A143,二级筛选!A:BF,56,0)</f>
        <v>1</v>
      </c>
      <c r="AC143" s="66">
        <v>43</v>
      </c>
      <c r="AD143" s="48">
        <f>VLOOKUP(A143,二级筛选!A:BK,61,0)</f>
        <v>-3.7227214377406912</v>
      </c>
      <c r="AE143" s="66">
        <v>121</v>
      </c>
      <c r="AF143">
        <f>(M143+O143+Q143+S143+U143)+(W143+Y143+AA143+AC143+AE143)*2</f>
        <v>1445</v>
      </c>
      <c r="AG143" s="69">
        <f>(W143+Y143+AE143+U143)+(M143+O143+S143+AC143)</f>
        <v>947</v>
      </c>
    </row>
    <row r="144" spans="1:33" hidden="1" x14ac:dyDescent="0.35">
      <c r="A144" s="43" t="s">
        <v>31</v>
      </c>
      <c r="B144" s="43" t="s">
        <v>32</v>
      </c>
      <c r="C144" s="44">
        <v>20080515</v>
      </c>
      <c r="D144" s="44" t="str">
        <f>[1]!f_info_regulopenfundornot(A144)</f>
        <v>否</v>
      </c>
      <c r="E144" s="44" t="str">
        <f>[1]!f_dq_status(A144,$E$1)</f>
        <v>开放申购|开放赎回</v>
      </c>
      <c r="F144" s="40" t="str">
        <f>[1]!f_info_fundmanager(A144)</f>
        <v>高宇,邓栋,张仲维</v>
      </c>
      <c r="G144" s="44">
        <v>20171111</v>
      </c>
      <c r="H144" s="45">
        <f>[1]!f_netasset_total(A144,$E$1,100000000)</f>
        <v>3.8846884742000003</v>
      </c>
      <c r="I144" s="45">
        <f>[1]!f_prt_convertiblebondtonav(A144,$E$1)</f>
        <v>0</v>
      </c>
      <c r="J144" s="45">
        <f>[1]!f_prt_stocktonav(A144,$E$1)+0.5*I144</f>
        <v>10.818902969360352</v>
      </c>
      <c r="K144" s="46">
        <v>8.0400269435844578</v>
      </c>
      <c r="L144" s="59">
        <f>VLOOKUP(A144,二级筛选!A:Q,12,0)/100</f>
        <v>0.10180337238882009</v>
      </c>
      <c r="M144" s="63">
        <v>30</v>
      </c>
      <c r="N144" s="48">
        <f>VLOOKUP(A144,二级筛选!A:U,19,0)</f>
        <v>1.1505475677160077</v>
      </c>
      <c r="O144" s="65">
        <v>63</v>
      </c>
      <c r="P144" s="48">
        <f>VLOOKUP(A144,二级筛选!A:Z,24,0)</f>
        <v>1.7553994160512751</v>
      </c>
      <c r="Q144" s="67">
        <v>112</v>
      </c>
      <c r="R144" s="48">
        <f>VLOOKUP(A144,二级筛选!A:AE,29,0)</f>
        <v>0.96638655462184875</v>
      </c>
      <c r="S144" s="67">
        <v>104</v>
      </c>
      <c r="T144" s="50">
        <f>VLOOKUP(A144,二级筛选!A:AJ,34,0)</f>
        <v>-5.7994420789898689</v>
      </c>
      <c r="U144" s="66">
        <v>173</v>
      </c>
      <c r="V144" s="49">
        <f>VLOOKUP(A144,二级筛选!A:AR,39,0)/100</f>
        <v>7.1513604293125477E-2</v>
      </c>
      <c r="W144" s="66">
        <v>103</v>
      </c>
      <c r="X144" s="48">
        <f>VLOOKUP(A144,二级筛选!A:AV,46,0)</f>
        <v>0.51881740198131621</v>
      </c>
      <c r="Y144" s="66">
        <v>137</v>
      </c>
      <c r="Z144" s="48">
        <f>VLOOKUP(A144,二级筛选!A:BA,51,0)</f>
        <v>1.0842872538246413</v>
      </c>
      <c r="AA144" s="66">
        <v>163</v>
      </c>
      <c r="AB144" s="48">
        <f>VLOOKUP(A144,二级筛选!A:BF,56,0)</f>
        <v>0.96666666666666667</v>
      </c>
      <c r="AC144" s="66">
        <v>159</v>
      </c>
      <c r="AD144" s="48">
        <f>VLOOKUP(A144,二级筛选!A:BK,61,0)</f>
        <v>-6.5954482117974962</v>
      </c>
      <c r="AE144" s="66">
        <v>176</v>
      </c>
      <c r="AF144">
        <f>(M144+O144+Q144+S144+U144)+(W144+Y144+AA144+AC144+AE144)*2</f>
        <v>1958</v>
      </c>
      <c r="AG144" s="69">
        <f>(W144+Y144+AE144)*2+(M144+O144+S144)</f>
        <v>1029</v>
      </c>
    </row>
    <row r="145" spans="1:33" x14ac:dyDescent="0.35">
      <c r="A145" s="43" t="s">
        <v>33</v>
      </c>
      <c r="B145" s="43" t="s">
        <v>34</v>
      </c>
      <c r="C145" s="44">
        <v>20080528</v>
      </c>
      <c r="D145" s="44" t="str">
        <f>[1]!f_info_regulopenfundornot(A145)</f>
        <v>否</v>
      </c>
      <c r="E145" s="44" t="str">
        <f>[1]!f_dq_status(A145,$E$1)</f>
        <v>开放申购|开放赎回</v>
      </c>
      <c r="F145" s="40" t="str">
        <f>[1]!f_info_fundmanager(A145)</f>
        <v>刘太阳</v>
      </c>
      <c r="G145" s="44">
        <v>20160804</v>
      </c>
      <c r="H145" s="45">
        <f>[1]!f_netasset_total(A145,$E$1,100000000)</f>
        <v>27.8075567355</v>
      </c>
      <c r="I145" s="45">
        <f>[1]!f_prt_convertiblebondtonav(A145,$E$1)</f>
        <v>3.133962869644165</v>
      </c>
      <c r="J145" s="45">
        <f>[1]!f_prt_stocktonav(A145,$E$1)+0.5*I145</f>
        <v>16.560962796211243</v>
      </c>
      <c r="K145" s="46">
        <v>3.9530621494576068</v>
      </c>
      <c r="L145" s="59">
        <f>VLOOKUP(A145,二级筛选!A:Q,12,0)/100</f>
        <v>8.3732120924103773E-2</v>
      </c>
      <c r="M145" s="63">
        <v>49</v>
      </c>
      <c r="N145" s="48">
        <f>VLOOKUP(A145,二级筛选!A:U,19,0)</f>
        <v>0.65571344491350059</v>
      </c>
      <c r="O145" s="65">
        <v>109</v>
      </c>
      <c r="P145" s="48">
        <f>VLOOKUP(A145,二级筛选!A:Z,24,0)</f>
        <v>1.3938935424424357</v>
      </c>
      <c r="Q145" s="67">
        <v>134</v>
      </c>
      <c r="R145" s="48">
        <f>VLOOKUP(A145,二级筛选!A:AE,29,0)</f>
        <v>0.94957983193277307</v>
      </c>
      <c r="S145" s="67">
        <v>113</v>
      </c>
      <c r="T145" s="50">
        <f>VLOOKUP(A145,二级筛选!A:AJ,34,0)</f>
        <v>-6.0070671378091767</v>
      </c>
      <c r="U145" s="66">
        <v>175</v>
      </c>
      <c r="V145" s="49">
        <f>VLOOKUP(A145,二级筛选!A:AR,39,0)/100</f>
        <v>7.8192946667896335E-2</v>
      </c>
      <c r="W145" s="66">
        <v>89</v>
      </c>
      <c r="X145" s="48">
        <f>VLOOKUP(A145,二级筛选!A:AV,46,0)</f>
        <v>0.73934247210718484</v>
      </c>
      <c r="Y145" s="66">
        <v>116</v>
      </c>
      <c r="Z145" s="48">
        <f>VLOOKUP(A145,二级筛选!A:BA,51,0)</f>
        <v>1.2906250634098586</v>
      </c>
      <c r="AA145" s="66">
        <v>152</v>
      </c>
      <c r="AB145" s="48">
        <f>VLOOKUP(A145,二级筛选!A:BF,56,0)</f>
        <v>1</v>
      </c>
      <c r="AC145" s="66">
        <v>139</v>
      </c>
      <c r="AD145" s="48">
        <f>VLOOKUP(A145,二级筛选!A:BK,61,0)</f>
        <v>-6.0585331003342615</v>
      </c>
      <c r="AE145" s="66">
        <v>169</v>
      </c>
      <c r="AF145">
        <f>(M145+O145+Q145+S145+U145)+(W145+Y145+AA145+AC145+AE145)*2</f>
        <v>1910</v>
      </c>
      <c r="AG145" s="69">
        <f>(W145+Y145+AE145+U145)+(M145+O145+S145+AC145)</f>
        <v>959</v>
      </c>
    </row>
    <row r="146" spans="1:33" hidden="1" x14ac:dyDescent="0.35">
      <c r="A146" s="43" t="s">
        <v>187</v>
      </c>
      <c r="B146" s="43" t="s">
        <v>188</v>
      </c>
      <c r="C146" s="44">
        <v>20150128</v>
      </c>
      <c r="D146" s="44" t="str">
        <f>[1]!f_info_regulopenfundornot(A146)</f>
        <v>否</v>
      </c>
      <c r="E146" s="44" t="str">
        <f>[1]!f_dq_status(A146,$E$1)</f>
        <v>开放申购|开放赎回</v>
      </c>
      <c r="F146" s="40" t="str">
        <f>[1]!f_info_fundmanager(A146)</f>
        <v>张棪</v>
      </c>
      <c r="G146" s="44">
        <v>20170906</v>
      </c>
      <c r="H146" s="45">
        <f>[1]!f_netasset_total(A146,$E$1,100000000)</f>
        <v>0.84938603459999995</v>
      </c>
      <c r="I146" s="45">
        <f>[1]!f_prt_convertiblebondtonav(A146,$E$1)</f>
        <v>19.617918014526367</v>
      </c>
      <c r="J146" s="45">
        <f>[1]!f_prt_stocktonav(A146,$E$1)+0.5*I146</f>
        <v>28.635588645935059</v>
      </c>
      <c r="K146" s="46">
        <v>10.83288354785955</v>
      </c>
      <c r="L146" s="59">
        <f>VLOOKUP(A146,二级筛选!A:Q,12,0)/100</f>
        <v>4.6537242718278193E-2</v>
      </c>
      <c r="M146" s="63">
        <v>124</v>
      </c>
      <c r="N146" s="48">
        <f>VLOOKUP(A146,二级筛选!A:U,19,0)</f>
        <v>0.239515847473566</v>
      </c>
      <c r="O146" s="65">
        <v>146</v>
      </c>
      <c r="P146" s="48">
        <f>VLOOKUP(A146,二级筛选!A:Z,24,0)</f>
        <v>0.85802265641113484</v>
      </c>
      <c r="Q146" s="67">
        <v>166</v>
      </c>
      <c r="R146" s="48">
        <f>VLOOKUP(A146,二级筛选!A:AE,29,0)</f>
        <v>0.68067226890756305</v>
      </c>
      <c r="S146" s="67">
        <v>172</v>
      </c>
      <c r="T146" s="50">
        <f>VLOOKUP(A146,二级筛选!A:AJ,34,0)</f>
        <v>-5.4237778420595868</v>
      </c>
      <c r="U146" s="66">
        <v>164</v>
      </c>
      <c r="V146" s="49">
        <f>VLOOKUP(A146,二级筛选!A:AR,39,0)/100</f>
        <v>0.13481954516198913</v>
      </c>
      <c r="W146" s="66">
        <v>20</v>
      </c>
      <c r="X146" s="48">
        <f>VLOOKUP(A146,二级筛选!A:AV,46,0)</f>
        <v>0.79022630511521164</v>
      </c>
      <c r="Y146" s="66">
        <v>111</v>
      </c>
      <c r="Z146" s="48">
        <f>VLOOKUP(A146,二级筛选!A:BA,51,0)</f>
        <v>2.1538954379913742</v>
      </c>
      <c r="AA146" s="66">
        <v>104</v>
      </c>
      <c r="AB146" s="48">
        <f>VLOOKUP(A146,二级筛选!A:BF,56,0)</f>
        <v>1</v>
      </c>
      <c r="AC146" s="66">
        <v>100</v>
      </c>
      <c r="AD146" s="48">
        <f>VLOOKUP(A146,二级筛选!A:BK,61,0)</f>
        <v>-6.2593356568745868</v>
      </c>
      <c r="AE146" s="66">
        <v>170</v>
      </c>
      <c r="AF146">
        <f>(M146+O146+Q146+S146+U146)+(W146+Y146+AA146+AC146+AE146)*2</f>
        <v>1782</v>
      </c>
      <c r="AG146" s="69">
        <f>(W146+Y146+AE146)*2+(M146+O146+S146)</f>
        <v>1044</v>
      </c>
    </row>
    <row r="147" spans="1:33" hidden="1" x14ac:dyDescent="0.35">
      <c r="A147" s="43" t="s">
        <v>321</v>
      </c>
      <c r="B147" s="43" t="s">
        <v>322</v>
      </c>
      <c r="C147" s="44">
        <v>20170313</v>
      </c>
      <c r="D147" s="44" t="str">
        <f>[1]!f_info_regulopenfundornot(A147)</f>
        <v>否</v>
      </c>
      <c r="E147" s="44" t="str">
        <f>[1]!f_dq_status(A147,$E$1)</f>
        <v>暂停大额申购|开放赎回</v>
      </c>
      <c r="F147" s="40" t="str">
        <f>[1]!f_info_fundmanager(A147)</f>
        <v>刘明</v>
      </c>
      <c r="G147" s="44">
        <v>20181120</v>
      </c>
      <c r="H147" s="45">
        <f>[1]!f_netasset_total(A147,$E$1,100000000)</f>
        <v>8.2347418513000008</v>
      </c>
      <c r="I147" s="45">
        <f>[1]!f_prt_convertiblebondtonav(A147,$E$1)</f>
        <v>0</v>
      </c>
      <c r="J147" s="45">
        <f>[1]!f_prt_stocktonav(A147,$E$1)+0.5*I147</f>
        <v>0</v>
      </c>
      <c r="K147" s="46">
        <v>12.327648131917339</v>
      </c>
      <c r="L147" s="59">
        <f>VLOOKUP(A147,二级筛选!A:Q,12,0)/100</f>
        <v>4.0928409348417238E-2</v>
      </c>
      <c r="M147" s="63">
        <v>142</v>
      </c>
      <c r="N147" s="48">
        <f>VLOOKUP(A147,二级筛选!A:U,19,0)</f>
        <v>2.2285683040415885</v>
      </c>
      <c r="O147" s="65">
        <v>8</v>
      </c>
      <c r="P147" s="48">
        <f>VLOOKUP(A147,二级筛选!A:Z,24,0)</f>
        <v>16.387105435270779</v>
      </c>
      <c r="Q147" s="67">
        <v>4</v>
      </c>
      <c r="R147" s="48">
        <f>VLOOKUP(A147,二级筛选!A:AE,29,0)</f>
        <v>1</v>
      </c>
      <c r="S147" s="67">
        <v>4</v>
      </c>
      <c r="T147" s="50">
        <f>VLOOKUP(A147,二级筛选!A:AJ,34,0)</f>
        <v>-0.24975984630162318</v>
      </c>
      <c r="U147" s="66">
        <v>2</v>
      </c>
      <c r="V147" s="49">
        <f>VLOOKUP(A147,二级筛选!A:AR,39,0)/100</f>
        <v>2.1525243486953949E-2</v>
      </c>
      <c r="W147" s="66">
        <v>185</v>
      </c>
      <c r="X147" s="48">
        <f>VLOOKUP(A147,二级筛选!A:AV,46,0)</f>
        <v>-0.56026474756650224</v>
      </c>
      <c r="Y147" s="66">
        <v>184</v>
      </c>
      <c r="Z147" s="48">
        <f>VLOOKUP(A147,二级筛选!A:BA,51,0)</f>
        <v>0.78114366364380705</v>
      </c>
      <c r="AA147" s="66">
        <v>177</v>
      </c>
      <c r="AB147" s="48">
        <f>VLOOKUP(A147,二级筛选!A:BF,56,0)</f>
        <v>0.76666666666666672</v>
      </c>
      <c r="AC147" s="66">
        <v>185</v>
      </c>
      <c r="AD147" s="48">
        <f>VLOOKUP(A147,二级筛选!A:BK,61,0)</f>
        <v>-2.7556062333713331</v>
      </c>
      <c r="AE147" s="66">
        <v>76</v>
      </c>
      <c r="AF147">
        <f>(M147+O147+Q147+S147+U147)+(W147+Y147+AA147+AC147+AE147)*2</f>
        <v>1774</v>
      </c>
      <c r="AG147" s="69">
        <f>(W147+Y147+AE147)*2+(M147+O147+S147)</f>
        <v>1044</v>
      </c>
    </row>
    <row r="148" spans="1:33" hidden="1" x14ac:dyDescent="0.35">
      <c r="A148" s="43" t="s">
        <v>197</v>
      </c>
      <c r="B148" s="43" t="s">
        <v>198</v>
      </c>
      <c r="C148" s="44">
        <v>20150515</v>
      </c>
      <c r="D148" s="44" t="str">
        <f>[1]!f_info_regulopenfundornot(A148)</f>
        <v>否</v>
      </c>
      <c r="E148" s="44" t="str">
        <f>[1]!f_dq_status(A148,$E$1)</f>
        <v>开放申购|开放赎回</v>
      </c>
      <c r="F148" s="40" t="str">
        <f>[1]!f_info_fundmanager(A148)</f>
        <v>黄佳祥,黄弢</v>
      </c>
      <c r="G148" s="44">
        <v>20200821</v>
      </c>
      <c r="H148" s="45">
        <f>[1]!f_netasset_total(A148,$E$1,100000000)</f>
        <v>0.65873141120000001</v>
      </c>
      <c r="I148" s="45">
        <f>[1]!f_prt_convertiblebondtonav(A148,$E$1)</f>
        <v>1.5907924622297287E-2</v>
      </c>
      <c r="J148" s="45">
        <f>[1]!f_prt_stocktonav(A148,$E$1)+0.5*I148</f>
        <v>19.662885984405875</v>
      </c>
      <c r="K148" s="46">
        <v>23.212040203374471</v>
      </c>
      <c r="L148" s="59">
        <f>VLOOKUP(A148,二级筛选!A:Q,12,0)/100</f>
        <v>4.7319634890543583E-3</v>
      </c>
      <c r="M148" s="63">
        <v>186</v>
      </c>
      <c r="N148" s="48">
        <f>VLOOKUP(A148,二级筛选!A:U,19,0)</f>
        <v>-0.70113999614854894</v>
      </c>
      <c r="O148" s="65">
        <v>186</v>
      </c>
      <c r="P148" s="48">
        <f>VLOOKUP(A148,二级筛选!A:Z,24,0)</f>
        <v>0.17668917990919647</v>
      </c>
      <c r="Q148" s="67">
        <v>186</v>
      </c>
      <c r="R148" s="48">
        <f>VLOOKUP(A148,二级筛选!A:AE,29,0)</f>
        <v>0.68907563025210083</v>
      </c>
      <c r="S148" s="67">
        <v>169</v>
      </c>
      <c r="T148" s="50">
        <f>VLOOKUP(A148,二级筛选!A:AJ,34,0)</f>
        <v>-2.6781286163002136</v>
      </c>
      <c r="U148" s="66">
        <v>80</v>
      </c>
      <c r="V148" s="49">
        <f>VLOOKUP(A148,二级筛选!A:AR,39,0)/100</f>
        <v>4.3610866807739956E-2</v>
      </c>
      <c r="W148" s="66">
        <v>148</v>
      </c>
      <c r="X148" s="48">
        <f>VLOOKUP(A148,二级筛选!A:AV,46,0)</f>
        <v>0.91745430829096664</v>
      </c>
      <c r="Y148" s="66">
        <v>94</v>
      </c>
      <c r="Z148" s="48">
        <f>VLOOKUP(A148,二级筛选!A:BA,51,0)</f>
        <v>3.0708243491840714</v>
      </c>
      <c r="AA148" s="66">
        <v>46</v>
      </c>
      <c r="AB148" s="48">
        <f>VLOOKUP(A148,二级筛选!A:BF,56,0)</f>
        <v>1</v>
      </c>
      <c r="AC148" s="66">
        <v>46</v>
      </c>
      <c r="AD148" s="48">
        <f>VLOOKUP(A148,二级筛选!A:BK,61,0)</f>
        <v>-1.4201680672268837</v>
      </c>
      <c r="AE148" s="66">
        <v>15</v>
      </c>
      <c r="AF148">
        <f>(M148+O148+Q148+S148+U148)+(W148+Y148+AA148+AC148+AE148)*2</f>
        <v>1505</v>
      </c>
      <c r="AG148" s="69">
        <f>(W148+Y148+AE148)*2+(M148+O148+S148)</f>
        <v>1055</v>
      </c>
    </row>
    <row r="149" spans="1:33" hidden="1" x14ac:dyDescent="0.35">
      <c r="A149" s="43" t="s">
        <v>323</v>
      </c>
      <c r="B149" s="43" t="s">
        <v>324</v>
      </c>
      <c r="C149" s="44">
        <v>20170323</v>
      </c>
      <c r="D149" s="44" t="str">
        <f>[1]!f_info_regulopenfundornot(A149)</f>
        <v>否</v>
      </c>
      <c r="E149" s="44" t="str">
        <f>[1]!f_dq_status(A149,$E$1)</f>
        <v>开放申购|开放赎回</v>
      </c>
      <c r="F149" s="40" t="str">
        <f>[1]!f_info_fundmanager(A149)</f>
        <v>陶尹斌,丁宇佳</v>
      </c>
      <c r="G149" s="44">
        <v>20190909</v>
      </c>
      <c r="H149" s="45">
        <f>[1]!f_netasset_total(A149,$E$1,100000000)</f>
        <v>3.1569956374000001</v>
      </c>
      <c r="I149" s="45">
        <f>[1]!f_prt_convertiblebondtonav(A149,$E$1)</f>
        <v>0.89663523435592651</v>
      </c>
      <c r="J149" s="45">
        <f>[1]!f_prt_stocktonav(A149,$E$1)+0.5*I149</f>
        <v>12.781216710805893</v>
      </c>
      <c r="K149" s="46">
        <v>19.127045753452581</v>
      </c>
      <c r="L149" s="59">
        <f>VLOOKUP(A149,二级筛选!A:Q,12,0)/100</f>
        <v>2.9446763997904579E-3</v>
      </c>
      <c r="M149" s="63">
        <v>187</v>
      </c>
      <c r="N149" s="48">
        <f>VLOOKUP(A149,二级筛选!A:U,19,0)</f>
        <v>-0.89554057703875678</v>
      </c>
      <c r="O149" s="65">
        <v>188</v>
      </c>
      <c r="P149" s="48">
        <f>VLOOKUP(A149,二级筛选!A:Z,24,0)</f>
        <v>8.8773332640742122E-2</v>
      </c>
      <c r="Q149" s="67">
        <v>187</v>
      </c>
      <c r="R149" s="48">
        <f>VLOOKUP(A149,二级筛选!A:AE,29,0)</f>
        <v>0.21008403361344541</v>
      </c>
      <c r="S149" s="67">
        <v>192</v>
      </c>
      <c r="T149" s="50">
        <f>VLOOKUP(A149,二级筛选!A:AJ,34,0)</f>
        <v>-3.3170731707316934</v>
      </c>
      <c r="U149" s="66">
        <v>108</v>
      </c>
      <c r="V149" s="49">
        <f>VLOOKUP(A149,二级筛选!A:AR,39,0)/100</f>
        <v>4.0769463983695742E-2</v>
      </c>
      <c r="W149" s="66">
        <v>151</v>
      </c>
      <c r="X149" s="48">
        <f>VLOOKUP(A149,二级筛选!A:AV,46,0)</f>
        <v>0.95778679493290275</v>
      </c>
      <c r="Y149" s="66">
        <v>90</v>
      </c>
      <c r="Z149" s="48">
        <f>VLOOKUP(A149,二级筛选!A:BA,51,0)</f>
        <v>3.6135639599979119</v>
      </c>
      <c r="AA149" s="66">
        <v>28</v>
      </c>
      <c r="AB149" s="48">
        <f>VLOOKUP(A149,二级筛选!A:BF,56,0)</f>
        <v>1</v>
      </c>
      <c r="AC149" s="66">
        <v>28</v>
      </c>
      <c r="AD149" s="48">
        <f>VLOOKUP(A149,二级筛选!A:BK,61,0)</f>
        <v>-1.1282341874950319</v>
      </c>
      <c r="AE149" s="66">
        <v>7</v>
      </c>
      <c r="AF149">
        <f>(M149+O149+Q149+S149+U149)+(W149+Y149+AA149+AC149+AE149)*2</f>
        <v>1470</v>
      </c>
      <c r="AG149" s="69">
        <f>(W149+Y149+AE149)*2+(M149+O149+S149)</f>
        <v>1063</v>
      </c>
    </row>
    <row r="150" spans="1:33" hidden="1" x14ac:dyDescent="0.35">
      <c r="A150" s="43" t="s">
        <v>231</v>
      </c>
      <c r="B150" s="43" t="s">
        <v>232</v>
      </c>
      <c r="C150" s="44">
        <v>20160511</v>
      </c>
      <c r="D150" s="44" t="str">
        <f>[1]!f_info_regulopenfundornot(A150)</f>
        <v>否</v>
      </c>
      <c r="E150" s="44" t="str">
        <f>[1]!f_dq_status(A150,$E$1)</f>
        <v>开放申购|开放赎回</v>
      </c>
      <c r="F150" s="40" t="str">
        <f>[1]!f_info_fundmanager(A150)</f>
        <v>曾刚</v>
      </c>
      <c r="G150" s="44">
        <v>20210408</v>
      </c>
      <c r="H150" s="45">
        <f>[1]!f_netasset_total(A150,$E$1,100000000)</f>
        <v>6.5253700020000007</v>
      </c>
      <c r="I150" s="45">
        <f>[1]!f_prt_convertiblebondtonav(A150,$E$1)</f>
        <v>3.8065590858459473</v>
      </c>
      <c r="J150" s="45">
        <f>[1]!f_prt_stocktonav(A150,$E$1)+0.5*I150</f>
        <v>8.97664475440979</v>
      </c>
      <c r="K150" s="46">
        <v>20.03595197819098</v>
      </c>
      <c r="L150" s="59">
        <f>VLOOKUP(A150,二级筛选!A:Q,12,0)/100</f>
        <v>5.9753660446601353E-2</v>
      </c>
      <c r="M150" s="63">
        <v>93</v>
      </c>
      <c r="N150" s="48">
        <f>VLOOKUP(A150,二级筛选!A:U,19,0)</f>
        <v>0.67702619691994448</v>
      </c>
      <c r="O150" s="65">
        <v>107</v>
      </c>
      <c r="P150" s="48">
        <f>VLOOKUP(A150,二级筛选!A:Z,24,0)</f>
        <v>2.0362208906034192</v>
      </c>
      <c r="Q150" s="67">
        <v>95</v>
      </c>
      <c r="R150" s="48">
        <f>VLOOKUP(A150,二级筛选!A:AE,29,0)</f>
        <v>0.92436974789915971</v>
      </c>
      <c r="S150" s="67">
        <v>123</v>
      </c>
      <c r="T150" s="50">
        <f>VLOOKUP(A150,二级筛选!A:AJ,34,0)</f>
        <v>-2.9345372460496559</v>
      </c>
      <c r="U150" s="66">
        <v>90</v>
      </c>
      <c r="V150" s="49">
        <f>VLOOKUP(A150,二级筛选!A:AR,39,0)/100</f>
        <v>7.4825777284729833E-2</v>
      </c>
      <c r="W150" s="66">
        <v>95</v>
      </c>
      <c r="X150" s="48">
        <f>VLOOKUP(A150,二级筛选!A:AV,46,0)</f>
        <v>0.58341844571175971</v>
      </c>
      <c r="Y150" s="66">
        <v>132</v>
      </c>
      <c r="Z150" s="48">
        <f>VLOOKUP(A150,二级筛选!A:BA,51,0)</f>
        <v>1.7103034807938233</v>
      </c>
      <c r="AA150" s="66">
        <v>130</v>
      </c>
      <c r="AB150" s="48">
        <f>VLOOKUP(A150,二级筛选!A:BF,56,0)</f>
        <v>1</v>
      </c>
      <c r="AC150" s="66">
        <v>122</v>
      </c>
      <c r="AD150" s="48">
        <f>VLOOKUP(A150,二级筛选!A:BK,61,0)</f>
        <v>-4.3750000000000036</v>
      </c>
      <c r="AE150" s="66">
        <v>144</v>
      </c>
      <c r="AF150">
        <f>(M150+O150+Q150+S150+U150)+(W150+Y150+AA150+AC150+AE150)*2</f>
        <v>1754</v>
      </c>
      <c r="AG150" s="69">
        <f>(W150+Y150+AE150)*2+(M150+O150+S150)</f>
        <v>1065</v>
      </c>
    </row>
    <row r="151" spans="1:33" hidden="1" x14ac:dyDescent="0.35">
      <c r="A151" s="43" t="s">
        <v>309</v>
      </c>
      <c r="B151" s="43" t="s">
        <v>310</v>
      </c>
      <c r="C151" s="44">
        <v>20161230</v>
      </c>
      <c r="D151" s="44" t="str">
        <f>[1]!f_info_regulopenfundornot(A151)</f>
        <v>否</v>
      </c>
      <c r="E151" s="44" t="str">
        <f>[1]!f_dq_status(A151,$E$1)</f>
        <v>开放申购|开放赎回</v>
      </c>
      <c r="F151" s="40" t="str">
        <f>[1]!f_info_fundmanager(A151)</f>
        <v>唐赟</v>
      </c>
      <c r="G151" s="44">
        <v>20200714</v>
      </c>
      <c r="H151" s="45">
        <f>[1]!f_netasset_total(A151,$E$1,100000000)</f>
        <v>0.1292483995</v>
      </c>
      <c r="I151" s="45">
        <f>[1]!f_prt_convertiblebondtonav(A151,$E$1)</f>
        <v>0</v>
      </c>
      <c r="J151" s="45">
        <f>[1]!f_prt_stocktonav(A151,$E$1)+0.5*I151</f>
        <v>11.354643821716309</v>
      </c>
      <c r="K151" s="46">
        <v>0</v>
      </c>
      <c r="L151" s="59">
        <f>VLOOKUP(A151,二级筛选!A:Q,12,0)/100</f>
        <v>1.7434337055417748E-2</v>
      </c>
      <c r="M151" s="63">
        <v>176</v>
      </c>
      <c r="N151" s="48">
        <f>VLOOKUP(A151,二级筛选!A:U,19,0)</f>
        <v>-0.28214227013657223</v>
      </c>
      <c r="O151" s="65">
        <v>176</v>
      </c>
      <c r="P151" s="48">
        <f>VLOOKUP(A151,二级筛选!A:Z,24,0)</f>
        <v>0.37583449452322054</v>
      </c>
      <c r="Q151" s="67">
        <v>181</v>
      </c>
      <c r="R151" s="48">
        <f>VLOOKUP(A151,二级筛选!A:AE,29,0)</f>
        <v>0.6470588235294118</v>
      </c>
      <c r="S151" s="67">
        <v>175</v>
      </c>
      <c r="T151" s="50">
        <f>VLOOKUP(A151,二级筛选!A:AJ,34,0)</f>
        <v>-4.638833664678585</v>
      </c>
      <c r="U151" s="66">
        <v>146</v>
      </c>
      <c r="V151" s="49">
        <f>VLOOKUP(A151,二级筛选!A:AR,39,0)/100</f>
        <v>5.7284330624956414E-2</v>
      </c>
      <c r="W151" s="66">
        <v>126</v>
      </c>
      <c r="X151" s="48">
        <f>VLOOKUP(A151,二级筛选!A:AV,46,0)</f>
        <v>0.84791314284872998</v>
      </c>
      <c r="Y151" s="66">
        <v>104</v>
      </c>
      <c r="Z151" s="48">
        <f>VLOOKUP(A151,二级筛选!A:BA,51,0)</f>
        <v>2.6997550659051917</v>
      </c>
      <c r="AA151" s="66">
        <v>68</v>
      </c>
      <c r="AB151" s="48">
        <f>VLOOKUP(A151,二级筛选!A:BF,56,0)</f>
        <v>1</v>
      </c>
      <c r="AC151" s="66">
        <v>66</v>
      </c>
      <c r="AD151" s="48">
        <f>VLOOKUP(A151,二级筛选!A:BK,61,0)</f>
        <v>-2.1218343600273881</v>
      </c>
      <c r="AE151" s="66">
        <v>40</v>
      </c>
      <c r="AF151">
        <f>(M151+O151+Q151+S151+U151)+(W151+Y151+AA151+AC151+AE151)*2</f>
        <v>1662</v>
      </c>
      <c r="AG151" s="69">
        <f>(W151+Y151+AE151)*2+(M151+O151+S151)</f>
        <v>1067</v>
      </c>
    </row>
    <row r="152" spans="1:33" x14ac:dyDescent="0.35">
      <c r="A152" s="43" t="s">
        <v>69</v>
      </c>
      <c r="B152" s="43" t="s">
        <v>70</v>
      </c>
      <c r="C152" s="44">
        <v>20100727</v>
      </c>
      <c r="D152" s="44" t="str">
        <f>[1]!f_info_regulopenfundornot(A152)</f>
        <v>否</v>
      </c>
      <c r="E152" s="44" t="str">
        <f>[1]!f_dq_status(A152,$E$1)</f>
        <v>开放申购|开放赎回</v>
      </c>
      <c r="F152" s="40" t="str">
        <f>[1]!f_info_fundmanager(A152)</f>
        <v>王申,王衍胜</v>
      </c>
      <c r="G152" s="44">
        <v>20150522</v>
      </c>
      <c r="H152" s="45">
        <f>[1]!f_netasset_total(A152,$E$1,100000000)</f>
        <v>21.595035079200002</v>
      </c>
      <c r="I152" s="45">
        <f>[1]!f_prt_convertiblebondtonav(A152,$E$1)</f>
        <v>0.13666696846485138</v>
      </c>
      <c r="J152" s="45">
        <f>[1]!f_prt_stocktonav(A152,$E$1)+0.5*I152</f>
        <v>18.754465915262699</v>
      </c>
      <c r="K152" s="46">
        <v>10.177293030271001</v>
      </c>
      <c r="L152" s="59">
        <f>VLOOKUP(A152,二级筛选!A:Q,12,0)/100</f>
        <v>-9.6187873628171827E-3</v>
      </c>
      <c r="M152" s="63">
        <v>191</v>
      </c>
      <c r="N152" s="48">
        <f>VLOOKUP(A152,二级筛选!A:U,19,0)</f>
        <v>-0.60542313627060107</v>
      </c>
      <c r="O152" s="65">
        <v>184</v>
      </c>
      <c r="P152" s="48">
        <f>VLOOKUP(A152,二级筛选!A:Z,24,0)</f>
        <v>-0.14843307656726312</v>
      </c>
      <c r="Q152" s="67">
        <v>189</v>
      </c>
      <c r="R152" s="48">
        <f>VLOOKUP(A152,二级筛选!A:AE,29,0)</f>
        <v>0.48739495798319332</v>
      </c>
      <c r="S152" s="67">
        <v>185</v>
      </c>
      <c r="T152" s="50">
        <f>VLOOKUP(A152,二级筛选!A:AJ,34,0)</f>
        <v>-6.4802182810368318</v>
      </c>
      <c r="U152" s="66">
        <v>184</v>
      </c>
      <c r="V152" s="49">
        <f>VLOOKUP(A152,二级筛选!A:AR,39,0)/100</f>
        <v>0.12146658888173721</v>
      </c>
      <c r="W152" s="66">
        <v>30</v>
      </c>
      <c r="X152" s="48">
        <f>VLOOKUP(A152,二级筛选!A:AV,46,0)</f>
        <v>1.4927008458823858</v>
      </c>
      <c r="Y152" s="66">
        <v>31</v>
      </c>
      <c r="Z152" s="48">
        <f>VLOOKUP(A152,二级筛选!A:BA,51,0)</f>
        <v>3.1057750226140661</v>
      </c>
      <c r="AA152" s="66">
        <v>45</v>
      </c>
      <c r="AB152" s="48">
        <f>VLOOKUP(A152,二级筛选!A:BF,56,0)</f>
        <v>1</v>
      </c>
      <c r="AC152" s="66">
        <v>45</v>
      </c>
      <c r="AD152" s="48">
        <f>VLOOKUP(A152,二级筛选!A:BK,61,0)</f>
        <v>-3.9109912339851753</v>
      </c>
      <c r="AE152" s="66">
        <v>126</v>
      </c>
      <c r="AF152">
        <f>(M152+O152+Q152+S152+U152)+(W152+Y152+AA152+AC152+AE152)*2</f>
        <v>1487</v>
      </c>
      <c r="AG152" s="69">
        <f>(W152+Y152+AE152+U152)+(M152+O152+S152+AC152)</f>
        <v>976</v>
      </c>
    </row>
    <row r="153" spans="1:33" hidden="1" x14ac:dyDescent="0.35">
      <c r="A153" s="43" t="s">
        <v>105</v>
      </c>
      <c r="B153" s="43" t="s">
        <v>106</v>
      </c>
      <c r="C153" s="44">
        <v>20110926</v>
      </c>
      <c r="D153" s="44" t="str">
        <f>[1]!f_info_regulopenfundornot(A153)</f>
        <v>否</v>
      </c>
      <c r="E153" s="44" t="str">
        <f>[1]!f_dq_status(A153,$E$1)</f>
        <v>开放申购|开放赎回</v>
      </c>
      <c r="F153" s="40" t="str">
        <f>[1]!f_info_fundmanager(A153)</f>
        <v>唐赟</v>
      </c>
      <c r="G153" s="44">
        <v>20151107</v>
      </c>
      <c r="H153" s="45">
        <f>[1]!f_netasset_total(A153,$E$1,100000000)</f>
        <v>0.47259792850000004</v>
      </c>
      <c r="I153" s="45">
        <f>[1]!f_prt_convertiblebondtonav(A153,$E$1)</f>
        <v>16.622848510742188</v>
      </c>
      <c r="J153" s="45">
        <f>[1]!f_prt_stocktonav(A153,$E$1)+0.5*I153</f>
        <v>9.9978978633880615</v>
      </c>
      <c r="K153" s="46">
        <v>0</v>
      </c>
      <c r="L153" s="59">
        <f>VLOOKUP(A153,二级筛选!A:Q,12,0)/100</f>
        <v>4.5882290806567472E-2</v>
      </c>
      <c r="M153" s="63">
        <v>127</v>
      </c>
      <c r="N153" s="48">
        <f>VLOOKUP(A153,二级筛选!A:U,19,0)</f>
        <v>0.37577759935578964</v>
      </c>
      <c r="O153" s="65">
        <v>131</v>
      </c>
      <c r="P153" s="48">
        <f>VLOOKUP(A153,二级筛选!A:Z,24,0)</f>
        <v>1.3643172499194827</v>
      </c>
      <c r="Q153" s="67">
        <v>138</v>
      </c>
      <c r="R153" s="48">
        <f>VLOOKUP(A153,二级筛选!A:AE,29,0)</f>
        <v>0.76470588235294112</v>
      </c>
      <c r="S153" s="67">
        <v>156</v>
      </c>
      <c r="T153" s="50">
        <f>VLOOKUP(A153,二级筛选!A:AJ,34,0)</f>
        <v>-3.3630221130221205</v>
      </c>
      <c r="U153" s="66">
        <v>109</v>
      </c>
      <c r="V153" s="49">
        <f>VLOOKUP(A153,二级筛选!A:AR,39,0)/100</f>
        <v>6.8980070044185604E-2</v>
      </c>
      <c r="W153" s="66">
        <v>105</v>
      </c>
      <c r="X153" s="48">
        <f>VLOOKUP(A153,二级筛选!A:AV,46,0)</f>
        <v>0.8636907332944066</v>
      </c>
      <c r="Y153" s="66">
        <v>99</v>
      </c>
      <c r="Z153" s="48">
        <f>VLOOKUP(A153,二级筛选!A:BA,51,0)</f>
        <v>1.8195530287245751</v>
      </c>
      <c r="AA153" s="66">
        <v>127</v>
      </c>
      <c r="AB153" s="48">
        <f>VLOOKUP(A153,二级筛选!A:BF,56,0)</f>
        <v>1</v>
      </c>
      <c r="AC153" s="66">
        <v>119</v>
      </c>
      <c r="AD153" s="48">
        <f>VLOOKUP(A153,二级筛选!A:BK,61,0)</f>
        <v>-3.7910447761194148</v>
      </c>
      <c r="AE153" s="66">
        <v>124</v>
      </c>
      <c r="AF153">
        <f>(M153+O153+Q153+S153+U153)+(W153+Y153+AA153+AC153+AE153)*2</f>
        <v>1809</v>
      </c>
      <c r="AG153" s="69">
        <f>(W153+Y153+AE153)*2+(M153+O153+S153)</f>
        <v>1070</v>
      </c>
    </row>
    <row r="154" spans="1:33" hidden="1" x14ac:dyDescent="0.35">
      <c r="A154" s="43" t="s">
        <v>293</v>
      </c>
      <c r="B154" s="43" t="s">
        <v>294</v>
      </c>
      <c r="C154" s="44">
        <v>20161108</v>
      </c>
      <c r="D154" s="44" t="str">
        <f>[1]!f_info_regulopenfundornot(A154)</f>
        <v>是</v>
      </c>
      <c r="E154" s="44" t="str">
        <f>[1]!f_dq_status(A154,$E$1)</f>
        <v>暂停申购|暂停赎回</v>
      </c>
      <c r="F154" s="40" t="str">
        <f>[1]!f_info_fundmanager(A154)</f>
        <v>王立</v>
      </c>
      <c r="G154" s="44">
        <v>20201216</v>
      </c>
      <c r="H154" s="45">
        <f>[1]!f_netasset_total(A154,$E$1,100000000)</f>
        <v>1.3116538809</v>
      </c>
      <c r="I154" s="45">
        <f>[1]!f_prt_convertiblebondtonav(A154,$E$1)</f>
        <v>1.8681856393814087</v>
      </c>
      <c r="J154" s="45">
        <f>[1]!f_prt_stocktonav(A154,$E$1)+0.5*I154</f>
        <v>15.248957931995392</v>
      </c>
      <c r="K154" s="46">
        <v>35.779256009061378</v>
      </c>
      <c r="L154" s="59">
        <f>VLOOKUP(A154,二级筛选!A:Q,12,0)/100</f>
        <v>7.049252730882527E-2</v>
      </c>
      <c r="M154" s="63">
        <v>74</v>
      </c>
      <c r="N154" s="48">
        <f>VLOOKUP(A154,二级筛选!A:U,19,0)</f>
        <v>0.96779032410906718</v>
      </c>
      <c r="O154" s="65">
        <v>76</v>
      </c>
      <c r="P154" s="48">
        <f>VLOOKUP(A154,二级筛选!A:Z,24,0)</f>
        <v>2.8503063889070193</v>
      </c>
      <c r="Q154" s="67">
        <v>65</v>
      </c>
      <c r="R154" s="48">
        <f>VLOOKUP(A154,二级筛选!A:AE,29,0)</f>
        <v>0.95798319327731096</v>
      </c>
      <c r="S154" s="67">
        <v>108</v>
      </c>
      <c r="T154" s="50">
        <f>VLOOKUP(A154,二级筛选!A:AJ,34,0)</f>
        <v>-2.4731561344833666</v>
      </c>
      <c r="U154" s="66">
        <v>75</v>
      </c>
      <c r="V154" s="49">
        <f>VLOOKUP(A154,二级筛选!A:AR,39,0)/100</f>
        <v>5.2563287588629715E-2</v>
      </c>
      <c r="W154" s="66">
        <v>134</v>
      </c>
      <c r="X154" s="48">
        <f>VLOOKUP(A154,二级筛选!A:AV,46,0)</f>
        <v>0.41584788197549999</v>
      </c>
      <c r="Y154" s="66">
        <v>144</v>
      </c>
      <c r="Z154" s="48">
        <f>VLOOKUP(A154,二级筛选!A:BA,51,0)</f>
        <v>1.3149222422571183</v>
      </c>
      <c r="AA154" s="66">
        <v>151</v>
      </c>
      <c r="AB154" s="48">
        <f>VLOOKUP(A154,二级筛选!A:BF,56,0)</f>
        <v>1</v>
      </c>
      <c r="AC154" s="66">
        <v>138</v>
      </c>
      <c r="AD154" s="48">
        <f>VLOOKUP(A154,二级筛选!A:BK,61,0)</f>
        <v>-3.9974445559915894</v>
      </c>
      <c r="AE154" s="66">
        <v>129</v>
      </c>
      <c r="AF154">
        <f>(M154+O154+Q154+S154+U154)+(W154+Y154+AA154+AC154+AE154)*2</f>
        <v>1790</v>
      </c>
      <c r="AG154" s="69">
        <f>(W154+Y154+AE154)*2+(M154+O154+S154)</f>
        <v>1072</v>
      </c>
    </row>
    <row r="155" spans="1:33" hidden="1" x14ac:dyDescent="0.35">
      <c r="A155" s="43" t="s">
        <v>167</v>
      </c>
      <c r="B155" s="43" t="s">
        <v>168</v>
      </c>
      <c r="C155" s="44">
        <v>20131211</v>
      </c>
      <c r="D155" s="44" t="str">
        <f>[1]!f_info_regulopenfundornot(A155)</f>
        <v>否</v>
      </c>
      <c r="E155" s="44" t="str">
        <f>[1]!f_dq_status(A155,$E$1)</f>
        <v>开放申购|开放赎回</v>
      </c>
      <c r="F155" s="40" t="str">
        <f>[1]!f_info_fundmanager(A155)</f>
        <v>陈圆明,唐瑭</v>
      </c>
      <c r="G155" s="44">
        <v>20210924</v>
      </c>
      <c r="H155" s="45">
        <f>[1]!f_netasset_total(A155,$E$1,100000000)</f>
        <v>0.12479120619999999</v>
      </c>
      <c r="I155" s="45">
        <f>[1]!f_prt_convertiblebondtonav(A155,$E$1)</f>
        <v>23.733152389526367</v>
      </c>
      <c r="J155" s="45">
        <f>[1]!f_prt_stocktonav(A155,$E$1)+0.5*I155</f>
        <v>17.488871574401855</v>
      </c>
      <c r="K155" s="46">
        <v>40.815912876399473</v>
      </c>
      <c r="L155" s="59">
        <f>VLOOKUP(A155,二级筛选!A:Q,12,0)/100</f>
        <v>-2.5251022484421126E-2</v>
      </c>
      <c r="M155" s="63">
        <v>194</v>
      </c>
      <c r="N155" s="48">
        <f>VLOOKUP(A155,二级筛选!A:U,19,0)</f>
        <v>-1.0220860721977423</v>
      </c>
      <c r="O155" s="65">
        <v>192</v>
      </c>
      <c r="P155" s="48">
        <f>VLOOKUP(A155,二级筛选!A:Z,24,0)</f>
        <v>-0.44419389790344554</v>
      </c>
      <c r="Q155" s="67">
        <v>194</v>
      </c>
      <c r="R155" s="48">
        <f>VLOOKUP(A155,二级筛选!A:AE,29,0)</f>
        <v>0.1260504201680672</v>
      </c>
      <c r="S155" s="67">
        <v>194</v>
      </c>
      <c r="T155" s="50">
        <f>VLOOKUP(A155,二级筛选!A:AJ,34,0)</f>
        <v>-5.6846846846846919</v>
      </c>
      <c r="U155" s="66">
        <v>167</v>
      </c>
      <c r="V155" s="49">
        <f>VLOOKUP(A155,二级筛选!A:AR,39,0)/100</f>
        <v>6.7135818105821699E-2</v>
      </c>
      <c r="W155" s="66">
        <v>110</v>
      </c>
      <c r="X155" s="48">
        <f>VLOOKUP(A155,二级筛选!A:AV,46,0)</f>
        <v>0.89777073143406416</v>
      </c>
      <c r="Y155" s="66">
        <v>95</v>
      </c>
      <c r="Z155" s="48">
        <f>VLOOKUP(A155,二级筛选!A:BA,51,0)</f>
        <v>2.8122448250994223</v>
      </c>
      <c r="AA155" s="66">
        <v>60</v>
      </c>
      <c r="AB155" s="48">
        <f>VLOOKUP(A155,二级筛选!A:BF,56,0)</f>
        <v>1</v>
      </c>
      <c r="AC155" s="66">
        <v>58</v>
      </c>
      <c r="AD155" s="48">
        <f>VLOOKUP(A155,二级筛选!A:BK,61,0)</f>
        <v>-2.3872679045092817</v>
      </c>
      <c r="AE155" s="66">
        <v>53</v>
      </c>
      <c r="AF155">
        <f>(M155+O155+Q155+S155+U155)+(W155+Y155+AA155+AC155+AE155)*2</f>
        <v>1693</v>
      </c>
      <c r="AG155" s="69">
        <f>(W155+Y155+AE155)*2+(M155+O155+S155)</f>
        <v>1096</v>
      </c>
    </row>
    <row r="156" spans="1:33" x14ac:dyDescent="0.35">
      <c r="A156" s="43" t="s">
        <v>237</v>
      </c>
      <c r="B156" s="43" t="s">
        <v>238</v>
      </c>
      <c r="C156" s="44">
        <v>20160525</v>
      </c>
      <c r="D156" s="44" t="str">
        <f>[1]!f_info_regulopenfundornot(A156)</f>
        <v>否</v>
      </c>
      <c r="E156" s="44" t="str">
        <f>[1]!f_dq_status(A156,$E$1)</f>
        <v>开放申购|开放赎回</v>
      </c>
      <c r="F156" s="40" t="str">
        <f>[1]!f_info_fundmanager(A156)</f>
        <v>李永兴,乔嘉麒</v>
      </c>
      <c r="G156" s="44">
        <v>20171201</v>
      </c>
      <c r="H156" s="45">
        <f>[1]!f_netasset_total(A156,$E$1,100000000)</f>
        <v>37.416196148000004</v>
      </c>
      <c r="I156" s="45">
        <f>[1]!f_prt_convertiblebondtonav(A156,$E$1)</f>
        <v>4.7801867127418518E-2</v>
      </c>
      <c r="J156" s="45">
        <f>[1]!f_prt_stocktonav(A156,$E$1)+0.5*I156</f>
        <v>19.593309350311756</v>
      </c>
      <c r="K156" s="46">
        <v>9.1544046499314931</v>
      </c>
      <c r="L156" s="59">
        <f>VLOOKUP(A156,二级筛选!A:Q,12,0)/100</f>
        <v>4.0744223954689351E-2</v>
      </c>
      <c r="M156" s="63">
        <v>143</v>
      </c>
      <c r="N156" s="48">
        <f>VLOOKUP(A156,二级筛选!A:U,19,0)</f>
        <v>0.24912754139221707</v>
      </c>
      <c r="O156" s="65">
        <v>145</v>
      </c>
      <c r="P156" s="48">
        <f>VLOOKUP(A156,二级筛选!A:Z,24,0)</f>
        <v>1.2489745997105739</v>
      </c>
      <c r="Q156" s="67">
        <v>143</v>
      </c>
      <c r="R156" s="48">
        <f>VLOOKUP(A156,二级筛选!A:AE,29,0)</f>
        <v>0.59663865546218486</v>
      </c>
      <c r="S156" s="67">
        <v>179</v>
      </c>
      <c r="T156" s="50">
        <f>VLOOKUP(A156,二级筛选!A:AJ,34,0)</f>
        <v>-3.2622139764996865</v>
      </c>
      <c r="U156" s="66">
        <v>100</v>
      </c>
      <c r="V156" s="49">
        <f>VLOOKUP(A156,二级筛选!A:AR,39,0)/100</f>
        <v>7.3558606248345981E-2</v>
      </c>
      <c r="W156" s="66">
        <v>97</v>
      </c>
      <c r="X156" s="48">
        <f>VLOOKUP(A156,二级筛选!A:AV,46,0)</f>
        <v>0.80252079916765318</v>
      </c>
      <c r="Y156" s="66">
        <v>108</v>
      </c>
      <c r="Z156" s="48">
        <f>VLOOKUP(A156,二级筛选!A:BA,51,0)</f>
        <v>1.9727827099863355</v>
      </c>
      <c r="AA156" s="66">
        <v>113</v>
      </c>
      <c r="AB156" s="48">
        <f>VLOOKUP(A156,二级筛选!A:BF,56,0)</f>
        <v>1</v>
      </c>
      <c r="AC156" s="66">
        <v>107</v>
      </c>
      <c r="AD156" s="48">
        <f>VLOOKUP(A156,二级筛选!A:BK,61,0)</f>
        <v>-3.7286724927174308</v>
      </c>
      <c r="AE156" s="66">
        <v>122</v>
      </c>
      <c r="AF156">
        <f>(M156+O156+Q156+S156+U156)+(W156+Y156+AA156+AC156+AE156)*2</f>
        <v>1804</v>
      </c>
      <c r="AG156" s="69">
        <f>(W156+Y156+AE156+U156)+(M156+O156+S156+AC156)</f>
        <v>1001</v>
      </c>
    </row>
    <row r="157" spans="1:33" hidden="1" x14ac:dyDescent="0.35">
      <c r="A157" s="43" t="s">
        <v>371</v>
      </c>
      <c r="B157" s="43" t="s">
        <v>372</v>
      </c>
      <c r="C157" s="44">
        <v>20180403</v>
      </c>
      <c r="D157" s="44" t="str">
        <f>[1]!f_info_regulopenfundornot(A157)</f>
        <v>否</v>
      </c>
      <c r="E157" s="44" t="str">
        <f>[1]!f_dq_status(A157,$E$1)</f>
        <v>开放申购|开放赎回</v>
      </c>
      <c r="F157" s="40" t="str">
        <f>[1]!f_info_fundmanager(A157)</f>
        <v>吕晓蓉</v>
      </c>
      <c r="G157" s="44">
        <v>20180403</v>
      </c>
      <c r="H157" s="45">
        <f>[1]!f_netasset_total(A157,$E$1,100000000)</f>
        <v>9.8950082587000008</v>
      </c>
      <c r="I157" s="45">
        <f>[1]!f_prt_convertiblebondtonav(A157,$E$1)</f>
        <v>1.0804567337036133</v>
      </c>
      <c r="J157" s="45">
        <f>[1]!f_prt_stocktonav(A157,$E$1)+0.5*I157</f>
        <v>5.4710693359375</v>
      </c>
      <c r="K157" s="46">
        <v>0</v>
      </c>
      <c r="L157" s="59">
        <f>VLOOKUP(A157,二级筛选!A:Q,12,0)/100</f>
        <v>-3.0156593171621671E-2</v>
      </c>
      <c r="M157" s="63">
        <v>195</v>
      </c>
      <c r="N157" s="48">
        <f>VLOOKUP(A157,二级筛选!A:U,19,0)</f>
        <v>-0.99589069717458878</v>
      </c>
      <c r="O157" s="65">
        <v>190</v>
      </c>
      <c r="P157" s="48">
        <f>VLOOKUP(A157,二级筛选!A:Z,24,0)</f>
        <v>-0.34957088732369446</v>
      </c>
      <c r="Q157" s="67">
        <v>192</v>
      </c>
      <c r="R157" s="48">
        <f>VLOOKUP(A157,二级筛选!A:AE,29,0)</f>
        <v>0.13445378151260501</v>
      </c>
      <c r="S157" s="67">
        <v>193</v>
      </c>
      <c r="T157" s="50">
        <f>VLOOKUP(A157,二级筛选!A:AJ,34,0)</f>
        <v>-8.6267461808675652</v>
      </c>
      <c r="U157" s="66">
        <v>191</v>
      </c>
      <c r="V157" s="49">
        <f>VLOOKUP(A157,二级筛选!A:AR,39,0)/100</f>
        <v>0.16631711851586276</v>
      </c>
      <c r="W157" s="66">
        <v>10</v>
      </c>
      <c r="X157" s="48">
        <f>VLOOKUP(A157,二级筛选!A:AV,46,0)</f>
        <v>1.1395603564134624</v>
      </c>
      <c r="Y157" s="66">
        <v>61</v>
      </c>
      <c r="Z157" s="48">
        <f>VLOOKUP(A157,二级筛选!A:BA,51,0)</f>
        <v>1.6914303769772523</v>
      </c>
      <c r="AA157" s="66">
        <v>131</v>
      </c>
      <c r="AB157" s="48">
        <f>VLOOKUP(A157,二级筛选!A:BF,56,0)</f>
        <v>1</v>
      </c>
      <c r="AC157" s="66">
        <v>123</v>
      </c>
      <c r="AD157" s="48">
        <f>VLOOKUP(A157,二级筛选!A:BK,61,0)</f>
        <v>-9.8329272537417314</v>
      </c>
      <c r="AE157" s="66">
        <v>189</v>
      </c>
      <c r="AF157">
        <f>(M157+O157+Q157+S157+U157)+(W157+Y157+AA157+AC157+AE157)*2</f>
        <v>1989</v>
      </c>
      <c r="AG157" s="69">
        <f>(W157+Y157+AE157)*2+(M157+O157+S157)</f>
        <v>1098</v>
      </c>
    </row>
    <row r="158" spans="1:33" hidden="1" x14ac:dyDescent="0.35">
      <c r="A158" s="43" t="s">
        <v>243</v>
      </c>
      <c r="B158" s="43" t="s">
        <v>244</v>
      </c>
      <c r="C158" s="44">
        <v>20160603</v>
      </c>
      <c r="D158" s="44" t="str">
        <f>[1]!f_info_regulopenfundornot(A158)</f>
        <v>否</v>
      </c>
      <c r="E158" s="44" t="str">
        <f>[1]!f_dq_status(A158,$E$1)</f>
        <v>暂停大额申购|开放赎回</v>
      </c>
      <c r="F158" s="40" t="str">
        <f>[1]!f_info_fundmanager(A158)</f>
        <v>李涛,王立芹</v>
      </c>
      <c r="G158" s="44">
        <v>20201103</v>
      </c>
      <c r="H158" s="45">
        <f>[1]!f_netasset_total(A158,$E$1,100000000)</f>
        <v>2.2528240402000002</v>
      </c>
      <c r="I158" s="45">
        <f>[1]!f_prt_convertiblebondtonav(A158,$E$1)</f>
        <v>7.8255500793457031</v>
      </c>
      <c r="J158" s="45">
        <f>[1]!f_prt_stocktonav(A158,$E$1)+0.5*I158</f>
        <v>23.493803024291992</v>
      </c>
      <c r="K158" s="46">
        <v>13.576293334158819</v>
      </c>
      <c r="L158" s="59">
        <f>VLOOKUP(A158,二级筛选!A:Q,12,0)/100</f>
        <v>6.482630189033034E-2</v>
      </c>
      <c r="M158" s="63">
        <v>82</v>
      </c>
      <c r="N158" s="48">
        <f>VLOOKUP(A158,二级筛选!A:U,19,0)</f>
        <v>0.65595877946189829</v>
      </c>
      <c r="O158" s="65">
        <v>108</v>
      </c>
      <c r="P158" s="48">
        <f>VLOOKUP(A158,二级筛选!A:Z,24,0)</f>
        <v>1.6148952093124542</v>
      </c>
      <c r="Q158" s="67">
        <v>124</v>
      </c>
      <c r="R158" s="48">
        <f>VLOOKUP(A158,二级筛选!A:AE,29,0)</f>
        <v>1</v>
      </c>
      <c r="S158" s="67">
        <v>86</v>
      </c>
      <c r="T158" s="50">
        <f>VLOOKUP(A158,二级筛选!A:AJ,34,0)</f>
        <v>-4.0142729705619908</v>
      </c>
      <c r="U158" s="66">
        <v>124</v>
      </c>
      <c r="V158" s="49">
        <f>VLOOKUP(A158,二级筛选!A:AR,39,0)/100</f>
        <v>1.4469124722820137E-2</v>
      </c>
      <c r="W158" s="66">
        <v>191</v>
      </c>
      <c r="X158" s="48">
        <f>VLOOKUP(A158,二级筛选!A:AV,46,0)</f>
        <v>-0.70866095221493108</v>
      </c>
      <c r="Y158" s="66">
        <v>190</v>
      </c>
      <c r="Z158" s="48">
        <f>VLOOKUP(A158,二级筛选!A:BA,51,0)</f>
        <v>0.76686361030946615</v>
      </c>
      <c r="AA158" s="66">
        <v>178</v>
      </c>
      <c r="AB158" s="48">
        <f>VLOOKUP(A158,二级筛选!A:BF,56,0)</f>
        <v>0.77500000000000002</v>
      </c>
      <c r="AC158" s="66">
        <v>182</v>
      </c>
      <c r="AD158" s="48">
        <f>VLOOKUP(A158,二级筛选!A:BK,61,0)</f>
        <v>-1.8867924528301914</v>
      </c>
      <c r="AE158" s="66">
        <v>30</v>
      </c>
      <c r="AF158">
        <f>(M158+O158+Q158+S158+U158)+(W158+Y158+AA158+AC158+AE158)*2</f>
        <v>2066</v>
      </c>
      <c r="AG158" s="69">
        <f>(W158+Y158+AE158)*2+(M158+O158+S158)</f>
        <v>1098</v>
      </c>
    </row>
    <row r="159" spans="1:33" hidden="1" x14ac:dyDescent="0.35">
      <c r="A159" s="43" t="s">
        <v>391</v>
      </c>
      <c r="B159" s="43" t="s">
        <v>392</v>
      </c>
      <c r="C159" s="44">
        <v>20190326</v>
      </c>
      <c r="D159" s="44" t="str">
        <f>[1]!f_info_regulopenfundornot(A159)</f>
        <v>否</v>
      </c>
      <c r="E159" s="44" t="str">
        <f>[1]!f_dq_status(A159,$E$1)</f>
        <v>开放申购|开放赎回</v>
      </c>
      <c r="F159" s="40" t="str">
        <f>[1]!f_info_fundmanager(A159)</f>
        <v>牛兴华</v>
      </c>
      <c r="G159" s="44">
        <v>20190326</v>
      </c>
      <c r="H159" s="45">
        <f>[1]!f_netasset_total(A159,$E$1,100000000)</f>
        <v>0.1414950401</v>
      </c>
      <c r="I159" s="45">
        <f>[1]!f_prt_convertiblebondtonav(A159,$E$1)</f>
        <v>2.6948902606964111</v>
      </c>
      <c r="J159" s="45">
        <f>[1]!f_prt_stocktonav(A159,$E$1)+0.5*I159</f>
        <v>8.4560390710830688</v>
      </c>
      <c r="K159" s="46">
        <v>0</v>
      </c>
      <c r="L159" s="59">
        <f>VLOOKUP(A159,二级筛选!A:Q,12,0)/100</f>
        <v>9.6674602915711075E-2</v>
      </c>
      <c r="M159" s="63">
        <v>36</v>
      </c>
      <c r="N159" s="48">
        <f>VLOOKUP(A159,二级筛选!A:U,19,0)</f>
        <v>1.1052127169099222</v>
      </c>
      <c r="O159" s="65">
        <v>67</v>
      </c>
      <c r="P159" s="48">
        <f>VLOOKUP(A159,二级筛选!A:Z,24,0)</f>
        <v>1.6785243755445109</v>
      </c>
      <c r="Q159" s="67">
        <v>118</v>
      </c>
      <c r="R159" s="48">
        <f>VLOOKUP(A159,二级筛选!A:AE,29,0)</f>
        <v>0.99159663865546221</v>
      </c>
      <c r="S159" s="67">
        <v>94</v>
      </c>
      <c r="T159" s="50">
        <f>VLOOKUP(A159,二级筛选!A:AJ,34,0)</f>
        <v>-5.759499493973685</v>
      </c>
      <c r="U159" s="66">
        <v>172</v>
      </c>
      <c r="V159" s="49">
        <f>VLOOKUP(A159,二级筛选!A:AR,39,0)/100</f>
        <v>2.2565561786378474E-2</v>
      </c>
      <c r="W159" s="66">
        <v>183</v>
      </c>
      <c r="X159" s="48">
        <f>VLOOKUP(A159,二级筛选!A:AV,46,0)</f>
        <v>-0.2676937162501008</v>
      </c>
      <c r="Y159" s="66">
        <v>176</v>
      </c>
      <c r="Z159" s="48">
        <f>VLOOKUP(A159,二级筛选!A:BA,51,0)</f>
        <v>0.72866504468089011</v>
      </c>
      <c r="AA159" s="66">
        <v>180</v>
      </c>
      <c r="AB159" s="48">
        <f>VLOOKUP(A159,二级筛选!A:BF,56,0)</f>
        <v>1</v>
      </c>
      <c r="AC159" s="66">
        <v>145</v>
      </c>
      <c r="AD159" s="48">
        <f>VLOOKUP(A159,二级筛选!A:BK,61,0)</f>
        <v>-3.0968360498561838</v>
      </c>
      <c r="AE159" s="66">
        <v>92</v>
      </c>
      <c r="AF159">
        <f>(M159+O159+Q159+S159+U159)+(W159+Y159+AA159+AC159+AE159)*2</f>
        <v>2039</v>
      </c>
      <c r="AG159" s="69">
        <f>(W159+Y159+AE159)*2+(M159+O159+S159)</f>
        <v>1099</v>
      </c>
    </row>
    <row r="160" spans="1:33" hidden="1" x14ac:dyDescent="0.35">
      <c r="A160" s="43" t="s">
        <v>405</v>
      </c>
      <c r="B160" s="43" t="s">
        <v>406</v>
      </c>
      <c r="C160" s="44">
        <v>20190925</v>
      </c>
      <c r="D160" s="44" t="str">
        <f>[1]!f_info_regulopenfundornot(A160)</f>
        <v>否</v>
      </c>
      <c r="E160" s="44" t="str">
        <f>[1]!f_dq_status(A160,$E$1)</f>
        <v>开放申购|开放赎回</v>
      </c>
      <c r="F160" s="40" t="str">
        <f>[1]!f_info_fundmanager(A160)</f>
        <v>周晨,杜浩然,杨坤</v>
      </c>
      <c r="G160" s="44">
        <v>20200618</v>
      </c>
      <c r="H160" s="45">
        <f>[1]!f_netasset_total(A160,$E$1,100000000)</f>
        <v>1.3975399891999998</v>
      </c>
      <c r="I160" s="45">
        <f>[1]!f_prt_convertiblebondtonav(A160,$E$1)</f>
        <v>23.292051315307617</v>
      </c>
      <c r="J160" s="45">
        <f>[1]!f_prt_stocktonav(A160,$E$1)+0.5*I160</f>
        <v>29.063855171203613</v>
      </c>
      <c r="K160" s="46">
        <v>21.587217706213739</v>
      </c>
      <c r="L160" s="59">
        <f>VLOOKUP(A160,二级筛选!A:Q,12,0)/100</f>
        <v>7.1226620699236021E-2</v>
      </c>
      <c r="M160" s="63">
        <v>70</v>
      </c>
      <c r="N160" s="48">
        <f>VLOOKUP(A160,二级筛选!A:U,19,0)</f>
        <v>0.65183977868375131</v>
      </c>
      <c r="O160" s="65">
        <v>110</v>
      </c>
      <c r="P160" s="48">
        <f>VLOOKUP(A160,二级筛选!A:Z,24,0)</f>
        <v>1.7012653501440507</v>
      </c>
      <c r="Q160" s="67">
        <v>117</v>
      </c>
      <c r="R160" s="48">
        <f>VLOOKUP(A160,二级筛选!A:AE,29,0)</f>
        <v>0.8571428571428571</v>
      </c>
      <c r="S160" s="67">
        <v>137</v>
      </c>
      <c r="T160" s="50">
        <f>VLOOKUP(A160,二级筛选!A:AJ,34,0)</f>
        <v>-4.1866849691146104</v>
      </c>
      <c r="U160" s="66">
        <v>130</v>
      </c>
      <c r="V160" s="49">
        <f>VLOOKUP(A160,二级筛选!A:AR,39,0)/100</f>
        <v>2.0970962546434935E-2</v>
      </c>
      <c r="W160" s="66">
        <v>186</v>
      </c>
      <c r="X160" s="48">
        <f>VLOOKUP(A160,二级筛选!A:AV,46,0)</f>
        <v>-0.34065317383677762</v>
      </c>
      <c r="Y160" s="66">
        <v>178</v>
      </c>
      <c r="Z160" s="48">
        <f>VLOOKUP(A160,二级筛选!A:BA,51,0)</f>
        <v>1.1054552463444616</v>
      </c>
      <c r="AA160" s="66">
        <v>160</v>
      </c>
      <c r="AB160" s="48">
        <f>VLOOKUP(A160,二级筛选!A:BF,56,0)</f>
        <v>1</v>
      </c>
      <c r="AC160" s="66">
        <v>142</v>
      </c>
      <c r="AD160" s="48">
        <f>VLOOKUP(A160,二级筛选!A:BK,61,0)</f>
        <v>-1.8970431065194249</v>
      </c>
      <c r="AE160" s="66">
        <v>32</v>
      </c>
      <c r="AF160">
        <f>(M160+O160+Q160+S160+U160)+(W160+Y160+AA160+AC160+AE160)*2</f>
        <v>1960</v>
      </c>
      <c r="AG160" s="69">
        <f>(W160+Y160+AE160)*2+(M160+O160+S160)</f>
        <v>1109</v>
      </c>
    </row>
    <row r="161" spans="1:33" hidden="1" x14ac:dyDescent="0.35">
      <c r="A161" s="43" t="s">
        <v>53</v>
      </c>
      <c r="B161" s="43" t="s">
        <v>54</v>
      </c>
      <c r="C161" s="44">
        <v>20090304</v>
      </c>
      <c r="D161" s="44" t="str">
        <f>[1]!f_info_regulopenfundornot(A161)</f>
        <v>否</v>
      </c>
      <c r="E161" s="44" t="str">
        <f>[1]!f_dq_status(A161,$E$1)</f>
        <v>开放申购|开放赎回</v>
      </c>
      <c r="F161" s="40" t="str">
        <f>[1]!f_info_fundmanager(A161)</f>
        <v>景辉,郝旭东,谢屹</v>
      </c>
      <c r="G161" s="44">
        <v>20180622</v>
      </c>
      <c r="H161" s="45">
        <f>[1]!f_netasset_total(A161,$E$1,100000000)</f>
        <v>2.6453438509999998</v>
      </c>
      <c r="I161" s="45">
        <f>[1]!f_prt_convertiblebondtonav(A161,$E$1)</f>
        <v>4.0877933502197266</v>
      </c>
      <c r="J161" s="45">
        <f>[1]!f_prt_stocktonav(A161,$E$1)+0.5*I161</f>
        <v>20.228142738342285</v>
      </c>
      <c r="K161" s="46">
        <v>3.772666451745899</v>
      </c>
      <c r="L161" s="59">
        <f>VLOOKUP(A161,二级筛选!A:Q,12,0)/100</f>
        <v>4.1223339093912736E-2</v>
      </c>
      <c r="M161" s="63">
        <v>141</v>
      </c>
      <c r="N161" s="48">
        <f>VLOOKUP(A161,二级筛选!A:U,19,0)</f>
        <v>0.38413143474434763</v>
      </c>
      <c r="O161" s="65">
        <v>130</v>
      </c>
      <c r="P161" s="48">
        <f>VLOOKUP(A161,二级筛选!A:Z,24,0)</f>
        <v>3.0770278109384557</v>
      </c>
      <c r="Q161" s="67">
        <v>60</v>
      </c>
      <c r="R161" s="48">
        <f>VLOOKUP(A161,二级筛选!A:AE,29,0)</f>
        <v>1</v>
      </c>
      <c r="S161" s="67">
        <v>55</v>
      </c>
      <c r="T161" s="50">
        <f>VLOOKUP(A161,二级筛选!A:AJ,34,0)</f>
        <v>-1.3397129186603005</v>
      </c>
      <c r="U161" s="66">
        <v>36</v>
      </c>
      <c r="V161" s="49">
        <f>VLOOKUP(A161,二级筛选!A:AR,39,0)/100</f>
        <v>2.3579017209609754E-2</v>
      </c>
      <c r="W161" s="66">
        <v>176</v>
      </c>
      <c r="X161" s="48">
        <f>VLOOKUP(A161,二级筛选!A:AV,46,0)</f>
        <v>-0.26041745052451504</v>
      </c>
      <c r="Y161" s="66">
        <v>175</v>
      </c>
      <c r="Z161" s="48">
        <f>VLOOKUP(A161,二级筛选!A:BA,51,0)</f>
        <v>1.0799189882001259</v>
      </c>
      <c r="AA161" s="66">
        <v>164</v>
      </c>
      <c r="AB161" s="48">
        <f>VLOOKUP(A161,二级筛选!A:BF,56,0)</f>
        <v>0.78333333333333333</v>
      </c>
      <c r="AC161" s="66">
        <v>180</v>
      </c>
      <c r="AD161" s="48">
        <f>VLOOKUP(A161,二级筛选!A:BK,61,0)</f>
        <v>-2.1834061135371194</v>
      </c>
      <c r="AE161" s="66">
        <v>44</v>
      </c>
      <c r="AF161">
        <f>(M161+O161+Q161+S161+U161)+(W161+Y161+AA161+AC161+AE161)*2</f>
        <v>1900</v>
      </c>
      <c r="AG161" s="69">
        <f>(W161+Y161+AE161)*2+(M161+O161+S161)</f>
        <v>1116</v>
      </c>
    </row>
    <row r="162" spans="1:33" hidden="1" x14ac:dyDescent="0.35">
      <c r="A162" s="43" t="s">
        <v>171</v>
      </c>
      <c r="B162" s="43" t="s">
        <v>172</v>
      </c>
      <c r="C162" s="44">
        <v>20140128</v>
      </c>
      <c r="D162" s="44" t="str">
        <f>[1]!f_info_regulopenfundornot(A162)</f>
        <v>否</v>
      </c>
      <c r="E162" s="44" t="str">
        <f>[1]!f_dq_status(A162,$E$1)</f>
        <v>开放申购|开放赎回</v>
      </c>
      <c r="F162" s="40" t="str">
        <f>[1]!f_info_fundmanager(A162)</f>
        <v>唐赟</v>
      </c>
      <c r="G162" s="44">
        <v>20200714</v>
      </c>
      <c r="H162" s="45">
        <f>[1]!f_netasset_total(A162,$E$1,100000000)</f>
        <v>0.31252509109999999</v>
      </c>
      <c r="I162" s="45">
        <f>[1]!f_prt_convertiblebondtonav(A162,$E$1)</f>
        <v>15.832385063171387</v>
      </c>
      <c r="J162" s="45">
        <f>[1]!f_prt_stocktonav(A162,$E$1)+0.5*I162</f>
        <v>10.247803688049316</v>
      </c>
      <c r="K162" s="46">
        <v>0</v>
      </c>
      <c r="L162" s="59">
        <f>VLOOKUP(A162,二级筛选!A:Q,12,0)/100</f>
        <v>0.19269284364270731</v>
      </c>
      <c r="M162" s="63">
        <v>6</v>
      </c>
      <c r="N162" s="48">
        <f>VLOOKUP(A162,二级筛选!A:U,19,0)</f>
        <v>1.6973895608197176</v>
      </c>
      <c r="O162" s="65">
        <v>20</v>
      </c>
      <c r="P162" s="48">
        <f>VLOOKUP(A162,二级筛选!A:Z,24,0)</f>
        <v>4.4423999964145446</v>
      </c>
      <c r="Q162" s="67">
        <v>39</v>
      </c>
      <c r="R162" s="48">
        <f>VLOOKUP(A162,二级筛选!A:AE,29,0)</f>
        <v>1</v>
      </c>
      <c r="S162" s="67">
        <v>38</v>
      </c>
      <c r="T162" s="50">
        <f>VLOOKUP(A162,二级筛选!A:AJ,34,0)</f>
        <v>-4.3375842742263071</v>
      </c>
      <c r="U162" s="66">
        <v>135</v>
      </c>
      <c r="V162" s="49">
        <f>VLOOKUP(A162,二级筛选!A:AR,39,0)/100</f>
        <v>2.3713952281154693E-2</v>
      </c>
      <c r="W162" s="66">
        <v>175</v>
      </c>
      <c r="X162" s="48">
        <f>VLOOKUP(A162,二级筛选!A:AV,46,0)</f>
        <v>-9.1203780929280373E-2</v>
      </c>
      <c r="Y162" s="66">
        <v>172</v>
      </c>
      <c r="Z162" s="48">
        <f>VLOOKUP(A162,二级筛选!A:BA,51,0)</f>
        <v>0.34473005160534242</v>
      </c>
      <c r="AA162" s="66">
        <v>190</v>
      </c>
      <c r="AB162" s="48">
        <f>VLOOKUP(A162,二级筛选!A:BF,56,0)</f>
        <v>0.85833333333333328</v>
      </c>
      <c r="AC162" s="66">
        <v>170</v>
      </c>
      <c r="AD162" s="48">
        <f>VLOOKUP(A162,二级筛选!A:BK,61,0)</f>
        <v>-6.8789918867598914</v>
      </c>
      <c r="AE162" s="66">
        <v>179</v>
      </c>
      <c r="AF162">
        <f>(M162+O162+Q162+S162+U162)+(W162+Y162+AA162+AC162+AE162)*2</f>
        <v>2010</v>
      </c>
      <c r="AG162" s="69">
        <f>(W162+Y162+AE162)*2+(M162+O162+S162)</f>
        <v>1116</v>
      </c>
    </row>
    <row r="163" spans="1:33" x14ac:dyDescent="0.35">
      <c r="A163" s="43" t="s">
        <v>125</v>
      </c>
      <c r="B163" s="43" t="s">
        <v>126</v>
      </c>
      <c r="C163" s="44">
        <v>20121009</v>
      </c>
      <c r="D163" s="44" t="str">
        <f>[1]!f_info_regulopenfundornot(A163)</f>
        <v>否</v>
      </c>
      <c r="E163" s="44" t="str">
        <f>[1]!f_dq_status(A163,$E$1)</f>
        <v>开放申购|开放赎回</v>
      </c>
      <c r="F163" s="40" t="str">
        <f>[1]!f_info_fundmanager(A163)</f>
        <v>许文波</v>
      </c>
      <c r="G163" s="44">
        <v>20180813</v>
      </c>
      <c r="H163" s="45">
        <f>[1]!f_netasset_total(A163,$E$1,100000000)</f>
        <v>10.086237795800001</v>
      </c>
      <c r="I163" s="45">
        <f>[1]!f_prt_convertiblebondtonav(A163,$E$1)</f>
        <v>19.759283065795898</v>
      </c>
      <c r="J163" s="45">
        <f>[1]!f_prt_stocktonav(A163,$E$1)+0.5*I163</f>
        <v>26.033555030822754</v>
      </c>
      <c r="K163" s="46">
        <v>11.04980888378511</v>
      </c>
      <c r="L163" s="59">
        <f>VLOOKUP(A163,二级筛选!A:Q,12,0)/100</f>
        <v>5.1630691935200312E-2</v>
      </c>
      <c r="M163" s="63">
        <v>110</v>
      </c>
      <c r="N163" s="48">
        <f>VLOOKUP(A163,二级筛选!A:U,19,0)</f>
        <v>0.33953974560586442</v>
      </c>
      <c r="O163" s="65">
        <v>134</v>
      </c>
      <c r="P163" s="48">
        <f>VLOOKUP(A163,二级筛选!A:Z,24,0)</f>
        <v>0.99084935657825979</v>
      </c>
      <c r="Q163" s="67">
        <v>159</v>
      </c>
      <c r="R163" s="48">
        <f>VLOOKUP(A163,二级筛选!A:AE,29,0)</f>
        <v>0.7142857142857143</v>
      </c>
      <c r="S163" s="67">
        <v>167</v>
      </c>
      <c r="T163" s="50">
        <f>VLOOKUP(A163,二级筛选!A:AJ,34,0)</f>
        <v>-5.2107509171221214</v>
      </c>
      <c r="U163" s="66">
        <v>160</v>
      </c>
      <c r="V163" s="49">
        <f>VLOOKUP(A163,二级筛选!A:AR,39,0)/100</f>
        <v>7.8359435888144535E-2</v>
      </c>
      <c r="W163" s="66">
        <v>88</v>
      </c>
      <c r="X163" s="48">
        <f>VLOOKUP(A163,二级筛选!A:AV,46,0)</f>
        <v>0.84039706424621508</v>
      </c>
      <c r="Y163" s="66">
        <v>105</v>
      </c>
      <c r="Z163" s="48">
        <f>VLOOKUP(A163,二级筛选!A:BA,51,0)</f>
        <v>1.8915053367204573</v>
      </c>
      <c r="AA163" s="66">
        <v>121</v>
      </c>
      <c r="AB163" s="48">
        <f>VLOOKUP(A163,二级筛选!A:BF,56,0)</f>
        <v>1</v>
      </c>
      <c r="AC163" s="66">
        <v>113</v>
      </c>
      <c r="AD163" s="48">
        <f>VLOOKUP(A163,二级筛选!A:BK,61,0)</f>
        <v>-4.1427023422522415</v>
      </c>
      <c r="AE163" s="66">
        <v>135</v>
      </c>
      <c r="AF163">
        <f>(M163+O163+Q163+S163+U163)+(W163+Y163+AA163+AC163+AE163)*2</f>
        <v>1854</v>
      </c>
      <c r="AG163" s="69">
        <f>(W163+Y163+AE163+U163)+(M163+O163+S163+AC163)</f>
        <v>1012</v>
      </c>
    </row>
    <row r="164" spans="1:33" hidden="1" x14ac:dyDescent="0.35">
      <c r="A164" s="43" t="s">
        <v>335</v>
      </c>
      <c r="B164" s="43" t="s">
        <v>336</v>
      </c>
      <c r="C164" s="44">
        <v>20170621</v>
      </c>
      <c r="D164" s="44" t="str">
        <f>[1]!f_info_regulopenfundornot(A164)</f>
        <v>否</v>
      </c>
      <c r="E164" s="44" t="str">
        <f>[1]!f_dq_status(A164,$E$1)</f>
        <v>开放申购|开放赎回</v>
      </c>
      <c r="F164" s="40" t="str">
        <f>[1]!f_info_fundmanager(A164)</f>
        <v>赖礼辉</v>
      </c>
      <c r="G164" s="44">
        <v>20210826</v>
      </c>
      <c r="H164" s="45">
        <f>[1]!f_netasset_total(A164,$E$1,100000000)</f>
        <v>0.50676465729999998</v>
      </c>
      <c r="I164" s="45">
        <f>[1]!f_prt_convertiblebondtonav(A164,$E$1)</f>
        <v>7.446009635925293</v>
      </c>
      <c r="J164" s="45">
        <f>[1]!f_prt_stocktonav(A164,$E$1)+0.5*I164</f>
        <v>4.9249764680862427</v>
      </c>
      <c r="K164" s="46">
        <v>0</v>
      </c>
      <c r="L164" s="59">
        <f>VLOOKUP(A164,二级筛选!A:Q,12,0)/100</f>
        <v>2.6968924403966144E-2</v>
      </c>
      <c r="M164" s="63">
        <v>169</v>
      </c>
      <c r="N164" s="48">
        <f>VLOOKUP(A164,二级筛选!A:U,19,0)</f>
        <v>-9.0426112798398267E-2</v>
      </c>
      <c r="O164" s="65">
        <v>168</v>
      </c>
      <c r="P164" s="48">
        <f>VLOOKUP(A164,二级筛选!A:Z,24,0)</f>
        <v>1.4316715887209532</v>
      </c>
      <c r="Q164" s="67">
        <v>132</v>
      </c>
      <c r="R164" s="48">
        <f>VLOOKUP(A164,二级筛选!A:AE,29,0)</f>
        <v>0.77310924369747902</v>
      </c>
      <c r="S164" s="67">
        <v>153</v>
      </c>
      <c r="T164" s="50">
        <f>VLOOKUP(A164,二级筛选!A:AJ,34,0)</f>
        <v>-1.8837367882713951</v>
      </c>
      <c r="U164" s="66">
        <v>55</v>
      </c>
      <c r="V164" s="49">
        <f>VLOOKUP(A164,二级筛选!A:AR,39,0)/100</f>
        <v>3.7790515168417249E-2</v>
      </c>
      <c r="W164" s="66">
        <v>156</v>
      </c>
      <c r="X164" s="48">
        <f>VLOOKUP(A164,二级筛选!A:AV,46,0)</f>
        <v>0.29832941572578203</v>
      </c>
      <c r="Y164" s="66">
        <v>154</v>
      </c>
      <c r="Z164" s="48">
        <f>VLOOKUP(A164,二级筛选!A:BA,51,0)</f>
        <v>3.1296893058180317</v>
      </c>
      <c r="AA164" s="66">
        <v>44</v>
      </c>
      <c r="AB164" s="48">
        <f>VLOOKUP(A164,二级筛选!A:BF,56,0)</f>
        <v>1</v>
      </c>
      <c r="AC164" s="66">
        <v>44</v>
      </c>
      <c r="AD164" s="48">
        <f>VLOOKUP(A164,二级筛选!A:BK,61,0)</f>
        <v>-1.2074845607890028</v>
      </c>
      <c r="AE164" s="66">
        <v>9</v>
      </c>
      <c r="AF164">
        <f>(M164+O164+Q164+S164+U164)+(W164+Y164+AA164+AC164+AE164)*2</f>
        <v>1491</v>
      </c>
      <c r="AG164" s="69">
        <f>(W164+Y164+AE164)*2+(M164+O164+S164)</f>
        <v>1128</v>
      </c>
    </row>
    <row r="165" spans="1:33" hidden="1" x14ac:dyDescent="0.35">
      <c r="A165" s="43" t="s">
        <v>245</v>
      </c>
      <c r="B165" s="43" t="s">
        <v>246</v>
      </c>
      <c r="C165" s="44">
        <v>20160616</v>
      </c>
      <c r="D165" s="44" t="str">
        <f>[1]!f_info_regulopenfundornot(A165)</f>
        <v>否</v>
      </c>
      <c r="E165" s="44" t="str">
        <f>[1]!f_dq_status(A165,$E$1)</f>
        <v>开放申购|开放赎回</v>
      </c>
      <c r="F165" s="40" t="str">
        <f>[1]!f_info_fundmanager(A165)</f>
        <v>马英</v>
      </c>
      <c r="G165" s="44">
        <v>20160616</v>
      </c>
      <c r="H165" s="45">
        <f>[1]!f_netasset_total(A165,$E$1,100000000)</f>
        <v>3.2965733900000002E-2</v>
      </c>
      <c r="I165" s="45">
        <f>[1]!f_prt_convertiblebondtonav(A165,$E$1)</f>
        <v>0.12722301483154297</v>
      </c>
      <c r="J165" s="45">
        <f>[1]!f_prt_stocktonav(A165,$E$1)+0.5*I165</f>
        <v>6.3611507415771484E-2</v>
      </c>
      <c r="K165" s="46">
        <v>0</v>
      </c>
      <c r="L165" s="59">
        <f>VLOOKUP(A165,二级筛选!A:Q,12,0)/100</f>
        <v>0.12235071484136008</v>
      </c>
      <c r="M165" s="63">
        <v>16</v>
      </c>
      <c r="N165" s="48">
        <f>VLOOKUP(A165,二级筛选!A:U,19,0)</f>
        <v>0.89978250356417022</v>
      </c>
      <c r="O165" s="65">
        <v>83</v>
      </c>
      <c r="P165" s="48">
        <f>VLOOKUP(A165,二级筛选!A:Z,24,0)</f>
        <v>1.2108836619617158</v>
      </c>
      <c r="Q165" s="67">
        <v>145</v>
      </c>
      <c r="R165" s="48">
        <f>VLOOKUP(A165,二级筛选!A:AE,29,0)</f>
        <v>0.49579831932773111</v>
      </c>
      <c r="S165" s="67">
        <v>184</v>
      </c>
      <c r="T165" s="50">
        <f>VLOOKUP(A165,二级筛选!A:AJ,34,0)</f>
        <v>-10.104250200481143</v>
      </c>
      <c r="U165" s="66">
        <v>193</v>
      </c>
      <c r="V165" s="49">
        <f>VLOOKUP(A165,二级筛选!A:AR,39,0)/100</f>
        <v>7.6098071874894924E-2</v>
      </c>
      <c r="W165" s="66">
        <v>92</v>
      </c>
      <c r="X165" s="48">
        <f>VLOOKUP(A165,二级筛选!A:AV,46,0)</f>
        <v>0.38054477877270837</v>
      </c>
      <c r="Y165" s="66">
        <v>149</v>
      </c>
      <c r="Z165" s="48">
        <f>VLOOKUP(A165,二级筛选!A:BA,51,0)</f>
        <v>1.0069542844051755</v>
      </c>
      <c r="AA165" s="66">
        <v>171</v>
      </c>
      <c r="AB165" s="48">
        <f>VLOOKUP(A165,二级筛选!A:BF,56,0)</f>
        <v>0.9</v>
      </c>
      <c r="AC165" s="66">
        <v>166</v>
      </c>
      <c r="AD165" s="48">
        <f>VLOOKUP(A165,二级筛选!A:BK,61,0)</f>
        <v>-7.5572519083969443</v>
      </c>
      <c r="AE165" s="66">
        <v>182</v>
      </c>
      <c r="AF165">
        <f>(M165+O165+Q165+S165+U165)+(W165+Y165+AA165+AC165+AE165)*2</f>
        <v>2141</v>
      </c>
      <c r="AG165" s="69">
        <f>(W165+Y165+AE165)*2+(M165+O165+S165)</f>
        <v>1129</v>
      </c>
    </row>
    <row r="166" spans="1:33" hidden="1" x14ac:dyDescent="0.35">
      <c r="A166" s="43" t="s">
        <v>147</v>
      </c>
      <c r="B166" s="43" t="s">
        <v>148</v>
      </c>
      <c r="C166" s="44">
        <v>20130717</v>
      </c>
      <c r="D166" s="44" t="str">
        <f>[1]!f_info_regulopenfundornot(A166)</f>
        <v>否</v>
      </c>
      <c r="E166" s="44" t="str">
        <f>[1]!f_dq_status(A166,$E$1)</f>
        <v>开放申购|开放赎回</v>
      </c>
      <c r="F166" s="40" t="str">
        <f>[1]!f_info_fundmanager(A166)</f>
        <v>蒋磊,韩晶</v>
      </c>
      <c r="G166" s="44">
        <v>20170429</v>
      </c>
      <c r="H166" s="45">
        <f>[1]!f_netasset_total(A166,$E$1,100000000)</f>
        <v>6.7356142499999994E-2</v>
      </c>
      <c r="I166" s="45">
        <f>[1]!f_prt_convertiblebondtonav(A166,$E$1)</f>
        <v>27.104406356811523</v>
      </c>
      <c r="J166" s="45">
        <f>[1]!f_prt_stocktonav(A166,$E$1)+0.5*I166</f>
        <v>25.325814247131348</v>
      </c>
      <c r="K166" s="46">
        <v>0</v>
      </c>
      <c r="L166" s="59">
        <f>VLOOKUP(A166,二级筛选!A:Q,12,0)/100</f>
        <v>1.2959715804123029E-2</v>
      </c>
      <c r="M166" s="63">
        <v>180</v>
      </c>
      <c r="N166" s="48">
        <f>VLOOKUP(A166,二级筛选!A:U,19,0)</f>
        <v>-0.26254124215488223</v>
      </c>
      <c r="O166" s="65">
        <v>175</v>
      </c>
      <c r="P166" s="48">
        <f>VLOOKUP(A166,二级筛选!A:Z,24,0)</f>
        <v>0.27215403188658355</v>
      </c>
      <c r="Q166" s="67">
        <v>183</v>
      </c>
      <c r="R166" s="48">
        <f>VLOOKUP(A166,二级筛选!A:AE,29,0)</f>
        <v>0.81512605042016806</v>
      </c>
      <c r="S166" s="67">
        <v>147</v>
      </c>
      <c r="T166" s="50">
        <f>VLOOKUP(A166,二级筛选!A:AJ,34,0)</f>
        <v>-4.7619047619047628</v>
      </c>
      <c r="U166" s="66">
        <v>150</v>
      </c>
      <c r="V166" s="49">
        <f>VLOOKUP(A166,二级筛选!A:AR,39,0)/100</f>
        <v>6.7578563747437315E-2</v>
      </c>
      <c r="W166" s="66">
        <v>109</v>
      </c>
      <c r="X166" s="48">
        <f>VLOOKUP(A166,二级筛选!A:AV,46,0)</f>
        <v>0.68720622393308617</v>
      </c>
      <c r="Y166" s="66">
        <v>120</v>
      </c>
      <c r="Z166" s="48">
        <f>VLOOKUP(A166,二级筛选!A:BA,51,0)</f>
        <v>2.224461056686482</v>
      </c>
      <c r="AA166" s="66">
        <v>94</v>
      </c>
      <c r="AB166" s="48">
        <f>VLOOKUP(A166,二级筛选!A:BF,56,0)</f>
        <v>1</v>
      </c>
      <c r="AC166" s="66">
        <v>90</v>
      </c>
      <c r="AD166" s="48">
        <f>VLOOKUP(A166,二级筛选!A:BK,61,0)</f>
        <v>-3.0379746835442987</v>
      </c>
      <c r="AE166" s="66">
        <v>88</v>
      </c>
      <c r="AF166">
        <f>(M166+O166+Q166+S166+U166)+(W166+Y166+AA166+AC166+AE166)*2</f>
        <v>1837</v>
      </c>
      <c r="AG166" s="69">
        <f>(W166+Y166+AE166)*2+(M166+O166+S166)</f>
        <v>1136</v>
      </c>
    </row>
    <row r="167" spans="1:33" hidden="1" x14ac:dyDescent="0.35">
      <c r="A167" s="43" t="s">
        <v>285</v>
      </c>
      <c r="B167" s="43" t="s">
        <v>286</v>
      </c>
      <c r="C167" s="44">
        <v>20161026</v>
      </c>
      <c r="D167" s="44" t="str">
        <f>[1]!f_info_regulopenfundornot(A167)</f>
        <v>是</v>
      </c>
      <c r="E167" s="44" t="str">
        <f>[1]!f_dq_status(A167,$E$1)</f>
        <v>暂停申购|暂停赎回</v>
      </c>
      <c r="F167" s="40" t="str">
        <f>[1]!f_info_fundmanager(A167)</f>
        <v>梁钧</v>
      </c>
      <c r="G167" s="44">
        <v>20180929</v>
      </c>
      <c r="H167" s="45">
        <f>[1]!f_netasset_total(A167,$E$1,100000000)</f>
        <v>2.9155169181000002</v>
      </c>
      <c r="I167" s="45">
        <f>[1]!f_prt_convertiblebondtonav(A167,$E$1)</f>
        <v>21.866613388061523</v>
      </c>
      <c r="J167" s="45">
        <f>[1]!f_prt_stocktonav(A167,$E$1)+0.5*I167</f>
        <v>30.494658470153809</v>
      </c>
      <c r="K167" s="46">
        <v>0</v>
      </c>
      <c r="L167" s="59">
        <f>VLOOKUP(A167,二级筛选!A:Q,12,0)/100</f>
        <v>3.4650806012662461E-2</v>
      </c>
      <c r="M167" s="63">
        <v>157</v>
      </c>
      <c r="N167" s="48">
        <f>VLOOKUP(A167,二级筛选!A:U,19,0)</f>
        <v>2.7707060979435254E-2</v>
      </c>
      <c r="O167" s="65">
        <v>162</v>
      </c>
      <c r="P167" s="48">
        <f>VLOOKUP(A167,二级筛选!A:Z,24,0)</f>
        <v>0.49221664608436433</v>
      </c>
      <c r="Q167" s="67">
        <v>177</v>
      </c>
      <c r="R167" s="48">
        <f>VLOOKUP(A167,二级筛选!A:AE,29,0)</f>
        <v>0.36134453781512599</v>
      </c>
      <c r="S167" s="67">
        <v>188</v>
      </c>
      <c r="T167" s="50">
        <f>VLOOKUP(A167,二级筛选!A:AJ,34,0)</f>
        <v>-7.039746885505255</v>
      </c>
      <c r="U167" s="66">
        <v>186</v>
      </c>
      <c r="V167" s="49">
        <f>VLOOKUP(A167,二级筛选!A:AR,39,0)/100</f>
        <v>0.16081156876962588</v>
      </c>
      <c r="W167" s="66">
        <v>11</v>
      </c>
      <c r="X167" s="48">
        <f>VLOOKUP(A167,二级筛选!A:AV,46,0)</f>
        <v>0.53369054345367239</v>
      </c>
      <c r="Y167" s="66">
        <v>135</v>
      </c>
      <c r="Z167" s="48">
        <f>VLOOKUP(A167,二级筛选!A:BA,51,0)</f>
        <v>2.3402550244001898</v>
      </c>
      <c r="AA167" s="66">
        <v>84</v>
      </c>
      <c r="AB167" s="48">
        <f>VLOOKUP(A167,二级筛选!A:BF,56,0)</f>
        <v>1</v>
      </c>
      <c r="AC167" s="66">
        <v>81</v>
      </c>
      <c r="AD167" s="48">
        <f>VLOOKUP(A167,二级筛选!A:BK,61,0)</f>
        <v>-6.8715403702996891</v>
      </c>
      <c r="AE167" s="66">
        <v>178</v>
      </c>
      <c r="AF167">
        <f>(M167+O167+Q167+S167+U167)+(W167+Y167+AA167+AC167+AE167)*2</f>
        <v>1848</v>
      </c>
      <c r="AG167" s="69">
        <f>(W167+Y167+AE167)*2+(M167+O167+S167)</f>
        <v>1155</v>
      </c>
    </row>
    <row r="168" spans="1:33" hidden="1" x14ac:dyDescent="0.35">
      <c r="A168" s="43" t="s">
        <v>139</v>
      </c>
      <c r="B168" s="43" t="s">
        <v>140</v>
      </c>
      <c r="C168" s="44">
        <v>20130424</v>
      </c>
      <c r="D168" s="44" t="str">
        <f>[1]!f_info_regulopenfundornot(A168)</f>
        <v>否</v>
      </c>
      <c r="E168" s="44" t="str">
        <f>[1]!f_dq_status(A168,$E$1)</f>
        <v>开放申购|开放赎回</v>
      </c>
      <c r="F168" s="40" t="str">
        <f>[1]!f_info_fundmanager(A168)</f>
        <v>唐赟</v>
      </c>
      <c r="G168" s="44">
        <v>20200714</v>
      </c>
      <c r="H168" s="45">
        <f>[1]!f_netasset_total(A168,$E$1,100000000)</f>
        <v>0.46963657619999999</v>
      </c>
      <c r="I168" s="45">
        <f>[1]!f_prt_convertiblebondtonav(A168,$E$1)</f>
        <v>3.3153033256530762</v>
      </c>
      <c r="J168" s="45">
        <f>[1]!f_prt_stocktonav(A168,$E$1)+0.5*I168</f>
        <v>3.7543356418609619</v>
      </c>
      <c r="K168" s="46">
        <v>0</v>
      </c>
      <c r="L168" s="59">
        <f>VLOOKUP(A168,二级筛选!A:Q,12,0)/100</f>
        <v>5.4797668741693784E-2</v>
      </c>
      <c r="M168" s="63">
        <v>103</v>
      </c>
      <c r="N168" s="48">
        <f>VLOOKUP(A168,二级筛选!A:U,19,0)</f>
        <v>0.62360586815942942</v>
      </c>
      <c r="O168" s="65">
        <v>111</v>
      </c>
      <c r="P168" s="48">
        <f>VLOOKUP(A168,二级筛选!A:Z,24,0)</f>
        <v>2.3454208069514699</v>
      </c>
      <c r="Q168" s="67">
        <v>79</v>
      </c>
      <c r="R168" s="48">
        <f>VLOOKUP(A168,二级筛选!A:AE,29,0)</f>
        <v>0.96638655462184875</v>
      </c>
      <c r="S168" s="67">
        <v>101</v>
      </c>
      <c r="T168" s="50">
        <f>VLOOKUP(A168,二级筛选!A:AJ,34,0)</f>
        <v>-2.3363683215942248</v>
      </c>
      <c r="U168" s="66">
        <v>70</v>
      </c>
      <c r="V168" s="49">
        <f>VLOOKUP(A168,二级筛选!A:AR,39,0)/100</f>
        <v>4.2814697222623543E-2</v>
      </c>
      <c r="W168" s="66">
        <v>149</v>
      </c>
      <c r="X168" s="48">
        <f>VLOOKUP(A168,二级筛选!A:AV,46,0)</f>
        <v>0.32557586674340011</v>
      </c>
      <c r="Y168" s="66">
        <v>153</v>
      </c>
      <c r="Z168" s="48">
        <f>VLOOKUP(A168,二级筛选!A:BA,51,0)</f>
        <v>1.1523634676777217</v>
      </c>
      <c r="AA168" s="66">
        <v>157</v>
      </c>
      <c r="AB168" s="48">
        <f>VLOOKUP(A168,二级筛选!A:BF,56,0)</f>
        <v>1</v>
      </c>
      <c r="AC168" s="66">
        <v>141</v>
      </c>
      <c r="AD168" s="48">
        <f>VLOOKUP(A168,二级筛选!A:BK,61,0)</f>
        <v>-3.7153813378781471</v>
      </c>
      <c r="AE168" s="66">
        <v>119</v>
      </c>
      <c r="AF168">
        <f>(M168+O168+Q168+S168+U168)+(W168+Y168+AA168+AC168+AE168)*2</f>
        <v>1902</v>
      </c>
      <c r="AG168" s="69">
        <f>(W168+Y168+AE168)*2+(M168+O168+S168)</f>
        <v>1157</v>
      </c>
    </row>
    <row r="169" spans="1:33" x14ac:dyDescent="0.35">
      <c r="A169" s="43" t="s">
        <v>213</v>
      </c>
      <c r="B169" s="43" t="s">
        <v>214</v>
      </c>
      <c r="C169" s="44">
        <v>20151217</v>
      </c>
      <c r="D169" s="44" t="str">
        <f>[1]!f_info_regulopenfundornot(A169)</f>
        <v>否</v>
      </c>
      <c r="E169" s="44" t="str">
        <f>[1]!f_dq_status(A169,$E$1)</f>
        <v>开放申购|开放赎回</v>
      </c>
      <c r="F169" s="40" t="str">
        <f>[1]!f_info_fundmanager(A169)</f>
        <v>赵端端</v>
      </c>
      <c r="G169" s="44">
        <v>20210619</v>
      </c>
      <c r="H169" s="45">
        <f>[1]!f_netasset_total(A169,$E$1,100000000)</f>
        <v>28.813703916399998</v>
      </c>
      <c r="I169" s="45">
        <f>[1]!f_prt_convertiblebondtonav(A169,$E$1)</f>
        <v>0</v>
      </c>
      <c r="J169" s="45">
        <f>[1]!f_prt_stocktonav(A169,$E$1)+0.5*I169</f>
        <v>1.5007185935974121</v>
      </c>
      <c r="K169" s="46">
        <v>11.407168635925441</v>
      </c>
      <c r="L169" s="59">
        <f>VLOOKUP(A169,二级筛选!A:Q,12,0)/100</f>
        <v>1.1885610744357678E-2</v>
      </c>
      <c r="M169" s="63">
        <v>184</v>
      </c>
      <c r="N169" s="48">
        <f>VLOOKUP(A169,二级筛选!A:U,19,0)</f>
        <v>-0.55088696198746678</v>
      </c>
      <c r="O169" s="65">
        <v>182</v>
      </c>
      <c r="P169" s="48">
        <f>VLOOKUP(A169,二级筛选!A:Z,24,0)</f>
        <v>0.1944485917776913</v>
      </c>
      <c r="Q169" s="67">
        <v>185</v>
      </c>
      <c r="R169" s="48">
        <f>VLOOKUP(A169,二级筛选!A:AE,29,0)</f>
        <v>0.76470588235294112</v>
      </c>
      <c r="S169" s="67">
        <v>157</v>
      </c>
      <c r="T169" s="50">
        <f>VLOOKUP(A169,二级筛选!A:AJ,34,0)</f>
        <v>-6.1124694376528215</v>
      </c>
      <c r="U169" s="66">
        <v>178</v>
      </c>
      <c r="V169" s="49">
        <f>VLOOKUP(A169,二级筛选!A:AR,39,0)/100</f>
        <v>7.2332784464301136E-2</v>
      </c>
      <c r="W169" s="66">
        <v>101</v>
      </c>
      <c r="X169" s="48">
        <f>VLOOKUP(A169,二级筛选!A:AV,46,0)</f>
        <v>1.1603719821440337</v>
      </c>
      <c r="Y169" s="66">
        <v>57</v>
      </c>
      <c r="Z169" s="48">
        <f>VLOOKUP(A169,二级筛选!A:BA,51,0)</f>
        <v>2.5378474092046304</v>
      </c>
      <c r="AA169" s="66">
        <v>77</v>
      </c>
      <c r="AB169" s="48">
        <f>VLOOKUP(A169,二级筛选!A:BF,56,0)</f>
        <v>0.91666666666666663</v>
      </c>
      <c r="AC169" s="66">
        <v>165</v>
      </c>
      <c r="AD169" s="48">
        <f>VLOOKUP(A169,二级筛选!A:BK,61,0)</f>
        <v>-2.8501628664495029</v>
      </c>
      <c r="AE169" s="66">
        <v>83</v>
      </c>
      <c r="AF169">
        <f>(M169+O169+Q169+S169+U169)+(W169+Y169+AA169+AC169+AE169)*2</f>
        <v>1852</v>
      </c>
      <c r="AG169" s="69">
        <f>(W169+Y169+AE169+U169)+(M169+O169+S169+AC169)</f>
        <v>1107</v>
      </c>
    </row>
    <row r="170" spans="1:33" x14ac:dyDescent="0.35">
      <c r="A170" s="43" t="s">
        <v>319</v>
      </c>
      <c r="B170" s="43" t="s">
        <v>320</v>
      </c>
      <c r="C170" s="44">
        <v>20170204</v>
      </c>
      <c r="D170" s="44" t="str">
        <f>[1]!f_info_regulopenfundornot(A170)</f>
        <v>否</v>
      </c>
      <c r="E170" s="44" t="str">
        <f>[1]!f_dq_status(A170,$E$1)</f>
        <v>暂停大额申购|开放赎回</v>
      </c>
      <c r="F170" s="40" t="str">
        <f>[1]!f_info_fundmanager(A170)</f>
        <v>周帅,陈保国</v>
      </c>
      <c r="G170" s="44">
        <v>20200728</v>
      </c>
      <c r="H170" s="45">
        <f>[1]!f_netasset_total(A170,$E$1,100000000)</f>
        <v>20.163522780000001</v>
      </c>
      <c r="I170" s="45">
        <f>[1]!f_prt_convertiblebondtonav(A170,$E$1)</f>
        <v>4.4341985136270523E-2</v>
      </c>
      <c r="J170" s="45">
        <f>[1]!f_prt_stocktonav(A170,$E$1)+0.5*I170</f>
        <v>2.6261305529624224</v>
      </c>
      <c r="K170" s="46">
        <v>4.82108216211215</v>
      </c>
      <c r="L170" s="59">
        <f>VLOOKUP(A170,二级筛选!A:Q,12,0)/100</f>
        <v>1.496628770496411E-2</v>
      </c>
      <c r="M170" s="63">
        <v>179</v>
      </c>
      <c r="N170" s="48">
        <f>VLOOKUP(A170,二级筛选!A:U,19,0)</f>
        <v>-1.4658285990648445</v>
      </c>
      <c r="O170" s="65">
        <v>195</v>
      </c>
      <c r="P170" s="48">
        <f>VLOOKUP(A170,二级筛选!A:Z,24,0)</f>
        <v>1.6505677297474803</v>
      </c>
      <c r="Q170" s="67">
        <v>120</v>
      </c>
      <c r="R170" s="48">
        <f>VLOOKUP(A170,二级筛选!A:AE,29,0)</f>
        <v>0.78991596638655459</v>
      </c>
      <c r="S170" s="67">
        <v>151</v>
      </c>
      <c r="T170" s="50">
        <f>VLOOKUP(A170,二级筛选!A:AJ,34,0)</f>
        <v>-0.90673575129533135</v>
      </c>
      <c r="U170" s="66">
        <v>19</v>
      </c>
      <c r="V170" s="49">
        <f>VLOOKUP(A170,二级筛选!A:AR,39,0)/100</f>
        <v>1.7185881730496844E-2</v>
      </c>
      <c r="W170" s="66">
        <v>188</v>
      </c>
      <c r="X170" s="48">
        <f>VLOOKUP(A170,二级筛选!A:AV,46,0)</f>
        <v>-1.4682460782846423</v>
      </c>
      <c r="Y170" s="66">
        <v>195</v>
      </c>
      <c r="Z170" s="48">
        <f>VLOOKUP(A170,二级筛选!A:BA,51,0)</f>
        <v>1.098080241025243</v>
      </c>
      <c r="AA170" s="66">
        <v>162</v>
      </c>
      <c r="AB170" s="48">
        <f>VLOOKUP(A170,二级筛选!A:BF,56,0)</f>
        <v>0.77500000000000002</v>
      </c>
      <c r="AC170" s="66">
        <v>181</v>
      </c>
      <c r="AD170" s="48">
        <f>VLOOKUP(A170,二级筛选!A:BK,61,0)</f>
        <v>-1.5650843252084132</v>
      </c>
      <c r="AE170" s="66">
        <v>20</v>
      </c>
      <c r="AF170">
        <f>(M170+O170+Q170+S170+U170)+(W170+Y170+AA170+AC170+AE170)*2</f>
        <v>2156</v>
      </c>
      <c r="AG170" s="69">
        <f>(W170+Y170+AE170+U170)+(M170+O170+S170+AC170)</f>
        <v>1128</v>
      </c>
    </row>
    <row r="171" spans="1:33" hidden="1" x14ac:dyDescent="0.35">
      <c r="A171" s="43" t="s">
        <v>51</v>
      </c>
      <c r="B171" s="43" t="s">
        <v>52</v>
      </c>
      <c r="C171" s="44">
        <v>20081230</v>
      </c>
      <c r="D171" s="44" t="str">
        <f>[1]!f_info_regulopenfundornot(A171)</f>
        <v>否</v>
      </c>
      <c r="E171" s="44" t="str">
        <f>[1]!f_dq_status(A171,$E$1)</f>
        <v>开放申购|开放赎回</v>
      </c>
      <c r="F171" s="40" t="str">
        <f>[1]!f_info_fundmanager(A171)</f>
        <v>章潇枫</v>
      </c>
      <c r="G171" s="44">
        <v>20190308</v>
      </c>
      <c r="H171" s="45">
        <f>[1]!f_netasset_total(A171,$E$1,100000000)</f>
        <v>9.8969640999999997E-2</v>
      </c>
      <c r="I171" s="45">
        <f>[1]!f_prt_convertiblebondtonav(A171,$E$1)</f>
        <v>4.724400520324707</v>
      </c>
      <c r="J171" s="45">
        <f>[1]!f_prt_stocktonav(A171,$E$1)+0.5*I171</f>
        <v>5.7541697025299072</v>
      </c>
      <c r="K171" s="46">
        <v>5.0874186761978857</v>
      </c>
      <c r="L171" s="59">
        <f>VLOOKUP(A171,二级筛选!A:Q,12,0)/100</f>
        <v>2.7330990561679203E-2</v>
      </c>
      <c r="M171" s="63">
        <v>168</v>
      </c>
      <c r="N171" s="48">
        <f>VLOOKUP(A171,二级筛选!A:U,19,0)</f>
        <v>-0.32721336005454921</v>
      </c>
      <c r="O171" s="65">
        <v>177</v>
      </c>
      <c r="P171" s="48">
        <f>VLOOKUP(A171,二级筛选!A:Z,24,0)</f>
        <v>5.7238903090603426</v>
      </c>
      <c r="Q171" s="67">
        <v>26</v>
      </c>
      <c r="R171" s="48">
        <f>VLOOKUP(A171,二级筛选!A:AE,29,0)</f>
        <v>1</v>
      </c>
      <c r="S171" s="67">
        <v>25</v>
      </c>
      <c r="T171" s="50">
        <f>VLOOKUP(A171,二级筛选!A:AJ,34,0)</f>
        <v>-0.47748976807639021</v>
      </c>
      <c r="U171" s="66">
        <v>8</v>
      </c>
      <c r="V171" s="49">
        <f>VLOOKUP(A171,二级筛选!A:AR,39,0)/100</f>
        <v>2.8043755142851623E-2</v>
      </c>
      <c r="W171" s="66">
        <v>169</v>
      </c>
      <c r="X171" s="48">
        <f>VLOOKUP(A171,二级筛选!A:AV,46,0)</f>
        <v>-0.1442367544460868</v>
      </c>
      <c r="Y171" s="66">
        <v>173</v>
      </c>
      <c r="Z171" s="48">
        <f>VLOOKUP(A171,二级筛选!A:BA,51,0)</f>
        <v>1.0708286503230988</v>
      </c>
      <c r="AA171" s="66">
        <v>166</v>
      </c>
      <c r="AB171" s="48">
        <f>VLOOKUP(A171,二级筛选!A:BF,56,0)</f>
        <v>0.81666666666666665</v>
      </c>
      <c r="AC171" s="66">
        <v>174</v>
      </c>
      <c r="AD171" s="48">
        <f>VLOOKUP(A171,二级筛选!A:BK,61,0)</f>
        <v>-2.6188835286009615</v>
      </c>
      <c r="AE171" s="66">
        <v>68</v>
      </c>
      <c r="AF171">
        <f>(M171+O171+Q171+S171+U171)+(W171+Y171+AA171+AC171+AE171)*2</f>
        <v>1904</v>
      </c>
      <c r="AG171" s="69">
        <f>(W171+Y171+AE171)*2+(M171+O171+S171)</f>
        <v>1190</v>
      </c>
    </row>
    <row r="172" spans="1:33" hidden="1" x14ac:dyDescent="0.35">
      <c r="A172" s="43" t="s">
        <v>347</v>
      </c>
      <c r="B172" s="43" t="s">
        <v>348</v>
      </c>
      <c r="C172" s="44">
        <v>20170915</v>
      </c>
      <c r="D172" s="44" t="str">
        <f>[1]!f_info_regulopenfundornot(A172)</f>
        <v>是</v>
      </c>
      <c r="E172" s="44" t="str">
        <f>[1]!f_dq_status(A172,$E$1)</f>
        <v>暂停申购|暂停赎回</v>
      </c>
      <c r="F172" s="40" t="str">
        <f>[1]!f_info_fundmanager(A172)</f>
        <v>梁钧</v>
      </c>
      <c r="G172" s="44">
        <v>20180922</v>
      </c>
      <c r="H172" s="45">
        <f>[1]!f_netasset_total(A172,$E$1,100000000)</f>
        <v>2.9167186845999997</v>
      </c>
      <c r="I172" s="45">
        <f>[1]!f_prt_convertiblebondtonav(A172,$E$1)</f>
        <v>21.250814437866211</v>
      </c>
      <c r="J172" s="45">
        <f>[1]!f_prt_stocktonav(A172,$E$1)+0.5*I172</f>
        <v>29.970667839050293</v>
      </c>
      <c r="K172" s="46">
        <v>13.783297035899549</v>
      </c>
      <c r="L172" s="59">
        <f>VLOOKUP(A172,二级筛选!A:Q,12,0)/100</f>
        <v>3.4749959566414468E-2</v>
      </c>
      <c r="M172" s="63">
        <v>156</v>
      </c>
      <c r="N172" s="48">
        <f>VLOOKUP(A172,二级筛选!A:U,19,0)</f>
        <v>2.7948593642391651E-2</v>
      </c>
      <c r="O172" s="65">
        <v>161</v>
      </c>
      <c r="P172" s="48">
        <f>VLOOKUP(A172,二级筛选!A:Z,24,0)</f>
        <v>0.55999480983577365</v>
      </c>
      <c r="Q172" s="67">
        <v>174</v>
      </c>
      <c r="R172" s="48">
        <f>VLOOKUP(A172,二级筛选!A:AE,29,0)</f>
        <v>0.40336134453781508</v>
      </c>
      <c r="S172" s="67">
        <v>187</v>
      </c>
      <c r="T172" s="50">
        <f>VLOOKUP(A172,二级筛选!A:AJ,34,0)</f>
        <v>-6.2054074352234405</v>
      </c>
      <c r="U172" s="66">
        <v>180</v>
      </c>
      <c r="V172" s="49">
        <f>VLOOKUP(A172,二级筛选!A:AR,39,0)/100</f>
        <v>0.13366800715115157</v>
      </c>
      <c r="W172" s="66">
        <v>22</v>
      </c>
      <c r="X172" s="48">
        <f>VLOOKUP(A172,二级筛选!A:AV,46,0)</f>
        <v>0.44207651755829158</v>
      </c>
      <c r="Y172" s="66">
        <v>142</v>
      </c>
      <c r="Z172" s="48">
        <f>VLOOKUP(A172,二级筛选!A:BA,51,0)</f>
        <v>1.7121106044282912</v>
      </c>
      <c r="AA172" s="66">
        <v>129</v>
      </c>
      <c r="AB172" s="48">
        <f>VLOOKUP(A172,二级筛选!A:BF,56,0)</f>
        <v>1</v>
      </c>
      <c r="AC172" s="66">
        <v>121</v>
      </c>
      <c r="AD172" s="48">
        <f>VLOOKUP(A172,二级筛选!A:BK,61,0)</f>
        <v>-7.807206310469998</v>
      </c>
      <c r="AE172" s="66">
        <v>184</v>
      </c>
      <c r="AF172">
        <f>(M172+O172+Q172+S172+U172)+(W172+Y172+AA172+AC172+AE172)*2</f>
        <v>2054</v>
      </c>
      <c r="AG172" s="69">
        <f>(W172+Y172+AE172)*2+(M172+O172+S172)</f>
        <v>1200</v>
      </c>
    </row>
    <row r="173" spans="1:33" hidden="1" x14ac:dyDescent="0.35">
      <c r="A173" s="43" t="s">
        <v>281</v>
      </c>
      <c r="B173" s="43" t="s">
        <v>282</v>
      </c>
      <c r="C173" s="44">
        <v>20161018</v>
      </c>
      <c r="D173" s="44" t="str">
        <f>[1]!f_info_regulopenfundornot(A173)</f>
        <v>是</v>
      </c>
      <c r="E173" s="44" t="str">
        <f>[1]!f_dq_status(A173,$E$1)</f>
        <v>暂停申购|暂停赎回</v>
      </c>
      <c r="F173" s="40" t="str">
        <f>[1]!f_info_fundmanager(A173)</f>
        <v>张文</v>
      </c>
      <c r="G173" s="44">
        <v>20210820</v>
      </c>
      <c r="H173" s="45">
        <f>[1]!f_netasset_total(A173,$E$1,100000000)</f>
        <v>0.18617896329999997</v>
      </c>
      <c r="I173" s="45">
        <f>[1]!f_prt_convertiblebondtonav(A173,$E$1)</f>
        <v>19.151346206665039</v>
      </c>
      <c r="J173" s="45">
        <f>[1]!f_prt_stocktonav(A173,$E$1)+0.5*I173</f>
        <v>16.95937967300415</v>
      </c>
      <c r="K173" s="46">
        <v>5.3931979327978139</v>
      </c>
      <c r="L173" s="59">
        <f>VLOOKUP(A173,二级筛选!A:Q,12,0)/100</f>
        <v>1.8653335245447877E-2</v>
      </c>
      <c r="M173" s="63">
        <v>175</v>
      </c>
      <c r="N173" s="48">
        <f>VLOOKUP(A173,二级筛选!A:U,19,0)</f>
        <v>-0.1746110540669471</v>
      </c>
      <c r="O173" s="65">
        <v>172</v>
      </c>
      <c r="P173" s="48">
        <f>VLOOKUP(A173,二级筛选!A:Z,24,0)</f>
        <v>0.54937364062887317</v>
      </c>
      <c r="Q173" s="67">
        <v>175</v>
      </c>
      <c r="R173" s="48">
        <f>VLOOKUP(A173,二级筛选!A:AE,29,0)</f>
        <v>0.61344537815126055</v>
      </c>
      <c r="S173" s="67">
        <v>177</v>
      </c>
      <c r="T173" s="50">
        <f>VLOOKUP(A173,二级筛选!A:AJ,34,0)</f>
        <v>-3.395382280099065</v>
      </c>
      <c r="U173" s="66">
        <v>111</v>
      </c>
      <c r="V173" s="49">
        <f>VLOOKUP(A173,二级筛选!A:AR,39,0)/100</f>
        <v>7.3265477923287081E-2</v>
      </c>
      <c r="W173" s="66">
        <v>99</v>
      </c>
      <c r="X173" s="48">
        <f>VLOOKUP(A173,二级筛选!A:AV,46,0)</f>
        <v>0.58996691943983237</v>
      </c>
      <c r="Y173" s="66">
        <v>130</v>
      </c>
      <c r="Z173" s="48">
        <f>VLOOKUP(A173,二级筛选!A:BA,51,0)</f>
        <v>1.9893207284369829</v>
      </c>
      <c r="AA173" s="66">
        <v>111</v>
      </c>
      <c r="AB173" s="48">
        <f>VLOOKUP(A173,二级筛选!A:BF,56,0)</f>
        <v>1</v>
      </c>
      <c r="AC173" s="66">
        <v>105</v>
      </c>
      <c r="AD173" s="48">
        <f>VLOOKUP(A173,二级筛选!A:BK,61,0)</f>
        <v>-3.6829394514403946</v>
      </c>
      <c r="AE173" s="66">
        <v>118</v>
      </c>
      <c r="AF173">
        <f>(M173+O173+Q173+S173+U173)+(W173+Y173+AA173+AC173+AE173)*2</f>
        <v>1936</v>
      </c>
      <c r="AG173" s="69">
        <f>(W173+Y173+AE173)*2+(M173+O173+S173)</f>
        <v>1218</v>
      </c>
    </row>
    <row r="174" spans="1:33" x14ac:dyDescent="0.35">
      <c r="A174" s="43" t="s">
        <v>55</v>
      </c>
      <c r="B174" s="43" t="s">
        <v>56</v>
      </c>
      <c r="C174" s="44">
        <v>20090323</v>
      </c>
      <c r="D174" s="44" t="str">
        <f>[1]!f_info_regulopenfundornot(A174)</f>
        <v>否</v>
      </c>
      <c r="E174" s="44" t="str">
        <f>[1]!f_dq_status(A174,$E$1)</f>
        <v>开放申购|开放赎回</v>
      </c>
      <c r="F174" s="40" t="str">
        <f>[1]!f_info_fundmanager(A174)</f>
        <v>周博洋,张博</v>
      </c>
      <c r="G174" s="44">
        <v>20180126</v>
      </c>
      <c r="H174" s="45">
        <f>[1]!f_netasset_total(A174,$E$1,100000000)</f>
        <v>32.030452746900004</v>
      </c>
      <c r="I174" s="45">
        <f>[1]!f_prt_convertiblebondtonav(A174,$E$1)</f>
        <v>3.030303955078125</v>
      </c>
      <c r="J174" s="45">
        <f>[1]!f_prt_stocktonav(A174,$E$1)+0.5*I174</f>
        <v>16.219552993774414</v>
      </c>
      <c r="K174" s="46">
        <v>3.8587340921043358</v>
      </c>
      <c r="L174" s="59">
        <f>VLOOKUP(A174,二级筛选!A:Q,12,0)/100</f>
        <v>3.1630043997235902E-2</v>
      </c>
      <c r="M174" s="63">
        <v>161</v>
      </c>
      <c r="N174" s="48">
        <f>VLOOKUP(A174,二级筛选!A:U,19,0)</f>
        <v>3.7651578024450974E-2</v>
      </c>
      <c r="O174" s="65">
        <v>159</v>
      </c>
      <c r="P174" s="48">
        <f>VLOOKUP(A174,二级筛选!A:Z,24,0)</f>
        <v>0.97636951601993927</v>
      </c>
      <c r="Q174" s="67">
        <v>162</v>
      </c>
      <c r="R174" s="48">
        <f>VLOOKUP(A174,二级筛选!A:AE,29,0)</f>
        <v>0.94117647058823528</v>
      </c>
      <c r="S174" s="67">
        <v>120</v>
      </c>
      <c r="T174" s="50">
        <f>VLOOKUP(A174,二级筛选!A:AJ,34,0)</f>
        <v>-3.239556692242116</v>
      </c>
      <c r="U174" s="66">
        <v>99</v>
      </c>
      <c r="V174" s="49">
        <f>VLOOKUP(A174,二级筛选!A:AR,39,0)/100</f>
        <v>5.4525895826635695E-2</v>
      </c>
      <c r="W174" s="66">
        <v>129</v>
      </c>
      <c r="X174" s="48">
        <f>VLOOKUP(A174,二级筛选!A:AV,46,0)</f>
        <v>0.35232493842885371</v>
      </c>
      <c r="Y174" s="66">
        <v>152</v>
      </c>
      <c r="Z174" s="48">
        <f>VLOOKUP(A174,二级筛选!A:BA,51,0)</f>
        <v>1.0157646722542601</v>
      </c>
      <c r="AA174" s="66">
        <v>169</v>
      </c>
      <c r="AB174" s="48">
        <f>VLOOKUP(A174,二级筛选!A:BF,56,0)</f>
        <v>0.98333333333333328</v>
      </c>
      <c r="AC174" s="66">
        <v>153</v>
      </c>
      <c r="AD174" s="48">
        <f>VLOOKUP(A174,二级筛选!A:BK,61,0)</f>
        <v>-5.3679653679653763</v>
      </c>
      <c r="AE174" s="66">
        <v>160</v>
      </c>
      <c r="AF174">
        <f>(M174+O174+Q174+S174+U174)+(W174+Y174+AA174+AC174+AE174)*2</f>
        <v>2227</v>
      </c>
      <c r="AG174" s="69">
        <f>(W174+Y174+AE174+U174)+(M174+O174+S174+AC174)</f>
        <v>1133</v>
      </c>
    </row>
    <row r="175" spans="1:33" hidden="1" x14ac:dyDescent="0.35">
      <c r="A175" s="43" t="s">
        <v>255</v>
      </c>
      <c r="B175" s="43" t="s">
        <v>256</v>
      </c>
      <c r="C175" s="44">
        <v>20160719</v>
      </c>
      <c r="D175" s="44" t="str">
        <f>[1]!f_info_regulopenfundornot(A175)</f>
        <v>否</v>
      </c>
      <c r="E175" s="44" t="str">
        <f>[1]!f_dq_status(A175,$E$1)</f>
        <v>开放申购|开放赎回</v>
      </c>
      <c r="F175" s="40" t="str">
        <f>[1]!f_info_fundmanager(A175)</f>
        <v>陈健宾</v>
      </c>
      <c r="G175" s="44">
        <v>20210416</v>
      </c>
      <c r="H175" s="45">
        <f>[1]!f_netasset_total(A175,$E$1,100000000)</f>
        <v>2.3408365660000001</v>
      </c>
      <c r="I175" s="45">
        <f>[1]!f_prt_convertiblebondtonav(A175,$E$1)</f>
        <v>8.1735343933105469</v>
      </c>
      <c r="J175" s="45">
        <f>[1]!f_prt_stocktonav(A175,$E$1)+0.5*I175</f>
        <v>4.0867671966552734</v>
      </c>
      <c r="K175" s="46">
        <v>43.39132491148893</v>
      </c>
      <c r="L175" s="59">
        <f>VLOOKUP(A175,二级筛选!A:Q,12,0)/100</f>
        <v>3.5132654757886517E-2</v>
      </c>
      <c r="M175" s="63">
        <v>155</v>
      </c>
      <c r="N175" s="48">
        <f>VLOOKUP(A175,二级筛选!A:U,19,0)</f>
        <v>0.23340106841094097</v>
      </c>
      <c r="O175" s="65">
        <v>148</v>
      </c>
      <c r="P175" s="48">
        <f>VLOOKUP(A175,二级筛选!A:Z,24,0)</f>
        <v>1.5079138354386716</v>
      </c>
      <c r="Q175" s="67">
        <v>127</v>
      </c>
      <c r="R175" s="48">
        <f>VLOOKUP(A175,二级筛选!A:AE,29,0)</f>
        <v>0.92436974789915971</v>
      </c>
      <c r="S175" s="67">
        <v>124</v>
      </c>
      <c r="T175" s="50">
        <f>VLOOKUP(A175,二级筛选!A:AJ,34,0)</f>
        <v>-2.3298847674320844</v>
      </c>
      <c r="U175" s="66">
        <v>69</v>
      </c>
      <c r="V175" s="49">
        <f>VLOOKUP(A175,二级筛选!A:AR,39,0)/100</f>
        <v>2.9728870962389964E-2</v>
      </c>
      <c r="W175" s="66">
        <v>167</v>
      </c>
      <c r="X175" s="48">
        <f>VLOOKUP(A175,二级筛选!A:AV,46,0)</f>
        <v>-1.2698834893760065E-2</v>
      </c>
      <c r="Y175" s="66">
        <v>167</v>
      </c>
      <c r="Z175" s="48">
        <f>VLOOKUP(A175,二级筛选!A:BA,51,0)</f>
        <v>1.1007965842420544</v>
      </c>
      <c r="AA175" s="66">
        <v>161</v>
      </c>
      <c r="AB175" s="48">
        <f>VLOOKUP(A175,二级筛选!A:BF,56,0)</f>
        <v>0.8</v>
      </c>
      <c r="AC175" s="66">
        <v>176</v>
      </c>
      <c r="AD175" s="48">
        <f>VLOOKUP(A175,二级筛选!A:BK,61,0)</f>
        <v>-2.7006688963210732</v>
      </c>
      <c r="AE175" s="66">
        <v>71</v>
      </c>
      <c r="AF175">
        <f>(M175+O175+Q175+S175+U175)+(W175+Y175+AA175+AC175+AE175)*2</f>
        <v>2107</v>
      </c>
      <c r="AG175" s="69">
        <f>(W175+Y175+AE175)*2+(M175+O175+S175)</f>
        <v>1237</v>
      </c>
    </row>
    <row r="176" spans="1:33" hidden="1" x14ac:dyDescent="0.35">
      <c r="A176" s="43" t="s">
        <v>361</v>
      </c>
      <c r="B176" s="43" t="s">
        <v>362</v>
      </c>
      <c r="C176" s="44">
        <v>20180125</v>
      </c>
      <c r="D176" s="44" t="str">
        <f>[1]!f_info_regulopenfundornot(A176)</f>
        <v>否</v>
      </c>
      <c r="E176" s="44" t="str">
        <f>[1]!f_dq_status(A176,$E$1)</f>
        <v>开放申购|开放赎回</v>
      </c>
      <c r="F176" s="40" t="str">
        <f>[1]!f_info_fundmanager(A176)</f>
        <v>林翟</v>
      </c>
      <c r="G176" s="44">
        <v>20200110</v>
      </c>
      <c r="H176" s="45">
        <f>[1]!f_netasset_total(A176,$E$1,100000000)</f>
        <v>3.4450027195999997</v>
      </c>
      <c r="I176" s="45">
        <f>[1]!f_prt_convertiblebondtonav(A176,$E$1)</f>
        <v>1.0103737115859985</v>
      </c>
      <c r="J176" s="45">
        <f>[1]!f_prt_stocktonav(A176,$E$1)+0.5*I176</f>
        <v>1.7926059365272522</v>
      </c>
      <c r="K176" s="46">
        <v>29.681253781962909</v>
      </c>
      <c r="L176" s="59">
        <f>VLOOKUP(A176,二级筛选!A:Q,12,0)/100</f>
        <v>4.3495793872310617E-2</v>
      </c>
      <c r="M176" s="63">
        <v>133</v>
      </c>
      <c r="N176" s="48">
        <f>VLOOKUP(A176,二级筛选!A:U,19,0)</f>
        <v>2.106356834686077</v>
      </c>
      <c r="O176" s="65">
        <v>11</v>
      </c>
      <c r="P176" s="48">
        <f>VLOOKUP(A176,二级筛选!A:Z,24,0)</f>
        <v>5.0403115051380283</v>
      </c>
      <c r="Q176" s="67">
        <v>35</v>
      </c>
      <c r="R176" s="48">
        <f>VLOOKUP(A176,二级筛选!A:AE,29,0)</f>
        <v>1</v>
      </c>
      <c r="S176" s="67">
        <v>34</v>
      </c>
      <c r="T176" s="50">
        <f>VLOOKUP(A176,二级筛选!A:AJ,34,0)</f>
        <v>-0.86295844667480504</v>
      </c>
      <c r="U176" s="66">
        <v>18</v>
      </c>
      <c r="V176" s="49">
        <f>VLOOKUP(A176,二级筛选!A:AR,39,0)/100</f>
        <v>7.2669254595789656E-3</v>
      </c>
      <c r="W176" s="66">
        <v>194</v>
      </c>
      <c r="X176" s="48">
        <f>VLOOKUP(A176,二级筛选!A:AV,46,0)</f>
        <v>-0.41664509008302653</v>
      </c>
      <c r="Y176" s="66">
        <v>182</v>
      </c>
      <c r="Z176" s="48">
        <f>VLOOKUP(A176,二级筛选!A:BA,51,0)</f>
        <v>0.15354718321168373</v>
      </c>
      <c r="AA176" s="66">
        <v>194</v>
      </c>
      <c r="AB176" s="48">
        <f>VLOOKUP(A176,二级筛选!A:BF,56,0)</f>
        <v>0.38333333333333341</v>
      </c>
      <c r="AC176" s="66">
        <v>194</v>
      </c>
      <c r="AD176" s="48">
        <f>VLOOKUP(A176,二级筛选!A:BK,61,0)</f>
        <v>-4.7326986451849216</v>
      </c>
      <c r="AE176" s="66">
        <v>154</v>
      </c>
      <c r="AF176">
        <f>(M176+O176+Q176+S176+U176)+(W176+Y176+AA176+AC176+AE176)*2</f>
        <v>2067</v>
      </c>
      <c r="AG176" s="69">
        <f>(W176+Y176+AE176)*2+(M176+O176+S176)</f>
        <v>1238</v>
      </c>
    </row>
    <row r="177" spans="1:33" hidden="1" x14ac:dyDescent="0.35">
      <c r="A177" s="43" t="s">
        <v>21</v>
      </c>
      <c r="B177" s="43" t="s">
        <v>22</v>
      </c>
      <c r="C177" s="44">
        <v>20060413</v>
      </c>
      <c r="D177" s="44" t="str">
        <f>[1]!f_info_regulopenfundornot(A177)</f>
        <v>否</v>
      </c>
      <c r="E177" s="44" t="str">
        <f>[1]!f_dq_status(A177,$E$1)</f>
        <v>开放申购|开放赎回</v>
      </c>
      <c r="F177" s="40" t="str">
        <f>[1]!f_info_fundmanager(A177)</f>
        <v>王烨斌</v>
      </c>
      <c r="G177" s="44">
        <v>20210203</v>
      </c>
      <c r="H177" s="45">
        <f>[1]!f_netasset_total(A177,$E$1,100000000)</f>
        <v>0.53337966299999995</v>
      </c>
      <c r="I177" s="45">
        <f>[1]!f_prt_convertiblebondtonav(A177,$E$1)</f>
        <v>27.724880218505859</v>
      </c>
      <c r="J177" s="45">
        <f>[1]!f_prt_stocktonav(A177,$E$1)+0.5*I177</f>
        <v>13.86244010925293</v>
      </c>
      <c r="K177" s="46">
        <v>9.3601244035432973</v>
      </c>
      <c r="L177" s="59">
        <f>VLOOKUP(A177,二级筛选!A:Q,12,0)/100</f>
        <v>3.2656562490825269E-2</v>
      </c>
      <c r="M177" s="63">
        <v>160</v>
      </c>
      <c r="N177" s="48">
        <f>VLOOKUP(A177,二级筛选!A:U,19,0)</f>
        <v>0.16166197786063263</v>
      </c>
      <c r="O177" s="65">
        <v>156</v>
      </c>
      <c r="P177" s="48">
        <f>VLOOKUP(A177,二级筛选!A:Z,24,0)</f>
        <v>2.5084468900326859</v>
      </c>
      <c r="Q177" s="67">
        <v>72</v>
      </c>
      <c r="R177" s="48">
        <f>VLOOKUP(A177,二级筛选!A:AE,29,0)</f>
        <v>1</v>
      </c>
      <c r="S177" s="67">
        <v>63</v>
      </c>
      <c r="T177" s="50">
        <f>VLOOKUP(A177,二级筛选!A:AJ,34,0)</f>
        <v>-1.3018638194249248</v>
      </c>
      <c r="U177" s="66">
        <v>35</v>
      </c>
      <c r="V177" s="49">
        <f>VLOOKUP(A177,二级筛选!A:AR,39,0)/100</f>
        <v>2.509443949220036E-2</v>
      </c>
      <c r="W177" s="66">
        <v>172</v>
      </c>
      <c r="X177" s="48">
        <f>VLOOKUP(A177,二级筛选!A:AV,46,0)</f>
        <v>-0.37560526608250916</v>
      </c>
      <c r="Y177" s="66">
        <v>181</v>
      </c>
      <c r="Z177" s="48">
        <f>VLOOKUP(A177,二级筛选!A:BA,51,0)</f>
        <v>0.88051238504880225</v>
      </c>
      <c r="AA177" s="66">
        <v>173</v>
      </c>
      <c r="AB177" s="48">
        <f>VLOOKUP(A177,二级筛选!A:BF,56,0)</f>
        <v>0.79166666666666663</v>
      </c>
      <c r="AC177" s="66">
        <v>178</v>
      </c>
      <c r="AD177" s="48">
        <f>VLOOKUP(A177,二级筛选!A:BK,61,0)</f>
        <v>-2.849981433345711</v>
      </c>
      <c r="AE177" s="66">
        <v>82</v>
      </c>
      <c r="AF177">
        <f>(M177+O177+Q177+S177+U177)+(W177+Y177+AA177+AC177+AE177)*2</f>
        <v>2058</v>
      </c>
      <c r="AG177" s="69">
        <f>(W177+Y177+AE177)*2+(M177+O177+S177)</f>
        <v>1249</v>
      </c>
    </row>
    <row r="178" spans="1:33" hidden="1" x14ac:dyDescent="0.35">
      <c r="A178" s="43" t="s">
        <v>299</v>
      </c>
      <c r="B178" s="43" t="s">
        <v>300</v>
      </c>
      <c r="C178" s="44">
        <v>20161118</v>
      </c>
      <c r="D178" s="44" t="str">
        <f>[1]!f_info_regulopenfundornot(A178)</f>
        <v>否</v>
      </c>
      <c r="E178" s="44" t="str">
        <f>[1]!f_dq_status(A178,$E$1)</f>
        <v>暂停大额申购|开放赎回</v>
      </c>
      <c r="F178" s="40" t="str">
        <f>[1]!f_info_fundmanager(A178)</f>
        <v>郎振东,邱世磊</v>
      </c>
      <c r="G178" s="44">
        <v>20210409</v>
      </c>
      <c r="H178" s="45">
        <f>[1]!f_netasset_total(A178,$E$1,100000000)</f>
        <v>7.7857879761</v>
      </c>
      <c r="I178" s="45">
        <f>[1]!f_prt_convertiblebondtonav(A178,$E$1)</f>
        <v>0.48041853308677673</v>
      </c>
      <c r="J178" s="45">
        <f>[1]!f_prt_stocktonav(A178,$E$1)+0.5*I178</f>
        <v>7.9752170294523239</v>
      </c>
      <c r="K178" s="46">
        <v>31.03590808557313</v>
      </c>
      <c r="L178" s="59">
        <f>VLOOKUP(A178,二级筛选!A:Q,12,0)/100</f>
        <v>2.8997205755918687E-2</v>
      </c>
      <c r="M178" s="63">
        <v>164</v>
      </c>
      <c r="N178" s="48">
        <f>VLOOKUP(A178,二级筛选!A:U,19,0)</f>
        <v>-6.6640176877639304E-2</v>
      </c>
      <c r="O178" s="65">
        <v>165</v>
      </c>
      <c r="P178" s="48">
        <f>VLOOKUP(A178,二级筛选!A:Z,24,0)</f>
        <v>1.7835007564041918</v>
      </c>
      <c r="Q178" s="67">
        <v>109</v>
      </c>
      <c r="R178" s="48">
        <f>VLOOKUP(A178,二级筛选!A:AE,29,0)</f>
        <v>1</v>
      </c>
      <c r="S178" s="67">
        <v>85</v>
      </c>
      <c r="T178" s="50">
        <f>VLOOKUP(A178,二级筛选!A:AJ,34,0)</f>
        <v>-1.6258588986741702</v>
      </c>
      <c r="U178" s="66">
        <v>47</v>
      </c>
      <c r="V178" s="49">
        <f>VLOOKUP(A178,二级筛选!A:AR,39,0)/100</f>
        <v>2.3370508436705739E-2</v>
      </c>
      <c r="W178" s="66">
        <v>179</v>
      </c>
      <c r="X178" s="48">
        <f>VLOOKUP(A178,二级筛选!A:AV,46,0)</f>
        <v>-0.61830108975549636</v>
      </c>
      <c r="Y178" s="66">
        <v>188</v>
      </c>
      <c r="Z178" s="48">
        <f>VLOOKUP(A178,二级筛选!A:BA,51,0)</f>
        <v>1.0139723063711423</v>
      </c>
      <c r="AA178" s="66">
        <v>170</v>
      </c>
      <c r="AB178" s="48">
        <f>VLOOKUP(A178,二级筛选!A:BF,56,0)</f>
        <v>0.85</v>
      </c>
      <c r="AC178" s="66">
        <v>171</v>
      </c>
      <c r="AD178" s="48">
        <f>VLOOKUP(A178,二级筛选!A:BK,61,0)</f>
        <v>-2.3048468177938064</v>
      </c>
      <c r="AE178" s="66">
        <v>52</v>
      </c>
      <c r="AF178">
        <f>(M178+O178+Q178+S178+U178)+(W178+Y178+AA178+AC178+AE178)*2</f>
        <v>2090</v>
      </c>
      <c r="AG178" s="69">
        <f>(W178+Y178+AE178)*2+(M178+O178+S178)</f>
        <v>1252</v>
      </c>
    </row>
    <row r="179" spans="1:33" hidden="1" x14ac:dyDescent="0.35">
      <c r="A179" s="43" t="s">
        <v>61</v>
      </c>
      <c r="B179" s="43" t="s">
        <v>62</v>
      </c>
      <c r="C179" s="44">
        <v>20090602</v>
      </c>
      <c r="D179" s="44" t="str">
        <f>[1]!f_info_regulopenfundornot(A179)</f>
        <v>否</v>
      </c>
      <c r="E179" s="44" t="str">
        <f>[1]!f_dq_status(A179,$E$1)</f>
        <v>暂停大额申购|开放赎回</v>
      </c>
      <c r="F179" s="40" t="str">
        <f>[1]!f_info_fundmanager(A179)</f>
        <v>牛兴华</v>
      </c>
      <c r="G179" s="44">
        <v>20210930</v>
      </c>
      <c r="H179" s="45">
        <f>[1]!f_netasset_total(A179,$E$1,100000000)</f>
        <v>1.0534751023</v>
      </c>
      <c r="I179" s="45">
        <f>[1]!f_prt_convertiblebondtonav(A179,$E$1)</f>
        <v>1.8687236309051514</v>
      </c>
      <c r="J179" s="45">
        <f>[1]!f_prt_stocktonav(A179,$E$1)+0.5*I179</f>
        <v>10.585990309715271</v>
      </c>
      <c r="K179" s="46">
        <v>0</v>
      </c>
      <c r="L179" s="59">
        <f>VLOOKUP(A179,二级筛选!A:Q,12,0)/100</f>
        <v>2.8905178179472468E-2</v>
      </c>
      <c r="M179" s="63">
        <v>165</v>
      </c>
      <c r="N179" s="48">
        <f>VLOOKUP(A179,二级筛选!A:U,19,0)</f>
        <v>-1.9341119163994482E-2</v>
      </c>
      <c r="O179" s="65">
        <v>164</v>
      </c>
      <c r="P179" s="48">
        <f>VLOOKUP(A179,二级筛选!A:Z,24,0)</f>
        <v>0.48608432663278006</v>
      </c>
      <c r="Q179" s="67">
        <v>178</v>
      </c>
      <c r="R179" s="48">
        <f>VLOOKUP(A179,二级筛选!A:AE,29,0)</f>
        <v>0.6470588235294118</v>
      </c>
      <c r="S179" s="67">
        <v>174</v>
      </c>
      <c r="T179" s="50">
        <f>VLOOKUP(A179,二级筛选!A:AJ,34,0)</f>
        <v>-5.9465357337697773</v>
      </c>
      <c r="U179" s="66">
        <v>174</v>
      </c>
      <c r="V179" s="49">
        <f>VLOOKUP(A179,二级筛选!A:AR,39,0)/100</f>
        <v>6.8959176482403572E-2</v>
      </c>
      <c r="W179" s="66">
        <v>106</v>
      </c>
      <c r="X179" s="48">
        <f>VLOOKUP(A179,二级筛选!A:AV,46,0)</f>
        <v>0.60769160412502121</v>
      </c>
      <c r="Y179" s="66">
        <v>129</v>
      </c>
      <c r="Z179" s="48">
        <f>VLOOKUP(A179,二级筛选!A:BA,51,0)</f>
        <v>1.5973968141334867</v>
      </c>
      <c r="AA179" s="66">
        <v>139</v>
      </c>
      <c r="AB179" s="48">
        <f>VLOOKUP(A179,二级筛选!A:BF,56,0)</f>
        <v>1</v>
      </c>
      <c r="AC179" s="66">
        <v>128</v>
      </c>
      <c r="AD179" s="48">
        <f>VLOOKUP(A179,二级筛选!A:BK,61,0)</f>
        <v>-4.3169722057953841</v>
      </c>
      <c r="AE179" s="66">
        <v>142</v>
      </c>
      <c r="AF179">
        <f>(M179+O179+Q179+S179+U179)+(W179+Y179+AA179+AC179+AE179)*2</f>
        <v>2143</v>
      </c>
      <c r="AG179" s="69">
        <f>(W179+Y179+AE179)*2+(M179+O179+S179)</f>
        <v>1257</v>
      </c>
    </row>
    <row r="180" spans="1:33" hidden="1" x14ac:dyDescent="0.35">
      <c r="A180" s="43" t="s">
        <v>209</v>
      </c>
      <c r="B180" s="43" t="s">
        <v>210</v>
      </c>
      <c r="C180" s="44">
        <v>20151116</v>
      </c>
      <c r="D180" s="44" t="str">
        <f>[1]!f_info_regulopenfundornot(A180)</f>
        <v>否</v>
      </c>
      <c r="E180" s="44" t="str">
        <f>[1]!f_dq_status(A180,$E$1)</f>
        <v>开放申购|开放赎回</v>
      </c>
      <c r="F180" s="40" t="str">
        <f>[1]!f_info_fundmanager(A180)</f>
        <v>冯彬</v>
      </c>
      <c r="G180" s="44">
        <v>20191011</v>
      </c>
      <c r="H180" s="45">
        <f>[1]!f_netasset_total(A180,$E$1,100000000)</f>
        <v>1.4423064793</v>
      </c>
      <c r="I180" s="45">
        <f>[1]!f_prt_convertiblebondtonav(A180,$E$1)</f>
        <v>4.5952134132385254</v>
      </c>
      <c r="J180" s="45">
        <f>[1]!f_prt_stocktonav(A180,$E$1)+0.5*I180</f>
        <v>12.3161461353302</v>
      </c>
      <c r="K180" s="46">
        <v>21.0718043884475</v>
      </c>
      <c r="L180" s="59">
        <f>VLOOKUP(A180,二级筛选!A:Q,12,0)/100</f>
        <v>1.2216868311571094E-2</v>
      </c>
      <c r="M180" s="63">
        <v>183</v>
      </c>
      <c r="N180" s="48">
        <f>VLOOKUP(A180,二级筛选!A:U,19,0)</f>
        <v>-0.99359908141641584</v>
      </c>
      <c r="O180" s="65">
        <v>189</v>
      </c>
      <c r="P180" s="48">
        <f>VLOOKUP(A180,二级筛选!A:Z,24,0)</f>
        <v>0.94797302585588716</v>
      </c>
      <c r="Q180" s="67">
        <v>163</v>
      </c>
      <c r="R180" s="48">
        <f>VLOOKUP(A180,二级筛选!A:AE,29,0)</f>
        <v>0.74789915966386555</v>
      </c>
      <c r="S180" s="67">
        <v>159</v>
      </c>
      <c r="T180" s="50">
        <f>VLOOKUP(A180,二级筛选!A:AJ,34,0)</f>
        <v>-1.2887358583374215</v>
      </c>
      <c r="U180" s="66">
        <v>33</v>
      </c>
      <c r="V180" s="49">
        <f>VLOOKUP(A180,二级筛选!A:AR,39,0)/100</f>
        <v>2.3022420885317141E-2</v>
      </c>
      <c r="W180" s="66">
        <v>180</v>
      </c>
      <c r="X180" s="48">
        <f>VLOOKUP(A180,二级筛选!A:AV,46,0)</f>
        <v>-0.60887451511241819</v>
      </c>
      <c r="Y180" s="66">
        <v>187</v>
      </c>
      <c r="Z180" s="48">
        <f>VLOOKUP(A180,二级筛选!A:BA,51,0)</f>
        <v>1.8765160105212608</v>
      </c>
      <c r="AA180" s="66">
        <v>124</v>
      </c>
      <c r="AB180" s="48">
        <f>VLOOKUP(A180,二级筛选!A:BF,56,0)</f>
        <v>1</v>
      </c>
      <c r="AC180" s="66">
        <v>116</v>
      </c>
      <c r="AD180" s="48">
        <f>VLOOKUP(A180,二级筛选!A:BK,61,0)</f>
        <v>-1.2268704746580843</v>
      </c>
      <c r="AE180" s="66">
        <v>11</v>
      </c>
      <c r="AF180">
        <f>(M180+O180+Q180+S180+U180)+(W180+Y180+AA180+AC180+AE180)*2</f>
        <v>1963</v>
      </c>
      <c r="AG180" s="69">
        <f>(W180+Y180+AE180)*2+(M180+O180+S180)</f>
        <v>1287</v>
      </c>
    </row>
    <row r="181" spans="1:33" hidden="1" x14ac:dyDescent="0.35">
      <c r="A181" s="43" t="s">
        <v>277</v>
      </c>
      <c r="B181" s="43" t="s">
        <v>278</v>
      </c>
      <c r="C181" s="44">
        <v>20160923</v>
      </c>
      <c r="D181" s="44" t="str">
        <f>[1]!f_info_regulopenfundornot(A181)</f>
        <v>否</v>
      </c>
      <c r="E181" s="44" t="str">
        <f>[1]!f_dq_status(A181,$E$1)</f>
        <v>开放申购|开放赎回</v>
      </c>
      <c r="F181" s="40" t="str">
        <f>[1]!f_info_fundmanager(A181)</f>
        <v>曾健飞</v>
      </c>
      <c r="G181" s="44">
        <v>20190809</v>
      </c>
      <c r="H181" s="45">
        <f>[1]!f_netasset_total(A181,$E$1,100000000)</f>
        <v>0.54842233279999997</v>
      </c>
      <c r="I181" s="45">
        <f>[1]!f_prt_convertiblebondtonav(A181,$E$1)</f>
        <v>1.3406821489334106</v>
      </c>
      <c r="J181" s="45">
        <f>[1]!f_prt_stocktonav(A181,$E$1)+0.5*I181</f>
        <v>18.831716120243073</v>
      </c>
      <c r="K181" s="46">
        <v>0</v>
      </c>
      <c r="L181" s="59">
        <f>VLOOKUP(A181,二级筛选!A:Q,12,0)/100</f>
        <v>4.1760636021449082E-2</v>
      </c>
      <c r="M181" s="63">
        <v>138</v>
      </c>
      <c r="N181" s="48">
        <f>VLOOKUP(A181,二级筛选!A:U,19,0)</f>
        <v>0.23155824750245629</v>
      </c>
      <c r="O181" s="65">
        <v>149</v>
      </c>
      <c r="P181" s="48">
        <f>VLOOKUP(A181,二级筛选!A:Z,24,0)</f>
        <v>1.4803964948122361</v>
      </c>
      <c r="Q181" s="67">
        <v>129</v>
      </c>
      <c r="R181" s="48">
        <f>VLOOKUP(A181,二级筛选!A:AE,29,0)</f>
        <v>0.87394957983193278</v>
      </c>
      <c r="S181" s="67">
        <v>135</v>
      </c>
      <c r="T181" s="50">
        <f>VLOOKUP(A181,二级筛选!A:AJ,34,0)</f>
        <v>-2.8209088691976221</v>
      </c>
      <c r="U181" s="66">
        <v>87</v>
      </c>
      <c r="V181" s="49">
        <f>VLOOKUP(A181,二级筛选!A:AR,39,0)/100</f>
        <v>1.4600829831241446E-2</v>
      </c>
      <c r="W181" s="66">
        <v>190</v>
      </c>
      <c r="X181" s="48">
        <f>VLOOKUP(A181,二级筛选!A:AV,46,0)</f>
        <v>-0.80085736755173031</v>
      </c>
      <c r="Y181" s="66">
        <v>193</v>
      </c>
      <c r="Z181" s="48">
        <f>VLOOKUP(A181,二级筛选!A:BA,51,0)</f>
        <v>0.58072965353923645</v>
      </c>
      <c r="AA181" s="66">
        <v>186</v>
      </c>
      <c r="AB181" s="48">
        <f>VLOOKUP(A181,二级筛选!A:BF,56,0)</f>
        <v>0.84166666666666667</v>
      </c>
      <c r="AC181" s="66">
        <v>173</v>
      </c>
      <c r="AD181" s="48">
        <f>VLOOKUP(A181,二级筛选!A:BK,61,0)</f>
        <v>-2.5142215043191274</v>
      </c>
      <c r="AE181" s="66">
        <v>62</v>
      </c>
      <c r="AF181">
        <f>(M181+O181+Q181+S181+U181)+(W181+Y181+AA181+AC181+AE181)*2</f>
        <v>2246</v>
      </c>
      <c r="AG181" s="69">
        <f>(W181+Y181+AE181)*2+(M181+O181+S181)</f>
        <v>1312</v>
      </c>
    </row>
    <row r="182" spans="1:33" hidden="1" x14ac:dyDescent="0.35">
      <c r="A182" s="43" t="s">
        <v>289</v>
      </c>
      <c r="B182" s="43" t="s">
        <v>290</v>
      </c>
      <c r="C182" s="44">
        <v>20161102</v>
      </c>
      <c r="D182" s="44" t="str">
        <f>[1]!f_info_regulopenfundornot(A182)</f>
        <v>是</v>
      </c>
      <c r="E182" s="44" t="str">
        <f>[1]!f_dq_status(A182,$E$1)</f>
        <v>暂停申购|暂停赎回</v>
      </c>
      <c r="F182" s="40" t="str">
        <f>[1]!f_info_fundmanager(A182)</f>
        <v>李敏,周晖</v>
      </c>
      <c r="G182" s="44">
        <v>20200217</v>
      </c>
      <c r="H182" s="45">
        <f>[1]!f_netasset_total(A182,$E$1,100000000)</f>
        <v>5.2830295071000002</v>
      </c>
      <c r="I182" s="45">
        <f>[1]!f_prt_convertiblebondtonav(A182,$E$1)</f>
        <v>22.797199249267578</v>
      </c>
      <c r="J182" s="45">
        <f>[1]!f_prt_stocktonav(A182,$E$1)+0.5*I182</f>
        <v>11.398599624633789</v>
      </c>
      <c r="K182" s="46">
        <v>9.51064156133795</v>
      </c>
      <c r="L182" s="59">
        <f>VLOOKUP(A182,二级筛选!A:Q,12,0)/100</f>
        <v>4.5125365515293892E-2</v>
      </c>
      <c r="M182" s="63">
        <v>128</v>
      </c>
      <c r="N182" s="48">
        <f>VLOOKUP(A182,二级筛选!A:U,19,0)</f>
        <v>0.23373168418784884</v>
      </c>
      <c r="O182" s="65">
        <v>147</v>
      </c>
      <c r="P182" s="48">
        <f>VLOOKUP(A182,二级筛选!A:Z,24,0)</f>
        <v>3.3184724964980568</v>
      </c>
      <c r="Q182" s="67">
        <v>55</v>
      </c>
      <c r="R182" s="48">
        <f>VLOOKUP(A182,二级筛选!A:AE,29,0)</f>
        <v>1</v>
      </c>
      <c r="S182" s="67">
        <v>51</v>
      </c>
      <c r="T182" s="50">
        <f>VLOOKUP(A182,二级筛选!A:AJ,34,0)</f>
        <v>-1.3598233995585058</v>
      </c>
      <c r="U182" s="66">
        <v>38</v>
      </c>
      <c r="V182" s="49">
        <f>VLOOKUP(A182,二级筛选!A:AR,39,0)/100</f>
        <v>1.225766164864206E-2</v>
      </c>
      <c r="W182" s="66">
        <v>192</v>
      </c>
      <c r="X182" s="48">
        <f>VLOOKUP(A182,二级筛选!A:AV,46,0)</f>
        <v>-0.20637688136949972</v>
      </c>
      <c r="Y182" s="66">
        <v>174</v>
      </c>
      <c r="Z182" s="48">
        <f>VLOOKUP(A182,二级筛选!A:BA,51,0)</f>
        <v>0.30239968295690878</v>
      </c>
      <c r="AA182" s="66">
        <v>193</v>
      </c>
      <c r="AB182" s="48">
        <f>VLOOKUP(A182,二级筛选!A:BF,56,0)</f>
        <v>0.8</v>
      </c>
      <c r="AC182" s="66">
        <v>177</v>
      </c>
      <c r="AD182" s="48">
        <f>VLOOKUP(A182,二级筛选!A:BK,61,0)</f>
        <v>-4.0534637896392063</v>
      </c>
      <c r="AE182" s="66">
        <v>130</v>
      </c>
      <c r="AF182">
        <f>(M182+O182+Q182+S182+U182)+(W182+Y182+AA182+AC182+AE182)*2</f>
        <v>2151</v>
      </c>
      <c r="AG182" s="69">
        <f>(W182+Y182+AE182)*2+(M182+O182+S182)</f>
        <v>1318</v>
      </c>
    </row>
    <row r="183" spans="1:33" x14ac:dyDescent="0.35">
      <c r="A183" s="43" t="s">
        <v>119</v>
      </c>
      <c r="B183" s="43" t="s">
        <v>120</v>
      </c>
      <c r="C183" s="44">
        <v>20120828</v>
      </c>
      <c r="D183" s="44" t="str">
        <f>[1]!f_info_regulopenfundornot(A183)</f>
        <v>否</v>
      </c>
      <c r="E183" s="44" t="str">
        <f>[1]!f_dq_status(A183,$E$1)</f>
        <v>暂停大额申购|开放赎回</v>
      </c>
      <c r="F183" s="40" t="str">
        <f>[1]!f_info_fundmanager(A183)</f>
        <v>李轶</v>
      </c>
      <c r="G183" s="44">
        <v>20120828</v>
      </c>
      <c r="H183" s="45">
        <f>[1]!f_netasset_total(A183,$E$1,100000000)</f>
        <v>11.911457782100001</v>
      </c>
      <c r="I183" s="45">
        <f>[1]!f_prt_convertiblebondtonav(A183,$E$1)</f>
        <v>19.021020889282227</v>
      </c>
      <c r="J183" s="45">
        <f>[1]!f_prt_stocktonav(A183,$E$1)+0.5*I183</f>
        <v>24.740480422973633</v>
      </c>
      <c r="K183" s="46">
        <v>21.624389282315772</v>
      </c>
      <c r="L183" s="59">
        <f>VLOOKUP(A183,二级筛选!A:Q,12,0)/100</f>
        <v>1.133819001056402E-2</v>
      </c>
      <c r="M183" s="63">
        <v>185</v>
      </c>
      <c r="N183" s="48">
        <f>VLOOKUP(A183,二级筛选!A:U,19,0)</f>
        <v>-0.33810797389107339</v>
      </c>
      <c r="O183" s="65">
        <v>178</v>
      </c>
      <c r="P183" s="48">
        <f>VLOOKUP(A183,二级筛选!A:Z,24,0)</f>
        <v>0.19693943083566631</v>
      </c>
      <c r="Q183" s="67">
        <v>184</v>
      </c>
      <c r="R183" s="48">
        <f>VLOOKUP(A183,二级筛选!A:AE,29,0)</f>
        <v>0.74789915966386555</v>
      </c>
      <c r="S183" s="67">
        <v>160</v>
      </c>
      <c r="T183" s="50">
        <f>VLOOKUP(A183,二级筛选!A:AJ,34,0)</f>
        <v>-5.7571964956195254</v>
      </c>
      <c r="U183" s="66">
        <v>171</v>
      </c>
      <c r="V183" s="49">
        <f>VLOOKUP(A183,二级筛选!A:AR,39,0)/100</f>
        <v>7.9648812864856477E-2</v>
      </c>
      <c r="W183" s="66">
        <v>84</v>
      </c>
      <c r="X183" s="48">
        <f>VLOOKUP(A183,二级筛选!A:AV,46,0)</f>
        <v>0.88861190016669933</v>
      </c>
      <c r="Y183" s="66">
        <v>96</v>
      </c>
      <c r="Z183" s="48">
        <f>VLOOKUP(A183,二级筛选!A:BA,51,0)</f>
        <v>1.7654028082243467</v>
      </c>
      <c r="AA183" s="66">
        <v>128</v>
      </c>
      <c r="AB183" s="48">
        <f>VLOOKUP(A183,二级筛选!A:BF,56,0)</f>
        <v>1</v>
      </c>
      <c r="AC183" s="66">
        <v>120</v>
      </c>
      <c r="AD183" s="48">
        <f>VLOOKUP(A183,二级筛选!A:BK,61,0)</f>
        <v>-4.5116509667823488</v>
      </c>
      <c r="AE183" s="66">
        <v>146</v>
      </c>
      <c r="AF183">
        <f>(M183+O183+Q183+S183+U183)+(W183+Y183+AA183+AC183+AE183)*2</f>
        <v>2026</v>
      </c>
      <c r="AG183" s="69">
        <f>(W183+Y183+AE183+U183)+(M183+O183+S183+AC183)</f>
        <v>1140</v>
      </c>
    </row>
    <row r="184" spans="1:33" x14ac:dyDescent="0.35">
      <c r="A184" s="43" t="s">
        <v>355</v>
      </c>
      <c r="B184" s="43" t="s">
        <v>356</v>
      </c>
      <c r="C184" s="44">
        <v>20171228</v>
      </c>
      <c r="D184" s="44" t="str">
        <f>[1]!f_info_regulopenfundornot(A184)</f>
        <v>是</v>
      </c>
      <c r="E184" s="44" t="str">
        <f>[1]!f_dq_status(A184,$E$1)</f>
        <v>暂停申购|暂停赎回</v>
      </c>
      <c r="F184" s="40" t="str">
        <f>[1]!f_info_fundmanager(A184)</f>
        <v>王涛,钟光正,梁冰哲</v>
      </c>
      <c r="G184" s="44">
        <v>20181204</v>
      </c>
      <c r="H184" s="45">
        <f>[1]!f_netasset_total(A184,$E$1,100000000)</f>
        <v>13.5294834432</v>
      </c>
      <c r="I184" s="45">
        <f>[1]!f_prt_convertiblebondtonav(A184,$E$1)</f>
        <v>10.900949478149414</v>
      </c>
      <c r="J184" s="45">
        <f>[1]!f_prt_stocktonav(A184,$E$1)+0.5*I184</f>
        <v>23.254460334777832</v>
      </c>
      <c r="K184" s="46">
        <v>0</v>
      </c>
      <c r="L184" s="59">
        <f>VLOOKUP(A184,二级筛选!A:Q,12,0)/100</f>
        <v>-9.693797670035198E-3</v>
      </c>
      <c r="M184" s="63">
        <v>192</v>
      </c>
      <c r="N184" s="48">
        <f>VLOOKUP(A184,二级筛选!A:U,19,0)</f>
        <v>-0.88590702693676926</v>
      </c>
      <c r="O184" s="65">
        <v>187</v>
      </c>
      <c r="P184" s="48">
        <f>VLOOKUP(A184,二级筛选!A:Z,24,0)</f>
        <v>-0.23203930675255863</v>
      </c>
      <c r="Q184" s="67">
        <v>191</v>
      </c>
      <c r="R184" s="48">
        <f>VLOOKUP(A184,二级筛选!A:AE,29,0)</f>
        <v>0.1008403361344538</v>
      </c>
      <c r="S184" s="67">
        <v>196</v>
      </c>
      <c r="T184" s="50">
        <f>VLOOKUP(A184,二级筛选!A:AJ,34,0)</f>
        <v>-4.1776532630191143</v>
      </c>
      <c r="U184" s="66">
        <v>129</v>
      </c>
      <c r="V184" s="49">
        <f>VLOOKUP(A184,二级筛选!A:AR,39,0)/100</f>
        <v>4.6892710598387621E-2</v>
      </c>
      <c r="W184" s="66">
        <v>144</v>
      </c>
      <c r="X184" s="48">
        <f>VLOOKUP(A184,二级筛选!A:AV,46,0)</f>
        <v>0.5073375582682631</v>
      </c>
      <c r="Y184" s="66">
        <v>138</v>
      </c>
      <c r="Z184" s="48">
        <f>VLOOKUP(A184,二级筛选!A:BA,51,0)</f>
        <v>2.0817202199351672</v>
      </c>
      <c r="AA184" s="66">
        <v>108</v>
      </c>
      <c r="AB184" s="48">
        <f>VLOOKUP(A184,二级筛选!A:BF,56,0)</f>
        <v>0.98333333333333328</v>
      </c>
      <c r="AC184" s="66">
        <v>147</v>
      </c>
      <c r="AD184" s="48">
        <f>VLOOKUP(A184,二级筛选!A:BK,61,0)</f>
        <v>-2.2525942799291272</v>
      </c>
      <c r="AE184" s="66">
        <v>47</v>
      </c>
      <c r="AF184">
        <f>(M184+O184+Q184+S184+U184)+(W184+Y184+AA184+AC184+AE184)*2</f>
        <v>2063</v>
      </c>
      <c r="AG184" s="69">
        <f>(W184+Y184+AE184+U184)+(M184+O184+S184+AC184)</f>
        <v>1180</v>
      </c>
    </row>
    <row r="185" spans="1:33" hidden="1" x14ac:dyDescent="0.35">
      <c r="A185" s="43" t="s">
        <v>175</v>
      </c>
      <c r="B185" s="43" t="s">
        <v>176</v>
      </c>
      <c r="C185" s="44">
        <v>20140417</v>
      </c>
      <c r="D185" s="44" t="str">
        <f>[1]!f_info_regulopenfundornot(A185)</f>
        <v>否</v>
      </c>
      <c r="E185" s="44" t="str">
        <f>[1]!f_dq_status(A185,$E$1)</f>
        <v>开放申购|开放赎回</v>
      </c>
      <c r="F185" s="40" t="str">
        <f>[1]!f_info_fundmanager(A185)</f>
        <v>林启姜,曹建华</v>
      </c>
      <c r="G185" s="44">
        <v>20210610</v>
      </c>
      <c r="H185" s="45">
        <f>[1]!f_netasset_total(A185,$E$1,100000000)</f>
        <v>0.25410614460000003</v>
      </c>
      <c r="I185" s="45">
        <f>[1]!f_prt_convertiblebondtonav(A185,$E$1)</f>
        <v>11.213083267211914</v>
      </c>
      <c r="J185" s="45">
        <f>[1]!f_prt_stocktonav(A185,$E$1)+0.5*I185</f>
        <v>19.185760498046875</v>
      </c>
      <c r="K185" s="46">
        <v>0</v>
      </c>
      <c r="L185" s="59">
        <f>VLOOKUP(A185,二级筛选!A:Q,12,0)/100</f>
        <v>6.8491427069809818E-2</v>
      </c>
      <c r="M185" s="63">
        <v>77</v>
      </c>
      <c r="N185" s="48">
        <f>VLOOKUP(A185,二级筛选!A:U,19,0)</f>
        <v>0.50712988067674347</v>
      </c>
      <c r="O185" s="65">
        <v>118</v>
      </c>
      <c r="P185" s="48">
        <f>VLOOKUP(A185,二级筛选!A:Z,24,0)</f>
        <v>1.13879775754878</v>
      </c>
      <c r="Q185" s="67">
        <v>148</v>
      </c>
      <c r="R185" s="48">
        <f>VLOOKUP(A185,二级筛选!A:AE,29,0)</f>
        <v>0.92436974789915971</v>
      </c>
      <c r="S185" s="67">
        <v>126</v>
      </c>
      <c r="T185" s="50">
        <f>VLOOKUP(A185,二级筛选!A:AJ,34,0)</f>
        <v>-6.0143626570915529</v>
      </c>
      <c r="U185" s="66">
        <v>176</v>
      </c>
      <c r="V185" s="49">
        <f>VLOOKUP(A185,二级筛选!A:AR,39,0)/100</f>
        <v>3.6252699878361661E-2</v>
      </c>
      <c r="W185" s="66">
        <v>159</v>
      </c>
      <c r="X185" s="48">
        <f>VLOOKUP(A185,二级筛选!A:AV,46,0)</f>
        <v>3.912541830157143E-2</v>
      </c>
      <c r="Y185" s="66">
        <v>165</v>
      </c>
      <c r="Z185" s="48">
        <f>VLOOKUP(A185,二级筛选!A:BA,51,0)</f>
        <v>0.35440198722493288</v>
      </c>
      <c r="AA185" s="66">
        <v>188</v>
      </c>
      <c r="AB185" s="48">
        <f>VLOOKUP(A185,二级筛选!A:BF,56,0)</f>
        <v>0.67500000000000004</v>
      </c>
      <c r="AC185" s="66">
        <v>188</v>
      </c>
      <c r="AD185" s="48">
        <f>VLOOKUP(A185,二级筛选!A:BK,61,0)</f>
        <v>-10.229259762968736</v>
      </c>
      <c r="AE185" s="66">
        <v>191</v>
      </c>
      <c r="AF185">
        <f>(M185+O185+Q185+S185+U185)+(W185+Y185+AA185+AC185+AE185)*2</f>
        <v>2427</v>
      </c>
      <c r="AG185" s="69">
        <f>(W185+Y185+AE185)*2+(M185+O185+S185)</f>
        <v>1351</v>
      </c>
    </row>
    <row r="186" spans="1:33" hidden="1" x14ac:dyDescent="0.35">
      <c r="A186" s="43" t="s">
        <v>219</v>
      </c>
      <c r="B186" s="43" t="s">
        <v>220</v>
      </c>
      <c r="C186" s="44">
        <v>20160126</v>
      </c>
      <c r="D186" s="44" t="str">
        <f>[1]!f_info_regulopenfundornot(A186)</f>
        <v>否</v>
      </c>
      <c r="E186" s="44" t="str">
        <f>[1]!f_dq_status(A186,$E$1)</f>
        <v>开放申购|开放赎回</v>
      </c>
      <c r="F186" s="40" t="str">
        <f>[1]!f_info_fundmanager(A186)</f>
        <v>何江波</v>
      </c>
      <c r="G186" s="44">
        <v>20190214</v>
      </c>
      <c r="H186" s="45">
        <f>[1]!f_netasset_total(A186,$E$1,100000000)</f>
        <v>9.2456029100000003E-2</v>
      </c>
      <c r="I186" s="45">
        <f>[1]!f_prt_convertiblebondtonav(A186,$E$1)</f>
        <v>10.373947143554688</v>
      </c>
      <c r="J186" s="45">
        <f>[1]!f_prt_stocktonav(A186,$E$1)+0.5*I186</f>
        <v>8.4810042381286621</v>
      </c>
      <c r="K186" s="46">
        <v>17.45608172566433</v>
      </c>
      <c r="L186" s="59">
        <f>VLOOKUP(A186,二级筛选!A:Q,12,0)/100</f>
        <v>1.2290065612999834E-2</v>
      </c>
      <c r="M186" s="63">
        <v>182</v>
      </c>
      <c r="N186" s="48">
        <f>VLOOKUP(A186,二级筛选!A:U,19,0)</f>
        <v>-1.8554481399953684</v>
      </c>
      <c r="O186" s="65">
        <v>196</v>
      </c>
      <c r="P186" s="48">
        <f>VLOOKUP(A186,二级筛选!A:Z,24,0)</f>
        <v>1.0200754458789851</v>
      </c>
      <c r="Q186" s="67">
        <v>157</v>
      </c>
      <c r="R186" s="48">
        <f>VLOOKUP(A186,二级筛选!A:AE,29,0)</f>
        <v>0.79831932773109249</v>
      </c>
      <c r="S186" s="67">
        <v>150</v>
      </c>
      <c r="T186" s="50">
        <f>VLOOKUP(A186,二级筛选!A:AJ,34,0)</f>
        <v>-1.2048192771084349</v>
      </c>
      <c r="U186" s="66">
        <v>30</v>
      </c>
      <c r="V186" s="49">
        <f>VLOOKUP(A186,二级筛选!A:AR,39,0)/100</f>
        <v>1.5108722606790748E-2</v>
      </c>
      <c r="W186" s="66">
        <v>189</v>
      </c>
      <c r="X186" s="48">
        <f>VLOOKUP(A186,二级筛选!A:AV,46,0)</f>
        <v>-0.85986489196607563</v>
      </c>
      <c r="Y186" s="66">
        <v>194</v>
      </c>
      <c r="Z186" s="48">
        <f>VLOOKUP(A186,二级筛选!A:BA,51,0)</f>
        <v>0.82810189144838298</v>
      </c>
      <c r="AA186" s="66">
        <v>176</v>
      </c>
      <c r="AB186" s="48">
        <f>VLOOKUP(A186,二级筛选!A:BF,56,0)</f>
        <v>0.53333333333333333</v>
      </c>
      <c r="AC186" s="66">
        <v>192</v>
      </c>
      <c r="AD186" s="48">
        <f>VLOOKUP(A186,二级筛选!A:BK,61,0)</f>
        <v>-1.8245004344048767</v>
      </c>
      <c r="AE186" s="66">
        <v>29</v>
      </c>
      <c r="AF186">
        <f>(M186+O186+Q186+S186+U186)+(W186+Y186+AA186+AC186+AE186)*2</f>
        <v>2275</v>
      </c>
      <c r="AG186" s="69">
        <f>(W186+Y186+AE186)*2+(M186+O186+S186)</f>
        <v>1352</v>
      </c>
    </row>
    <row r="187" spans="1:33" hidden="1" x14ac:dyDescent="0.35">
      <c r="A187" s="43" t="s">
        <v>43</v>
      </c>
      <c r="B187" s="43" t="s">
        <v>44</v>
      </c>
      <c r="C187" s="44">
        <v>20081008</v>
      </c>
      <c r="D187" s="44" t="str">
        <f>[1]!f_info_regulopenfundornot(A187)</f>
        <v>否</v>
      </c>
      <c r="E187" s="44" t="str">
        <f>[1]!f_dq_status(A187,$E$1)</f>
        <v>开放申购|开放赎回</v>
      </c>
      <c r="F187" s="40" t="str">
        <f>[1]!f_info_fundmanager(A187)</f>
        <v>杨哲</v>
      </c>
      <c r="G187" s="44">
        <v>20211102</v>
      </c>
      <c r="H187" s="45">
        <f>[1]!f_netasset_total(A187,$E$1,100000000)</f>
        <v>2.3305477147999998</v>
      </c>
      <c r="I187" s="45">
        <f>[1]!f_prt_convertiblebondtonav(A187,$E$1)</f>
        <v>8.6793642044067383</v>
      </c>
      <c r="J187" s="45">
        <f>[1]!f_prt_stocktonav(A187,$E$1)+0.5*I187</f>
        <v>19.524817943572998</v>
      </c>
      <c r="K187" s="46">
        <v>35.236266684652392</v>
      </c>
      <c r="L187" s="59">
        <f>VLOOKUP(A187,二级筛选!A:Q,12,0)/100</f>
        <v>3.7635511397988042E-2</v>
      </c>
      <c r="M187" s="63">
        <v>150</v>
      </c>
      <c r="N187" s="48">
        <f>VLOOKUP(A187,二级筛选!A:U,19,0)</f>
        <v>0.16251751669503933</v>
      </c>
      <c r="O187" s="65">
        <v>155</v>
      </c>
      <c r="P187" s="48">
        <f>VLOOKUP(A187,二级筛选!A:Z,24,0)</f>
        <v>0.84096815257616753</v>
      </c>
      <c r="Q187" s="67">
        <v>167</v>
      </c>
      <c r="R187" s="48">
        <f>VLOOKUP(A187,二级筛选!A:AE,29,0)</f>
        <v>0.59663865546218486</v>
      </c>
      <c r="S187" s="67">
        <v>180</v>
      </c>
      <c r="T187" s="50">
        <f>VLOOKUP(A187,二级筛选!A:AJ,34,0)</f>
        <v>-4.4752600063031931</v>
      </c>
      <c r="U187" s="66">
        <v>142</v>
      </c>
      <c r="V187" s="49">
        <f>VLOOKUP(A187,二级筛选!A:AR,39,0)/100</f>
        <v>5.8355251287758758E-2</v>
      </c>
      <c r="W187" s="66">
        <v>125</v>
      </c>
      <c r="X187" s="48">
        <f>VLOOKUP(A187,二级筛选!A:AV,46,0)</f>
        <v>0.39789832949915732</v>
      </c>
      <c r="Y187" s="66">
        <v>145</v>
      </c>
      <c r="Z187" s="48">
        <f>VLOOKUP(A187,二级筛选!A:BA,51,0)</f>
        <v>1.0212588797309512</v>
      </c>
      <c r="AA187" s="66">
        <v>168</v>
      </c>
      <c r="AB187" s="48">
        <f>VLOOKUP(A187,二级筛选!A:BF,56,0)</f>
        <v>1</v>
      </c>
      <c r="AC187" s="66">
        <v>143</v>
      </c>
      <c r="AD187" s="48">
        <f>VLOOKUP(A187,二级筛选!A:BK,61,0)</f>
        <v>-5.7140508098330898</v>
      </c>
      <c r="AE187" s="66">
        <v>165</v>
      </c>
      <c r="AF187">
        <f>(M187+O187+Q187+S187+U187)+(W187+Y187+AA187+AC187+AE187)*2</f>
        <v>2286</v>
      </c>
      <c r="AG187" s="69">
        <f>(W187+Y187+AE187)*2+(M187+O187+S187)</f>
        <v>1355</v>
      </c>
    </row>
    <row r="188" spans="1:33" hidden="1" x14ac:dyDescent="0.35">
      <c r="A188" s="43" t="s">
        <v>211</v>
      </c>
      <c r="B188" s="43" t="s">
        <v>212</v>
      </c>
      <c r="C188" s="44">
        <v>20151208</v>
      </c>
      <c r="D188" s="44" t="str">
        <f>[1]!f_info_regulopenfundornot(A188)</f>
        <v>否</v>
      </c>
      <c r="E188" s="44" t="str">
        <f>[1]!f_dq_status(A188,$E$1)</f>
        <v>开放申购|开放赎回</v>
      </c>
      <c r="F188" s="40" t="str">
        <f>[1]!f_info_fundmanager(A188)</f>
        <v>彭紫云</v>
      </c>
      <c r="G188" s="44">
        <v>20201218</v>
      </c>
      <c r="H188" s="45">
        <f>[1]!f_netasset_total(A188,$E$1,100000000)</f>
        <v>0.43156389470000001</v>
      </c>
      <c r="I188" s="45">
        <f>[1]!f_prt_convertiblebondtonav(A188,$E$1)</f>
        <v>0</v>
      </c>
      <c r="J188" s="45">
        <f>[1]!f_prt_stocktonav(A188,$E$1)+0.5*I188</f>
        <v>1.5147119760513306</v>
      </c>
      <c r="K188" s="46">
        <v>0</v>
      </c>
      <c r="L188" s="59">
        <f>VLOOKUP(A188,二级筛选!A:Q,12,0)/100</f>
        <v>2.2419157944877366E-2</v>
      </c>
      <c r="M188" s="63">
        <v>173</v>
      </c>
      <c r="N188" s="48">
        <f>VLOOKUP(A188,二级筛选!A:U,19,0)</f>
        <v>-0.20347267289414739</v>
      </c>
      <c r="O188" s="65">
        <v>173</v>
      </c>
      <c r="P188" s="48">
        <f>VLOOKUP(A188,二级筛选!A:Z,24,0)</f>
        <v>0.58196397498577446</v>
      </c>
      <c r="Q188" s="67">
        <v>173</v>
      </c>
      <c r="R188" s="48">
        <f>VLOOKUP(A188,二级筛选!A:AE,29,0)</f>
        <v>0.42857142857142849</v>
      </c>
      <c r="S188" s="67">
        <v>186</v>
      </c>
      <c r="T188" s="50">
        <f>VLOOKUP(A188,二级筛选!A:AJ,34,0)</f>
        <v>-3.8523274478330691</v>
      </c>
      <c r="U188" s="66">
        <v>119</v>
      </c>
      <c r="V188" s="49">
        <f>VLOOKUP(A188,二级筛选!A:AR,39,0)/100</f>
        <v>3.603713703662903E-2</v>
      </c>
      <c r="W188" s="66">
        <v>160</v>
      </c>
      <c r="X188" s="48">
        <f>VLOOKUP(A188,二级筛选!A:AV,46,0)</f>
        <v>0.19259534108125384</v>
      </c>
      <c r="Y188" s="66">
        <v>157</v>
      </c>
      <c r="Z188" s="48">
        <f>VLOOKUP(A188,二级筛选!A:BA,51,0)</f>
        <v>1.1474983109031864</v>
      </c>
      <c r="AA188" s="66">
        <v>159</v>
      </c>
      <c r="AB188" s="48">
        <f>VLOOKUP(A188,二级筛选!A:BF,56,0)</f>
        <v>0.92500000000000004</v>
      </c>
      <c r="AC188" s="66">
        <v>164</v>
      </c>
      <c r="AD188" s="48">
        <f>VLOOKUP(A188,二级筛选!A:BK,61,0)</f>
        <v>-3.1404958677685979</v>
      </c>
      <c r="AE188" s="66">
        <v>95</v>
      </c>
      <c r="AF188">
        <f>(M188+O188+Q188+S188+U188)+(W188+Y188+AA188+AC188+AE188)*2</f>
        <v>2294</v>
      </c>
      <c r="AG188" s="69">
        <f>(W188+Y188+AE188)*2+(M188+O188+S188)</f>
        <v>1356</v>
      </c>
    </row>
    <row r="189" spans="1:33" hidden="1" x14ac:dyDescent="0.35">
      <c r="A189" s="43" t="s">
        <v>341</v>
      </c>
      <c r="B189" s="43" t="s">
        <v>342</v>
      </c>
      <c r="C189" s="44">
        <v>20170817</v>
      </c>
      <c r="D189" s="44" t="str">
        <f>[1]!f_info_regulopenfundornot(A189)</f>
        <v>否</v>
      </c>
      <c r="E189" s="44" t="str">
        <f>[1]!f_dq_status(A189,$E$1)</f>
        <v>暂停申购|开放赎回</v>
      </c>
      <c r="F189" s="40" t="str">
        <f>[1]!f_info_fundmanager(A189)</f>
        <v>闫宜乘</v>
      </c>
      <c r="G189" s="44">
        <v>20210922</v>
      </c>
      <c r="H189" s="45">
        <f>[1]!f_netasset_total(A189,$E$1,100000000)</f>
        <v>6.8726711999999995E-2</v>
      </c>
      <c r="I189" s="45">
        <f>[1]!f_prt_convertiblebondtonav(A189,$E$1)</f>
        <v>0</v>
      </c>
      <c r="J189" s="45">
        <f>[1]!f_prt_stocktonav(A189,$E$1)+0.5*I189</f>
        <v>0</v>
      </c>
      <c r="K189" s="46">
        <v>72.286304050163196</v>
      </c>
      <c r="L189" s="59">
        <f>VLOOKUP(A189,二级筛选!A:Q,12,0)/100</f>
        <v>-7.3022430104204838E-3</v>
      </c>
      <c r="M189" s="63">
        <v>189</v>
      </c>
      <c r="N189" s="48">
        <f>VLOOKUP(A189,二级筛选!A:U,19,0)</f>
        <v>-7.6663747637410644</v>
      </c>
      <c r="O189" s="65">
        <v>197</v>
      </c>
      <c r="P189" s="48">
        <f>VLOOKUP(A189,二级筛选!A:Z,24,0)</f>
        <v>-0.99727775970885368</v>
      </c>
      <c r="Q189" s="67">
        <v>197</v>
      </c>
      <c r="R189" s="48">
        <f>VLOOKUP(A189,二级筛选!A:AE,29,0)</f>
        <v>0</v>
      </c>
      <c r="S189" s="67">
        <v>197</v>
      </c>
      <c r="T189" s="50">
        <f>VLOOKUP(A189,二级筛选!A:AJ,34,0)</f>
        <v>-0.73221757322175807</v>
      </c>
      <c r="U189" s="66">
        <v>14</v>
      </c>
      <c r="V189" s="49">
        <f>VLOOKUP(A189,二级筛选!A:AR,39,0)/100</f>
        <v>-9.2758361241910281E-3</v>
      </c>
      <c r="W189" s="66">
        <v>196</v>
      </c>
      <c r="X189" s="48">
        <f>VLOOKUP(A189,二级筛选!A:AV,46,0)</f>
        <v>-6.7305162349947238</v>
      </c>
      <c r="Y189" s="66">
        <v>197</v>
      </c>
      <c r="Z189" s="48">
        <f>VLOOKUP(A189,二级筛选!A:BA,51,0)</f>
        <v>-0.99457576220492605</v>
      </c>
      <c r="AA189" s="66">
        <v>197</v>
      </c>
      <c r="AB189" s="48">
        <f>VLOOKUP(A189,二级筛选!A:BF,56,0)</f>
        <v>8.3333333333333329E-2</v>
      </c>
      <c r="AC189" s="66">
        <v>196</v>
      </c>
      <c r="AD189" s="48">
        <f>VLOOKUP(A189,二级筛选!A:BK,61,0)</f>
        <v>-0.93264248704663288</v>
      </c>
      <c r="AE189" s="66">
        <v>3</v>
      </c>
      <c r="AF189">
        <f>(M189+O189+Q189+S189+U189)+(W189+Y189+AA189+AC189+AE189)*2</f>
        <v>2372</v>
      </c>
      <c r="AG189" s="69">
        <f>(W189+Y189+AE189)*2+(M189+O189+S189)</f>
        <v>1375</v>
      </c>
    </row>
    <row r="190" spans="1:33" hidden="1" x14ac:dyDescent="0.35">
      <c r="A190" s="43" t="s">
        <v>227</v>
      </c>
      <c r="B190" s="43" t="s">
        <v>228</v>
      </c>
      <c r="C190" s="44">
        <v>20160413</v>
      </c>
      <c r="D190" s="44" t="str">
        <f>[1]!f_info_regulopenfundornot(A190)</f>
        <v>否</v>
      </c>
      <c r="E190" s="44" t="str">
        <f>[1]!f_dq_status(A190,$E$1)</f>
        <v>开放申购|开放赎回</v>
      </c>
      <c r="F190" s="40" t="str">
        <f>[1]!f_info_fundmanager(A190)</f>
        <v>李洁</v>
      </c>
      <c r="G190" s="44">
        <v>20200512</v>
      </c>
      <c r="H190" s="45">
        <f>[1]!f_netasset_total(A190,$E$1,100000000)</f>
        <v>9.6022884200000005E-2</v>
      </c>
      <c r="I190" s="45">
        <f>[1]!f_prt_convertiblebondtonav(A190,$E$1)</f>
        <v>16.113971710205078</v>
      </c>
      <c r="J190" s="45">
        <f>[1]!f_prt_stocktonav(A190,$E$1)+0.5*I190</f>
        <v>23.694726943969727</v>
      </c>
      <c r="K190" s="46">
        <v>0</v>
      </c>
      <c r="L190" s="59">
        <f>VLOOKUP(A190,二级筛选!A:Q,12,0)/100</f>
        <v>3.1550624775368519E-2</v>
      </c>
      <c r="M190" s="63">
        <v>162</v>
      </c>
      <c r="N190" s="48">
        <f>VLOOKUP(A190,二级筛选!A:U,19,0)</f>
        <v>3.1640937084832968E-2</v>
      </c>
      <c r="O190" s="65">
        <v>160</v>
      </c>
      <c r="P190" s="48">
        <f>VLOOKUP(A190,二级筛选!A:Z,24,0)</f>
        <v>0.80943891182775296</v>
      </c>
      <c r="Q190" s="67">
        <v>168</v>
      </c>
      <c r="R190" s="48">
        <f>VLOOKUP(A190,二级筛选!A:AE,29,0)</f>
        <v>0.84873949579831931</v>
      </c>
      <c r="S190" s="67">
        <v>141</v>
      </c>
      <c r="T190" s="50">
        <f>VLOOKUP(A190,二级筛选!A:AJ,34,0)</f>
        <v>-3.897838899803526</v>
      </c>
      <c r="U190" s="66">
        <v>122</v>
      </c>
      <c r="V190" s="49">
        <f>VLOOKUP(A190,二级筛选!A:AR,39,0)/100</f>
        <v>4.6837018441057809E-2</v>
      </c>
      <c r="W190" s="66">
        <v>145</v>
      </c>
      <c r="X190" s="48">
        <f>VLOOKUP(A190,二级筛选!A:AV,46,0)</f>
        <v>0.28438589972237921</v>
      </c>
      <c r="Y190" s="66">
        <v>155</v>
      </c>
      <c r="Z190" s="48">
        <f>VLOOKUP(A190,二级筛选!A:BA,51,0)</f>
        <v>0.8463292882310135</v>
      </c>
      <c r="AA190" s="66">
        <v>175</v>
      </c>
      <c r="AB190" s="48">
        <f>VLOOKUP(A190,二级筛选!A:BF,56,0)</f>
        <v>1</v>
      </c>
      <c r="AC190" s="66">
        <v>144</v>
      </c>
      <c r="AD190" s="48">
        <f>VLOOKUP(A190,二级筛选!A:BK,61,0)</f>
        <v>-5.5341365461847527</v>
      </c>
      <c r="AE190" s="66">
        <v>164</v>
      </c>
      <c r="AF190">
        <f>(M190+O190+Q190+S190+U190)+(W190+Y190+AA190+AC190+AE190)*2</f>
        <v>2319</v>
      </c>
      <c r="AG190" s="69">
        <f>(W190+Y190+AE190)*2+(M190+O190+S190)</f>
        <v>1391</v>
      </c>
    </row>
    <row r="191" spans="1:33" hidden="1" x14ac:dyDescent="0.35">
      <c r="A191" s="43" t="s">
        <v>377</v>
      </c>
      <c r="B191" s="43" t="s">
        <v>378</v>
      </c>
      <c r="C191" s="44">
        <v>20180809</v>
      </c>
      <c r="D191" s="44" t="str">
        <f>[1]!f_info_regulopenfundornot(A191)</f>
        <v>否</v>
      </c>
      <c r="E191" s="44" t="str">
        <f>[1]!f_dq_status(A191,$E$1)</f>
        <v>暂停大额申购|开放赎回</v>
      </c>
      <c r="F191" s="40" t="str">
        <f>[1]!f_info_fundmanager(A191)</f>
        <v>张丽华</v>
      </c>
      <c r="G191" s="44">
        <v>20180809</v>
      </c>
      <c r="H191" s="45">
        <f>[1]!f_netasset_total(A191,$E$1,100000000)</f>
        <v>1.7562452997</v>
      </c>
      <c r="I191" s="45">
        <f>[1]!f_prt_convertiblebondtonav(A191,$E$1)</f>
        <v>21.796775817871094</v>
      </c>
      <c r="J191" s="45">
        <f>[1]!f_prt_stocktonav(A191,$E$1)+0.5*I191</f>
        <v>21.404041290283203</v>
      </c>
      <c r="K191" s="46">
        <v>12.606097794984461</v>
      </c>
      <c r="L191" s="59">
        <f>VLOOKUP(A191,二级筛选!A:Q,12,0)/100</f>
        <v>4.4007593444366444E-2</v>
      </c>
      <c r="M191" s="63">
        <v>131</v>
      </c>
      <c r="N191" s="48">
        <f>VLOOKUP(A191,二级筛选!A:U,19,0)</f>
        <v>0.26521624174876918</v>
      </c>
      <c r="O191" s="65">
        <v>144</v>
      </c>
      <c r="P191" s="48">
        <f>VLOOKUP(A191,二级筛选!A:Z,24,0)</f>
        <v>0.98561834283158589</v>
      </c>
      <c r="Q191" s="67">
        <v>160</v>
      </c>
      <c r="R191" s="48">
        <f>VLOOKUP(A191,二级筛选!A:AE,29,0)</f>
        <v>0.68067226890756305</v>
      </c>
      <c r="S191" s="67">
        <v>171</v>
      </c>
      <c r="T191" s="50">
        <f>VLOOKUP(A191,二级筛选!A:AJ,34,0)</f>
        <v>-4.4649730561970769</v>
      </c>
      <c r="U191" s="66">
        <v>141</v>
      </c>
      <c r="V191" s="49">
        <f>VLOOKUP(A191,二级筛选!A:AR,39,0)/100</f>
        <v>3.65012481869047E-2</v>
      </c>
      <c r="W191" s="66">
        <v>157</v>
      </c>
      <c r="X191" s="48">
        <f>VLOOKUP(A191,二级筛选!A:AV,46,0)</f>
        <v>8.032597963324524E-2</v>
      </c>
      <c r="Y191" s="66">
        <v>163</v>
      </c>
      <c r="Z191" s="48">
        <f>VLOOKUP(A191,二级筛选!A:BA,51,0)</f>
        <v>0.69458262548152627</v>
      </c>
      <c r="AA191" s="66">
        <v>181</v>
      </c>
      <c r="AB191" s="48">
        <f>VLOOKUP(A191,二级筛选!A:BF,56,0)</f>
        <v>0.65833333333333333</v>
      </c>
      <c r="AC191" s="66">
        <v>189</v>
      </c>
      <c r="AD191" s="48">
        <f>VLOOKUP(A191,二级筛选!A:BK,61,0)</f>
        <v>-5.2551340686933896</v>
      </c>
      <c r="AE191" s="66">
        <v>157</v>
      </c>
      <c r="AF191">
        <f>(M191+O191+Q191+S191+U191)+(W191+Y191+AA191+AC191+AE191)*2</f>
        <v>2441</v>
      </c>
      <c r="AG191" s="69">
        <f>(W191+Y191+AE191)*2+(M191+O191+S191)</f>
        <v>1400</v>
      </c>
    </row>
    <row r="192" spans="1:33" hidden="1" x14ac:dyDescent="0.35">
      <c r="A192" s="43" t="s">
        <v>383</v>
      </c>
      <c r="B192" s="43" t="s">
        <v>384</v>
      </c>
      <c r="C192" s="44">
        <v>20181113</v>
      </c>
      <c r="D192" s="44" t="str">
        <f>[1]!f_info_regulopenfundornot(A192)</f>
        <v>否</v>
      </c>
      <c r="E192" s="44" t="str">
        <f>[1]!f_dq_status(A192,$E$1)</f>
        <v>暂停大额申购|开放赎回</v>
      </c>
      <c r="F192" s="40" t="str">
        <f>[1]!f_info_fundmanager(A192)</f>
        <v>张丽华</v>
      </c>
      <c r="G192" s="44">
        <v>20181113</v>
      </c>
      <c r="H192" s="45">
        <f>[1]!f_netasset_total(A192,$E$1,100000000)</f>
        <v>2.3021077760000002</v>
      </c>
      <c r="I192" s="45">
        <f>[1]!f_prt_convertiblebondtonav(A192,$E$1)</f>
        <v>23.5299072265625</v>
      </c>
      <c r="J192" s="45">
        <f>[1]!f_prt_stocktonav(A192,$E$1)+0.5*I192</f>
        <v>21.246494293212891</v>
      </c>
      <c r="K192" s="46">
        <v>17.315479499079721</v>
      </c>
      <c r="L192" s="59">
        <f>VLOOKUP(A192,二级筛选!A:Q,12,0)/100</f>
        <v>5.4589265955625743E-2</v>
      </c>
      <c r="M192" s="63">
        <v>104</v>
      </c>
      <c r="N192" s="48">
        <f>VLOOKUP(A192,二级筛选!A:U,19,0)</f>
        <v>0.42836876629328208</v>
      </c>
      <c r="O192" s="65">
        <v>127</v>
      </c>
      <c r="P192" s="48">
        <f>VLOOKUP(A192,二级筛选!A:Z,24,0)</f>
        <v>1.1202455591925826</v>
      </c>
      <c r="Q192" s="67">
        <v>151</v>
      </c>
      <c r="R192" s="48">
        <f>VLOOKUP(A192,二级筛选!A:AE,29,0)</f>
        <v>0.73949579831932777</v>
      </c>
      <c r="S192" s="67">
        <v>161</v>
      </c>
      <c r="T192" s="50">
        <f>VLOOKUP(A192,二级筛选!A:AJ,34,0)</f>
        <v>-4.8729732073181324</v>
      </c>
      <c r="U192" s="66">
        <v>154</v>
      </c>
      <c r="V192" s="49">
        <f>VLOOKUP(A192,二级筛选!A:AR,39,0)/100</f>
        <v>2.283384146080647E-2</v>
      </c>
      <c r="W192" s="66">
        <v>181</v>
      </c>
      <c r="X192" s="48">
        <f>VLOOKUP(A192,二级筛选!A:AV,46,0)</f>
        <v>-7.4482958965411336E-2</v>
      </c>
      <c r="Y192" s="66">
        <v>170</v>
      </c>
      <c r="Z192" s="48">
        <f>VLOOKUP(A192,二级筛选!A:BA,51,0)</f>
        <v>0.35234979495554758</v>
      </c>
      <c r="AA192" s="66">
        <v>189</v>
      </c>
      <c r="AB192" s="48">
        <f>VLOOKUP(A192,二级筛选!A:BF,56,0)</f>
        <v>0.65</v>
      </c>
      <c r="AC192" s="66">
        <v>190</v>
      </c>
      <c r="AD192" s="48">
        <f>VLOOKUP(A192,二级筛选!A:BK,61,0)</f>
        <v>-6.4804469273743113</v>
      </c>
      <c r="AE192" s="66">
        <v>175</v>
      </c>
      <c r="AF192">
        <f>(M192+O192+Q192+S192+U192)+(W192+Y192+AA192+AC192+AE192)*2</f>
        <v>2507</v>
      </c>
      <c r="AG192" s="69">
        <f>(W192+Y192+AE192)*2+(M192+O192+S192)</f>
        <v>1444</v>
      </c>
    </row>
    <row r="193" spans="1:33" x14ac:dyDescent="0.35">
      <c r="A193" s="43" t="s">
        <v>329</v>
      </c>
      <c r="B193" s="43" t="s">
        <v>330</v>
      </c>
      <c r="C193" s="44">
        <v>20170330</v>
      </c>
      <c r="D193" s="44" t="str">
        <f>[1]!f_info_regulopenfundornot(A193)</f>
        <v>否</v>
      </c>
      <c r="E193" s="44" t="str">
        <f>[1]!f_dq_status(A193,$E$1)</f>
        <v>暂停大额申购|开放赎回</v>
      </c>
      <c r="F193" s="40" t="str">
        <f>[1]!f_info_fundmanager(A193)</f>
        <v>郭建新,闵杭</v>
      </c>
      <c r="G193" s="44">
        <v>20170405</v>
      </c>
      <c r="H193" s="45">
        <f>[1]!f_netasset_total(A193,$E$1,100000000)</f>
        <v>27.6143811102</v>
      </c>
      <c r="I193" s="45">
        <f>[1]!f_prt_convertiblebondtonav(A193,$E$1)</f>
        <v>0</v>
      </c>
      <c r="J193" s="45">
        <f>[1]!f_prt_stocktonav(A193,$E$1)+0.5*I193</f>
        <v>0</v>
      </c>
      <c r="K193" s="46">
        <v>0</v>
      </c>
      <c r="L193" s="59">
        <f>VLOOKUP(A193,二级筛选!A:Q,12,0)/100</f>
        <v>1.5651517724926789E-2</v>
      </c>
      <c r="M193" s="63">
        <v>178</v>
      </c>
      <c r="N193" s="48">
        <f>VLOOKUP(A193,二级筛选!A:U,19,0)</f>
        <v>-0.38593221600311239</v>
      </c>
      <c r="O193" s="65">
        <v>179</v>
      </c>
      <c r="P193" s="48">
        <f>VLOOKUP(A193,二级筛选!A:Z,24,0)</f>
        <v>0.58807836343530895</v>
      </c>
      <c r="Q193" s="67">
        <v>172</v>
      </c>
      <c r="R193" s="48">
        <f>VLOOKUP(A193,二级筛选!A:AE,29,0)</f>
        <v>0.66386554621848737</v>
      </c>
      <c r="S193" s="67">
        <v>173</v>
      </c>
      <c r="T193" s="50">
        <f>VLOOKUP(A193,二级筛选!A:AJ,34,0)</f>
        <v>-2.6614680454314183</v>
      </c>
      <c r="U193" s="66">
        <v>79</v>
      </c>
      <c r="V193" s="49">
        <f>VLOOKUP(A193,二级筛选!A:AR,39,0)/100</f>
        <v>2.8732763183822563E-2</v>
      </c>
      <c r="W193" s="66">
        <v>168</v>
      </c>
      <c r="X193" s="48">
        <f>VLOOKUP(A193,二级筛选!A:AV,46,0)</f>
        <v>-2.3143333044857276E-2</v>
      </c>
      <c r="Y193" s="66">
        <v>168</v>
      </c>
      <c r="Z193" s="48">
        <f>VLOOKUP(A193,二级筛选!A:BA,51,0)</f>
        <v>0.75417032014474816</v>
      </c>
      <c r="AA193" s="66">
        <v>179</v>
      </c>
      <c r="AB193" s="48">
        <f>VLOOKUP(A193,二级筛选!A:BF,56,0)</f>
        <v>0.94166666666666665</v>
      </c>
      <c r="AC193" s="66">
        <v>162</v>
      </c>
      <c r="AD193" s="48">
        <f>VLOOKUP(A193,二级筛选!A:BK,61,0)</f>
        <v>-3.8098506950403288</v>
      </c>
      <c r="AE193" s="66">
        <v>125</v>
      </c>
      <c r="AF193">
        <f>(M193+O193+Q193+S193+U193)+(W193+Y193+AA193+AC193+AE193)*2</f>
        <v>2385</v>
      </c>
      <c r="AG193" s="69">
        <f>(W193+Y193+AE193+U193)+(M193+O193+S193+AC193)</f>
        <v>1232</v>
      </c>
    </row>
    <row r="194" spans="1:33" hidden="1" x14ac:dyDescent="0.35">
      <c r="A194" s="43" t="s">
        <v>401</v>
      </c>
      <c r="B194" s="43" t="s">
        <v>402</v>
      </c>
      <c r="C194" s="44">
        <v>20190612</v>
      </c>
      <c r="D194" s="44" t="str">
        <f>[1]!f_info_regulopenfundornot(A194)</f>
        <v>否</v>
      </c>
      <c r="E194" s="44" t="str">
        <f>[1]!f_dq_status(A194,$E$1)</f>
        <v>开放申购|开放赎回</v>
      </c>
      <c r="F194" s="40" t="str">
        <f>[1]!f_info_fundmanager(A194)</f>
        <v>曹巍浩</v>
      </c>
      <c r="G194" s="44">
        <v>20201208</v>
      </c>
      <c r="H194" s="45">
        <f>[1]!f_netasset_total(A194,$E$1,100000000)</f>
        <v>0.2451804169</v>
      </c>
      <c r="I194" s="45">
        <f>[1]!f_prt_convertiblebondtonav(A194,$E$1)</f>
        <v>0</v>
      </c>
      <c r="J194" s="45">
        <f>[1]!f_prt_stocktonav(A194,$E$1)+0.5*I194</f>
        <v>3.2215256690979004</v>
      </c>
      <c r="K194" s="46">
        <v>0</v>
      </c>
      <c r="L194" s="59">
        <f>VLOOKUP(A194,二级筛选!A:Q,12,0)/100</f>
        <v>4.149472094361073E-2</v>
      </c>
      <c r="M194" s="63">
        <v>140</v>
      </c>
      <c r="N194" s="48">
        <f>VLOOKUP(A194,二级筛选!A:U,19,0)</f>
        <v>0.28323978912878733</v>
      </c>
      <c r="O194" s="65">
        <v>142</v>
      </c>
      <c r="P194" s="48">
        <f>VLOOKUP(A194,二级筛选!A:Z,24,0)</f>
        <v>1.3675760137499611</v>
      </c>
      <c r="Q194" s="67">
        <v>137</v>
      </c>
      <c r="R194" s="48">
        <f>VLOOKUP(A194,二级筛选!A:AE,29,0)</f>
        <v>0.84873949579831931</v>
      </c>
      <c r="S194" s="67">
        <v>139</v>
      </c>
      <c r="T194" s="50">
        <f>VLOOKUP(A194,二级筛选!A:AJ,34,0)</f>
        <v>-3.0341802229939785</v>
      </c>
      <c r="U194" s="66">
        <v>95</v>
      </c>
      <c r="V194" s="49">
        <f>VLOOKUP(A194,二级筛选!A:AR,39,0)/100</f>
        <v>2.7213759659925563E-2</v>
      </c>
      <c r="W194" s="66">
        <v>170</v>
      </c>
      <c r="X194" s="48">
        <f>VLOOKUP(A194,二级筛选!A:AV,46,0)</f>
        <v>-2.7776016970520272E-2</v>
      </c>
      <c r="Y194" s="66">
        <v>169</v>
      </c>
      <c r="Z194" s="48">
        <f>VLOOKUP(A194,二级筛选!A:BA,51,0)</f>
        <v>0.34159453318583805</v>
      </c>
      <c r="AA194" s="66">
        <v>191</v>
      </c>
      <c r="AB194" s="48">
        <f>VLOOKUP(A194,二级筛选!A:BF,56,0)</f>
        <v>0.45833333333333331</v>
      </c>
      <c r="AC194" s="66">
        <v>193</v>
      </c>
      <c r="AD194" s="48">
        <f>VLOOKUP(A194,二级筛选!A:BK,61,0)</f>
        <v>-7.9666847727684305</v>
      </c>
      <c r="AE194" s="66">
        <v>185</v>
      </c>
      <c r="AF194">
        <f>(M194+O194+Q194+S194+U194)+(W194+Y194+AA194+AC194+AE194)*2</f>
        <v>2469</v>
      </c>
      <c r="AG194" s="69">
        <f>(W194+Y194+AE194)*2+(M194+O194+S194)</f>
        <v>1469</v>
      </c>
    </row>
    <row r="195" spans="1:33" hidden="1" x14ac:dyDescent="0.35">
      <c r="A195" s="43" t="s">
        <v>363</v>
      </c>
      <c r="B195" s="43" t="s">
        <v>364</v>
      </c>
      <c r="C195" s="44">
        <v>20180207</v>
      </c>
      <c r="D195" s="44" t="str">
        <f>[1]!f_info_regulopenfundornot(A195)</f>
        <v>否</v>
      </c>
      <c r="E195" s="44" t="str">
        <f>[1]!f_dq_status(A195,$E$1)</f>
        <v>开放申购|开放赎回</v>
      </c>
      <c r="F195" s="40" t="str">
        <f>[1]!f_info_fundmanager(A195)</f>
        <v>王丹</v>
      </c>
      <c r="G195" s="44">
        <v>20190812</v>
      </c>
      <c r="H195" s="45">
        <f>[1]!f_netasset_total(A195,$E$1,100000000)</f>
        <v>9.3765923348999998</v>
      </c>
      <c r="I195" s="45">
        <f>[1]!f_prt_convertiblebondtonav(A195,$E$1)</f>
        <v>0</v>
      </c>
      <c r="J195" s="45">
        <f>[1]!f_prt_stocktonav(A195,$E$1)+0.5*I195</f>
        <v>0</v>
      </c>
      <c r="K195" s="46">
        <v>0</v>
      </c>
      <c r="L195" s="59">
        <f>VLOOKUP(A195,二级筛选!A:Q,12,0)/100</f>
        <v>-4.0096846899825615E-2</v>
      </c>
      <c r="M195" s="63">
        <v>196</v>
      </c>
      <c r="N195" s="48">
        <f>VLOOKUP(A195,二级筛选!A:U,19,0)</f>
        <v>-1.2149534891778544</v>
      </c>
      <c r="O195" s="65">
        <v>193</v>
      </c>
      <c r="P195" s="48">
        <f>VLOOKUP(A195,二级筛选!A:Z,24,0)</f>
        <v>-0.65273345698099727</v>
      </c>
      <c r="Q195" s="67">
        <v>195</v>
      </c>
      <c r="R195" s="48">
        <f>VLOOKUP(A195,二级筛选!A:AE,29,0)</f>
        <v>0.1176470588235294</v>
      </c>
      <c r="S195" s="67">
        <v>195</v>
      </c>
      <c r="T195" s="50">
        <f>VLOOKUP(A195,二级筛选!A:AJ,34,0)</f>
        <v>-6.142912772585662</v>
      </c>
      <c r="U195" s="66">
        <v>179</v>
      </c>
      <c r="V195" s="49">
        <f>VLOOKUP(A195,二级筛选!A:AR,39,0)/100</f>
        <v>1.8829932934602001E-2</v>
      </c>
      <c r="W195" s="66">
        <v>187</v>
      </c>
      <c r="X195" s="48">
        <f>VLOOKUP(A195,二级筛选!A:AV,46,0)</f>
        <v>-0.56404248830182202</v>
      </c>
      <c r="Y195" s="66">
        <v>185</v>
      </c>
      <c r="Z195" s="48">
        <f>VLOOKUP(A195,二级筛选!A:BA,51,0)</f>
        <v>0.67425395594003901</v>
      </c>
      <c r="AA195" s="66">
        <v>183</v>
      </c>
      <c r="AB195" s="48">
        <f>VLOOKUP(A195,二级筛选!A:BF,56,0)</f>
        <v>0.73333333333333328</v>
      </c>
      <c r="AC195" s="66">
        <v>186</v>
      </c>
      <c r="AD195" s="48">
        <f>VLOOKUP(A195,二级筛选!A:BK,61,0)</f>
        <v>-2.7927063339731499</v>
      </c>
      <c r="AE195" s="66">
        <v>80</v>
      </c>
      <c r="AF195">
        <f>(M195+O195+Q195+S195+U195)+(W195+Y195+AA195+AC195+AE195)*2</f>
        <v>2600</v>
      </c>
      <c r="AG195" s="69">
        <f>(W195+Y195+AE195)*2+(M195+O195+S195)</f>
        <v>1488</v>
      </c>
    </row>
    <row r="196" spans="1:33" hidden="1" x14ac:dyDescent="0.35">
      <c r="A196" s="43" t="s">
        <v>369</v>
      </c>
      <c r="B196" s="43" t="s">
        <v>370</v>
      </c>
      <c r="C196" s="44">
        <v>20180327</v>
      </c>
      <c r="D196" s="44" t="str">
        <f>[1]!f_info_regulopenfundornot(A196)</f>
        <v>否</v>
      </c>
      <c r="E196" s="44" t="str">
        <f>[1]!f_dq_status(A196,$E$1)</f>
        <v>开放申购|开放赎回</v>
      </c>
      <c r="F196" s="40" t="str">
        <f>[1]!f_info_fundmanager(A196)</f>
        <v>史延</v>
      </c>
      <c r="G196" s="44">
        <v>20200720</v>
      </c>
      <c r="H196" s="45">
        <f>[1]!f_netasset_total(A196,$E$1,100000000)</f>
        <v>0.1072423218</v>
      </c>
      <c r="I196" s="45">
        <f>[1]!f_prt_convertiblebondtonav(A196,$E$1)</f>
        <v>27.524221420288086</v>
      </c>
      <c r="J196" s="45">
        <f>[1]!f_prt_stocktonav(A196,$E$1)+0.5*I196</f>
        <v>31.859709739685059</v>
      </c>
      <c r="K196" s="46">
        <v>0</v>
      </c>
      <c r="L196" s="59">
        <f>VLOOKUP(A196,二级筛选!A:Q,12,0)/100</f>
        <v>-1.8572948280249801E-2</v>
      </c>
      <c r="M196" s="63">
        <v>193</v>
      </c>
      <c r="N196" s="48">
        <f>VLOOKUP(A196,二级筛选!A:U,19,0)</f>
        <v>-1.0196450872923546</v>
      </c>
      <c r="O196" s="65">
        <v>191</v>
      </c>
      <c r="P196" s="48">
        <f>VLOOKUP(A196,二级筛选!A:Z,24,0)</f>
        <v>-0.35895065349788863</v>
      </c>
      <c r="Q196" s="67">
        <v>193</v>
      </c>
      <c r="R196" s="48">
        <f>VLOOKUP(A196,二级筛选!A:AE,29,0)</f>
        <v>0.30252100840336132</v>
      </c>
      <c r="S196" s="67">
        <v>190</v>
      </c>
      <c r="T196" s="50">
        <f>VLOOKUP(A196,二级筛选!A:AJ,34,0)</f>
        <v>-5.1742344244984215</v>
      </c>
      <c r="U196" s="66">
        <v>159</v>
      </c>
      <c r="V196" s="49">
        <f>VLOOKUP(A196,二级筛选!A:AR,39,0)/100</f>
        <v>6.8662323441343931E-2</v>
      </c>
      <c r="W196" s="66">
        <v>107</v>
      </c>
      <c r="X196" s="48">
        <f>VLOOKUP(A196,二级筛选!A:AV,46,0)</f>
        <v>0.24633062411943349</v>
      </c>
      <c r="Y196" s="66">
        <v>156</v>
      </c>
      <c r="Z196" s="48">
        <f>VLOOKUP(A196,二级筛选!A:BA,51,0)</f>
        <v>0.48739046000834646</v>
      </c>
      <c r="AA196" s="66">
        <v>187</v>
      </c>
      <c r="AB196" s="48">
        <f>VLOOKUP(A196,二级筛选!A:BF,56,0)</f>
        <v>0.875</v>
      </c>
      <c r="AC196" s="66">
        <v>168</v>
      </c>
      <c r="AD196" s="48">
        <f>VLOOKUP(A196,二级筛选!A:BK,61,0)</f>
        <v>-14.0877446473138</v>
      </c>
      <c r="AE196" s="66">
        <v>196</v>
      </c>
      <c r="AF196">
        <f>(M196+O196+Q196+S196+U196)+(W196+Y196+AA196+AC196+AE196)*2</f>
        <v>2554</v>
      </c>
      <c r="AG196" s="69">
        <f>(W196+Y196+AE196)*2+(M196+O196+S196)</f>
        <v>1492</v>
      </c>
    </row>
    <row r="197" spans="1:33" x14ac:dyDescent="0.35">
      <c r="A197" s="43" t="s">
        <v>149</v>
      </c>
      <c r="B197" s="43" t="s">
        <v>150</v>
      </c>
      <c r="C197" s="44">
        <v>20130730</v>
      </c>
      <c r="D197" s="44" t="str">
        <f>[1]!f_info_regulopenfundornot(A197)</f>
        <v>否</v>
      </c>
      <c r="E197" s="44" t="str">
        <f>[1]!f_dq_status(A197,$E$1)</f>
        <v>开放申购|开放赎回</v>
      </c>
      <c r="F197" s="40" t="str">
        <f>[1]!f_info_fundmanager(A197)</f>
        <v>彭成军</v>
      </c>
      <c r="G197" s="44">
        <v>20210402</v>
      </c>
      <c r="H197" s="45">
        <f>[1]!f_netasset_total(A197,$E$1,100000000)</f>
        <v>16.402167647399999</v>
      </c>
      <c r="I197" s="45">
        <f>[1]!f_prt_convertiblebondtonav(A197,$E$1)</f>
        <v>0</v>
      </c>
      <c r="J197" s="45">
        <f>[1]!f_prt_stocktonav(A197,$E$1)+0.5*I197</f>
        <v>0</v>
      </c>
      <c r="K197" s="46">
        <v>24.435123979697369</v>
      </c>
      <c r="L197" s="59">
        <f>VLOOKUP(A197,二级筛选!A:Q,12,0)/100</f>
        <v>2.2289249514215514E-2</v>
      </c>
      <c r="M197" s="63">
        <v>174</v>
      </c>
      <c r="N197" s="48">
        <f>VLOOKUP(A197,二级筛选!A:U,19,0)</f>
        <v>-0.20772497636520026</v>
      </c>
      <c r="O197" s="65">
        <v>174</v>
      </c>
      <c r="P197" s="48">
        <f>VLOOKUP(A197,二级筛选!A:Z,24,0)</f>
        <v>0.46250192741997237</v>
      </c>
      <c r="Q197" s="67">
        <v>179</v>
      </c>
      <c r="R197" s="48">
        <f>VLOOKUP(A197,二级筛选!A:AE,29,0)</f>
        <v>0.35294117647058831</v>
      </c>
      <c r="S197" s="67">
        <v>189</v>
      </c>
      <c r="T197" s="50">
        <f>VLOOKUP(A197,二级筛选!A:AJ,34,0)</f>
        <v>-4.81927710843373</v>
      </c>
      <c r="U197" s="66">
        <v>152</v>
      </c>
      <c r="V197" s="49">
        <f>VLOOKUP(A197,二级筛选!A:AR,39,0)/100</f>
        <v>2.617051881944743E-2</v>
      </c>
      <c r="W197" s="66">
        <v>171</v>
      </c>
      <c r="X197" s="48">
        <f>VLOOKUP(A197,二级筛选!A:AV,46,0)</f>
        <v>-8.1857891257003421E-2</v>
      </c>
      <c r="Y197" s="66">
        <v>171</v>
      </c>
      <c r="Z197" s="48">
        <f>VLOOKUP(A197,二级筛选!A:BA,51,0)</f>
        <v>0.6082222429334555</v>
      </c>
      <c r="AA197" s="66">
        <v>184</v>
      </c>
      <c r="AB197" s="48">
        <f>VLOOKUP(A197,二级筛选!A:BF,56,0)</f>
        <v>0.85</v>
      </c>
      <c r="AC197" s="66">
        <v>172</v>
      </c>
      <c r="AD197" s="48">
        <f>VLOOKUP(A197,二级筛选!A:BK,61,0)</f>
        <v>-4.3027888446215048</v>
      </c>
      <c r="AE197" s="66">
        <v>141</v>
      </c>
      <c r="AF197">
        <f>(M197+O197+Q197+S197+U197)+(W197+Y197+AA197+AC197+AE197)*2</f>
        <v>2546</v>
      </c>
      <c r="AG197" s="69">
        <f>(W197+Y197+AE197+U197)+(M197+O197+S197+AC197)</f>
        <v>1344</v>
      </c>
    </row>
    <row r="198" spans="1:33" hidden="1" x14ac:dyDescent="0.35">
      <c r="A198" s="43" t="s">
        <v>183</v>
      </c>
      <c r="B198" s="43" t="s">
        <v>184</v>
      </c>
      <c r="C198" s="44">
        <v>20141202</v>
      </c>
      <c r="D198" s="44" t="str">
        <f>[1]!f_info_regulopenfundornot(A198)</f>
        <v>否</v>
      </c>
      <c r="E198" s="44" t="str">
        <f>[1]!f_dq_status(A198,$E$1)</f>
        <v>开放申购|开放赎回</v>
      </c>
      <c r="F198" s="40" t="str">
        <f>[1]!f_info_fundmanager(A198)</f>
        <v>曹建华</v>
      </c>
      <c r="G198" s="44">
        <v>20210621</v>
      </c>
      <c r="H198" s="45">
        <f>[1]!f_netasset_total(A198,$E$1,100000000)</f>
        <v>0.14512096900000002</v>
      </c>
      <c r="I198" s="45">
        <f>[1]!f_prt_convertiblebondtonav(A198,$E$1)</f>
        <v>7.4808864593505859</v>
      </c>
      <c r="J198" s="45">
        <f>[1]!f_prt_stocktonav(A198,$E$1)+0.5*I198</f>
        <v>17.25941276550293</v>
      </c>
      <c r="K198" s="46">
        <v>11.71953310207018</v>
      </c>
      <c r="L198" s="59">
        <f>VLOOKUP(A198,二级筛选!A:Q,12,0)/100</f>
        <v>-1.9611957276377545E-4</v>
      </c>
      <c r="M198" s="63">
        <v>188</v>
      </c>
      <c r="N198" s="48">
        <f>VLOOKUP(A198,二级筛选!A:U,19,0)</f>
        <v>-0.5300752218968553</v>
      </c>
      <c r="O198" s="65">
        <v>181</v>
      </c>
      <c r="P198" s="48">
        <f>VLOOKUP(A198,二级筛选!A:Z,24,0)</f>
        <v>-5.0415676969152671E-3</v>
      </c>
      <c r="Q198" s="67">
        <v>188</v>
      </c>
      <c r="R198" s="48">
        <f>VLOOKUP(A198,二级筛选!A:AE,29,0)</f>
        <v>0.60504201680672265</v>
      </c>
      <c r="S198" s="67">
        <v>178</v>
      </c>
      <c r="T198" s="50">
        <f>VLOOKUP(A198,二级筛选!A:AJ,34,0)</f>
        <v>-3.8900513600912894</v>
      </c>
      <c r="U198" s="66">
        <v>121</v>
      </c>
      <c r="V198" s="49">
        <f>VLOOKUP(A198,二级筛选!A:AR,39,0)/100</f>
        <v>-5.9362586669328143E-3</v>
      </c>
      <c r="W198" s="66">
        <v>195</v>
      </c>
      <c r="X198" s="48">
        <f>VLOOKUP(A198,二级筛选!A:AV,46,0)</f>
        <v>-0.78241824780164615</v>
      </c>
      <c r="Y198" s="66">
        <v>191</v>
      </c>
      <c r="Z198" s="48">
        <f>VLOOKUP(A198,二级筛选!A:BA,51,0)</f>
        <v>-0.11643360289737724</v>
      </c>
      <c r="AA198" s="66">
        <v>195</v>
      </c>
      <c r="AB198" s="48">
        <f>VLOOKUP(A198,二级筛选!A:BF,56,0)</f>
        <v>0.57499999999999996</v>
      </c>
      <c r="AC198" s="66">
        <v>191</v>
      </c>
      <c r="AD198" s="48">
        <f>VLOOKUP(A198,二级筛选!A:BK,61,0)</f>
        <v>-5.0984067478912767</v>
      </c>
      <c r="AE198" s="66">
        <v>156</v>
      </c>
      <c r="AF198">
        <f>(M198+O198+Q198+S198+U198)+(W198+Y198+AA198+AC198+AE198)*2</f>
        <v>2712</v>
      </c>
      <c r="AG198" s="69">
        <f>(W198+Y198+AE198)*2+(M198+O198+S198)</f>
        <v>1631</v>
      </c>
    </row>
    <row r="199" spans="1:33" hidden="1" x14ac:dyDescent="0.35">
      <c r="A199" s="43" t="s">
        <v>173</v>
      </c>
      <c r="B199" s="43" t="s">
        <v>174</v>
      </c>
      <c r="C199" s="44">
        <v>20140128</v>
      </c>
      <c r="D199" s="44" t="str">
        <f>[1]!f_info_regulopenfundornot(A199)</f>
        <v>否</v>
      </c>
      <c r="E199" s="44" t="str">
        <f>[1]!f_dq_status(A199,$E$1)</f>
        <v>暂停申购|开放赎回</v>
      </c>
      <c r="F199" s="40" t="str">
        <f>[1]!f_info_fundmanager(A199)</f>
        <v>厉骞</v>
      </c>
      <c r="G199" s="44">
        <v>20200310</v>
      </c>
      <c r="H199" s="45">
        <f>[1]!f_netasset_total(A199,$E$1,100000000)</f>
        <v>2.1123892725999998</v>
      </c>
      <c r="I199" s="45">
        <f>[1]!f_prt_convertiblebondtonav(A199,$E$1)</f>
        <v>10.846078872680664</v>
      </c>
      <c r="J199" s="45">
        <f>[1]!f_prt_stocktonav(A199,$E$1)+0.5*I199</f>
        <v>22.18097972869873</v>
      </c>
      <c r="K199" s="46">
        <v>30.608654161748081</v>
      </c>
      <c r="L199" s="59">
        <f>VLOOKUP(A199,二级筛选!A:Q,12,0)/100</f>
        <v>-0.11535882573279865</v>
      </c>
      <c r="M199" s="63">
        <v>197</v>
      </c>
      <c r="N199" s="48">
        <f>VLOOKUP(A199,二级筛选!A:U,19,0)</f>
        <v>-1.325630581429369</v>
      </c>
      <c r="O199" s="65">
        <v>194</v>
      </c>
      <c r="P199" s="48">
        <f>VLOOKUP(A199,二级筛选!A:Z,24,0)</f>
        <v>-0.74773493406804947</v>
      </c>
      <c r="Q199" s="67">
        <v>196</v>
      </c>
      <c r="R199" s="48">
        <f>VLOOKUP(A199,二级筛选!A:AE,29,0)</f>
        <v>0.24369747899159661</v>
      </c>
      <c r="S199" s="67">
        <v>191</v>
      </c>
      <c r="T199" s="50">
        <f>VLOOKUP(A199,二级筛选!A:AJ,34,0)</f>
        <v>-15.427769985974754</v>
      </c>
      <c r="U199" s="66">
        <v>197</v>
      </c>
      <c r="V199" s="49">
        <f>VLOOKUP(A199,二级筛选!A:AR,39,0)/100</f>
        <v>-0.1718402807173518</v>
      </c>
      <c r="W199" s="66">
        <v>197</v>
      </c>
      <c r="X199" s="48">
        <f>VLOOKUP(A199,二级筛选!A:AV,46,0)</f>
        <v>-1.7430408576367198</v>
      </c>
      <c r="Y199" s="66">
        <v>196</v>
      </c>
      <c r="Z199" s="48">
        <f>VLOOKUP(A199,二级筛选!A:BA,51,0)</f>
        <v>-0.94676333006693769</v>
      </c>
      <c r="AA199" s="66">
        <v>196</v>
      </c>
      <c r="AB199" s="48">
        <f>VLOOKUP(A199,二级筛选!A:BF,56,0)</f>
        <v>0</v>
      </c>
      <c r="AC199" s="66">
        <v>197</v>
      </c>
      <c r="AD199" s="48">
        <f>VLOOKUP(A199,二级筛选!A:BK,61,0)</f>
        <v>-18.150289017341052</v>
      </c>
      <c r="AE199" s="66">
        <v>197</v>
      </c>
      <c r="AF199">
        <f>(M199+O199+Q199+S199+U199)+(W199+Y199+AA199+AC199+AE199)*2</f>
        <v>2941</v>
      </c>
      <c r="AG199" s="69">
        <f>(W199+Y199+AE199)*2+(M199+O199+S199)</f>
        <v>1762</v>
      </c>
    </row>
  </sheetData>
  <autoFilter ref="A2:AG199" xr:uid="{C44C8D31-28A2-4E35-93B3-D072546A08AE}">
    <filterColumn colId="7">
      <customFilters>
        <customFilter operator="greaterThanOrEqual" val="10"/>
      </customFilters>
    </filterColumn>
    <sortState xmlns:xlrd2="http://schemas.microsoft.com/office/spreadsheetml/2017/richdata2" ref="A3:AG199">
      <sortCondition ref="AG3:AG199"/>
    </sortState>
  </autoFilter>
  <sortState xmlns:xlrd2="http://schemas.microsoft.com/office/spreadsheetml/2017/richdata2" ref="A3:AG197">
    <sortCondition ref="AG3:AG197"/>
  </sortState>
  <mergeCells count="3">
    <mergeCell ref="A1:C1"/>
    <mergeCell ref="L1:U1"/>
    <mergeCell ref="V1:AE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E200"/>
  <sheetViews>
    <sheetView zoomScale="85" zoomScaleNormal="85" workbookViewId="0">
      <pane xSplit="2" ySplit="3" topLeftCell="BQ33" activePane="bottomRight" state="frozen"/>
      <selection pane="topRight" activeCell="C1" sqref="C1"/>
      <selection pane="bottomLeft" activeCell="A4" sqref="A4"/>
      <selection pane="bottomRight" activeCell="CC3" sqref="CC3:CE191"/>
    </sheetView>
  </sheetViews>
  <sheetFormatPr defaultColWidth="8" defaultRowHeight="14.15" x14ac:dyDescent="0.3"/>
  <cols>
    <col min="1" max="1" width="13.640625" style="22" bestFit="1" customWidth="1"/>
    <col min="2" max="2" width="33.2109375" style="22" bestFit="1" customWidth="1"/>
    <col min="3" max="3" width="15.85546875" style="22" bestFit="1" customWidth="1"/>
    <col min="4" max="4" width="13.640625" style="22" bestFit="1" customWidth="1"/>
    <col min="5" max="5" width="24.2109375" style="22" bestFit="1" customWidth="1"/>
    <col min="6" max="6" width="20.85546875" style="22" customWidth="1"/>
    <col min="7" max="7" width="22.640625" style="22" bestFit="1" customWidth="1"/>
    <col min="8" max="8" width="19.2109375" style="22" bestFit="1" customWidth="1"/>
    <col min="9" max="9" width="27.140625" style="22" customWidth="1"/>
    <col min="10" max="10" width="23.7109375" style="22" customWidth="1"/>
    <col min="11" max="11" width="21.5" style="22" bestFit="1" customWidth="1"/>
    <col min="12" max="13" width="19" style="23" bestFit="1" customWidth="1"/>
    <col min="14" max="14" width="19" style="22" bestFit="1" customWidth="1"/>
    <col min="15" max="15" width="31.2109375" style="22" bestFit="1" customWidth="1"/>
    <col min="16" max="16" width="29" style="27" customWidth="1"/>
    <col min="17" max="17" width="24.640625" style="55" customWidth="1"/>
    <col min="18" max="18" width="25.5" style="27" customWidth="1"/>
    <col min="19" max="19" width="25.35546875" style="22" customWidth="1"/>
    <col min="20" max="20" width="37.2109375" style="22" customWidth="1"/>
    <col min="21" max="21" width="39.640625" style="22" customWidth="1"/>
    <col min="22" max="22" width="35.85546875" style="22" customWidth="1"/>
    <col min="23" max="23" width="36.2109375" style="22" customWidth="1"/>
    <col min="24" max="24" width="19" style="22" bestFit="1" customWidth="1"/>
    <col min="25" max="25" width="25.7109375" style="22" customWidth="1"/>
    <col min="26" max="26" width="38.35546875" style="22" customWidth="1"/>
    <col min="27" max="27" width="24.2109375" style="22" customWidth="1"/>
    <col min="28" max="28" width="26.85546875" style="22" customWidth="1"/>
    <col min="29" max="29" width="19" style="24" bestFit="1" customWidth="1"/>
    <col min="30" max="30" width="30.140625" style="22" bestFit="1" customWidth="1"/>
    <col min="31" max="31" width="30.140625" style="22" customWidth="1"/>
    <col min="32" max="32" width="23.7109375" style="22" customWidth="1"/>
    <col min="33" max="33" width="24.35546875" style="22" customWidth="1"/>
    <col min="34" max="34" width="19.7109375" style="22" customWidth="1"/>
    <col min="35" max="35" width="26.35546875" style="22" customWidth="1"/>
    <col min="36" max="36" width="27.85546875" style="22" customWidth="1"/>
    <col min="37" max="37" width="23.140625" style="22" customWidth="1"/>
    <col min="38" max="38" width="27.85546875" style="22" customWidth="1"/>
    <col min="39" max="40" width="19" style="23" bestFit="1" customWidth="1"/>
    <col min="41" max="41" width="19" style="22" bestFit="1" customWidth="1"/>
    <col min="42" max="42" width="26.85546875" style="22" customWidth="1"/>
    <col min="43" max="43" width="29" style="27" customWidth="1"/>
    <col min="44" max="44" width="25" style="55" customWidth="1"/>
    <col min="45" max="45" width="25.7109375" style="27" customWidth="1"/>
    <col min="46" max="46" width="25" style="22" customWidth="1"/>
    <col min="47" max="47" width="37.7109375" style="22" customWidth="1"/>
    <col min="48" max="48" width="37.85546875" style="22" customWidth="1"/>
    <col min="49" max="49" width="36.140625" style="22" customWidth="1"/>
    <col min="50" max="50" width="35.5" style="22" customWidth="1"/>
    <col min="51" max="51" width="19" style="22" bestFit="1" customWidth="1"/>
    <col min="52" max="52" width="23.2109375" style="22" customWidth="1"/>
    <col min="53" max="53" width="25.140625" style="22" customWidth="1"/>
    <col min="54" max="54" width="22.5" style="22" customWidth="1"/>
    <col min="55" max="55" width="24.2109375" style="22" customWidth="1"/>
    <col min="56" max="56" width="19" style="24" bestFit="1" customWidth="1"/>
    <col min="57" max="57" width="24.85546875" style="22" customWidth="1"/>
    <col min="58" max="58" width="25" style="22" customWidth="1"/>
    <col min="59" max="59" width="24" style="22" customWidth="1"/>
    <col min="60" max="60" width="25.7109375" style="22" customWidth="1"/>
    <col min="61" max="61" width="17.85546875" style="22" customWidth="1"/>
    <col min="62" max="65" width="27.85546875" style="22" customWidth="1"/>
    <col min="66" max="66" width="18.2109375" style="22" customWidth="1"/>
    <col min="67" max="67" width="15.85546875" style="22" bestFit="1" customWidth="1"/>
    <col min="68" max="68" width="20.35546875" style="22" bestFit="1" customWidth="1"/>
    <col min="69" max="69" width="19.2109375" style="22" customWidth="1"/>
    <col min="70" max="70" width="20.35546875" style="22" bestFit="1" customWidth="1"/>
    <col min="71" max="71" width="24.85546875" style="22" bestFit="1" customWidth="1"/>
    <col min="72" max="72" width="25.640625" style="22" bestFit="1" customWidth="1"/>
    <col min="73" max="73" width="8" style="22"/>
    <col min="74" max="74" width="24.0703125" style="22" bestFit="1" customWidth="1"/>
    <col min="75" max="75" width="8" style="22"/>
    <col min="76" max="76" width="14.5" style="22" bestFit="1" customWidth="1"/>
    <col min="77" max="77" width="24.0703125" style="22" bestFit="1" customWidth="1"/>
    <col min="78" max="81" width="8" style="22"/>
    <col min="82" max="82" width="20.85546875" style="22" bestFit="1" customWidth="1"/>
    <col min="83" max="16384" width="8" style="22"/>
  </cols>
  <sheetData>
    <row r="1" spans="1:83" s="2" customFormat="1" x14ac:dyDescent="0.35">
      <c r="A1" s="70" t="s">
        <v>467</v>
      </c>
      <c r="B1" s="70"/>
      <c r="C1" s="70"/>
      <c r="D1" s="1" t="s">
        <v>0</v>
      </c>
      <c r="E1" s="1">
        <v>20210930</v>
      </c>
      <c r="G1" s="4"/>
      <c r="H1" s="3"/>
      <c r="I1" s="3"/>
      <c r="J1" s="3"/>
      <c r="L1" s="5"/>
      <c r="M1" s="5"/>
      <c r="N1" s="4"/>
      <c r="O1" s="4"/>
      <c r="P1" s="25"/>
      <c r="Q1" s="52"/>
      <c r="R1" s="25"/>
      <c r="S1" s="4"/>
      <c r="T1" s="4"/>
      <c r="U1" s="4"/>
      <c r="V1" s="4"/>
      <c r="W1" s="4"/>
      <c r="X1" s="6"/>
      <c r="Y1" s="5"/>
      <c r="Z1" s="5"/>
      <c r="AA1" s="5"/>
      <c r="AB1" s="5"/>
      <c r="AC1" s="6"/>
      <c r="AM1" s="5"/>
      <c r="AN1" s="5"/>
      <c r="AO1" s="4"/>
      <c r="AP1" s="4"/>
      <c r="AQ1" s="25"/>
      <c r="AR1" s="52"/>
      <c r="AS1" s="25"/>
      <c r="AT1" s="4"/>
      <c r="AU1" s="4"/>
      <c r="AV1" s="4"/>
      <c r="AW1" s="4"/>
      <c r="AX1" s="4"/>
      <c r="AY1" s="6"/>
      <c r="AZ1" s="5"/>
      <c r="BA1" s="5"/>
      <c r="BB1" s="5"/>
      <c r="BC1" s="5"/>
      <c r="BD1" s="6"/>
      <c r="BR1" s="2" t="s">
        <v>2</v>
      </c>
    </row>
    <row r="2" spans="1:83" s="2" customFormat="1" x14ac:dyDescent="0.35">
      <c r="A2" s="7"/>
      <c r="B2" s="3"/>
      <c r="C2" s="3"/>
      <c r="D2" s="3"/>
      <c r="E2" s="3"/>
      <c r="F2" s="3"/>
      <c r="G2" s="4"/>
      <c r="L2" s="4">
        <v>20200930</v>
      </c>
      <c r="M2" s="4"/>
      <c r="N2" s="5"/>
      <c r="O2" s="5"/>
      <c r="P2" s="25"/>
      <c r="Q2" s="53"/>
      <c r="R2" s="25"/>
      <c r="S2" s="8"/>
      <c r="T2" s="8"/>
      <c r="U2" s="8"/>
      <c r="V2" s="8"/>
      <c r="W2" s="8"/>
      <c r="X2" s="4"/>
      <c r="Y2" s="4"/>
      <c r="Z2" s="4"/>
      <c r="AA2" s="4"/>
      <c r="AB2" s="4"/>
      <c r="AC2" s="6"/>
      <c r="AD2" s="5"/>
      <c r="AE2" s="5"/>
      <c r="AF2" s="5"/>
      <c r="AG2" s="5"/>
      <c r="AH2" s="6"/>
      <c r="AI2" s="6"/>
      <c r="AJ2" s="6"/>
      <c r="AK2" s="6"/>
      <c r="AL2" s="6"/>
      <c r="AM2" s="4">
        <v>20190930</v>
      </c>
      <c r="AN2" s="4"/>
      <c r="AO2" s="5"/>
      <c r="AP2" s="5"/>
      <c r="AQ2" s="25"/>
      <c r="AR2" s="53"/>
      <c r="AS2" s="25"/>
      <c r="AT2" s="8"/>
      <c r="AU2" s="8"/>
      <c r="AV2" s="8"/>
      <c r="AW2" s="8"/>
      <c r="AX2" s="8"/>
      <c r="AY2" s="4"/>
      <c r="AZ2" s="4"/>
      <c r="BA2" s="4"/>
      <c r="BB2" s="4"/>
      <c r="BC2" s="4"/>
      <c r="BD2" s="6"/>
      <c r="BE2" s="5"/>
      <c r="BF2" s="5"/>
      <c r="BG2" s="5"/>
      <c r="BH2" s="5"/>
      <c r="BI2" s="6"/>
      <c r="BJ2" s="6"/>
      <c r="BK2" s="6"/>
      <c r="BL2" s="6"/>
      <c r="BM2" s="6"/>
      <c r="BN2" s="6"/>
      <c r="BR2" s="2">
        <f>_xlfn.PERCENTILE.EXC(BR4:BR200,0.7)</f>
        <v>70.833333333333343</v>
      </c>
    </row>
    <row r="3" spans="1:83" s="2" customFormat="1" ht="28.3" x14ac:dyDescent="0.35">
      <c r="A3" s="2" t="s">
        <v>3</v>
      </c>
      <c r="B3" s="2" t="s">
        <v>4</v>
      </c>
      <c r="C3" s="4" t="s">
        <v>5</v>
      </c>
      <c r="D3" s="4" t="s">
        <v>6</v>
      </c>
      <c r="E3" s="4" t="s">
        <v>7</v>
      </c>
      <c r="F3" s="9" t="s">
        <v>464</v>
      </c>
      <c r="G3" s="4" t="s">
        <v>10</v>
      </c>
      <c r="H3" s="9" t="s">
        <v>8</v>
      </c>
      <c r="I3" s="9" t="s">
        <v>9</v>
      </c>
      <c r="J3" s="9" t="s">
        <v>411</v>
      </c>
      <c r="K3" s="2" t="s">
        <v>16</v>
      </c>
      <c r="L3" s="28" t="s">
        <v>437</v>
      </c>
      <c r="M3" s="31" t="s">
        <v>436</v>
      </c>
      <c r="N3" s="28" t="s">
        <v>435</v>
      </c>
      <c r="O3" s="28" t="s">
        <v>434</v>
      </c>
      <c r="P3" s="32" t="s">
        <v>433</v>
      </c>
      <c r="Q3" s="54"/>
      <c r="R3" s="28" t="s">
        <v>432</v>
      </c>
      <c r="S3" s="28" t="s">
        <v>429</v>
      </c>
      <c r="T3" s="28" t="s">
        <v>428</v>
      </c>
      <c r="U3" s="28" t="s">
        <v>430</v>
      </c>
      <c r="V3" s="28" t="s">
        <v>427</v>
      </c>
      <c r="W3" s="28" t="s">
        <v>431</v>
      </c>
      <c r="X3" s="31" t="s">
        <v>424</v>
      </c>
      <c r="Y3" s="28" t="s">
        <v>423</v>
      </c>
      <c r="Z3" s="28" t="s">
        <v>425</v>
      </c>
      <c r="AA3" s="28" t="s">
        <v>415</v>
      </c>
      <c r="AB3" s="28" t="s">
        <v>426</v>
      </c>
      <c r="AC3" s="29" t="s">
        <v>414</v>
      </c>
      <c r="AD3" s="28" t="s">
        <v>412</v>
      </c>
      <c r="AE3" s="28" t="s">
        <v>421</v>
      </c>
      <c r="AF3" s="28" t="s">
        <v>413</v>
      </c>
      <c r="AG3" s="28" t="s">
        <v>422</v>
      </c>
      <c r="AH3" s="30" t="s">
        <v>416</v>
      </c>
      <c r="AI3" s="30" t="s">
        <v>417</v>
      </c>
      <c r="AJ3" s="30" t="s">
        <v>419</v>
      </c>
      <c r="AK3" s="30" t="s">
        <v>418</v>
      </c>
      <c r="AL3" s="30" t="s">
        <v>420</v>
      </c>
      <c r="AM3" s="28" t="s">
        <v>438</v>
      </c>
      <c r="AN3" s="31" t="s">
        <v>439</v>
      </c>
      <c r="AO3" s="28" t="s">
        <v>440</v>
      </c>
      <c r="AP3" s="28" t="s">
        <v>441</v>
      </c>
      <c r="AQ3" s="32" t="s">
        <v>442</v>
      </c>
      <c r="AR3" s="54"/>
      <c r="AS3" s="32" t="s">
        <v>443</v>
      </c>
      <c r="AT3" s="28" t="s">
        <v>444</v>
      </c>
      <c r="AU3" s="28" t="s">
        <v>445</v>
      </c>
      <c r="AV3" s="28" t="s">
        <v>446</v>
      </c>
      <c r="AW3" s="28" t="s">
        <v>447</v>
      </c>
      <c r="AX3" s="28" t="s">
        <v>448</v>
      </c>
      <c r="AY3" s="31" t="s">
        <v>449</v>
      </c>
      <c r="AZ3" s="28" t="s">
        <v>450</v>
      </c>
      <c r="BA3" s="28" t="s">
        <v>451</v>
      </c>
      <c r="BB3" s="28" t="s">
        <v>452</v>
      </c>
      <c r="BC3" s="28" t="s">
        <v>453</v>
      </c>
      <c r="BD3" s="29" t="s">
        <v>454</v>
      </c>
      <c r="BE3" s="28" t="s">
        <v>455</v>
      </c>
      <c r="BF3" s="28" t="s">
        <v>456</v>
      </c>
      <c r="BG3" s="28" t="s">
        <v>457</v>
      </c>
      <c r="BH3" s="28" t="s">
        <v>458</v>
      </c>
      <c r="BI3" s="30" t="s">
        <v>459</v>
      </c>
      <c r="BJ3" s="30" t="s">
        <v>460</v>
      </c>
      <c r="BK3" s="30" t="s">
        <v>461</v>
      </c>
      <c r="BL3" s="30" t="s">
        <v>462</v>
      </c>
      <c r="BM3" s="30" t="s">
        <v>463</v>
      </c>
      <c r="BN3" s="30" t="s">
        <v>11</v>
      </c>
      <c r="BO3" s="9" t="s">
        <v>12</v>
      </c>
      <c r="BP3" s="10" t="s">
        <v>13</v>
      </c>
      <c r="BQ3" s="10" t="s">
        <v>465</v>
      </c>
      <c r="BR3" s="9" t="s">
        <v>14</v>
      </c>
      <c r="BS3" s="9" t="s">
        <v>15</v>
      </c>
      <c r="BT3" s="9" t="s">
        <v>466</v>
      </c>
      <c r="BV3" s="2" t="s">
        <v>482</v>
      </c>
      <c r="BW3" s="2" t="s">
        <v>483</v>
      </c>
      <c r="BX3" s="2" t="s">
        <v>486</v>
      </c>
      <c r="BY3" s="2" t="s">
        <v>484</v>
      </c>
      <c r="CA3" s="2" t="s">
        <v>485</v>
      </c>
      <c r="CC3" s="2">
        <v>2020</v>
      </c>
      <c r="CD3" s="2">
        <v>2021</v>
      </c>
      <c r="CE3" s="2" t="s">
        <v>487</v>
      </c>
    </row>
    <row r="4" spans="1:83" s="2" customFormat="1" x14ac:dyDescent="0.35">
      <c r="A4" s="15" t="s">
        <v>301</v>
      </c>
      <c r="B4" s="15" t="s">
        <v>302</v>
      </c>
      <c r="C4" s="16">
        <v>20161118</v>
      </c>
      <c r="D4" s="16" t="str">
        <f>[1]!f_info_regulopenfundornot(A4)</f>
        <v>否</v>
      </c>
      <c r="E4" s="16" t="str">
        <f>[1]!f_dq_status(A4,$E$1)</f>
        <v>开放申购|开放赎回</v>
      </c>
      <c r="F4" s="17" t="str">
        <f>[1]!f_info_fundmanager(A4)</f>
        <v>何家琪,董阳阳</v>
      </c>
      <c r="G4" s="16">
        <v>20161118</v>
      </c>
      <c r="H4" s="18">
        <f>[1]!f_netasset_total(A4,$E$1,100000000)</f>
        <v>70.804104286599994</v>
      </c>
      <c r="I4" s="18">
        <f>[1]!f_prt_convertiblebondtonav(A4,$E$1)</f>
        <v>18.963212966918945</v>
      </c>
      <c r="J4" s="18">
        <f>[1]!f_prt_stocktonav(A4,$E$1)+0.5*I4</f>
        <v>24.145084381103516</v>
      </c>
      <c r="K4" s="19">
        <v>9.1591724312333813</v>
      </c>
      <c r="L4" s="19">
        <f>[1]!f_return($A4,"1",L$2,$E$1)</f>
        <v>9.3091504240469867</v>
      </c>
      <c r="M4" s="19">
        <f>[1]!f_risk_stdevyearly($A4,L$2,$E$1,1,1)</f>
        <v>7.50674829482357</v>
      </c>
      <c r="N4" s="19">
        <f>IFERROR(L4/M4,"-")</f>
        <v>1.240104244665603</v>
      </c>
      <c r="O4" s="19" t="str">
        <f>IFERROR(RANK(N4,N:N)&amp;"/"&amp;COUNT(N:N),"-")</f>
        <v>117/197</v>
      </c>
      <c r="P4" s="26">
        <f>IF(O4="-","-",RANK(N4,N:N)/COUNT(N:N))</f>
        <v>0.59390862944162437</v>
      </c>
      <c r="Q4" s="56">
        <v>0.20304568527918782</v>
      </c>
      <c r="R4" s="33" t="str">
        <f>IF(OR($C4&gt;20190630,$K4&gt;30,N4="-",$D4="是",$E4="封闭期",$H4&lt;10,$BN4&lt;-6,$BR4&lt;70),"-",COUNTIFS(N$4:N$200,"&lt;&gt;-",$D$4:$D$200,"&lt;&gt;是",$E$4:$E$200,"&lt;&gt;封闭期",$H$4:$H$200,"&gt;10",$BN$4:$BN$200,"&gt;-6",$BR$4:$BR$200,"&gt;=70",$K$4:$K$200,"&lt;=30",$C$4:$C$200,"&lt;20190630",N$4:N$200,"&gt;="&amp;N4)/COUNTIFS(N$4:N$200,"&lt;&gt;-",$D$4:$D$200,"&lt;&gt;是",$E$4:$E$200,"&lt;&gt;封闭期",$H$4:$H$200,"&gt;10",$BN$4:$BN$200,"&gt;-6",$BR$4:$BR$200,"&gt;=70",$C$4:$C$200,"&lt;20190630",$K$4:$K$200,"&lt;=30"))</f>
        <v>-</v>
      </c>
      <c r="S4" s="19">
        <f>IFERROR((L4-3)/M4,"-")</f>
        <v>0.84046383017765347</v>
      </c>
      <c r="T4" s="19" t="str">
        <f>IFERROR(RANK(S4,S:S)&amp;"/"&amp;COUNT(S:S),"-")</f>
        <v>89/197</v>
      </c>
      <c r="U4" s="26">
        <f>IFERROR(RANK(S4,S:S)/COUNT(S:S),"-")</f>
        <v>0.45177664974619292</v>
      </c>
      <c r="V4" s="34" t="str">
        <f>IF(OR($C4&gt;20190630,$K4&gt;30,S4="-",$D4="是",$E4="封闭期",$H4&lt;10,$BN4&lt;-6,$BR4&lt;70),"-",COUNTIFS(S$4:S$200,"&lt;&gt;-",$D$4:$D$200,"&lt;&gt;是",$E$4:$E$200,"&lt;&gt;封闭期",$H$4:$H$200,"&gt;10",$BN$4:$BN$200,"&gt;-6",$BR$4:$BR$200,"&gt;=70",$K$4:$K$200,"&lt;=30",$C$4:$C$200,"&lt;20190630",S$4:S$200,"&gt;="&amp;S4)&amp;"/"&amp;COUNTIFS(S$4:S$200,"&lt;&gt;-",$D$4:$D$200,"&lt;&gt;是",$E$4:$E$200,"&lt;&gt;封闭期",$H$4:$H$200,"&gt;10",$BN$4:$BN$200,"&gt;-6",$BR$4:$BR$200,"&gt;=70",$C$4:$C$200,"&lt;20190630",$K$4:$K$200,"&lt;=30"))</f>
        <v>-</v>
      </c>
      <c r="W4" s="33" t="str">
        <f>IF(OR($C4&gt;20190630,$K4&gt;30,S4="-",$D4="是",$E4="封闭期",$H4&lt;10,$BN4&lt;-6,$BR4&lt;70),"-",COUNTIFS(S$4:S$200,"&lt;&gt;-",$D$4:$D$200,"&lt;&gt;是",$E$4:$E$200,"&lt;&gt;封闭期",$H$4:$H$200,"&gt;10",$BN$4:$BN$200,"&gt;-6",$BR$4:$BR$200,"&gt;=70",$K$4:$K$200,"&lt;=30",$C$4:$C$200,"&lt;20190630",S$4:S$200,"&gt;="&amp;S4)/COUNTIFS(S$4:S$200,"&lt;&gt;-",$D$4:$D$200,"&lt;&gt;是",$E$4:$E$200,"&lt;&gt;封闭期",$H$4:$H$200,"&gt;10",$BN$4:$BN$200,"&gt;-6",$BR$4:$BR$200,"&gt;=70",$C$4:$C$200,"&lt;20190630",$K$4:$K$200,"&lt;=30"))</f>
        <v>-</v>
      </c>
      <c r="X4" s="19">
        <f>[1]!f_risk_calmar(A4,$L$2,$E$1)</f>
        <v>2.1441075492805068</v>
      </c>
      <c r="Y4" s="19" t="str">
        <f>IFERROR(RANK(X4,X:X)&amp;"/"&amp;COUNT(X:X),"-")</f>
        <v>91/197</v>
      </c>
      <c r="Z4" s="26">
        <f>IFERROR(RANK(X4,X:X)/COUNT(X:X),"-")</f>
        <v>0.46192893401015228</v>
      </c>
      <c r="AA4" s="34" t="str">
        <f>IF(OR($C4&gt;20190630,$K4&gt;30,X4="-",$D4="是",$E4="封闭期",$H4&lt;10,$BN4&lt;-6,$BR4&lt;70),"-",COUNTIFS(X$4:X$200,"&lt;&gt;-",$D$4:$D$200,"&lt;&gt;是",$E$4:$E$200,"&lt;&gt;封闭期",$H$4:$H$200,"&gt;10",$BN$4:$BN$200,"&gt;-6",$BR$4:$BR$200,"&gt;=70",$K$4:$K$200,"&lt;=30",$C$4:$C$200,"&lt;20190630",X$4:X$200,"&gt;="&amp;X4)&amp;"/"&amp;COUNTIFS(X$4:X$200,"&lt;&gt;-",$D$4:$D$200,"&lt;&gt;是",$E$4:$E$200,"&lt;&gt;封闭期",$H$4:$H$200,"&gt;10",$BN$4:$BN$200,"&gt;-6",$BR$4:$BR$200,"&gt;=70",$C$4:$C$200,"&lt;20190630",$K$4:$K$200,"&lt;=30"))</f>
        <v>-</v>
      </c>
      <c r="AB4" s="33" t="str">
        <f>IF(OR($C4&gt;20190630,$K4&gt;30,X4="-",$D4="是",$E4="封闭期",$H4&lt;10,$BN4&lt;-6,$BR4&lt;70),"-",COUNTIFS(X$4:X$200,"&lt;&gt;-",$D$4:$D$200,"&lt;&gt;是",$E$4:$E$200,"&lt;&gt;封闭期",$H$4:$H$200,"&gt;10",$BN$4:$BN$200,"&gt;-6",$BR$4:$BR$200,"&gt;=70",$K$4:$K$200,"&lt;=30",$C$4:$C$200,"&lt;20190630",X$4:X$200,"&gt;="&amp;X4)/COUNTIFS(X$4:X$200,"&lt;&gt;-",$D$4:$D$200,"&lt;&gt;是",$E$4:$E$200,"&lt;&gt;封闭期",$H$4:$H$200,"&gt;10",$BN$4:$BN$200,"&gt;-6",$BR$4:$BR$200,"&gt;=70",$C$4:$C$200,"&lt;20190630",$K$4:$K$200,"&lt;=30"))</f>
        <v>-</v>
      </c>
      <c r="AC4" s="20">
        <v>0.96638655462184875</v>
      </c>
      <c r="AD4" s="19" t="str">
        <f>IFERROR(RANK(AC4,AC:AC)&amp;"/"&amp;COUNT(AC:AC),"-")</f>
        <v>101/197</v>
      </c>
      <c r="AE4" s="26">
        <f>IFERROR(RANK(AC4,AC:AC)/COUNT(AC:AC),"-")</f>
        <v>0.51269035532994922</v>
      </c>
      <c r="AF4" s="34" t="str">
        <f>IF(OR($C4&gt;20190630,$K4&gt;30,AC4="-",$D4="是",$E4="封闭期",$H4&lt;10,$BN4&lt;-6,$BR4&lt;70),"-",COUNTIFS(AC$4:AC$200,"&lt;&gt;-",$D$4:$D$200,"&lt;&gt;是",$E$4:$E$200,"&lt;&gt;封闭期",$H$4:$H$200,"&gt;10",$BN$4:$BN$200,"&gt;-6",$BR$4:$BR$200,"&gt;=70",$K$4:$K$200,"&lt;=30",$C$4:$C$200,"&lt;20190630",AC$4:AC$200,"&gt;="&amp;AC4)&amp;"/"&amp;COUNTIFS(AC$4:AC$200,"&lt;&gt;-",$D$4:$D$200,"&lt;&gt;是",$E$4:$E$200,"&lt;&gt;封闭期",$H$4:$H$200,"&gt;10",$BN$4:$BN$200,"&gt;-6",$BR$4:$BR$200,"&gt;=70",$C$4:$C$200,"&lt;20190630",$K$4:$K$200,"&lt;=30"))</f>
        <v>-</v>
      </c>
      <c r="AG4" s="33" t="str">
        <f>IF(OR($C4&gt;20190630,$K4&gt;30,AC4="-",$D4="是",$E4="封闭期",$H4&lt;10,$BN4&lt;-6,$BR4&lt;70),"-",COUNTIFS(AC$4:AC$200,"&lt;&gt;-",$D$4:$D$200,"&lt;&gt;是",$E$4:$E$200,"&lt;&gt;封闭期",$H$4:$H$200,"&gt;10",$BN$4:$BN$200,"&gt;-6",$BR$4:$BR$200,"&gt;=70",$K$4:$K$200,"&lt;=30",$C$4:$C$200,"&lt;20190630",AC$4:AC$200,"&gt;="&amp;AC4)/COUNTIFS(AC$4:AC$200,"&lt;&gt;-",$D$4:$D$200,"&lt;&gt;是",$E$4:$E$200,"&lt;&gt;封闭期",$H$4:$H$200,"&gt;10",$BN$4:$BN$200,"&gt;-6",$BR$4:$BR$200,"&gt;=70",$C$4:$C$200,"&lt;20190630",$K$4:$K$200,"&lt;=30"))</f>
        <v>-</v>
      </c>
      <c r="AH4" s="21">
        <f>[1]!f_risk_maxdownside(A4,$L$2,$E$1)</f>
        <v>-4.3417366946778566</v>
      </c>
      <c r="AI4" s="19" t="str">
        <f>IFERROR(RANK(AH4,AH:AH)&amp;"/"&amp;COUNT(AH:AH),"-")</f>
        <v>136/197</v>
      </c>
      <c r="AJ4" s="26">
        <f>IFERROR(RANK(AH4,AH:AH)/COUNT(AH:AH),"-")</f>
        <v>0.69035532994923854</v>
      </c>
      <c r="AK4" s="34" t="str">
        <f>IF(OR($C4&gt;20190630,$K4&gt;30,AH4="-",$D4="是",$E4="封闭期",$H4&lt;10,$BN4&lt;-6,$BR4&lt;70),"-",COUNTIFS(AH$4:AH$200,"&lt;&gt;-",$D$4:$D$200,"&lt;&gt;是",$E$4:$E$200,"&lt;&gt;封闭期",$H$4:$H$200,"&gt;10",$BN$4:$BN$200,"&gt;-6",$BR$4:$BR$200,"&gt;=70",$K$4:$K$200,"&lt;=30",$C$4:$C$200,"&lt;20190630",AH$4:AH$200,"&gt;="&amp;AH4)&amp;"/"&amp;COUNTIFS(AH$4:AH$200,"&lt;&gt;-",$D$4:$D$200,"&lt;&gt;是",$E$4:$E$200,"&lt;&gt;封闭期",$H$4:$H$200,"&gt;10",$BN$4:$BN$200,"&gt;-6",$BR$4:$BR$200,"&gt;=70",$C$4:$C$200,"&lt;20190630",$K$4:$K$200,"&lt;=30"))</f>
        <v>-</v>
      </c>
      <c r="AL4" s="33" t="str">
        <f>IF(OR($C4&gt;20190630,$K4&gt;30,AH4="-",$D4="是",$E4="封闭期",$H4&lt;10,$BN4&lt;-6,$BR4&lt;70),"-",COUNTIFS(AH$4:AH$200,"&lt;&gt;-",$D$4:$D$200,"&lt;&gt;是",$E$4:$E$200,"&lt;&gt;封闭期",$H$4:$H$200,"&gt;10",$BN$4:$BN$200,"&gt;-6",$BR$4:$BR$200,"&gt;=70",$K$4:$K$200,"&lt;=30",$C$4:$C$200,"&lt;20190630",AH$4:AH$200,"&gt;="&amp;AH4)/COUNTIFS(AH$4:AH$200,"&lt;&gt;-",$D$4:$D$200,"&lt;&gt;是",$E$4:$E$200,"&lt;&gt;封闭期",$H$4:$H$200,"&gt;10",$BN$4:$BN$200,"&gt;-6",$BR$4:$BR$200,"&gt;=70",$C$4:$C$200,"&lt;20190630",$K$4:$K$200,"&lt;=30"))</f>
        <v>-</v>
      </c>
      <c r="AM4" s="19">
        <f>[1]!f_return($A4,"1",AM$2,$L$2)</f>
        <v>25.850047263267363</v>
      </c>
      <c r="AN4" s="19">
        <f>[1]!f_risk_stdevyearly($A4,AM$2,$L$2,1,1)</f>
        <v>13.512523558182371</v>
      </c>
      <c r="AO4" s="19">
        <f>IFERROR(AM4/AN4,"-")</f>
        <v>1.9130436407353482</v>
      </c>
      <c r="AP4" s="19" t="str">
        <f>IFERROR(RANK(AO4,AO:AO)&amp;"/"&amp;COUNT(AO:AO),"-")</f>
        <v>59/197</v>
      </c>
      <c r="AQ4" s="26">
        <f>IF(AP4="-","-",RANK(AO4,AO:AO)/COUNT(AO:AO))</f>
        <v>0.29949238578680204</v>
      </c>
      <c r="AR4" s="57">
        <v>5.076142131979695E-3</v>
      </c>
      <c r="AS4" s="33" t="str">
        <f>IF(OR($C4&gt;20190630,$K4&gt;30,AO4="-",$D4="是",$E4="封闭期",$H4&lt;10,$BN4&lt;-6,$BR4&lt;70),"-",COUNTIFS(AO$4:AO$200,"&lt;&gt;-",$D$4:$D$200,"&lt;&gt;是",$E$4:$E$200,"&lt;&gt;封闭期",$H$4:$H$200,"&gt;10",$BN$4:$BN$200,"&gt;-6",$BR$4:$BR$200,"&gt;=70",$K$4:$K$200,"&lt;=30",$C$4:$C$200,"&lt;20190630",AO$4:AO$200,"&gt;="&amp;AO4)/COUNTIFS(AO$4:AO$200,"&lt;&gt;-",$D$4:$D$200,"&lt;&gt;是",$E$4:$E$200,"&lt;&gt;封闭期",$H$4:$H$200,"&gt;10",$BN$4:$BN$200,"&gt;-6",$BR$4:$BR$200,"&gt;=70",$C$4:$C$200,"&lt;20190630",$K$4:$K$200,"&lt;=30"))</f>
        <v>-</v>
      </c>
      <c r="AT4" s="19">
        <f>IFERROR((AM4-3)/AN4,"-")</f>
        <v>1.6910273765577082</v>
      </c>
      <c r="AU4" s="19" t="str">
        <f>IFERROR(RANK(AT4,AT:AT)&amp;"/"&amp;COUNT(AT:AT),"-")</f>
        <v>21/197</v>
      </c>
      <c r="AV4" s="26">
        <f>IFERROR(RANK(AT4,AT:AT)/COUNT(AT:AT),"-")</f>
        <v>0.1065989847715736</v>
      </c>
      <c r="AW4" s="34" t="str">
        <f>IF(OR($C4&gt;20190630,$K4&gt;30,AT4="-",$D4="是",$E4="封闭期",$H4&lt;10,$BN4&lt;-6,$BR4&lt;70),"-",COUNTIFS(AT$4:AT$200,"&lt;&gt;-",$D$4:$D$200,"&lt;&gt;是",$E$4:$E$200,"&lt;&gt;封闭期",$H$4:$H$200,"&gt;10",$BN$4:$BN$200,"&gt;-6",$BR$4:$BR$200,"&gt;=70",$K$4:$K$200,"&lt;=30",$C$4:$C$200,"&lt;20190630",AT$4:AT$200,"&gt;="&amp;AT4)&amp;"/"&amp;COUNTIFS(AT$4:AT$200,"&lt;&gt;-",$D$4:$D$200,"&lt;&gt;是",$E$4:$E$200,"&lt;&gt;封闭期",$H$4:$H$200,"&gt;10",$BN$4:$BN$200,"&gt;-6",$BR$4:$BR$200,"&gt;=70",$C$4:$C$200,"&lt;20190630",$K$4:$K$200,"&lt;=30"))</f>
        <v>-</v>
      </c>
      <c r="AX4" s="33" t="str">
        <f>IF(OR($C4&gt;20190630,$K4&gt;30,AT4="-",$D4="是",$E4="封闭期",$H4&lt;10,$BN4&lt;-6,$BR4&lt;70),"-",COUNTIFS(AT$4:AT$200,"&lt;&gt;-",$D$4:$D$200,"&lt;&gt;是",$E$4:$E$200,"&lt;&gt;封闭期",$H$4:$H$200,"&gt;10",$BN$4:$BN$200,"&gt;-6",$BR$4:$BR$200,"&gt;=70",$K$4:$K$200,"&lt;=30",$C$4:$C$200,"&lt;20190630",AT$4:AT$200,"&gt;="&amp;AT4)/COUNTIFS(AT$4:AT$200,"&lt;&gt;-",$D$4:$D$200,"&lt;&gt;是",$E$4:$E$200,"&lt;&gt;封闭期",$H$4:$H$200,"&gt;10",$BN$4:$BN$200,"&gt;-6",$BR$4:$BR$200,"&gt;=70",$C$4:$C$200,"&lt;20190630",$K$4:$K$200,"&lt;=30"))</f>
        <v>-</v>
      </c>
      <c r="AY4" s="19">
        <f>[1]!f_risk_calmar(A4,$AM$2,$L$2)</f>
        <v>4.0964273930007602</v>
      </c>
      <c r="AZ4" s="19" t="str">
        <f>IFERROR(RANK(AY4,AY:AY)&amp;"/"&amp;COUNT(AY:AY),"-")</f>
        <v>20/197</v>
      </c>
      <c r="BA4" s="26">
        <f>IFERROR(RANK(AY4,AY:AY)/COUNT(AY:AY),"-")</f>
        <v>0.10152284263959391</v>
      </c>
      <c r="BB4" s="34" t="str">
        <f>IF(OR($C4&gt;20190630,$K4&gt;30,AY4="-",$D4="是",$E4="封闭期",$H4&lt;10,$BN4&lt;-6,$BR4&lt;70),"-",COUNTIFS(AY$4:AY$200,"&lt;&gt;-",$D$4:$D$200,"&lt;&gt;是",$E$4:$E$200,"&lt;&gt;封闭期",$H$4:$H$200,"&gt;10",$BN$4:$BN$200,"&gt;-6",$BR$4:$BR$200,"&gt;=70",$K$4:$K$200,"&lt;=30",$C$4:$C$200,"&lt;20190630",AY$4:AY$200,"&gt;="&amp;AY4)&amp;"/"&amp;COUNTIFS(AY$4:AY$200,"&lt;&gt;-",$D$4:$D$200,"&lt;&gt;是",$E$4:$E$200,"&lt;&gt;封闭期",$H$4:$H$200,"&gt;10",$BN$4:$BN$200,"&gt;-6",$BR$4:$BR$200,"&gt;=70",$C$4:$C$200,"&lt;20190630",$K$4:$K$200,"&lt;=30"))</f>
        <v>-</v>
      </c>
      <c r="BC4" s="33" t="str">
        <f>IF(OR($C4&gt;20190630,$K4&gt;30,AY4="-",$D4="是",$E4="封闭期",$H4&lt;10,$BN4&lt;-6,$BR4&lt;70),"-",COUNTIFS(AY$4:AY$200,"&lt;&gt;-",$D$4:$D$200,"&lt;&gt;是",$E$4:$E$200,"&lt;&gt;封闭期",$H$4:$H$200,"&gt;10",$BN$4:$BN$200,"&gt;-6",$BR$4:$BR$200,"&gt;=70",$K$4:$K$200,"&lt;=30",$C$4:$C$200,"&lt;20190630",AY$4:AY$200,"&gt;="&amp;AY4)/COUNTIFS(AY$4:AY$200,"&lt;&gt;-",$D$4:$D$200,"&lt;&gt;是",$E$4:$E$200,"&lt;&gt;封闭期",$H$4:$H$200,"&gt;10",$BN$4:$BN$200,"&gt;-6",$BR$4:$BR$200,"&gt;=70",$C$4:$C$200,"&lt;20190630",$K$4:$K$200,"&lt;=30"))</f>
        <v>-</v>
      </c>
      <c r="BD4" s="20">
        <v>1</v>
      </c>
      <c r="BE4" s="19" t="str">
        <f>IFERROR(RANK(BD4,BD:BD)&amp;"/"&amp;COUNT(BD:BD),"-")</f>
        <v>1/197</v>
      </c>
      <c r="BF4" s="26">
        <f>IFERROR(RANK(BD4,BD:BD)/COUNT(BD:BD),"-")</f>
        <v>5.076142131979695E-3</v>
      </c>
      <c r="BG4" s="34" t="str">
        <f>IF(OR($C4&gt;20190630,$K4&gt;30,BD4="-",$D4="是",$E4="封闭期",$H4&lt;10,$BN4&lt;-6,$BR4&lt;70),"-",COUNTIFS(BD$4:BD$200,"&lt;&gt;-",$D$4:$D$200,"&lt;&gt;是",$E$4:$E$200,"&lt;&gt;封闭期",$H$4:$H$200,"&gt;10",$BN$4:$BN$200,"&gt;-6",$BR$4:$BR$200,"&gt;=70",$K$4:$K$200,"&lt;=30",$C$4:$C$200,"&lt;20190630",BD$4:BD$200,"&gt;="&amp;BD4)&amp;"/"&amp;COUNTIFS(BD$4:BD$200,"&lt;&gt;-",$D$4:$D$200,"&lt;&gt;是",$E$4:$E$200,"&lt;&gt;封闭期",$H$4:$H$200,"&gt;10",$BN$4:$BN$200,"&gt;-6",$BR$4:$BR$200,"&gt;=70",$C$4:$C$200,"&lt;20190630",$K$4:$K$200,"&lt;=30"))</f>
        <v>-</v>
      </c>
      <c r="BH4" s="33" t="str">
        <f>IF(OR($C4&gt;20190630,$K4&gt;30,BD4="-",$D4="是",$E4="封闭期",$H4&lt;10,$BN4&lt;-6,$BR4&lt;70),"-",COUNTIFS(BD$4:BD$200,"&lt;&gt;-",$D$4:$D$200,"&lt;&gt;是",$E$4:$E$200,"&lt;&gt;封闭期",$H$4:$H$200,"&gt;10",$BN$4:$BN$200,"&gt;-6",$BR$4:$BR$200,"&gt;=70",$K$4:$K$200,"&lt;=30",$C$4:$C$200,"&lt;20190630",BD$4:BD$200,"&gt;="&amp;BD4)/COUNTIFS(BD$4:BD$200,"&lt;&gt;-",$D$4:$D$200,"&lt;&gt;是",$E$4:$E$200,"&lt;&gt;封闭期",$H$4:$H$200,"&gt;10",$BN$4:$BN$200,"&gt;-6",$BR$4:$BR$200,"&gt;=70",$C$4:$C$200,"&lt;20190630",$K$4:$K$200,"&lt;=30"))</f>
        <v>-</v>
      </c>
      <c r="BI4" s="21">
        <f>[1]!f_risk_maxdownside(A4,$AM$2,$L$2)</f>
        <v>-6.3103882440185037</v>
      </c>
      <c r="BJ4" s="19" t="str">
        <f>IFERROR(RANK(BI4,BI:BI)&amp;"/"&amp;COUNT(BI:BI),"-")</f>
        <v>172/197</v>
      </c>
      <c r="BK4" s="26">
        <f>IFERROR(RANK(BI4,BI:BI)/COUNT(BI:BI),"-")</f>
        <v>0.87309644670050757</v>
      </c>
      <c r="BL4" s="34" t="str">
        <f>IF(OR($C4&gt;20190630,$K4&gt;30,BI4="-",$D4="是",$E4="封闭期",$H4&lt;10,$BN4&lt;-6,$BR4&lt;70),"-",COUNTIFS(BI$4:BI$200,"&lt;&gt;-",$D$4:$D$200,"&lt;&gt;是",$E$4:$E$200,"&lt;&gt;封闭期",$H$4:$H$200,"&gt;10",$BN$4:$BN$200,"&gt;-6",$BR$4:$BR$200,"&gt;=70",$K$4:$K$200,"&lt;=30",$C$4:$C$200,"&lt;20190630",BI$4:BI$200,"&gt;="&amp;BI4)&amp;"/"&amp;COUNTIFS(BI$4:BI$200,"&lt;&gt;-",$D$4:$D$200,"&lt;&gt;是",$E$4:$E$200,"&lt;&gt;封闭期",$H$4:$H$200,"&gt;10",$BN$4:$BN$200,"&gt;-6",$BR$4:$BR$200,"&gt;=70",$C$4:$C$200,"&lt;20190630",$K$4:$K$200,"&lt;=30"))</f>
        <v>-</v>
      </c>
      <c r="BM4" s="33" t="str">
        <f>IF(OR($C4&gt;20190630,$K4&gt;30,BI4="-",$D4="是",$E4="封闭期",$H4&lt;10,$BN4&lt;-6,$BR4&lt;70),"-",COUNTIFS(BI$4:BI$200,"&lt;&gt;-",$D$4:$D$200,"&lt;&gt;是",$E$4:$E$200,"&lt;&gt;封闭期",$H$4:$H$200,"&gt;10",$BN$4:$BN$200,"&gt;-6",$BR$4:$BR$200,"&gt;=70",$K$4:$K$200,"&lt;=30",$C$4:$C$200,"&lt;20190630",BI$4:BI$200,"&gt;="&amp;BI4)/COUNTIFS(BI$4:BI$200,"&lt;&gt;-",$D$4:$D$200,"&lt;&gt;是",$E$4:$E$200,"&lt;&gt;封闭期",$H$4:$H$200,"&gt;10",$BN$4:$BN$200,"&gt;-6",$BR$4:$BR$200,"&gt;=70",$C$4:$C$200,"&lt;20190630",$K$4:$K$200,"&lt;=30"))</f>
        <v>-</v>
      </c>
      <c r="BN4" s="21">
        <f>[1]!f_risk_maxdownside(A4,$AM$2,$E$1)</f>
        <v>-6.3103882440185037</v>
      </c>
      <c r="BO4" s="21">
        <f>IF(C4&lt;20190930,[1]!f_return_2y(A4,"0","20210930"),"-")</f>
        <v>38.064392778510417</v>
      </c>
      <c r="BP4" s="19" t="str">
        <f>IFERROR(RANK(BO4,BO:BO)&amp;"/"&amp;COUNT(BO:BO),"-")</f>
        <v>4/197</v>
      </c>
      <c r="BQ4" s="25">
        <f>IFERROR(RANK(BO4,BO:BO)/COUNT(BO:BO),"-")</f>
        <v>2.030456852791878E-2</v>
      </c>
      <c r="BR4" s="19">
        <f>IF(C4&lt;20190930,[1]!f_absolute_profitmonthper(A4,"20190930","20210930"),"-")</f>
        <v>54.166666666666664</v>
      </c>
      <c r="BS4" s="19" t="str">
        <f>IFERROR(RANK(BR4,BR:BR)&amp;"/"&amp;COUNT(BR:BR),"-")</f>
        <v>184/198</v>
      </c>
      <c r="BT4" s="25">
        <f>IFERROR(RANK(BR4,BR:BR)/COUNT(BR:BR),"-")</f>
        <v>0.92929292929292928</v>
      </c>
      <c r="BU4" s="17"/>
      <c r="BV4" s="12">
        <f>X4-3/M4</f>
        <v>1.7444671347925573</v>
      </c>
      <c r="BW4" s="76">
        <f>IFERROR(RANK(BV4,BV:BV)/COUNT(BV:BV),"-")</f>
        <v>0.38071065989847713</v>
      </c>
      <c r="BX4" s="76">
        <f>IFERROR(RANK(L4,L:L)/COUNT(L:L),"-")</f>
        <v>0.20707070707070707</v>
      </c>
      <c r="BY4" s="12">
        <f>AY4-3/AN4</f>
        <v>3.8744111288231204</v>
      </c>
      <c r="BZ4" s="76">
        <f>IFERROR(RANK(BY4,BY:BY)/COUNT(BY:BY),"-")</f>
        <v>6.5989847715736044E-2</v>
      </c>
      <c r="CA4" s="76">
        <f>IFERROR(RANK(AM4,AM:AM)/COUNT(AM:AM),"-")</f>
        <v>1.0101010101010102E-2</v>
      </c>
      <c r="CC4" s="77">
        <f>AV4+BF4+BZ4+CA4</f>
        <v>0.18776598472029946</v>
      </c>
      <c r="CD4" s="77">
        <f>BW4+BX4+AE4+U4</f>
        <v>1.5522483720453266</v>
      </c>
      <c r="CE4" s="77">
        <f>CC4+CD4</f>
        <v>1.7400143567656261</v>
      </c>
    </row>
    <row r="5" spans="1:83" s="17" customFormat="1" hidden="1" x14ac:dyDescent="0.35">
      <c r="A5" s="15" t="s">
        <v>59</v>
      </c>
      <c r="B5" s="15" t="s">
        <v>60</v>
      </c>
      <c r="C5" s="16">
        <v>20090527</v>
      </c>
      <c r="D5" s="16" t="str">
        <f>[1]!f_info_regulopenfundornot(A5)</f>
        <v>否</v>
      </c>
      <c r="E5" s="16" t="str">
        <f>[1]!f_dq_status(A5,$E$1)</f>
        <v>开放申购|开放赎回</v>
      </c>
      <c r="F5" s="17" t="str">
        <f>[1]!f_info_fundmanager(A5)</f>
        <v>裴禹翔,张立,黄友文</v>
      </c>
      <c r="G5" s="16">
        <v>20160220</v>
      </c>
      <c r="H5" s="18">
        <f>[1]!f_netasset_total(A5,$E$1,100000000)</f>
        <v>0.39472820840000006</v>
      </c>
      <c r="I5" s="18">
        <f>[1]!f_prt_convertiblebondtonav(A5,$E$1)</f>
        <v>16.980411529541016</v>
      </c>
      <c r="J5" s="18">
        <f>[1]!f_prt_stocktonav(A5,$E$1)+0.5*I5</f>
        <v>28.061309814453125</v>
      </c>
      <c r="K5" s="19">
        <v>36.99912924692817</v>
      </c>
      <c r="L5" s="19">
        <f>[1]!f_return($A5,"1",L$2,$E$1)</f>
        <v>6.036383659527722</v>
      </c>
      <c r="M5" s="19">
        <f>[1]!f_risk_stdevyearly($A5,L$2,$E$1,1,1)</f>
        <v>14.399584206103247</v>
      </c>
      <c r="N5" s="19">
        <f>IFERROR(L5/M5,"-")</f>
        <v>0.41920541406808176</v>
      </c>
      <c r="O5" s="19" t="str">
        <f>IFERROR(RANK(N5,N:N)&amp;"/"&amp;COUNT(N:N),"-")</f>
        <v>177/197</v>
      </c>
      <c r="P5" s="26">
        <f>IF(O5="-","-",RANK(N5,N:N)/COUNT(N:N))</f>
        <v>0.89847715736040612</v>
      </c>
      <c r="Q5" s="56">
        <v>0.46700507614213199</v>
      </c>
      <c r="R5" s="33" t="str">
        <f>IF(OR($C5&gt;20190630,$K5&gt;30,N5="-",$D5="是",$E5="封闭期",$H5&lt;10,$BN5&lt;-6,$BR5&lt;70),"-",COUNTIFS(N$4:N$200,"&lt;&gt;-",$D$4:$D$200,"&lt;&gt;是",$E$4:$E$200,"&lt;&gt;封闭期",$H$4:$H$200,"&gt;10",$BN$4:$BN$200,"&gt;-6",$BR$4:$BR$200,"&gt;=70",$K$4:$K$200,"&lt;=30",$C$4:$C$200,"&lt;20190630",N$4:N$200,"&gt;="&amp;N5)/COUNTIFS(N$4:N$200,"&lt;&gt;-",$D$4:$D$200,"&lt;&gt;是",$E$4:$E$200,"&lt;&gt;封闭期",$H$4:$H$200,"&gt;10",$BN$4:$BN$200,"&gt;-6",$BR$4:$BR$200,"&gt;=70",$C$4:$C$200,"&lt;20190630",$K$4:$K$200,"&lt;=30"))</f>
        <v>-</v>
      </c>
      <c r="S5" s="19">
        <f>IFERROR((L5-3)/M5,"-")</f>
        <v>0.21086606502434663</v>
      </c>
      <c r="T5" s="19" t="str">
        <f>IFERROR(RANK(S5,S:S)&amp;"/"&amp;COUNT(S:S),"-")</f>
        <v>151/197</v>
      </c>
      <c r="U5" s="26">
        <f>IFERROR(RANK(S5,S:S)/COUNT(S:S),"-")</f>
        <v>0.76649746192893398</v>
      </c>
      <c r="V5" s="34" t="str">
        <f>IF(OR($C5&gt;20190630,$K5&gt;30,S5="-",$D5="是",$E5="封闭期",$H5&lt;10,$BN5&lt;-6,$BR5&lt;70),"-",COUNTIFS(S$4:S$200,"&lt;&gt;-",$D$4:$D$200,"&lt;&gt;是",$E$4:$E$200,"&lt;&gt;封闭期",$H$4:$H$200,"&gt;10",$BN$4:$BN$200,"&gt;-6",$BR$4:$BR$200,"&gt;=70",$K$4:$K$200,"&lt;=30",$C$4:$C$200,"&lt;20190630",S$4:S$200,"&gt;="&amp;S5)&amp;"/"&amp;COUNTIFS(S$4:S$200,"&lt;&gt;-",$D$4:$D$200,"&lt;&gt;是",$E$4:$E$200,"&lt;&gt;封闭期",$H$4:$H$200,"&gt;10",$BN$4:$BN$200,"&gt;-6",$BR$4:$BR$200,"&gt;=70",$C$4:$C$200,"&lt;20190630",$K$4:$K$200,"&lt;=30"))</f>
        <v>-</v>
      </c>
      <c r="W5" s="33" t="str">
        <f>IF(OR($C5&gt;20190630,$K5&gt;30,S5="-",$D5="是",$E5="封闭期",$H5&lt;10,$BN5&lt;-6,$BR5&lt;70),"-",COUNTIFS(S$4:S$200,"&lt;&gt;-",$D$4:$D$200,"&lt;&gt;是",$E$4:$E$200,"&lt;&gt;封闭期",$H$4:$H$200,"&gt;10",$BN$4:$BN$200,"&gt;-6",$BR$4:$BR$200,"&gt;=70",$K$4:$K$200,"&lt;=30",$C$4:$C$200,"&lt;20190630",S$4:S$200,"&gt;="&amp;S5)/COUNTIFS(S$4:S$200,"&lt;&gt;-",$D$4:$D$200,"&lt;&gt;是",$E$4:$E$200,"&lt;&gt;封闭期",$H$4:$H$200,"&gt;10",$BN$4:$BN$200,"&gt;-6",$BR$4:$BR$200,"&gt;=70",$C$4:$C$200,"&lt;20190630",$K$4:$K$200,"&lt;=30"))</f>
        <v>-</v>
      </c>
      <c r="X5" s="19">
        <f>[1]!f_risk_calmar(A5,$L$2,$E$1)</f>
        <v>0.44503534431027914</v>
      </c>
      <c r="Y5" s="19" t="str">
        <f>IFERROR(RANK(X5,X:X)&amp;"/"&amp;COUNT(X:X),"-")</f>
        <v>180/197</v>
      </c>
      <c r="Z5" s="26">
        <f>IFERROR(RANK(X5,X:X)/COUNT(X:X),"-")</f>
        <v>0.91370558375634514</v>
      </c>
      <c r="AA5" s="34" t="str">
        <f>IF(OR($C5&gt;20190630,$K5&gt;30,X5="-",$D5="是",$E5="封闭期",$H5&lt;10,$BN5&lt;-6,$BR5&lt;70),"-",COUNTIFS(X$4:X$200,"&lt;&gt;-",$D$4:$D$200,"&lt;&gt;是",$E$4:$E$200,"&lt;&gt;封闭期",$H$4:$H$200,"&gt;10",$BN$4:$BN$200,"&gt;-6",$BR$4:$BR$200,"&gt;=70",$K$4:$K$200,"&lt;=30",$C$4:$C$200,"&lt;20190630",X$4:X$200,"&gt;="&amp;X5)&amp;"/"&amp;COUNTIFS(X$4:X$200,"&lt;&gt;-",$D$4:$D$200,"&lt;&gt;是",$E$4:$E$200,"&lt;&gt;封闭期",$H$4:$H$200,"&gt;10",$BN$4:$BN$200,"&gt;-6",$BR$4:$BR$200,"&gt;=70",$C$4:$C$200,"&lt;20190630",$K$4:$K$200,"&lt;=30"))</f>
        <v>-</v>
      </c>
      <c r="AB5" s="33" t="str">
        <f>IF(OR($C5&gt;20190630,$K5&gt;30,X5="-",$D5="是",$E5="封闭期",$H5&lt;10,$BN5&lt;-6,$BR5&lt;70),"-",COUNTIFS(X$4:X$200,"&lt;&gt;-",$D$4:$D$200,"&lt;&gt;是",$E$4:$E$200,"&lt;&gt;封闭期",$H$4:$H$200,"&gt;10",$BN$4:$BN$200,"&gt;-6",$BR$4:$BR$200,"&gt;=70",$K$4:$K$200,"&lt;=30",$C$4:$C$200,"&lt;20190630",X$4:X$200,"&gt;="&amp;X5)/COUNTIFS(X$4:X$200,"&lt;&gt;-",$D$4:$D$200,"&lt;&gt;是",$E$4:$E$200,"&lt;&gt;封闭期",$H$4:$H$200,"&gt;10",$BN$4:$BN$200,"&gt;-6",$BR$4:$BR$200,"&gt;=70",$C$4:$C$200,"&lt;20190630",$K$4:$K$200,"&lt;=30"))</f>
        <v>-</v>
      </c>
      <c r="AC5" s="20">
        <v>0.62184873949579833</v>
      </c>
      <c r="AD5" s="19" t="str">
        <f>IFERROR(RANK(AC5,AC:AC)&amp;"/"&amp;COUNT(AC:AC),"-")</f>
        <v>176/197</v>
      </c>
      <c r="AE5" s="26">
        <f>IFERROR(RANK(AC5,AC:AC)/COUNT(AC:AC),"-")</f>
        <v>0.89340101522842641</v>
      </c>
      <c r="AF5" s="34" t="str">
        <f>IF(OR($C5&gt;20190630,$K5&gt;30,AC5="-",$D5="是",$E5="封闭期",$H5&lt;10,$BN5&lt;-6,$BR5&lt;70),"-",COUNTIFS(AC$4:AC$200,"&lt;&gt;-",$D$4:$D$200,"&lt;&gt;是",$E$4:$E$200,"&lt;&gt;封闭期",$H$4:$H$200,"&gt;10",$BN$4:$BN$200,"&gt;-6",$BR$4:$BR$200,"&gt;=70",$K$4:$K$200,"&lt;=30",$C$4:$C$200,"&lt;20190630",AC$4:AC$200,"&gt;="&amp;AC5)&amp;"/"&amp;COUNTIFS(AC$4:AC$200,"&lt;&gt;-",$D$4:$D$200,"&lt;&gt;是",$E$4:$E$200,"&lt;&gt;封闭期",$H$4:$H$200,"&gt;10",$BN$4:$BN$200,"&gt;-6",$BR$4:$BR$200,"&gt;=70",$C$4:$C$200,"&lt;20190630",$K$4:$K$200,"&lt;=30"))</f>
        <v>-</v>
      </c>
      <c r="AG5" s="33" t="str">
        <f>IF(OR($C5&gt;20190630,$K5&gt;30,AC5="-",$D5="是",$E5="封闭期",$H5&lt;10,$BN5&lt;-6,$BR5&lt;70),"-",COUNTIFS(AC$4:AC$200,"&lt;&gt;-",$D$4:$D$200,"&lt;&gt;是",$E$4:$E$200,"&lt;&gt;封闭期",$H$4:$H$200,"&gt;10",$BN$4:$BN$200,"&gt;-6",$BR$4:$BR$200,"&gt;=70",$K$4:$K$200,"&lt;=30",$C$4:$C$200,"&lt;20190630",AC$4:AC$200,"&gt;="&amp;AC5)/COUNTIFS(AC$4:AC$200,"&lt;&gt;-",$D$4:$D$200,"&lt;&gt;是",$E$4:$E$200,"&lt;&gt;封闭期",$H$4:$H$200,"&gt;10",$BN$4:$BN$200,"&gt;-6",$BR$4:$BR$200,"&gt;=70",$C$4:$C$200,"&lt;20190630",$K$4:$K$200,"&lt;=30"))</f>
        <v>-</v>
      </c>
      <c r="AH5" s="21">
        <f>[1]!f_risk_maxdownside(A5,$L$2,$E$1)</f>
        <v>-13.563829787234042</v>
      </c>
      <c r="AI5" s="19" t="str">
        <f>IFERROR(RANK(AH5,AH:AH)&amp;"/"&amp;COUNT(AH:AH),"-")</f>
        <v>195/197</v>
      </c>
      <c r="AJ5" s="26">
        <f>IFERROR(RANK(AH5,AH:AH)/COUNT(AH:AH),"-")</f>
        <v>0.98984771573604058</v>
      </c>
      <c r="AK5" s="34" t="str">
        <f>IF(OR($C5&gt;20190630,$K5&gt;30,AH5="-",$D5="是",$E5="封闭期",$H5&lt;10,$BN5&lt;-6,$BR5&lt;70),"-",COUNTIFS(AH$4:AH$200,"&lt;&gt;-",$D$4:$D$200,"&lt;&gt;是",$E$4:$E$200,"&lt;&gt;封闭期",$H$4:$H$200,"&gt;10",$BN$4:$BN$200,"&gt;-6",$BR$4:$BR$200,"&gt;=70",$K$4:$K$200,"&lt;=30",$C$4:$C$200,"&lt;20190630",AH$4:AH$200,"&gt;="&amp;AH5)&amp;"/"&amp;COUNTIFS(AH$4:AH$200,"&lt;&gt;-",$D$4:$D$200,"&lt;&gt;是",$E$4:$E$200,"&lt;&gt;封闭期",$H$4:$H$200,"&gt;10",$BN$4:$BN$200,"&gt;-6",$BR$4:$BR$200,"&gt;=70",$C$4:$C$200,"&lt;20190630",$K$4:$K$200,"&lt;=30"))</f>
        <v>-</v>
      </c>
      <c r="AL5" s="33" t="str">
        <f>IF(OR($C5&gt;20190630,$K5&gt;30,AH5="-",$D5="是",$E5="封闭期",$H5&lt;10,$BN5&lt;-6,$BR5&lt;70),"-",COUNTIFS(AH$4:AH$200,"&lt;&gt;-",$D$4:$D$200,"&lt;&gt;是",$E$4:$E$200,"&lt;&gt;封闭期",$H$4:$H$200,"&gt;10",$BN$4:$BN$200,"&gt;-6",$BR$4:$BR$200,"&gt;=70",$K$4:$K$200,"&lt;=30",$C$4:$C$200,"&lt;20190630",AH$4:AH$200,"&gt;="&amp;AH5)/COUNTIFS(AH$4:AH$200,"&lt;&gt;-",$D$4:$D$200,"&lt;&gt;是",$E$4:$E$200,"&lt;&gt;封闭期",$H$4:$H$200,"&gt;10",$BN$4:$BN$200,"&gt;-6",$BR$4:$BR$200,"&gt;=70",$C$4:$C$200,"&lt;20190630",$K$4:$K$200,"&lt;=30"))</f>
        <v>-</v>
      </c>
      <c r="AM5" s="19">
        <f>[1]!f_return($A5,"1",AM$2,$L$2)</f>
        <v>25.049985072336113</v>
      </c>
      <c r="AN5" s="19">
        <f>[1]!f_risk_stdevyearly($A5,AM$2,$L$2,1,1)</f>
        <v>15.979246471243808</v>
      </c>
      <c r="AO5" s="19">
        <f>IFERROR(AM5/AN5,"-")</f>
        <v>1.5676574685430864</v>
      </c>
      <c r="AP5" s="19" t="str">
        <f>IFERROR(RANK(AO5,AO:AO)&amp;"/"&amp;COUNT(AO:AO),"-")</f>
        <v>100/197</v>
      </c>
      <c r="AQ5" s="26">
        <f>IF(AP5="-","-",RANK(AO5,AO:AO)/COUNT(AO:AO))</f>
        <v>0.50761421319796951</v>
      </c>
      <c r="AR5" s="57">
        <v>1.015228426395939E-2</v>
      </c>
      <c r="AS5" s="33" t="str">
        <f>IF(OR($C5&gt;20190630,$K5&gt;30,AO5="-",$D5="是",$E5="封闭期",$H5&lt;10,$BN5&lt;-6,$BR5&lt;70),"-",COUNTIFS(AO$4:AO$200,"&lt;&gt;-",$D$4:$D$200,"&lt;&gt;是",$E$4:$E$200,"&lt;&gt;封闭期",$H$4:$H$200,"&gt;10",$BN$4:$BN$200,"&gt;-6",$BR$4:$BR$200,"&gt;=70",$K$4:$K$200,"&lt;=30",$C$4:$C$200,"&lt;20190630",AO$4:AO$200,"&gt;="&amp;AO5)/COUNTIFS(AO$4:AO$200,"&lt;&gt;-",$D$4:$D$200,"&lt;&gt;是",$E$4:$E$200,"&lt;&gt;封闭期",$H$4:$H$200,"&gt;10",$BN$4:$BN$200,"&gt;-6",$BR$4:$BR$200,"&gt;=70",$C$4:$C$200,"&lt;20190630",$K$4:$K$200,"&lt;=30"))</f>
        <v>-</v>
      </c>
      <c r="AT5" s="19">
        <f>IFERROR((AM5-3)/AN5,"-")</f>
        <v>1.3799139472575996</v>
      </c>
      <c r="AU5" s="19" t="str">
        <f>IFERROR(RANK(AT5,AT:AT)&amp;"/"&amp;COUNT(AT:AT),"-")</f>
        <v>36/197</v>
      </c>
      <c r="AV5" s="26">
        <f>IFERROR(RANK(AT5,AT:AT)/COUNT(AT:AT),"-")</f>
        <v>0.18274111675126903</v>
      </c>
      <c r="AW5" s="34" t="str">
        <f>IF(OR($C5&gt;20190630,$K5&gt;30,AT5="-",$D5="是",$E5="封闭期",$H5&lt;10,$BN5&lt;-6,$BR5&lt;70),"-",COUNTIFS(AT$4:AT$200,"&lt;&gt;-",$D$4:$D$200,"&lt;&gt;是",$E$4:$E$200,"&lt;&gt;封闭期",$H$4:$H$200,"&gt;10",$BN$4:$BN$200,"&gt;-6",$BR$4:$BR$200,"&gt;=70",$K$4:$K$200,"&lt;=30",$C$4:$C$200,"&lt;20190630",AT$4:AT$200,"&gt;="&amp;AT5)&amp;"/"&amp;COUNTIFS(AT$4:AT$200,"&lt;&gt;-",$D$4:$D$200,"&lt;&gt;是",$E$4:$E$200,"&lt;&gt;封闭期",$H$4:$H$200,"&gt;10",$BN$4:$BN$200,"&gt;-6",$BR$4:$BR$200,"&gt;=70",$C$4:$C$200,"&lt;20190630",$K$4:$K$200,"&lt;=30"))</f>
        <v>-</v>
      </c>
      <c r="AX5" s="33" t="str">
        <f>IF(OR($C5&gt;20190630,$K5&gt;30,AT5="-",$D5="是",$E5="封闭期",$H5&lt;10,$BN5&lt;-6,$BR5&lt;70),"-",COUNTIFS(AT$4:AT$200,"&lt;&gt;-",$D$4:$D$200,"&lt;&gt;是",$E$4:$E$200,"&lt;&gt;封闭期",$H$4:$H$200,"&gt;10",$BN$4:$BN$200,"&gt;-6",$BR$4:$BR$200,"&gt;=70",$K$4:$K$200,"&lt;=30",$C$4:$C$200,"&lt;20190630",AT$4:AT$200,"&gt;="&amp;AT5)/COUNTIFS(AT$4:AT$200,"&lt;&gt;-",$D$4:$D$200,"&lt;&gt;是",$E$4:$E$200,"&lt;&gt;封闭期",$H$4:$H$200,"&gt;10",$BN$4:$BN$200,"&gt;-6",$BR$4:$BR$200,"&gt;=70",$C$4:$C$200,"&lt;20190630",$K$4:$K$200,"&lt;=30"))</f>
        <v>-</v>
      </c>
      <c r="AY5" s="19">
        <f>[1]!f_risk_calmar(A5,$AM$2,$L$2)</f>
        <v>2.3200364081529918</v>
      </c>
      <c r="AZ5" s="19" t="str">
        <f>IFERROR(RANK(AY5,AY:AY)&amp;"/"&amp;COUNT(AY:AY),"-")</f>
        <v>89/197</v>
      </c>
      <c r="BA5" s="26">
        <f>IFERROR(RANK(AY5,AY:AY)/COUNT(AY:AY),"-")</f>
        <v>0.45177664974619292</v>
      </c>
      <c r="BB5" s="34" t="str">
        <f>IF(OR($C5&gt;20190630,$K5&gt;30,AY5="-",$D5="是",$E5="封闭期",$H5&lt;10,$BN5&lt;-6,$BR5&lt;70),"-",COUNTIFS(AY$4:AY$200,"&lt;&gt;-",$D$4:$D$200,"&lt;&gt;是",$E$4:$E$200,"&lt;&gt;封闭期",$H$4:$H$200,"&gt;10",$BN$4:$BN$200,"&gt;-6",$BR$4:$BR$200,"&gt;=70",$K$4:$K$200,"&lt;=30",$C$4:$C$200,"&lt;20190630",AY$4:AY$200,"&gt;="&amp;AY5)&amp;"/"&amp;COUNTIFS(AY$4:AY$200,"&lt;&gt;-",$D$4:$D$200,"&lt;&gt;是",$E$4:$E$200,"&lt;&gt;封闭期",$H$4:$H$200,"&gt;10",$BN$4:$BN$200,"&gt;-6",$BR$4:$BR$200,"&gt;=70",$C$4:$C$200,"&lt;20190630",$K$4:$K$200,"&lt;=30"))</f>
        <v>-</v>
      </c>
      <c r="BC5" s="33" t="str">
        <f>IF(OR($C5&gt;20190630,$K5&gt;30,AY5="-",$D5="是",$E5="封闭期",$H5&lt;10,$BN5&lt;-6,$BR5&lt;70),"-",COUNTIFS(AY$4:AY$200,"&lt;&gt;-",$D$4:$D$200,"&lt;&gt;是",$E$4:$E$200,"&lt;&gt;封闭期",$H$4:$H$200,"&gt;10",$BN$4:$BN$200,"&gt;-6",$BR$4:$BR$200,"&gt;=70",$K$4:$K$200,"&lt;=30",$C$4:$C$200,"&lt;20190630",AY$4:AY$200,"&gt;="&amp;AY5)/COUNTIFS(AY$4:AY$200,"&lt;&gt;-",$D$4:$D$200,"&lt;&gt;是",$E$4:$E$200,"&lt;&gt;封闭期",$H$4:$H$200,"&gt;10",$BN$4:$BN$200,"&gt;-6",$BR$4:$BR$200,"&gt;=70",$C$4:$C$200,"&lt;20190630",$K$4:$K$200,"&lt;=30"))</f>
        <v>-</v>
      </c>
      <c r="BD5" s="20">
        <v>1</v>
      </c>
      <c r="BE5" s="19" t="str">
        <f>IFERROR(RANK(BD5,BD:BD)&amp;"/"&amp;COUNT(BD:BD),"-")</f>
        <v>1/197</v>
      </c>
      <c r="BF5" s="26">
        <f>IFERROR(RANK(BD5,BD:BD)/COUNT(BD:BD),"-")</f>
        <v>5.076142131979695E-3</v>
      </c>
      <c r="BG5" s="34" t="str">
        <f>IF(OR($C5&gt;20190630,$K5&gt;30,BD5="-",$D5="是",$E5="封闭期",$H5&lt;10,$BN5&lt;-6,$BR5&lt;70),"-",COUNTIFS(BD$4:BD$200,"&lt;&gt;-",$D$4:$D$200,"&lt;&gt;是",$E$4:$E$200,"&lt;&gt;封闭期",$H$4:$H$200,"&gt;10",$BN$4:$BN$200,"&gt;-6",$BR$4:$BR$200,"&gt;=70",$K$4:$K$200,"&lt;=30",$C$4:$C$200,"&lt;20190630",BD$4:BD$200,"&gt;="&amp;BD5)&amp;"/"&amp;COUNTIFS(BD$4:BD$200,"&lt;&gt;-",$D$4:$D$200,"&lt;&gt;是",$E$4:$E$200,"&lt;&gt;封闭期",$H$4:$H$200,"&gt;10",$BN$4:$BN$200,"&gt;-6",$BR$4:$BR$200,"&gt;=70",$C$4:$C$200,"&lt;20190630",$K$4:$K$200,"&lt;=30"))</f>
        <v>-</v>
      </c>
      <c r="BH5" s="33" t="str">
        <f>IF(OR($C5&gt;20190630,$K5&gt;30,BD5="-",$D5="是",$E5="封闭期",$H5&lt;10,$BN5&lt;-6,$BR5&lt;70),"-",COUNTIFS(BD$4:BD$200,"&lt;&gt;-",$D$4:$D$200,"&lt;&gt;是",$E$4:$E$200,"&lt;&gt;封闭期",$H$4:$H$200,"&gt;10",$BN$4:$BN$200,"&gt;-6",$BR$4:$BR$200,"&gt;=70",$K$4:$K$200,"&lt;=30",$C$4:$C$200,"&lt;20190630",BD$4:BD$200,"&gt;="&amp;BD5)/COUNTIFS(BD$4:BD$200,"&lt;&gt;-",$D$4:$D$200,"&lt;&gt;是",$E$4:$E$200,"&lt;&gt;封闭期",$H$4:$H$200,"&gt;10",$BN$4:$BN$200,"&gt;-6",$BR$4:$BR$200,"&gt;=70",$C$4:$C$200,"&lt;20190630",$K$4:$K$200,"&lt;=30"))</f>
        <v>-</v>
      </c>
      <c r="BI5" s="21">
        <f>[1]!f_risk_maxdownside(A5,$AM$2,$L$2)</f>
        <v>-10.797237915881976</v>
      </c>
      <c r="BJ5" s="19" t="str">
        <f>IFERROR(RANK(BI5,BI:BI)&amp;"/"&amp;COUNT(BI:BI),"-")</f>
        <v>193/197</v>
      </c>
      <c r="BK5" s="26">
        <f>IFERROR(RANK(BI5,BI:BI)/COUNT(BI:BI),"-")</f>
        <v>0.97969543147208127</v>
      </c>
      <c r="BL5" s="34" t="str">
        <f>IF(OR($C5&gt;20190630,$K5&gt;30,BI5="-",$D5="是",$E5="封闭期",$H5&lt;10,$BN5&lt;-6,$BR5&lt;70),"-",COUNTIFS(BI$4:BI$200,"&lt;&gt;-",$D$4:$D$200,"&lt;&gt;是",$E$4:$E$200,"&lt;&gt;封闭期",$H$4:$H$200,"&gt;10",$BN$4:$BN$200,"&gt;-6",$BR$4:$BR$200,"&gt;=70",$K$4:$K$200,"&lt;=30",$C$4:$C$200,"&lt;20190630",BI$4:BI$200,"&gt;="&amp;BI5)&amp;"/"&amp;COUNTIFS(BI$4:BI$200,"&lt;&gt;-",$D$4:$D$200,"&lt;&gt;是",$E$4:$E$200,"&lt;&gt;封闭期",$H$4:$H$200,"&gt;10",$BN$4:$BN$200,"&gt;-6",$BR$4:$BR$200,"&gt;=70",$C$4:$C$200,"&lt;20190630",$K$4:$K$200,"&lt;=30"))</f>
        <v>-</v>
      </c>
      <c r="BM5" s="33" t="str">
        <f>IF(OR($C5&gt;20190630,$K5&gt;30,BI5="-",$D5="是",$E5="封闭期",$H5&lt;10,$BN5&lt;-6,$BR5&lt;70),"-",COUNTIFS(BI$4:BI$200,"&lt;&gt;-",$D$4:$D$200,"&lt;&gt;是",$E$4:$E$200,"&lt;&gt;封闭期",$H$4:$H$200,"&gt;10",$BN$4:$BN$200,"&gt;-6",$BR$4:$BR$200,"&gt;=70",$K$4:$K$200,"&lt;=30",$C$4:$C$200,"&lt;20190630",BI$4:BI$200,"&gt;="&amp;BI5)/COUNTIFS(BI$4:BI$200,"&lt;&gt;-",$D$4:$D$200,"&lt;&gt;是",$E$4:$E$200,"&lt;&gt;封闭期",$H$4:$H$200,"&gt;10",$BN$4:$BN$200,"&gt;-6",$BR$4:$BR$200,"&gt;=70",$C$4:$C$200,"&lt;20190630",$K$4:$K$200,"&lt;=30"))</f>
        <v>-</v>
      </c>
      <c r="BN5" s="21">
        <f>[1]!f_risk_maxdownside(A5,$AM$2,$E$1)</f>
        <v>-13.563829787234042</v>
      </c>
      <c r="BO5" s="21">
        <f>IF(C5&lt;20190930,[1]!f_return_2y(A5,"0","20210930"),"-")</f>
        <v>32.272390821613627</v>
      </c>
      <c r="BP5" s="19" t="str">
        <f>IFERROR(RANK(BO5,BO:BO)&amp;"/"&amp;COUNT(BO:BO),"-")</f>
        <v>9/197</v>
      </c>
      <c r="BQ5" s="25">
        <f>IFERROR(RANK(BO5,BO:BO)/COUNT(BO:BO),"-")</f>
        <v>4.5685279187817257E-2</v>
      </c>
      <c r="BR5" s="19">
        <f>IF(C5&lt;20190930,[1]!f_absolute_profitmonthper(A5,"20190930","20210930"),"-")</f>
        <v>62.5</v>
      </c>
      <c r="BS5" s="19" t="str">
        <f>IFERROR(RANK(BR5,BR:BR)&amp;"/"&amp;COUNT(BR:BR),"-")</f>
        <v>142/198</v>
      </c>
      <c r="BT5" s="25">
        <f>IFERROR(RANK(BR5,BR:BR)/COUNT(BR:BR),"-")</f>
        <v>0.71717171717171713</v>
      </c>
      <c r="BV5" s="12">
        <f>X5-3/M5</f>
        <v>0.236695995266544</v>
      </c>
      <c r="BW5" s="76">
        <f>IFERROR(RANK(BV5,BV:BV)/COUNT(BV:BV),"-")</f>
        <v>0.81218274111675126</v>
      </c>
      <c r="BX5" s="76">
        <f>IFERROR(RANK(L5,L:L)/COUNT(L:L),"-")</f>
        <v>0.46969696969696972</v>
      </c>
      <c r="BY5" s="12">
        <f>AY5-3/AN5</f>
        <v>2.1322928868675053</v>
      </c>
      <c r="BZ5" s="76">
        <f>IFERROR(RANK(BY5,BY:BY)/COUNT(BY:BY),"-")</f>
        <v>0.28934010152284262</v>
      </c>
      <c r="CA5" s="76">
        <f>IFERROR(RANK(AM5,AM:AM)/COUNT(AM:AM),"-")</f>
        <v>1.5151515151515152E-2</v>
      </c>
      <c r="CB5" s="2"/>
      <c r="CC5" s="77">
        <f>AV5+BF5+BZ5+CA5</f>
        <v>0.4923088755576065</v>
      </c>
      <c r="CD5" s="77">
        <f>BW5+BX5+AE5+U5</f>
        <v>2.9417781879710811</v>
      </c>
      <c r="CE5" s="77">
        <f>CC5+CD5</f>
        <v>3.4340870635286875</v>
      </c>
    </row>
    <row r="6" spans="1:83" s="2" customFormat="1" hidden="1" x14ac:dyDescent="0.35">
      <c r="A6" s="15" t="s">
        <v>193</v>
      </c>
      <c r="B6" s="15" t="s">
        <v>194</v>
      </c>
      <c r="C6" s="16">
        <v>20150506</v>
      </c>
      <c r="D6" s="16" t="str">
        <f>[1]!f_info_regulopenfundornot(A6)</f>
        <v>否</v>
      </c>
      <c r="E6" s="16" t="str">
        <f>[1]!f_dq_status(A6,$E$1)</f>
        <v>开放申购|开放赎回</v>
      </c>
      <c r="F6" s="17" t="str">
        <f>[1]!f_info_fundmanager(A6)</f>
        <v>李家春,吴晖</v>
      </c>
      <c r="G6" s="16">
        <v>20190822</v>
      </c>
      <c r="H6" s="18">
        <f>[1]!f_netasset_total(A6,$E$1,100000000)</f>
        <v>7.9248500049999997</v>
      </c>
      <c r="I6" s="18">
        <f>[1]!f_prt_convertiblebondtonav(A6,$E$1)</f>
        <v>26.315711975097656</v>
      </c>
      <c r="J6" s="18">
        <f>[1]!f_prt_stocktonav(A6,$E$1)+0.5*I6</f>
        <v>30.172658920288086</v>
      </c>
      <c r="K6" s="19">
        <v>0</v>
      </c>
      <c r="L6" s="19">
        <f>[1]!f_return($A6,"1",L$2,$E$1)</f>
        <v>13.732903548438035</v>
      </c>
      <c r="M6" s="19">
        <f>[1]!f_risk_stdevyearly($A6,L$2,$E$1,1,1)</f>
        <v>12.478364724011708</v>
      </c>
      <c r="N6" s="19">
        <f>IFERROR(L6/M6,"-")</f>
        <v>1.1005371178173899</v>
      </c>
      <c r="O6" s="19" t="str">
        <f>IFERROR(RANK(N6,N:N)&amp;"/"&amp;COUNT(N:N),"-")</f>
        <v>134/197</v>
      </c>
      <c r="P6" s="26">
        <f>IF(O6="-","-",RANK(N6,N:N)/COUNT(N:N))</f>
        <v>0.68020304568527923</v>
      </c>
      <c r="Q6" s="56">
        <v>5.5837563451776651E-2</v>
      </c>
      <c r="R6" s="33" t="str">
        <f>IF(OR($C6&gt;20190630,$K6&gt;30,N6="-",$D6="是",$E6="封闭期",$H6&lt;10,$BN6&lt;-6,$BR6&lt;70),"-",COUNTIFS(N$4:N$200,"&lt;&gt;-",$D$4:$D$200,"&lt;&gt;是",$E$4:$E$200,"&lt;&gt;封闭期",$H$4:$H$200,"&gt;10",$BN$4:$BN$200,"&gt;-6",$BR$4:$BR$200,"&gt;=70",$K$4:$K$200,"&lt;=30",$C$4:$C$200,"&lt;20190630",N$4:N$200,"&gt;="&amp;N6)/COUNTIFS(N$4:N$200,"&lt;&gt;-",$D$4:$D$200,"&lt;&gt;是",$E$4:$E$200,"&lt;&gt;封闭期",$H$4:$H$200,"&gt;10",$BN$4:$BN$200,"&gt;-6",$BR$4:$BR$200,"&gt;=70",$C$4:$C$200,"&lt;20190630",$K$4:$K$200,"&lt;=30"))</f>
        <v>-</v>
      </c>
      <c r="S6" s="19">
        <f>IFERROR((L6-3)/M6,"-")</f>
        <v>0.86012100029301597</v>
      </c>
      <c r="T6" s="19" t="str">
        <f>IFERROR(RANK(S6,S:S)&amp;"/"&amp;COUNT(S:S),"-")</f>
        <v>88/197</v>
      </c>
      <c r="U6" s="26">
        <f>IFERROR(RANK(S6,S:S)/COUNT(S:S),"-")</f>
        <v>0.4467005076142132</v>
      </c>
      <c r="V6" s="34" t="str">
        <f>IF(OR($C6&gt;20190630,$K6&gt;30,S6="-",$D6="是",$E6="封闭期",$H6&lt;10,$BN6&lt;-6,$BR6&lt;70),"-",COUNTIFS(S$4:S$200,"&lt;&gt;-",$D$4:$D$200,"&lt;&gt;是",$E$4:$E$200,"&lt;&gt;封闭期",$H$4:$H$200,"&gt;10",$BN$4:$BN$200,"&gt;-6",$BR$4:$BR$200,"&gt;=70",$K$4:$K$200,"&lt;=30",$C$4:$C$200,"&lt;20190630",S$4:S$200,"&gt;="&amp;S6)&amp;"/"&amp;COUNTIFS(S$4:S$200,"&lt;&gt;-",$D$4:$D$200,"&lt;&gt;是",$E$4:$E$200,"&lt;&gt;封闭期",$H$4:$H$200,"&gt;10",$BN$4:$BN$200,"&gt;-6",$BR$4:$BR$200,"&gt;=70",$C$4:$C$200,"&lt;20190630",$K$4:$K$200,"&lt;=30"))</f>
        <v>-</v>
      </c>
      <c r="W6" s="33" t="str">
        <f>IF(OR($C6&gt;20190630,$K6&gt;30,S6="-",$D6="是",$E6="封闭期",$H6&lt;10,$BN6&lt;-6,$BR6&lt;70),"-",COUNTIFS(S$4:S$200,"&lt;&gt;-",$D$4:$D$200,"&lt;&gt;是",$E$4:$E$200,"&lt;&gt;封闭期",$H$4:$H$200,"&gt;10",$BN$4:$BN$200,"&gt;-6",$BR$4:$BR$200,"&gt;=70",$K$4:$K$200,"&lt;=30",$C$4:$C$200,"&lt;20190630",S$4:S$200,"&gt;="&amp;S6)/COUNTIFS(S$4:S$200,"&lt;&gt;-",$D$4:$D$200,"&lt;&gt;是",$E$4:$E$200,"&lt;&gt;封闭期",$H$4:$H$200,"&gt;10",$BN$4:$BN$200,"&gt;-6",$BR$4:$BR$200,"&gt;=70",$C$4:$C$200,"&lt;20190630",$K$4:$K$200,"&lt;=30"))</f>
        <v>-</v>
      </c>
      <c r="X6" s="19">
        <f>[1]!f_risk_calmar(A6,$L$2,$E$1)</f>
        <v>1.2360526285585487</v>
      </c>
      <c r="Y6" s="19" t="str">
        <f>IFERROR(RANK(X6,X:X)&amp;"/"&amp;COUNT(X:X),"-")</f>
        <v>144/197</v>
      </c>
      <c r="Z6" s="26">
        <f>IFERROR(RANK(X6,X:X)/COUNT(X:X),"-")</f>
        <v>0.73096446700507611</v>
      </c>
      <c r="AA6" s="34" t="str">
        <f>IF(OR($C6&gt;20190630,$K6&gt;30,X6="-",$D6="是",$E6="封闭期",$H6&lt;10,$BN6&lt;-6,$BR6&lt;70),"-",COUNTIFS(X$4:X$200,"&lt;&gt;-",$D$4:$D$200,"&lt;&gt;是",$E$4:$E$200,"&lt;&gt;封闭期",$H$4:$H$200,"&gt;10",$BN$4:$BN$200,"&gt;-6",$BR$4:$BR$200,"&gt;=70",$K$4:$K$200,"&lt;=30",$C$4:$C$200,"&lt;20190630",X$4:X$200,"&gt;="&amp;X6)&amp;"/"&amp;COUNTIFS(X$4:X$200,"&lt;&gt;-",$D$4:$D$200,"&lt;&gt;是",$E$4:$E$200,"&lt;&gt;封闭期",$H$4:$H$200,"&gt;10",$BN$4:$BN$200,"&gt;-6",$BR$4:$BR$200,"&gt;=70",$C$4:$C$200,"&lt;20190630",$K$4:$K$200,"&lt;=30"))</f>
        <v>-</v>
      </c>
      <c r="AB6" s="33" t="str">
        <f>IF(OR($C6&gt;20190630,$K6&gt;30,X6="-",$D6="是",$E6="封闭期",$H6&lt;10,$BN6&lt;-6,$BR6&lt;70),"-",COUNTIFS(X$4:X$200,"&lt;&gt;-",$D$4:$D$200,"&lt;&gt;是",$E$4:$E$200,"&lt;&gt;封闭期",$H$4:$H$200,"&gt;10",$BN$4:$BN$200,"&gt;-6",$BR$4:$BR$200,"&gt;=70",$K$4:$K$200,"&lt;=30",$C$4:$C$200,"&lt;20190630",X$4:X$200,"&gt;="&amp;X6)/COUNTIFS(X$4:X$200,"&lt;&gt;-",$D$4:$D$200,"&lt;&gt;是",$E$4:$E$200,"&lt;&gt;封闭期",$H$4:$H$200,"&gt;10",$BN$4:$BN$200,"&gt;-6",$BR$4:$BR$200,"&gt;=70",$C$4:$C$200,"&lt;20190630",$K$4:$K$200,"&lt;=30"))</f>
        <v>-</v>
      </c>
      <c r="AC6" s="20">
        <v>0.74789915966386555</v>
      </c>
      <c r="AD6" s="19" t="str">
        <f>IFERROR(RANK(AC6,AC:AC)&amp;"/"&amp;COUNT(AC:AC),"-")</f>
        <v>158/197</v>
      </c>
      <c r="AE6" s="26">
        <f>IFERROR(RANK(AC6,AC:AC)/COUNT(AC:AC),"-")</f>
        <v>0.80203045685279184</v>
      </c>
      <c r="AF6" s="34" t="str">
        <f>IF(OR($C6&gt;20190630,$K6&gt;30,AC6="-",$D6="是",$E6="封闭期",$H6&lt;10,$BN6&lt;-6,$BR6&lt;70),"-",COUNTIFS(AC$4:AC$200,"&lt;&gt;-",$D$4:$D$200,"&lt;&gt;是",$E$4:$E$200,"&lt;&gt;封闭期",$H$4:$H$200,"&gt;10",$BN$4:$BN$200,"&gt;-6",$BR$4:$BR$200,"&gt;=70",$K$4:$K$200,"&lt;=30",$C$4:$C$200,"&lt;20190630",AC$4:AC$200,"&gt;="&amp;AC6)&amp;"/"&amp;COUNTIFS(AC$4:AC$200,"&lt;&gt;-",$D$4:$D$200,"&lt;&gt;是",$E$4:$E$200,"&lt;&gt;封闭期",$H$4:$H$200,"&gt;10",$BN$4:$BN$200,"&gt;-6",$BR$4:$BR$200,"&gt;=70",$C$4:$C$200,"&lt;20190630",$K$4:$K$200,"&lt;=30"))</f>
        <v>-</v>
      </c>
      <c r="AG6" s="33" t="str">
        <f>IF(OR($C6&gt;20190630,$K6&gt;30,AC6="-",$D6="是",$E6="封闭期",$H6&lt;10,$BN6&lt;-6,$BR6&lt;70),"-",COUNTIFS(AC$4:AC$200,"&lt;&gt;-",$D$4:$D$200,"&lt;&gt;是",$E$4:$E$200,"&lt;&gt;封闭期",$H$4:$H$200,"&gt;10",$BN$4:$BN$200,"&gt;-6",$BR$4:$BR$200,"&gt;=70",$K$4:$K$200,"&lt;=30",$C$4:$C$200,"&lt;20190630",AC$4:AC$200,"&gt;="&amp;AC6)/COUNTIFS(AC$4:AC$200,"&lt;&gt;-",$D$4:$D$200,"&lt;&gt;是",$E$4:$E$200,"&lt;&gt;封闭期",$H$4:$H$200,"&gt;10",$BN$4:$BN$200,"&gt;-6",$BR$4:$BR$200,"&gt;=70",$C$4:$C$200,"&lt;20190630",$K$4:$K$200,"&lt;=30"))</f>
        <v>-</v>
      </c>
      <c r="AH6" s="21">
        <f>[1]!f_risk_maxdownside(A6,$L$2,$E$1)</f>
        <v>-11.110290315431778</v>
      </c>
      <c r="AI6" s="19" t="str">
        <f>IFERROR(RANK(AH6,AH:AH)&amp;"/"&amp;COUNT(AH:AH),"-")</f>
        <v>194/197</v>
      </c>
      <c r="AJ6" s="26">
        <f>IFERROR(RANK(AH6,AH:AH)/COUNT(AH:AH),"-")</f>
        <v>0.98477157360406087</v>
      </c>
      <c r="AK6" s="34" t="str">
        <f>IF(OR($C6&gt;20190630,$K6&gt;30,AH6="-",$D6="是",$E6="封闭期",$H6&lt;10,$BN6&lt;-6,$BR6&lt;70),"-",COUNTIFS(AH$4:AH$200,"&lt;&gt;-",$D$4:$D$200,"&lt;&gt;是",$E$4:$E$200,"&lt;&gt;封闭期",$H$4:$H$200,"&gt;10",$BN$4:$BN$200,"&gt;-6",$BR$4:$BR$200,"&gt;=70",$K$4:$K$200,"&lt;=30",$C$4:$C$200,"&lt;20190630",AH$4:AH$200,"&gt;="&amp;AH6)&amp;"/"&amp;COUNTIFS(AH$4:AH$200,"&lt;&gt;-",$D$4:$D$200,"&lt;&gt;是",$E$4:$E$200,"&lt;&gt;封闭期",$H$4:$H$200,"&gt;10",$BN$4:$BN$200,"&gt;-6",$BR$4:$BR$200,"&gt;=70",$C$4:$C$200,"&lt;20190630",$K$4:$K$200,"&lt;=30"))</f>
        <v>-</v>
      </c>
      <c r="AL6" s="33" t="str">
        <f>IF(OR($C6&gt;20190630,$K6&gt;30,AH6="-",$D6="是",$E6="封闭期",$H6&lt;10,$BN6&lt;-6,$BR6&lt;70),"-",COUNTIFS(AH$4:AH$200,"&lt;&gt;-",$D$4:$D$200,"&lt;&gt;是",$E$4:$E$200,"&lt;&gt;封闭期",$H$4:$H$200,"&gt;10",$BN$4:$BN$200,"&gt;-6",$BR$4:$BR$200,"&gt;=70",$K$4:$K$200,"&lt;=30",$C$4:$C$200,"&lt;20190630",AH$4:AH$200,"&gt;="&amp;AH6)/COUNTIFS(AH$4:AH$200,"&lt;&gt;-",$D$4:$D$200,"&lt;&gt;是",$E$4:$E$200,"&lt;&gt;封闭期",$H$4:$H$200,"&gt;10",$BN$4:$BN$200,"&gt;-6",$BR$4:$BR$200,"&gt;=70",$C$4:$C$200,"&lt;20190630",$K$4:$K$200,"&lt;=30"))</f>
        <v>-</v>
      </c>
      <c r="AM6" s="19">
        <f>[1]!f_return($A6,"1",AM$2,$L$2)</f>
        <v>22.03951464974616</v>
      </c>
      <c r="AN6" s="19">
        <f>[1]!f_risk_stdevyearly($A6,AM$2,$L$2,1,1)</f>
        <v>14.75044375940697</v>
      </c>
      <c r="AO6" s="19">
        <f>IFERROR(AM6/AN6,"-")</f>
        <v>1.494159430674121</v>
      </c>
      <c r="AP6" s="19" t="str">
        <f>IFERROR(RANK(AO6,AO:AO)&amp;"/"&amp;COUNT(AO:AO),"-")</f>
        <v>108/197</v>
      </c>
      <c r="AQ6" s="26">
        <f>IF(AP6="-","-",RANK(AO6,AO:AO)/COUNT(AO:AO))</f>
        <v>0.54822335025380708</v>
      </c>
      <c r="AR6" s="57">
        <v>1.5228426395939087E-2</v>
      </c>
      <c r="AS6" s="33" t="str">
        <f>IF(OR($C6&gt;20190630,$K6&gt;30,AO6="-",$D6="是",$E6="封闭期",$H6&lt;10,$BN6&lt;-6,$BR6&lt;70),"-",COUNTIFS(AO$4:AO$200,"&lt;&gt;-",$D$4:$D$200,"&lt;&gt;是",$E$4:$E$200,"&lt;&gt;封闭期",$H$4:$H$200,"&gt;10",$BN$4:$BN$200,"&gt;-6",$BR$4:$BR$200,"&gt;=70",$K$4:$K$200,"&lt;=30",$C$4:$C$200,"&lt;20190630",AO$4:AO$200,"&gt;="&amp;AO6)/COUNTIFS(AO$4:AO$200,"&lt;&gt;-",$D$4:$D$200,"&lt;&gt;是",$E$4:$E$200,"&lt;&gt;封闭期",$H$4:$H$200,"&gt;10",$BN$4:$BN$200,"&gt;-6",$BR$4:$BR$200,"&gt;=70",$C$4:$C$200,"&lt;20190630",$K$4:$K$200,"&lt;=30"))</f>
        <v>-</v>
      </c>
      <c r="AT6" s="19">
        <f>IFERROR((AM6-3)/AN6,"-")</f>
        <v>1.2907757190426132</v>
      </c>
      <c r="AU6" s="19" t="str">
        <f>IFERROR(RANK(AT6,AT:AT)&amp;"/"&amp;COUNT(AT:AT),"-")</f>
        <v>43/197</v>
      </c>
      <c r="AV6" s="26">
        <f>IFERROR(RANK(AT6,AT:AT)/COUNT(AT:AT),"-")</f>
        <v>0.21827411167512689</v>
      </c>
      <c r="AW6" s="34" t="str">
        <f>IF(OR($C6&gt;20190630,$K6&gt;30,AT6="-",$D6="是",$E6="封闭期",$H6&lt;10,$BN6&lt;-6,$BR6&lt;70),"-",COUNTIFS(AT$4:AT$200,"&lt;&gt;-",$D$4:$D$200,"&lt;&gt;是",$E$4:$E$200,"&lt;&gt;封闭期",$H$4:$H$200,"&gt;10",$BN$4:$BN$200,"&gt;-6",$BR$4:$BR$200,"&gt;=70",$K$4:$K$200,"&lt;=30",$C$4:$C$200,"&lt;20190630",AT$4:AT$200,"&gt;="&amp;AT6)&amp;"/"&amp;COUNTIFS(AT$4:AT$200,"&lt;&gt;-",$D$4:$D$200,"&lt;&gt;是",$E$4:$E$200,"&lt;&gt;封闭期",$H$4:$H$200,"&gt;10",$BN$4:$BN$200,"&gt;-6",$BR$4:$BR$200,"&gt;=70",$C$4:$C$200,"&lt;20190630",$K$4:$K$200,"&lt;=30"))</f>
        <v>-</v>
      </c>
      <c r="AX6" s="33" t="str">
        <f>IF(OR($C6&gt;20190630,$K6&gt;30,AT6="-",$D6="是",$E6="封闭期",$H6&lt;10,$BN6&lt;-6,$BR6&lt;70),"-",COUNTIFS(AT$4:AT$200,"&lt;&gt;-",$D$4:$D$200,"&lt;&gt;是",$E$4:$E$200,"&lt;&gt;封闭期",$H$4:$H$200,"&gt;10",$BN$4:$BN$200,"&gt;-6",$BR$4:$BR$200,"&gt;=70",$K$4:$K$200,"&lt;=30",$C$4:$C$200,"&lt;20190630",AT$4:AT$200,"&gt;="&amp;AT6)/COUNTIFS(AT$4:AT$200,"&lt;&gt;-",$D$4:$D$200,"&lt;&gt;是",$E$4:$E$200,"&lt;&gt;封闭期",$H$4:$H$200,"&gt;10",$BN$4:$BN$200,"&gt;-6",$BR$4:$BR$200,"&gt;=70",$C$4:$C$200,"&lt;20190630",$K$4:$K$200,"&lt;=30"))</f>
        <v>-</v>
      </c>
      <c r="AY6" s="19">
        <f>[1]!f_risk_calmar(A6,$AM$2,$L$2)</f>
        <v>2.4412541813748612</v>
      </c>
      <c r="AZ6" s="19" t="str">
        <f>IFERROR(RANK(AY6,AY:AY)&amp;"/"&amp;COUNT(AY:AY),"-")</f>
        <v>81/197</v>
      </c>
      <c r="BA6" s="26">
        <f>IFERROR(RANK(AY6,AY:AY)/COUNT(AY:AY),"-")</f>
        <v>0.41116751269035534</v>
      </c>
      <c r="BB6" s="34" t="str">
        <f>IF(OR($C6&gt;20190630,$K6&gt;30,AY6="-",$D6="是",$E6="封闭期",$H6&lt;10,$BN6&lt;-6,$BR6&lt;70),"-",COUNTIFS(AY$4:AY$200,"&lt;&gt;-",$D$4:$D$200,"&lt;&gt;是",$E$4:$E$200,"&lt;&gt;封闭期",$H$4:$H$200,"&gt;10",$BN$4:$BN$200,"&gt;-6",$BR$4:$BR$200,"&gt;=70",$K$4:$K$200,"&lt;=30",$C$4:$C$200,"&lt;20190630",AY$4:AY$200,"&gt;="&amp;AY6)&amp;"/"&amp;COUNTIFS(AY$4:AY$200,"&lt;&gt;-",$D$4:$D$200,"&lt;&gt;是",$E$4:$E$200,"&lt;&gt;封闭期",$H$4:$H$200,"&gt;10",$BN$4:$BN$200,"&gt;-6",$BR$4:$BR$200,"&gt;=70",$C$4:$C$200,"&lt;20190630",$K$4:$K$200,"&lt;=30"))</f>
        <v>-</v>
      </c>
      <c r="BC6" s="33" t="str">
        <f>IF(OR($C6&gt;20190630,$K6&gt;30,AY6="-",$D6="是",$E6="封闭期",$H6&lt;10,$BN6&lt;-6,$BR6&lt;70),"-",COUNTIFS(AY$4:AY$200,"&lt;&gt;-",$D$4:$D$200,"&lt;&gt;是",$E$4:$E$200,"&lt;&gt;封闭期",$H$4:$H$200,"&gt;10",$BN$4:$BN$200,"&gt;-6",$BR$4:$BR$200,"&gt;=70",$K$4:$K$200,"&lt;=30",$C$4:$C$200,"&lt;20190630",AY$4:AY$200,"&gt;="&amp;AY6)/COUNTIFS(AY$4:AY$200,"&lt;&gt;-",$D$4:$D$200,"&lt;&gt;是",$E$4:$E$200,"&lt;&gt;封闭期",$H$4:$H$200,"&gt;10",$BN$4:$BN$200,"&gt;-6",$BR$4:$BR$200,"&gt;=70",$C$4:$C$200,"&lt;20190630",$K$4:$K$200,"&lt;=30"))</f>
        <v>-</v>
      </c>
      <c r="BD6" s="20">
        <v>1</v>
      </c>
      <c r="BE6" s="19" t="str">
        <f>IFERROR(RANK(BD6,BD:BD)&amp;"/"&amp;COUNT(BD:BD),"-")</f>
        <v>1/197</v>
      </c>
      <c r="BF6" s="26">
        <f>IFERROR(RANK(BD6,BD:BD)/COUNT(BD:BD),"-")</f>
        <v>5.076142131979695E-3</v>
      </c>
      <c r="BG6" s="34" t="str">
        <f>IF(OR($C6&gt;20190630,$K6&gt;30,BD6="-",$D6="是",$E6="封闭期",$H6&lt;10,$BN6&lt;-6,$BR6&lt;70),"-",COUNTIFS(BD$4:BD$200,"&lt;&gt;-",$D$4:$D$200,"&lt;&gt;是",$E$4:$E$200,"&lt;&gt;封闭期",$H$4:$H$200,"&gt;10",$BN$4:$BN$200,"&gt;-6",$BR$4:$BR$200,"&gt;=70",$K$4:$K$200,"&lt;=30",$C$4:$C$200,"&lt;20190630",BD$4:BD$200,"&gt;="&amp;BD6)&amp;"/"&amp;COUNTIFS(BD$4:BD$200,"&lt;&gt;-",$D$4:$D$200,"&lt;&gt;是",$E$4:$E$200,"&lt;&gt;封闭期",$H$4:$H$200,"&gt;10",$BN$4:$BN$200,"&gt;-6",$BR$4:$BR$200,"&gt;=70",$C$4:$C$200,"&lt;20190630",$K$4:$K$200,"&lt;=30"))</f>
        <v>-</v>
      </c>
      <c r="BH6" s="33" t="str">
        <f>IF(OR($C6&gt;20190630,$K6&gt;30,BD6="-",$D6="是",$E6="封闭期",$H6&lt;10,$BN6&lt;-6,$BR6&lt;70),"-",COUNTIFS(BD$4:BD$200,"&lt;&gt;-",$D$4:$D$200,"&lt;&gt;是",$E$4:$E$200,"&lt;&gt;封闭期",$H$4:$H$200,"&gt;10",$BN$4:$BN$200,"&gt;-6",$BR$4:$BR$200,"&gt;=70",$K$4:$K$200,"&lt;=30",$C$4:$C$200,"&lt;20190630",BD$4:BD$200,"&gt;="&amp;BD6)/COUNTIFS(BD$4:BD$200,"&lt;&gt;-",$D$4:$D$200,"&lt;&gt;是",$E$4:$E$200,"&lt;&gt;封闭期",$H$4:$H$200,"&gt;10",$BN$4:$BN$200,"&gt;-6",$BR$4:$BR$200,"&gt;=70",$C$4:$C$200,"&lt;20190630",$K$4:$K$200,"&lt;=30"))</f>
        <v>-</v>
      </c>
      <c r="BI6" s="21">
        <f>[1]!f_risk_maxdownside(A6,$AM$2,$L$2)</f>
        <v>-9.0279475270919907</v>
      </c>
      <c r="BJ6" s="19" t="str">
        <f>IFERROR(RANK(BI6,BI:BI)&amp;"/"&amp;COUNT(BI:BI),"-")</f>
        <v>187/197</v>
      </c>
      <c r="BK6" s="26">
        <f>IFERROR(RANK(BI6,BI:BI)/COUNT(BI:BI),"-")</f>
        <v>0.949238578680203</v>
      </c>
      <c r="BL6" s="34" t="str">
        <f>IF(OR($C6&gt;20190630,$K6&gt;30,BI6="-",$D6="是",$E6="封闭期",$H6&lt;10,$BN6&lt;-6,$BR6&lt;70),"-",COUNTIFS(BI$4:BI$200,"&lt;&gt;-",$D$4:$D$200,"&lt;&gt;是",$E$4:$E$200,"&lt;&gt;封闭期",$H$4:$H$200,"&gt;10",$BN$4:$BN$200,"&gt;-6",$BR$4:$BR$200,"&gt;=70",$K$4:$K$200,"&lt;=30",$C$4:$C$200,"&lt;20190630",BI$4:BI$200,"&gt;="&amp;BI6)&amp;"/"&amp;COUNTIFS(BI$4:BI$200,"&lt;&gt;-",$D$4:$D$200,"&lt;&gt;是",$E$4:$E$200,"&lt;&gt;封闭期",$H$4:$H$200,"&gt;10",$BN$4:$BN$200,"&gt;-6",$BR$4:$BR$200,"&gt;=70",$C$4:$C$200,"&lt;20190630",$K$4:$K$200,"&lt;=30"))</f>
        <v>-</v>
      </c>
      <c r="BM6" s="33" t="str">
        <f>IF(OR($C6&gt;20190630,$K6&gt;30,BI6="-",$D6="是",$E6="封闭期",$H6&lt;10,$BN6&lt;-6,$BR6&lt;70),"-",COUNTIFS(BI$4:BI$200,"&lt;&gt;-",$D$4:$D$200,"&lt;&gt;是",$E$4:$E$200,"&lt;&gt;封闭期",$H$4:$H$200,"&gt;10",$BN$4:$BN$200,"&gt;-6",$BR$4:$BR$200,"&gt;=70",$K$4:$K$200,"&lt;=30",$C$4:$C$200,"&lt;20190630",BI$4:BI$200,"&gt;="&amp;BI6)/COUNTIFS(BI$4:BI$200,"&lt;&gt;-",$D$4:$D$200,"&lt;&gt;是",$E$4:$E$200,"&lt;&gt;封闭期",$H$4:$H$200,"&gt;10",$BN$4:$BN$200,"&gt;-6",$BR$4:$BR$200,"&gt;=70",$C$4:$C$200,"&lt;20190630",$K$4:$K$200,"&lt;=30"))</f>
        <v>-</v>
      </c>
      <c r="BN6" s="21">
        <f>[1]!f_risk_maxdownside(A6,$AM$2,$E$1)</f>
        <v>-11.110290315431778</v>
      </c>
      <c r="BO6" s="21">
        <f>IF(C6&lt;20190930,[1]!f_return_2y(A6,"0","20210930"),"-")</f>
        <v>38.665684808580878</v>
      </c>
      <c r="BP6" s="19" t="str">
        <f>IFERROR(RANK(BO6,BO:BO)&amp;"/"&amp;COUNT(BO:BO),"-")</f>
        <v>3/197</v>
      </c>
      <c r="BQ6" s="25">
        <f>IFERROR(RANK(BO6,BO:BO)/COUNT(BO:BO),"-")</f>
        <v>1.5228426395939087E-2</v>
      </c>
      <c r="BR6" s="19">
        <f>IF(C6&lt;20190930,[1]!f_absolute_profitmonthper(A6,"20190930","20210930"),"-")</f>
        <v>66.666666666666657</v>
      </c>
      <c r="BS6" s="19" t="str">
        <f>IFERROR(RANK(BR6,BR:BR)&amp;"/"&amp;COUNT(BR:BR),"-")</f>
        <v>115/198</v>
      </c>
      <c r="BT6" s="25">
        <f>IFERROR(RANK(BR6,BR:BR)/COUNT(BR:BR),"-")</f>
        <v>0.58080808080808077</v>
      </c>
      <c r="BU6" s="17"/>
      <c r="BV6" s="12">
        <f>X6-3/M6</f>
        <v>0.99563651103417483</v>
      </c>
      <c r="BW6" s="76">
        <f>IFERROR(RANK(BV6,BV:BV)/COUNT(BV:BV),"-")</f>
        <v>0.60406091370558379</v>
      </c>
      <c r="BX6" s="76">
        <f>IFERROR(RANK(L6,L:L)/COUNT(L:L),"-")</f>
        <v>6.0606060606060608E-2</v>
      </c>
      <c r="BY6" s="12">
        <f>AY6-3/AN6</f>
        <v>2.2378704697433536</v>
      </c>
      <c r="BZ6" s="76">
        <f>IFERROR(RANK(BY6,BY:BY)/COUNT(BY:BY),"-")</f>
        <v>0.24873096446700507</v>
      </c>
      <c r="CA6" s="76">
        <f>IFERROR(RANK(AM6,AM:AM)/COUNT(AM:AM),"-")</f>
        <v>2.0202020202020204E-2</v>
      </c>
      <c r="CC6" s="77">
        <f>AV6+BF6+BZ6+CA6</f>
        <v>0.49228323847613187</v>
      </c>
      <c r="CD6" s="77">
        <f>BW6+BX6+AE6+U6</f>
        <v>1.9133979387786495</v>
      </c>
      <c r="CE6" s="77">
        <f>CC6+CD6</f>
        <v>2.4056811772547815</v>
      </c>
    </row>
    <row r="7" spans="1:83" s="17" customFormat="1" hidden="1" x14ac:dyDescent="0.35">
      <c r="A7" s="15" t="s">
        <v>111</v>
      </c>
      <c r="B7" s="15" t="s">
        <v>112</v>
      </c>
      <c r="C7" s="16">
        <v>20120626</v>
      </c>
      <c r="D7" s="16" t="str">
        <f>[1]!f_info_regulopenfundornot(A7)</f>
        <v>否</v>
      </c>
      <c r="E7" s="16" t="str">
        <f>[1]!f_dq_status(A7,$E$1)</f>
        <v>开放申购|开放赎回</v>
      </c>
      <c r="F7" s="17" t="str">
        <f>[1]!f_info_fundmanager(A7)</f>
        <v>林静,袁朔</v>
      </c>
      <c r="G7" s="16">
        <v>20170330</v>
      </c>
      <c r="H7" s="18">
        <f>[1]!f_netasset_total(A7,$E$1,100000000)</f>
        <v>4.9325756559</v>
      </c>
      <c r="I7" s="18">
        <f>[1]!f_prt_convertiblebondtonav(A7,$E$1)</f>
        <v>27.261501312255859</v>
      </c>
      <c r="J7" s="18">
        <f>[1]!f_prt_stocktonav(A7,$E$1)+0.5*I7</f>
        <v>18.932913780212402</v>
      </c>
      <c r="K7" s="19">
        <v>0</v>
      </c>
      <c r="L7" s="19">
        <f>[1]!f_return($A7,"1",L$2,$E$1)</f>
        <v>24.637853819597556</v>
      </c>
      <c r="M7" s="19">
        <f>[1]!f_risk_stdevyearly($A7,L$2,$E$1,1,1)</f>
        <v>17.715721531613667</v>
      </c>
      <c r="N7" s="19">
        <f>IFERROR(L7/M7,"-")</f>
        <v>1.3907338617640472</v>
      </c>
      <c r="O7" s="19" t="str">
        <f>IFERROR(RANK(N7,N:N)&amp;"/"&amp;COUNT(N:N),"-")</f>
        <v>100/197</v>
      </c>
      <c r="P7" s="26">
        <f>IF(O7="-","-",RANK(N7,N:N)/COUNT(N:N))</f>
        <v>0.50761421319796951</v>
      </c>
      <c r="Q7" s="56">
        <v>5.076142131979695E-3</v>
      </c>
      <c r="R7" s="33" t="str">
        <f>IF(OR($C7&gt;20190630,$K7&gt;30,N7="-",$D7="是",$E7="封闭期",$H7&lt;10,$BN7&lt;-6,$BR7&lt;70),"-",COUNTIFS(N$4:N$200,"&lt;&gt;-",$D$4:$D$200,"&lt;&gt;是",$E$4:$E$200,"&lt;&gt;封闭期",$H$4:$H$200,"&gt;10",$BN$4:$BN$200,"&gt;-6",$BR$4:$BR$200,"&gt;=70",$K$4:$K$200,"&lt;=30",$C$4:$C$200,"&lt;20190630",N$4:N$200,"&gt;="&amp;N7)/COUNTIFS(N$4:N$200,"&lt;&gt;-",$D$4:$D$200,"&lt;&gt;是",$E$4:$E$200,"&lt;&gt;封闭期",$H$4:$H$200,"&gt;10",$BN$4:$BN$200,"&gt;-6",$BR$4:$BR$200,"&gt;=70",$C$4:$C$200,"&lt;20190630",$K$4:$K$200,"&lt;=30"))</f>
        <v>-</v>
      </c>
      <c r="S7" s="19">
        <f>IFERROR((L7-3)/M7,"-")</f>
        <v>1.2213927488634799</v>
      </c>
      <c r="T7" s="19" t="str">
        <f>IFERROR(RANK(S7,S:S)&amp;"/"&amp;COUNT(S:S),"-")</f>
        <v>52/197</v>
      </c>
      <c r="U7" s="26">
        <f>IFERROR(RANK(S7,S:S)/COUNT(S:S),"-")</f>
        <v>0.26395939086294418</v>
      </c>
      <c r="V7" s="34" t="str">
        <f>IF(OR($C7&gt;20190630,$K7&gt;30,S7="-",$D7="是",$E7="封闭期",$H7&lt;10,$BN7&lt;-6,$BR7&lt;70),"-",COUNTIFS(S$4:S$200,"&lt;&gt;-",$D$4:$D$200,"&lt;&gt;是",$E$4:$E$200,"&lt;&gt;封闭期",$H$4:$H$200,"&gt;10",$BN$4:$BN$200,"&gt;-6",$BR$4:$BR$200,"&gt;=70",$K$4:$K$200,"&lt;=30",$C$4:$C$200,"&lt;20190630",S$4:S$200,"&gt;="&amp;S7)&amp;"/"&amp;COUNTIFS(S$4:S$200,"&lt;&gt;-",$D$4:$D$200,"&lt;&gt;是",$E$4:$E$200,"&lt;&gt;封闭期",$H$4:$H$200,"&gt;10",$BN$4:$BN$200,"&gt;-6",$BR$4:$BR$200,"&gt;=70",$C$4:$C$200,"&lt;20190630",$K$4:$K$200,"&lt;=30"))</f>
        <v>-</v>
      </c>
      <c r="W7" s="33" t="str">
        <f>IF(OR($C7&gt;20190630,$K7&gt;30,S7="-",$D7="是",$E7="封闭期",$H7&lt;10,$BN7&lt;-6,$BR7&lt;70),"-",COUNTIFS(S$4:S$200,"&lt;&gt;-",$D$4:$D$200,"&lt;&gt;是",$E$4:$E$200,"&lt;&gt;封闭期",$H$4:$H$200,"&gt;10",$BN$4:$BN$200,"&gt;-6",$BR$4:$BR$200,"&gt;=70",$K$4:$K$200,"&lt;=30",$C$4:$C$200,"&lt;20190630",S$4:S$200,"&gt;="&amp;S7)/COUNTIFS(S$4:S$200,"&lt;&gt;-",$D$4:$D$200,"&lt;&gt;是",$E$4:$E$200,"&lt;&gt;封闭期",$H$4:$H$200,"&gt;10",$BN$4:$BN$200,"&gt;-6",$BR$4:$BR$200,"&gt;=70",$C$4:$C$200,"&lt;20190630",$K$4:$K$200,"&lt;=30"))</f>
        <v>-</v>
      </c>
      <c r="X7" s="19">
        <f>[1]!f_risk_calmar(A7,$L$2,$E$1)</f>
        <v>1.7584450535845515</v>
      </c>
      <c r="Y7" s="19" t="str">
        <f>IFERROR(RANK(X7,X:X)&amp;"/"&amp;COUNT(X:X),"-")</f>
        <v>111/197</v>
      </c>
      <c r="Z7" s="26">
        <f>IFERROR(RANK(X7,X:X)/COUNT(X:X),"-")</f>
        <v>0.56345177664974622</v>
      </c>
      <c r="AA7" s="34" t="str">
        <f>IF(OR($C7&gt;20190630,$K7&gt;30,X7="-",$D7="是",$E7="封闭期",$H7&lt;10,$BN7&lt;-6,$BR7&lt;70),"-",COUNTIFS(X$4:X$200,"&lt;&gt;-",$D$4:$D$200,"&lt;&gt;是",$E$4:$E$200,"&lt;&gt;封闭期",$H$4:$H$200,"&gt;10",$BN$4:$BN$200,"&gt;-6",$BR$4:$BR$200,"&gt;=70",$K$4:$K$200,"&lt;=30",$C$4:$C$200,"&lt;20190630",X$4:X$200,"&gt;="&amp;X7)&amp;"/"&amp;COUNTIFS(X$4:X$200,"&lt;&gt;-",$D$4:$D$200,"&lt;&gt;是",$E$4:$E$200,"&lt;&gt;封闭期",$H$4:$H$200,"&gt;10",$BN$4:$BN$200,"&gt;-6",$BR$4:$BR$200,"&gt;=70",$C$4:$C$200,"&lt;20190630",$K$4:$K$200,"&lt;=30"))</f>
        <v>-</v>
      </c>
      <c r="AB7" s="33" t="str">
        <f>IF(OR($C7&gt;20190630,$K7&gt;30,X7="-",$D7="是",$E7="封闭期",$H7&lt;10,$BN7&lt;-6,$BR7&lt;70),"-",COUNTIFS(X$4:X$200,"&lt;&gt;-",$D$4:$D$200,"&lt;&gt;是",$E$4:$E$200,"&lt;&gt;封闭期",$H$4:$H$200,"&gt;10",$BN$4:$BN$200,"&gt;-6",$BR$4:$BR$200,"&gt;=70",$K$4:$K$200,"&lt;=30",$C$4:$C$200,"&lt;20190630",X$4:X$200,"&gt;="&amp;X7)/COUNTIFS(X$4:X$200,"&lt;&gt;-",$D$4:$D$200,"&lt;&gt;是",$E$4:$E$200,"&lt;&gt;封闭期",$H$4:$H$200,"&gt;10",$BN$4:$BN$200,"&gt;-6",$BR$4:$BR$200,"&gt;=70",$C$4:$C$200,"&lt;20190630",$K$4:$K$200,"&lt;=30"))</f>
        <v>-</v>
      </c>
      <c r="AC7" s="20">
        <v>0.98319327731092432</v>
      </c>
      <c r="AD7" s="19" t="str">
        <f>IFERROR(RANK(AC7,AC:AC)&amp;"/"&amp;COUNT(AC:AC),"-")</f>
        <v>95/197</v>
      </c>
      <c r="AE7" s="26">
        <f>IFERROR(RANK(AC7,AC:AC)/COUNT(AC:AC),"-")</f>
        <v>0.48223350253807107</v>
      </c>
      <c r="AF7" s="34" t="str">
        <f>IF(OR($C7&gt;20190630,$K7&gt;30,AC7="-",$D7="是",$E7="封闭期",$H7&lt;10,$BN7&lt;-6,$BR7&lt;70),"-",COUNTIFS(AC$4:AC$200,"&lt;&gt;-",$D$4:$D$200,"&lt;&gt;是",$E$4:$E$200,"&lt;&gt;封闭期",$H$4:$H$200,"&gt;10",$BN$4:$BN$200,"&gt;-6",$BR$4:$BR$200,"&gt;=70",$K$4:$K$200,"&lt;=30",$C$4:$C$200,"&lt;20190630",AC$4:AC$200,"&gt;="&amp;AC7)&amp;"/"&amp;COUNTIFS(AC$4:AC$200,"&lt;&gt;-",$D$4:$D$200,"&lt;&gt;是",$E$4:$E$200,"&lt;&gt;封闭期",$H$4:$H$200,"&gt;10",$BN$4:$BN$200,"&gt;-6",$BR$4:$BR$200,"&gt;=70",$C$4:$C$200,"&lt;20190630",$K$4:$K$200,"&lt;=30"))</f>
        <v>-</v>
      </c>
      <c r="AG7" s="33" t="str">
        <f>IF(OR($C7&gt;20190630,$K7&gt;30,AC7="-",$D7="是",$E7="封闭期",$H7&lt;10,$BN7&lt;-6,$BR7&lt;70),"-",COUNTIFS(AC$4:AC$200,"&lt;&gt;-",$D$4:$D$200,"&lt;&gt;是",$E$4:$E$200,"&lt;&gt;封闭期",$H$4:$H$200,"&gt;10",$BN$4:$BN$200,"&gt;-6",$BR$4:$BR$200,"&gt;=70",$K$4:$K$200,"&lt;=30",$C$4:$C$200,"&lt;20190630",AC$4:AC$200,"&gt;="&amp;AC7)/COUNTIFS(AC$4:AC$200,"&lt;&gt;-",$D$4:$D$200,"&lt;&gt;是",$E$4:$E$200,"&lt;&gt;封闭期",$H$4:$H$200,"&gt;10",$BN$4:$BN$200,"&gt;-6",$BR$4:$BR$200,"&gt;=70",$C$4:$C$200,"&lt;20190630",$K$4:$K$200,"&lt;=30"))</f>
        <v>-</v>
      </c>
      <c r="AH7" s="21">
        <f>[1]!f_risk_maxdownside(A7,$L$2,$E$1)</f>
        <v>-14.01115933044017</v>
      </c>
      <c r="AI7" s="19" t="str">
        <f>IFERROR(RANK(AH7,AH:AH)&amp;"/"&amp;COUNT(AH:AH),"-")</f>
        <v>196/197</v>
      </c>
      <c r="AJ7" s="26">
        <f>IFERROR(RANK(AH7,AH:AH)/COUNT(AH:AH),"-")</f>
        <v>0.99492385786802029</v>
      </c>
      <c r="AK7" s="34" t="str">
        <f>IF(OR($C7&gt;20190630,$K7&gt;30,AH7="-",$D7="是",$E7="封闭期",$H7&lt;10,$BN7&lt;-6,$BR7&lt;70),"-",COUNTIFS(AH$4:AH$200,"&lt;&gt;-",$D$4:$D$200,"&lt;&gt;是",$E$4:$E$200,"&lt;&gt;封闭期",$H$4:$H$200,"&gt;10",$BN$4:$BN$200,"&gt;-6",$BR$4:$BR$200,"&gt;=70",$K$4:$K$200,"&lt;=30",$C$4:$C$200,"&lt;20190630",AH$4:AH$200,"&gt;="&amp;AH7)&amp;"/"&amp;COUNTIFS(AH$4:AH$200,"&lt;&gt;-",$D$4:$D$200,"&lt;&gt;是",$E$4:$E$200,"&lt;&gt;封闭期",$H$4:$H$200,"&gt;10",$BN$4:$BN$200,"&gt;-6",$BR$4:$BR$200,"&gt;=70",$C$4:$C$200,"&lt;20190630",$K$4:$K$200,"&lt;=30"))</f>
        <v>-</v>
      </c>
      <c r="AL7" s="33" t="str">
        <f>IF(OR($C7&gt;20190630,$K7&gt;30,AH7="-",$D7="是",$E7="封闭期",$H7&lt;10,$BN7&lt;-6,$BR7&lt;70),"-",COUNTIFS(AH$4:AH$200,"&lt;&gt;-",$D$4:$D$200,"&lt;&gt;是",$E$4:$E$200,"&lt;&gt;封闭期",$H$4:$H$200,"&gt;10",$BN$4:$BN$200,"&gt;-6",$BR$4:$BR$200,"&gt;=70",$K$4:$K$200,"&lt;=30",$C$4:$C$200,"&lt;20190630",AH$4:AH$200,"&gt;="&amp;AH7)/COUNTIFS(AH$4:AH$200,"&lt;&gt;-",$D$4:$D$200,"&lt;&gt;是",$E$4:$E$200,"&lt;&gt;封闭期",$H$4:$H$200,"&gt;10",$BN$4:$BN$200,"&gt;-6",$BR$4:$BR$200,"&gt;=70",$C$4:$C$200,"&lt;20190630",$K$4:$K$200,"&lt;=30"))</f>
        <v>-</v>
      </c>
      <c r="AM7" s="19">
        <f>[1]!f_return($A7,"1",AM$2,$L$2)</f>
        <v>21.313276556033212</v>
      </c>
      <c r="AN7" s="19">
        <f>[1]!f_risk_stdevyearly($A7,AM$2,$L$2,1,1)</f>
        <v>14.282360114246584</v>
      </c>
      <c r="AO7" s="19">
        <f>IFERROR(AM7/AN7,"-")</f>
        <v>1.4922797342697811</v>
      </c>
      <c r="AP7" s="19" t="str">
        <f>IFERROR(RANK(AO7,AO:AO)&amp;"/"&amp;COUNT(AO:AO),"-")</f>
        <v>109/197</v>
      </c>
      <c r="AQ7" s="26">
        <f>IF(AP7="-","-",RANK(AO7,AO:AO)/COUNT(AO:AO))</f>
        <v>0.5532994923857868</v>
      </c>
      <c r="AR7" s="57">
        <v>2.030456852791878E-2</v>
      </c>
      <c r="AS7" s="33" t="str">
        <f>IF(OR($C7&gt;20190630,$K7&gt;30,AO7="-",$D7="是",$E7="封闭期",$H7&lt;10,$BN7&lt;-6,$BR7&lt;70),"-",COUNTIFS(AO$4:AO$200,"&lt;&gt;-",$D$4:$D$200,"&lt;&gt;是",$E$4:$E$200,"&lt;&gt;封闭期",$H$4:$H$200,"&gt;10",$BN$4:$BN$200,"&gt;-6",$BR$4:$BR$200,"&gt;=70",$K$4:$K$200,"&lt;=30",$C$4:$C$200,"&lt;20190630",AO$4:AO$200,"&gt;="&amp;AO7)/COUNTIFS(AO$4:AO$200,"&lt;&gt;-",$D$4:$D$200,"&lt;&gt;是",$E$4:$E$200,"&lt;&gt;封闭期",$H$4:$H$200,"&gt;10",$BN$4:$BN$200,"&gt;-6",$BR$4:$BR$200,"&gt;=70",$C$4:$C$200,"&lt;20190630",$K$4:$K$200,"&lt;=30"))</f>
        <v>-</v>
      </c>
      <c r="AT7" s="19">
        <f>IFERROR((AM7-3)/AN7,"-")</f>
        <v>1.2822304163697573</v>
      </c>
      <c r="AU7" s="19" t="str">
        <f>IFERROR(RANK(AT7,AT:AT)&amp;"/"&amp;COUNT(AT:AT),"-")</f>
        <v>46/197</v>
      </c>
      <c r="AV7" s="26">
        <f>IFERROR(RANK(AT7,AT:AT)/COUNT(AT:AT),"-")</f>
        <v>0.233502538071066</v>
      </c>
      <c r="AW7" s="34" t="str">
        <f>IF(OR($C7&gt;20190630,$K7&gt;30,AT7="-",$D7="是",$E7="封闭期",$H7&lt;10,$BN7&lt;-6,$BR7&lt;70),"-",COUNTIFS(AT$4:AT$200,"&lt;&gt;-",$D$4:$D$200,"&lt;&gt;是",$E$4:$E$200,"&lt;&gt;封闭期",$H$4:$H$200,"&gt;10",$BN$4:$BN$200,"&gt;-6",$BR$4:$BR$200,"&gt;=70",$K$4:$K$200,"&lt;=30",$C$4:$C$200,"&lt;20190630",AT$4:AT$200,"&gt;="&amp;AT7)&amp;"/"&amp;COUNTIFS(AT$4:AT$200,"&lt;&gt;-",$D$4:$D$200,"&lt;&gt;是",$E$4:$E$200,"&lt;&gt;封闭期",$H$4:$H$200,"&gt;10",$BN$4:$BN$200,"&gt;-6",$BR$4:$BR$200,"&gt;=70",$C$4:$C$200,"&lt;20190630",$K$4:$K$200,"&lt;=30"))</f>
        <v>-</v>
      </c>
      <c r="AX7" s="33" t="str">
        <f>IF(OR($C7&gt;20190630,$K7&gt;30,AT7="-",$D7="是",$E7="封闭期",$H7&lt;10,$BN7&lt;-6,$BR7&lt;70),"-",COUNTIFS(AT$4:AT$200,"&lt;&gt;-",$D$4:$D$200,"&lt;&gt;是",$E$4:$E$200,"&lt;&gt;封闭期",$H$4:$H$200,"&gt;10",$BN$4:$BN$200,"&gt;-6",$BR$4:$BR$200,"&gt;=70",$K$4:$K$200,"&lt;=30",$C$4:$C$200,"&lt;20190630",AT$4:AT$200,"&gt;="&amp;AT7)/COUNTIFS(AT$4:AT$200,"&lt;&gt;-",$D$4:$D$200,"&lt;&gt;是",$E$4:$E$200,"&lt;&gt;封闭期",$H$4:$H$200,"&gt;10",$BN$4:$BN$200,"&gt;-6",$BR$4:$BR$200,"&gt;=70",$C$4:$C$200,"&lt;20190630",$K$4:$K$200,"&lt;=30"))</f>
        <v>-</v>
      </c>
      <c r="AY7" s="19">
        <f>[1]!f_risk_calmar(A7,$AM$2,$L$2)</f>
        <v>1.8323696153207074</v>
      </c>
      <c r="AZ7" s="19" t="str">
        <f>IFERROR(RANK(AY7,AY:AY)&amp;"/"&amp;COUNT(AY:AY),"-")</f>
        <v>126/197</v>
      </c>
      <c r="BA7" s="26">
        <f>IFERROR(RANK(AY7,AY:AY)/COUNT(AY:AY),"-")</f>
        <v>0.63959390862944165</v>
      </c>
      <c r="BB7" s="34" t="str">
        <f>IF(OR($C7&gt;20190630,$K7&gt;30,AY7="-",$D7="是",$E7="封闭期",$H7&lt;10,$BN7&lt;-6,$BR7&lt;70),"-",COUNTIFS(AY$4:AY$200,"&lt;&gt;-",$D$4:$D$200,"&lt;&gt;是",$E$4:$E$200,"&lt;&gt;封闭期",$H$4:$H$200,"&gt;10",$BN$4:$BN$200,"&gt;-6",$BR$4:$BR$200,"&gt;=70",$K$4:$K$200,"&lt;=30",$C$4:$C$200,"&lt;20190630",AY$4:AY$200,"&gt;="&amp;AY7)&amp;"/"&amp;COUNTIFS(AY$4:AY$200,"&lt;&gt;-",$D$4:$D$200,"&lt;&gt;是",$E$4:$E$200,"&lt;&gt;封闭期",$H$4:$H$200,"&gt;10",$BN$4:$BN$200,"&gt;-6",$BR$4:$BR$200,"&gt;=70",$C$4:$C$200,"&lt;20190630",$K$4:$K$200,"&lt;=30"))</f>
        <v>-</v>
      </c>
      <c r="BC7" s="33" t="str">
        <f>IF(OR($C7&gt;20190630,$K7&gt;30,AY7="-",$D7="是",$E7="封闭期",$H7&lt;10,$BN7&lt;-6,$BR7&lt;70),"-",COUNTIFS(AY$4:AY$200,"&lt;&gt;-",$D$4:$D$200,"&lt;&gt;是",$E$4:$E$200,"&lt;&gt;封闭期",$H$4:$H$200,"&gt;10",$BN$4:$BN$200,"&gt;-6",$BR$4:$BR$200,"&gt;=70",$K$4:$K$200,"&lt;=30",$C$4:$C$200,"&lt;20190630",AY$4:AY$200,"&gt;="&amp;AY7)/COUNTIFS(AY$4:AY$200,"&lt;&gt;-",$D$4:$D$200,"&lt;&gt;是",$E$4:$E$200,"&lt;&gt;封闭期",$H$4:$H$200,"&gt;10",$BN$4:$BN$200,"&gt;-6",$BR$4:$BR$200,"&gt;=70",$C$4:$C$200,"&lt;20190630",$K$4:$K$200,"&lt;=30"))</f>
        <v>-</v>
      </c>
      <c r="BD7" s="20">
        <v>1</v>
      </c>
      <c r="BE7" s="19" t="str">
        <f>IFERROR(RANK(BD7,BD:BD)&amp;"/"&amp;COUNT(BD:BD),"-")</f>
        <v>1/197</v>
      </c>
      <c r="BF7" s="26">
        <f>IFERROR(RANK(BD7,BD:BD)/COUNT(BD:BD),"-")</f>
        <v>5.076142131979695E-3</v>
      </c>
      <c r="BG7" s="34" t="str">
        <f>IF(OR($C7&gt;20190630,$K7&gt;30,BD7="-",$D7="是",$E7="封闭期",$H7&lt;10,$BN7&lt;-6,$BR7&lt;70),"-",COUNTIFS(BD$4:BD$200,"&lt;&gt;-",$D$4:$D$200,"&lt;&gt;是",$E$4:$E$200,"&lt;&gt;封闭期",$H$4:$H$200,"&gt;10",$BN$4:$BN$200,"&gt;-6",$BR$4:$BR$200,"&gt;=70",$K$4:$K$200,"&lt;=30",$C$4:$C$200,"&lt;20190630",BD$4:BD$200,"&gt;="&amp;BD7)&amp;"/"&amp;COUNTIFS(BD$4:BD$200,"&lt;&gt;-",$D$4:$D$200,"&lt;&gt;是",$E$4:$E$200,"&lt;&gt;封闭期",$H$4:$H$200,"&gt;10",$BN$4:$BN$200,"&gt;-6",$BR$4:$BR$200,"&gt;=70",$C$4:$C$200,"&lt;20190630",$K$4:$K$200,"&lt;=30"))</f>
        <v>-</v>
      </c>
      <c r="BH7" s="33" t="str">
        <f>IF(OR($C7&gt;20190630,$K7&gt;30,BD7="-",$D7="是",$E7="封闭期",$H7&lt;10,$BN7&lt;-6,$BR7&lt;70),"-",COUNTIFS(BD$4:BD$200,"&lt;&gt;-",$D$4:$D$200,"&lt;&gt;是",$E$4:$E$200,"&lt;&gt;封闭期",$H$4:$H$200,"&gt;10",$BN$4:$BN$200,"&gt;-6",$BR$4:$BR$200,"&gt;=70",$K$4:$K$200,"&lt;=30",$C$4:$C$200,"&lt;20190630",BD$4:BD$200,"&gt;="&amp;BD7)/COUNTIFS(BD$4:BD$200,"&lt;&gt;-",$D$4:$D$200,"&lt;&gt;是",$E$4:$E$200,"&lt;&gt;封闭期",$H$4:$H$200,"&gt;10",$BN$4:$BN$200,"&gt;-6",$BR$4:$BR$200,"&gt;=70",$C$4:$C$200,"&lt;20190630",$K$4:$K$200,"&lt;=30"))</f>
        <v>-</v>
      </c>
      <c r="BI7" s="21">
        <f>[1]!f_risk_maxdownside(A7,$AM$2,$L$2)</f>
        <v>-11.631537861046059</v>
      </c>
      <c r="BJ7" s="19" t="str">
        <f>IFERROR(RANK(BI7,BI:BI)&amp;"/"&amp;COUNT(BI:BI),"-")</f>
        <v>194/197</v>
      </c>
      <c r="BK7" s="26">
        <f>IFERROR(RANK(BI7,BI:BI)/COUNT(BI:BI),"-")</f>
        <v>0.98477157360406087</v>
      </c>
      <c r="BL7" s="34" t="str">
        <f>IF(OR($C7&gt;20190630,$K7&gt;30,BI7="-",$D7="是",$E7="封闭期",$H7&lt;10,$BN7&lt;-6,$BR7&lt;70),"-",COUNTIFS(BI$4:BI$200,"&lt;&gt;-",$D$4:$D$200,"&lt;&gt;是",$E$4:$E$200,"&lt;&gt;封闭期",$H$4:$H$200,"&gt;10",$BN$4:$BN$200,"&gt;-6",$BR$4:$BR$200,"&gt;=70",$K$4:$K$200,"&lt;=30",$C$4:$C$200,"&lt;20190630",BI$4:BI$200,"&gt;="&amp;BI7)&amp;"/"&amp;COUNTIFS(BI$4:BI$200,"&lt;&gt;-",$D$4:$D$200,"&lt;&gt;是",$E$4:$E$200,"&lt;&gt;封闭期",$H$4:$H$200,"&gt;10",$BN$4:$BN$200,"&gt;-6",$BR$4:$BR$200,"&gt;=70",$C$4:$C$200,"&lt;20190630",$K$4:$K$200,"&lt;=30"))</f>
        <v>-</v>
      </c>
      <c r="BM7" s="33" t="str">
        <f>IF(OR($C7&gt;20190630,$K7&gt;30,BI7="-",$D7="是",$E7="封闭期",$H7&lt;10,$BN7&lt;-6,$BR7&lt;70),"-",COUNTIFS(BI$4:BI$200,"&lt;&gt;-",$D$4:$D$200,"&lt;&gt;是",$E$4:$E$200,"&lt;&gt;封闭期",$H$4:$H$200,"&gt;10",$BN$4:$BN$200,"&gt;-6",$BR$4:$BR$200,"&gt;=70",$K$4:$K$200,"&lt;=30",$C$4:$C$200,"&lt;20190630",BI$4:BI$200,"&gt;="&amp;BI7)/COUNTIFS(BI$4:BI$200,"&lt;&gt;-",$D$4:$D$200,"&lt;&gt;是",$E$4:$E$200,"&lt;&gt;封闭期",$H$4:$H$200,"&gt;10",$BN$4:$BN$200,"&gt;-6",$BR$4:$BR$200,"&gt;=70",$C$4:$C$200,"&lt;20190630",$K$4:$K$200,"&lt;=30"))</f>
        <v>-</v>
      </c>
      <c r="BN7" s="21">
        <f>[1]!f_risk_maxdownside(A7,$AM$2,$E$1)</f>
        <v>-14.01115933044017</v>
      </c>
      <c r="BO7" s="21">
        <f>IF(C7&lt;20190930,[1]!f_return_2y(A7,"0","20210930"),"-")</f>
        <v>50.646950092421406</v>
      </c>
      <c r="BP7" s="19" t="str">
        <f>IFERROR(RANK(BO7,BO:BO)&amp;"/"&amp;COUNT(BO:BO),"-")</f>
        <v>1/197</v>
      </c>
      <c r="BQ7" s="25">
        <f>IFERROR(RANK(BO7,BO:BO)/COUNT(BO:BO),"-")</f>
        <v>5.076142131979695E-3</v>
      </c>
      <c r="BR7" s="19">
        <f>IF(C7&lt;20190930,[1]!f_absolute_profitmonthper(A7,"20190930","20210930"),"-")</f>
        <v>70.833333333333343</v>
      </c>
      <c r="BS7" s="19" t="str">
        <f>IFERROR(RANK(BR7,BR:BR)&amp;"/"&amp;COUNT(BR:BR),"-")</f>
        <v>55/198</v>
      </c>
      <c r="BT7" s="25">
        <f>IFERROR(RANK(BR7,BR:BR)/COUNT(BR:BR),"-")</f>
        <v>0.27777777777777779</v>
      </c>
      <c r="BV7" s="12">
        <f>X7-3/M7</f>
        <v>1.5891039406839842</v>
      </c>
      <c r="BW7" s="76">
        <f>IFERROR(RANK(BV7,BV:BV)/COUNT(BV:BV),"-")</f>
        <v>0.43147208121827413</v>
      </c>
      <c r="BX7" s="76">
        <f>IFERROR(RANK(L7,L:L)/COUNT(L:L),"-")</f>
        <v>1.0101010101010102E-2</v>
      </c>
      <c r="BY7" s="12">
        <f>AY7-3/AN7</f>
        <v>1.6223202974206836</v>
      </c>
      <c r="BZ7" s="76">
        <f>IFERROR(RANK(BY7,BY:BY)/COUNT(BY:BY),"-")</f>
        <v>0.48730964467005078</v>
      </c>
      <c r="CA7" s="76">
        <f>IFERROR(RANK(AM7,AM:AM)/COUNT(AM:AM),"-")</f>
        <v>2.5252525252525252E-2</v>
      </c>
      <c r="CB7" s="2"/>
      <c r="CC7" s="77">
        <f>AV7+BF7+BZ7+CA7</f>
        <v>0.75114085012562182</v>
      </c>
      <c r="CD7" s="77">
        <f>BW7+BX7+AE7+U7</f>
        <v>1.1877659847202995</v>
      </c>
      <c r="CE7" s="77">
        <f>CC7+CD7</f>
        <v>1.9389068348459213</v>
      </c>
    </row>
    <row r="8" spans="1:83" s="17" customFormat="1" x14ac:dyDescent="0.35">
      <c r="A8" s="3" t="s">
        <v>345</v>
      </c>
      <c r="B8" s="3" t="s">
        <v>346</v>
      </c>
      <c r="C8" s="4">
        <v>20130605</v>
      </c>
      <c r="D8" s="4" t="str">
        <f>[1]!f_info_regulopenfundornot(A8)</f>
        <v>否</v>
      </c>
      <c r="E8" s="4" t="str">
        <f>[1]!f_dq_status(A8,$E$1)</f>
        <v>暂停大额申购|开放赎回</v>
      </c>
      <c r="F8" s="17" t="str">
        <f>[1]!f_info_fundmanager(A8)</f>
        <v>张芊</v>
      </c>
      <c r="G8" s="4">
        <v>20130712</v>
      </c>
      <c r="H8" s="11">
        <f>[1]!f_netasset_total(A8,$E$1,100000000)</f>
        <v>173.75107717900002</v>
      </c>
      <c r="I8" s="11">
        <f>[1]!f_prt_convertiblebondtonav(A8,$E$1)</f>
        <v>19.110431671142578</v>
      </c>
      <c r="J8" s="11">
        <f>[1]!f_prt_stocktonav(A8,$E$1)+0.5*I8</f>
        <v>29.580024719238281</v>
      </c>
      <c r="K8" s="12">
        <v>1.753197763983803</v>
      </c>
      <c r="L8" s="19">
        <f>[1]!f_return($A8,"1",L$2,$E$1)</f>
        <v>8.3609184706001862</v>
      </c>
      <c r="M8" s="19">
        <f>[1]!f_risk_stdevyearly($A8,L$2,$E$1,1,1)</f>
        <v>5.6638716692002866</v>
      </c>
      <c r="N8" s="12">
        <f>IFERROR(L8/M8,"-")</f>
        <v>1.4761843062345921</v>
      </c>
      <c r="O8" s="12" t="str">
        <f>IFERROR(RANK(N8,N:N)&amp;"/"&amp;COUNT(N:N),"-")</f>
        <v>89/197</v>
      </c>
      <c r="P8" s="26">
        <f>IF(O8="-","-",RANK(N8,N:N)/COUNT(N:N))</f>
        <v>0.45177664974619292</v>
      </c>
      <c r="Q8" s="58">
        <v>0.25380710659898476</v>
      </c>
      <c r="R8" s="33">
        <f>IF(OR($C8&gt;20190630,$K8&gt;30,N8="-",$D8="是",$E8="封闭期",$H8&lt;10,$BN8&lt;-6,$BR8&lt;70),"-",COUNTIFS(N$4:N$200,"&lt;&gt;-",$D$4:$D$200,"&lt;&gt;是",$E$4:$E$200,"&lt;&gt;封闭期",$H$4:$H$200,"&gt;10",$BN$4:$BN$200,"&gt;-6",$BR$4:$BR$200,"&gt;=70",$K$4:$K$200,"&lt;=30",$C$4:$C$200,"&lt;20190630",N$4:N$200,"&gt;="&amp;N8)/COUNTIFS(N$4:N$200,"&lt;&gt;-",$D$4:$D$200,"&lt;&gt;是",$E$4:$E$200,"&lt;&gt;封闭期",$H$4:$H$200,"&gt;10",$BN$4:$BN$200,"&gt;-6",$BR$4:$BR$200,"&gt;=70",$C$4:$C$200,"&lt;20190630",$K$4:$K$200,"&lt;=30"))</f>
        <v>0.71794871794871795</v>
      </c>
      <c r="S8" s="12">
        <f>IFERROR((L8-3)/M8,"-")</f>
        <v>0.94651128833876352</v>
      </c>
      <c r="T8" s="12" t="str">
        <f>IFERROR(RANK(S8,S:S)&amp;"/"&amp;COUNT(S:S),"-")</f>
        <v>79/197</v>
      </c>
      <c r="U8" s="26">
        <f>IFERROR(RANK(S8,S:S)/COUNT(S:S),"-")</f>
        <v>0.40101522842639592</v>
      </c>
      <c r="V8" s="13" t="str">
        <f>IF(OR($C8&gt;20190630,$K8&gt;30,S8="-",$D8="是",$E8="封闭期",$H8&lt;10,$BN8&lt;-6,$BR8&lt;70),"-",COUNTIFS(S$4:S$200,"&lt;&gt;-",$D$4:$D$200,"&lt;&gt;是",$E$4:$E$200,"&lt;&gt;封闭期",$H$4:$H$200,"&gt;10",$BN$4:$BN$200,"&gt;-6",$BR$4:$BR$200,"&gt;=70",$K$4:$K$200,"&lt;=30",$C$4:$C$200,"&lt;20190630",S$4:S$200,"&gt;="&amp;S8)&amp;"/"&amp;COUNTIFS(S$4:S$200,"&lt;&gt;-",$D$4:$D$200,"&lt;&gt;是",$E$4:$E$200,"&lt;&gt;封闭期",$H$4:$H$200,"&gt;10",$BN$4:$BN$200,"&gt;-6",$BR$4:$BR$200,"&gt;=70",$C$4:$C$200,"&lt;20190630",$K$4:$K$200,"&lt;=30"))</f>
        <v>23/39</v>
      </c>
      <c r="W8" s="33">
        <f>IF(OR($C8&gt;20190630,$K8&gt;30,S8="-",$D8="是",$E8="封闭期",$H8&lt;10,$BN8&lt;-6,$BR8&lt;70),"-",COUNTIFS(S$4:S$200,"&lt;&gt;-",$D$4:$D$200,"&lt;&gt;是",$E$4:$E$200,"&lt;&gt;封闭期",$H$4:$H$200,"&gt;10",$BN$4:$BN$200,"&gt;-6",$BR$4:$BR$200,"&gt;=70",$K$4:$K$200,"&lt;=30",$C$4:$C$200,"&lt;20190630",S$4:S$200,"&gt;="&amp;S8)/COUNTIFS(S$4:S$200,"&lt;&gt;-",$D$4:$D$200,"&lt;&gt;是",$E$4:$E$200,"&lt;&gt;封闭期",$H$4:$H$200,"&gt;10",$BN$4:$BN$200,"&gt;-6",$BR$4:$BR$200,"&gt;=70",$C$4:$C$200,"&lt;20190630",$K$4:$K$200,"&lt;=30"))</f>
        <v>0.58974358974358976</v>
      </c>
      <c r="X8" s="19">
        <f>[1]!f_risk_calmar(A8,$L$2,$E$1)</f>
        <v>2.3669000106771825</v>
      </c>
      <c r="Y8" s="12" t="str">
        <f>IFERROR(RANK(X8,X:X)&amp;"/"&amp;COUNT(X:X),"-")</f>
        <v>76/197</v>
      </c>
      <c r="Z8" s="26">
        <f>IFERROR(RANK(X8,X:X)/COUNT(X:X),"-")</f>
        <v>0.38578680203045684</v>
      </c>
      <c r="AA8" s="13" t="str">
        <f>IF(OR($C8&gt;20190630,$K8&gt;30,X8="-",$D8="是",$E8="封闭期",$H8&lt;10,$BN8&lt;-6,$BR8&lt;70),"-",COUNTIFS(X$4:X$200,"&lt;&gt;-",$D$4:$D$200,"&lt;&gt;是",$E$4:$E$200,"&lt;&gt;封闭期",$H$4:$H$200,"&gt;10",$BN$4:$BN$200,"&gt;-6",$BR$4:$BR$200,"&gt;=70",$K$4:$K$200,"&lt;=30",$C$4:$C$200,"&lt;20190630",X$4:X$200,"&gt;="&amp;X8)&amp;"/"&amp;COUNTIFS(X$4:X$200,"&lt;&gt;-",$D$4:$D$200,"&lt;&gt;是",$E$4:$E$200,"&lt;&gt;封闭期",$H$4:$H$200,"&gt;10",$BN$4:$BN$200,"&gt;-6",$BR$4:$BR$200,"&gt;=70",$C$4:$C$200,"&lt;20190630",$K$4:$K$200,"&lt;=30"))</f>
        <v>24/39</v>
      </c>
      <c r="AB8" s="33">
        <f>IF(OR($C8&gt;20190630,$K8&gt;30,X8="-",$D8="是",$E8="封闭期",$H8&lt;10,$BN8&lt;-6,$BR8&lt;70),"-",COUNTIFS(X$4:X$200,"&lt;&gt;-",$D$4:$D$200,"&lt;&gt;是",$E$4:$E$200,"&lt;&gt;封闭期",$H$4:$H$200,"&gt;10",$BN$4:$BN$200,"&gt;-6",$BR$4:$BR$200,"&gt;=70",$K$4:$K$200,"&lt;=30",$C$4:$C$200,"&lt;20190630",X$4:X$200,"&gt;="&amp;X8)/COUNTIFS(X$4:X$200,"&lt;&gt;-",$D$4:$D$200,"&lt;&gt;是",$E$4:$E$200,"&lt;&gt;封闭期",$H$4:$H$200,"&gt;10",$BN$4:$BN$200,"&gt;-6",$BR$4:$BR$200,"&gt;=70",$C$4:$C$200,"&lt;20190630",$K$4:$K$200,"&lt;=30"))</f>
        <v>0.61538461538461542</v>
      </c>
      <c r="AC8" s="20">
        <v>1</v>
      </c>
      <c r="AD8" s="12" t="str">
        <f>IFERROR(RANK(AC8,AC:AC)&amp;"/"&amp;COUNT(AC:AC),"-")</f>
        <v>1/197</v>
      </c>
      <c r="AE8" s="26">
        <f>IFERROR(RANK(AC8,AC:AC)/COUNT(AC:AC),"-")</f>
        <v>5.076142131979695E-3</v>
      </c>
      <c r="AF8" s="13" t="str">
        <f>IF(OR($C8&gt;20190630,$K8&gt;30,AC8="-",$D8="是",$E8="封闭期",$H8&lt;10,$BN8&lt;-6,$BR8&lt;70),"-",COUNTIFS(AC$4:AC$200,"&lt;&gt;-",$D$4:$D$200,"&lt;&gt;是",$E$4:$E$200,"&lt;&gt;封闭期",$H$4:$H$200,"&gt;10",$BN$4:$BN$200,"&gt;-6",$BR$4:$BR$200,"&gt;=70",$K$4:$K$200,"&lt;=30",$C$4:$C$200,"&lt;20190630",AC$4:AC$200,"&gt;="&amp;AC8)&amp;"/"&amp;COUNTIFS(AC$4:AC$200,"&lt;&gt;-",$D$4:$D$200,"&lt;&gt;是",$E$4:$E$200,"&lt;&gt;封闭期",$H$4:$H$200,"&gt;10",$BN$4:$BN$200,"&gt;-6",$BR$4:$BR$200,"&gt;=70",$C$4:$C$200,"&lt;20190630",$K$4:$K$200,"&lt;=30"))</f>
        <v>28/39</v>
      </c>
      <c r="AG8" s="33">
        <f>IF(OR($C8&gt;20190630,$K8&gt;30,AC8="-",$D8="是",$E8="封闭期",$H8&lt;10,$BN8&lt;-6,$BR8&lt;70),"-",COUNTIFS(AC$4:AC$200,"&lt;&gt;-",$D$4:$D$200,"&lt;&gt;是",$E$4:$E$200,"&lt;&gt;封闭期",$H$4:$H$200,"&gt;10",$BN$4:$BN$200,"&gt;-6",$BR$4:$BR$200,"&gt;=70",$K$4:$K$200,"&lt;=30",$C$4:$C$200,"&lt;20190630",AC$4:AC$200,"&gt;="&amp;AC8)/COUNTIFS(AC$4:AC$200,"&lt;&gt;-",$D$4:$D$200,"&lt;&gt;是",$E$4:$E$200,"&lt;&gt;封闭期",$H$4:$H$200,"&gt;10",$BN$4:$BN$200,"&gt;-6",$BR$4:$BR$200,"&gt;=70",$C$4:$C$200,"&lt;20190630",$K$4:$K$200,"&lt;=30"))</f>
        <v>0.71794871794871795</v>
      </c>
      <c r="AH8" s="21">
        <f>[1]!f_risk_maxdownside(A8,$L$2,$E$1)</f>
        <v>-3.5324341682723146</v>
      </c>
      <c r="AI8" s="19" t="str">
        <f>IFERROR(RANK(AH8,AH:AH)&amp;"/"&amp;COUNT(AH:AH),"-")</f>
        <v>113/197</v>
      </c>
      <c r="AJ8" s="26">
        <f>IFERROR(RANK(AH8,AH:AH)/COUNT(AH:AH),"-")</f>
        <v>0.57360406091370564</v>
      </c>
      <c r="AK8" s="34" t="str">
        <f>IF(OR($C8&gt;20190630,$K8&gt;30,AH8="-",$D8="是",$E8="封闭期",$H8&lt;10,$BN8&lt;-6,$BR8&lt;70),"-",COUNTIFS(AH$4:AH$200,"&lt;&gt;-",$D$4:$D$200,"&lt;&gt;是",$E$4:$E$200,"&lt;&gt;封闭期",$H$4:$H$200,"&gt;10",$BN$4:$BN$200,"&gt;-6",$BR$4:$BR$200,"&gt;=70",$K$4:$K$200,"&lt;=30",$C$4:$C$200,"&lt;20190630",AH$4:AH$200,"&gt;="&amp;AH8)&amp;"/"&amp;COUNTIFS(AH$4:AH$200,"&lt;&gt;-",$D$4:$D$200,"&lt;&gt;是",$E$4:$E$200,"&lt;&gt;封闭期",$H$4:$H$200,"&gt;10",$BN$4:$BN$200,"&gt;-6",$BR$4:$BR$200,"&gt;=70",$C$4:$C$200,"&lt;20190630",$K$4:$K$200,"&lt;=30"))</f>
        <v>32/39</v>
      </c>
      <c r="AL8" s="33">
        <f>IF(OR($C8&gt;20190630,$K8&gt;30,AH8="-",$D8="是",$E8="封闭期",$H8&lt;10,$BN8&lt;-6,$BR8&lt;70),"-",COUNTIFS(AH$4:AH$200,"&lt;&gt;-",$D$4:$D$200,"&lt;&gt;是",$E$4:$E$200,"&lt;&gt;封闭期",$H$4:$H$200,"&gt;10",$BN$4:$BN$200,"&gt;-6",$BR$4:$BR$200,"&gt;=70",$K$4:$K$200,"&lt;=30",$C$4:$C$200,"&lt;20190630",AH$4:AH$200,"&gt;="&amp;AH8)/COUNTIFS(AH$4:AH$200,"&lt;&gt;-",$D$4:$D$200,"&lt;&gt;是",$E$4:$E$200,"&lt;&gt;封闭期",$H$4:$H$200,"&gt;10",$BN$4:$BN$200,"&gt;-6",$BR$4:$BR$200,"&gt;=70",$C$4:$C$200,"&lt;20190630",$K$4:$K$200,"&lt;=30"))</f>
        <v>0.82051282051282048</v>
      </c>
      <c r="AM8" s="19">
        <f>[1]!f_return($A8,"1",AM$2,$L$2)</f>
        <v>19.4342157718729</v>
      </c>
      <c r="AN8" s="19">
        <f>[1]!f_risk_stdevyearly($A8,AM$2,$L$2,1,1)</f>
        <v>8.0474090246614782</v>
      </c>
      <c r="AO8" s="12">
        <f>IFERROR(AM8/AN8,"-")</f>
        <v>2.4149655761644873</v>
      </c>
      <c r="AP8" s="12" t="str">
        <f>IFERROR(RANK(AO8,AO:AO)&amp;"/"&amp;COUNT(AO:AO),"-")</f>
        <v>23/197</v>
      </c>
      <c r="AQ8" s="26">
        <f>IF(AP8="-","-",RANK(AO8,AO:AO)/COUNT(AO:AO))</f>
        <v>0.116751269035533</v>
      </c>
      <c r="AR8" s="60">
        <v>2.5380710659898477E-2</v>
      </c>
      <c r="AS8" s="35">
        <f>IF(OR($C8&gt;20190630,$K8&gt;30,AO8="-",$D8="是",$E8="封闭期",$H8&lt;10,$BN8&lt;-6,$BR8&lt;70),"-",COUNTIFS(AO$4:AO$200,"&lt;&gt;-",$D$4:$D$200,"&lt;&gt;是",$E$4:$E$200,"&lt;&gt;封闭期",$H$4:$H$200,"&gt;10",$BN$4:$BN$200,"&gt;-6",$BR$4:$BR$200,"&gt;=70",$K$4:$K$200,"&lt;=30",$C$4:$C$200,"&lt;20190630",AO$4:AO$200,"&gt;="&amp;AO8)/COUNTIFS(AO$4:AO$200,"&lt;&gt;-",$D$4:$D$200,"&lt;&gt;是",$E$4:$E$200,"&lt;&gt;封闭期",$H$4:$H$200,"&gt;10",$BN$4:$BN$200,"&gt;-6",$BR$4:$BR$200,"&gt;=70",$C$4:$C$200,"&lt;20190630",$K$4:$K$200,"&lt;=30"))</f>
        <v>0.20512820512820512</v>
      </c>
      <c r="AT8" s="12">
        <f>IFERROR((AM8-3)/AN8,"-")</f>
        <v>2.0421747821578164</v>
      </c>
      <c r="AU8" s="12" t="str">
        <f>IFERROR(RANK(AT8,AT:AT)&amp;"/"&amp;COUNT(AT:AT),"-")</f>
        <v>8/197</v>
      </c>
      <c r="AV8" s="26">
        <f>IFERROR(RANK(AT8,AT:AT)/COUNT(AT:AT),"-")</f>
        <v>4.060913705583756E-2</v>
      </c>
      <c r="AW8" s="13" t="str">
        <f>IF(OR($C8&gt;20190630,$K8&gt;30,AT8="-",$D8="是",$E8="封闭期",$H8&lt;10,$BN8&lt;-6,$BR8&lt;70),"-",COUNTIFS(AT$4:AT$200,"&lt;&gt;-",$D$4:$D$200,"&lt;&gt;是",$E$4:$E$200,"&lt;&gt;封闭期",$H$4:$H$200,"&gt;10",$BN$4:$BN$200,"&gt;-6",$BR$4:$BR$200,"&gt;=70",$K$4:$K$200,"&lt;=30",$C$4:$C$200,"&lt;20190630",AT$4:AT$200,"&gt;="&amp;AT8)&amp;"/"&amp;COUNTIFS(AT$4:AT$200,"&lt;&gt;-",$D$4:$D$200,"&lt;&gt;是",$E$4:$E$200,"&lt;&gt;封闭期",$H$4:$H$200,"&gt;10",$BN$4:$BN$200,"&gt;-6",$BR$4:$BR$200,"&gt;=70",$C$4:$C$200,"&lt;20190630",$K$4:$K$200,"&lt;=30"))</f>
        <v>5/39</v>
      </c>
      <c r="AX8" s="33">
        <f>IF(OR($C8&gt;20190630,$K8&gt;30,AT8="-",$D8="是",$E8="封闭期",$H8&lt;10,$BN8&lt;-6,$BR8&lt;70),"-",COUNTIFS(AT$4:AT$200,"&lt;&gt;-",$D$4:$D$200,"&lt;&gt;是",$E$4:$E$200,"&lt;&gt;封闭期",$H$4:$H$200,"&gt;10",$BN$4:$BN$200,"&gt;-6",$BR$4:$BR$200,"&gt;=70",$K$4:$K$200,"&lt;=30",$C$4:$C$200,"&lt;20190630",AT$4:AT$200,"&gt;="&amp;AT8)/COUNTIFS(AT$4:AT$200,"&lt;&gt;-",$D$4:$D$200,"&lt;&gt;是",$E$4:$E$200,"&lt;&gt;封闭期",$H$4:$H$200,"&gt;10",$BN$4:$BN$200,"&gt;-6",$BR$4:$BR$200,"&gt;=70",$C$4:$C$200,"&lt;20190630",$K$4:$K$200,"&lt;=30"))</f>
        <v>0.12820512820512819</v>
      </c>
      <c r="AY8" s="19">
        <f>[1]!f_risk_calmar(A8,$AM$2,$L$2)</f>
        <v>4.5488211291040086</v>
      </c>
      <c r="AZ8" s="12" t="str">
        <f>IFERROR(RANK(AY8,AY:AY)&amp;"/"&amp;COUNT(AY:AY),"-")</f>
        <v>15/197</v>
      </c>
      <c r="BA8" s="26">
        <f>IFERROR(RANK(AY8,AY:AY)/COUNT(AY:AY),"-")</f>
        <v>7.6142131979695438E-2</v>
      </c>
      <c r="BB8" s="13" t="str">
        <f>IF(OR($C8&gt;20190630,$K8&gt;30,AY8="-",$D8="是",$E8="封闭期",$H8&lt;10,$BN8&lt;-6,$BR8&lt;70),"-",COUNTIFS(AY$4:AY$200,"&lt;&gt;-",$D$4:$D$200,"&lt;&gt;是",$E$4:$E$200,"&lt;&gt;封闭期",$H$4:$H$200,"&gt;10",$BN$4:$BN$200,"&gt;-6",$BR$4:$BR$200,"&gt;=70",$K$4:$K$200,"&lt;=30",$C$4:$C$200,"&lt;20190630",AY$4:AY$200,"&gt;="&amp;AY8)&amp;"/"&amp;COUNTIFS(AY$4:AY$200,"&lt;&gt;-",$D$4:$D$200,"&lt;&gt;是",$E$4:$E$200,"&lt;&gt;封闭期",$H$4:$H$200,"&gt;10",$BN$4:$BN$200,"&gt;-6",$BR$4:$BR$200,"&gt;=70",$C$4:$C$200,"&lt;20190630",$K$4:$K$200,"&lt;=30"))</f>
        <v>4/39</v>
      </c>
      <c r="BC8" s="33">
        <f>IF(OR($C8&gt;20190630,$K8&gt;30,AY8="-",$D8="是",$E8="封闭期",$H8&lt;10,$BN8&lt;-6,$BR8&lt;70),"-",COUNTIFS(AY$4:AY$200,"&lt;&gt;-",$D$4:$D$200,"&lt;&gt;是",$E$4:$E$200,"&lt;&gt;封闭期",$H$4:$H$200,"&gt;10",$BN$4:$BN$200,"&gt;-6",$BR$4:$BR$200,"&gt;=70",$K$4:$K$200,"&lt;=30",$C$4:$C$200,"&lt;20190630",AY$4:AY$200,"&gt;="&amp;AY8)/COUNTIFS(AY$4:AY$200,"&lt;&gt;-",$D$4:$D$200,"&lt;&gt;是",$E$4:$E$200,"&lt;&gt;封闭期",$H$4:$H$200,"&gt;10",$BN$4:$BN$200,"&gt;-6",$BR$4:$BR$200,"&gt;=70",$C$4:$C$200,"&lt;20190630",$K$4:$K$200,"&lt;=30"))</f>
        <v>0.10256410256410256</v>
      </c>
      <c r="BD8" s="20">
        <v>1</v>
      </c>
      <c r="BE8" s="12" t="str">
        <f>IFERROR(RANK(BD8,BD:BD)&amp;"/"&amp;COUNT(BD:BD),"-")</f>
        <v>1/197</v>
      </c>
      <c r="BF8" s="26">
        <f>IFERROR(RANK(BD8,BD:BD)/COUNT(BD:BD),"-")</f>
        <v>5.076142131979695E-3</v>
      </c>
      <c r="BG8" s="13" t="str">
        <f>IF(OR($C8&gt;20190630,$K8&gt;30,BD8="-",$D8="是",$E8="封闭期",$H8&lt;10,$BN8&lt;-6,$BR8&lt;70),"-",COUNTIFS(BD$4:BD$200,"&lt;&gt;-",$D$4:$D$200,"&lt;&gt;是",$E$4:$E$200,"&lt;&gt;封闭期",$H$4:$H$200,"&gt;10",$BN$4:$BN$200,"&gt;-6",$BR$4:$BR$200,"&gt;=70",$K$4:$K$200,"&lt;=30",$C$4:$C$200,"&lt;20190630",BD$4:BD$200,"&gt;="&amp;BD8)&amp;"/"&amp;COUNTIFS(BD$4:BD$200,"&lt;&gt;-",$D$4:$D$200,"&lt;&gt;是",$E$4:$E$200,"&lt;&gt;封闭期",$H$4:$H$200,"&gt;10",$BN$4:$BN$200,"&gt;-6",$BR$4:$BR$200,"&gt;=70",$C$4:$C$200,"&lt;20190630",$K$4:$K$200,"&lt;=30"))</f>
        <v>35/39</v>
      </c>
      <c r="BH8" s="33">
        <f>IF(OR($C8&gt;20190630,$K8&gt;30,BD8="-",$D8="是",$E8="封闭期",$H8&lt;10,$BN8&lt;-6,$BR8&lt;70),"-",COUNTIFS(BD$4:BD$200,"&lt;&gt;-",$D$4:$D$200,"&lt;&gt;是",$E$4:$E$200,"&lt;&gt;封闭期",$H$4:$H$200,"&gt;10",$BN$4:$BN$200,"&gt;-6",$BR$4:$BR$200,"&gt;=70",$K$4:$K$200,"&lt;=30",$C$4:$C$200,"&lt;20190630",BD$4:BD$200,"&gt;="&amp;BD8)/COUNTIFS(BD$4:BD$200,"&lt;&gt;-",$D$4:$D$200,"&lt;&gt;是",$E$4:$E$200,"&lt;&gt;封闭期",$H$4:$H$200,"&gt;10",$BN$4:$BN$200,"&gt;-6",$BR$4:$BR$200,"&gt;=70",$C$4:$C$200,"&lt;20190630",$K$4:$K$200,"&lt;=30"))</f>
        <v>0.89743589743589747</v>
      </c>
      <c r="BI8" s="21">
        <f>[1]!f_risk_maxdownside(A8,$AM$2,$L$2)</f>
        <v>-4.2723631508678164</v>
      </c>
      <c r="BJ8" s="19" t="str">
        <f>IFERROR(RANK(BI8,BI:BI)&amp;"/"&amp;COUNT(BI:BI),"-")</f>
        <v>140/197</v>
      </c>
      <c r="BK8" s="26">
        <f>IFERROR(RANK(BI8,BI:BI)/COUNT(BI:BI),"-")</f>
        <v>0.71065989847715738</v>
      </c>
      <c r="BL8" s="34" t="str">
        <f>IF(OR($C8&gt;20190630,$K8&gt;30,BI8="-",$D8="是",$E8="封闭期",$H8&lt;10,$BN8&lt;-6,$BR8&lt;70),"-",COUNTIFS(BI$4:BI$200,"&lt;&gt;-",$D$4:$D$200,"&lt;&gt;是",$E$4:$E$200,"&lt;&gt;封闭期",$H$4:$H$200,"&gt;10",$BN$4:$BN$200,"&gt;-6",$BR$4:$BR$200,"&gt;=70",$K$4:$K$200,"&lt;=30",$C$4:$C$200,"&lt;20190630",BI$4:BI$200,"&gt;="&amp;BI8)&amp;"/"&amp;COUNTIFS(BI$4:BI$200,"&lt;&gt;-",$D$4:$D$200,"&lt;&gt;是",$E$4:$E$200,"&lt;&gt;封闭期",$H$4:$H$200,"&gt;10",$BN$4:$BN$200,"&gt;-6",$BR$4:$BR$200,"&gt;=70",$C$4:$C$200,"&lt;20190630",$K$4:$K$200,"&lt;=30"))</f>
        <v>33/39</v>
      </c>
      <c r="BM8" s="33">
        <f>IF(OR($C8&gt;20190630,$K8&gt;30,BI8="-",$D8="是",$E8="封闭期",$H8&lt;10,$BN8&lt;-6,$BR8&lt;70),"-",COUNTIFS(BI$4:BI$200,"&lt;&gt;-",$D$4:$D$200,"&lt;&gt;是",$E$4:$E$200,"&lt;&gt;封闭期",$H$4:$H$200,"&gt;10",$BN$4:$BN$200,"&gt;-6",$BR$4:$BR$200,"&gt;=70",$K$4:$K$200,"&lt;=30",$C$4:$C$200,"&lt;20190630",BI$4:BI$200,"&gt;="&amp;BI8)/COUNTIFS(BI$4:BI$200,"&lt;&gt;-",$D$4:$D$200,"&lt;&gt;是",$E$4:$E$200,"&lt;&gt;封闭期",$H$4:$H$200,"&gt;10",$BN$4:$BN$200,"&gt;-6",$BR$4:$BR$200,"&gt;=70",$C$4:$C$200,"&lt;20190630",$K$4:$K$200,"&lt;=30"))</f>
        <v>0.84615384615384615</v>
      </c>
      <c r="BN8" s="21">
        <f>[1]!f_risk_maxdownside(A8,$AM$2,$E$1)</f>
        <v>-4.2723631508678164</v>
      </c>
      <c r="BO8" s="14">
        <f>IF(C8&lt;20190930,[1]!f_return_2y(A8,"0","20210930"),"-")</f>
        <v>29.591639003584667</v>
      </c>
      <c r="BP8" s="12" t="str">
        <f>IFERROR(RANK(BO8,BO:BO)&amp;"/"&amp;COUNT(BO:BO),"-")</f>
        <v>13/197</v>
      </c>
      <c r="BQ8" s="25">
        <f>IFERROR(RANK(BO8,BO:BO)/COUNT(BO:BO),"-")</f>
        <v>6.5989847715736044E-2</v>
      </c>
      <c r="BR8" s="12">
        <f>IF(C8&lt;20190930,[1]!f_absolute_profitmonthper(A8,"20190930","20210930"),"-")</f>
        <v>70.833333333333343</v>
      </c>
      <c r="BS8" s="12" t="str">
        <f>IFERROR(RANK(BR8,BR:BR)&amp;"/"&amp;COUNT(BR:BR),"-")</f>
        <v>55/198</v>
      </c>
      <c r="BT8" s="25">
        <f>IFERROR(RANK(BR8,BR:BR)/COUNT(BR:BR),"-")</f>
        <v>0.27777777777777779</v>
      </c>
      <c r="BV8" s="12">
        <f>X8-3/M8</f>
        <v>1.8372269927813538</v>
      </c>
      <c r="BW8" s="76">
        <f>IFERROR(RANK(BV8,BV:BV)/COUNT(BV:BV),"-")</f>
        <v>0.3604060913705584</v>
      </c>
      <c r="BX8" s="76">
        <f>IFERROR(RANK(L8,L:L)/COUNT(L:L),"-")</f>
        <v>0.25757575757575757</v>
      </c>
      <c r="BY8" s="12">
        <f>AY8-3/AN8</f>
        <v>4.1760303350973382</v>
      </c>
      <c r="BZ8" s="76">
        <f>IFERROR(RANK(BY8,BY:BY)/COUNT(BY:BY),"-")</f>
        <v>6.0913705583756347E-2</v>
      </c>
      <c r="CA8" s="76">
        <f>IFERROR(RANK(AM8,AM:AM)/COUNT(AM:AM),"-")</f>
        <v>3.0303030303030304E-2</v>
      </c>
      <c r="CB8" s="2"/>
      <c r="CC8" s="77">
        <f>AV8+BF8+BZ8+CA8</f>
        <v>0.13690201507460392</v>
      </c>
      <c r="CD8" s="77">
        <f>BW8+BX8+AE8+U8</f>
        <v>1.0240732195046918</v>
      </c>
      <c r="CE8" s="77">
        <f>CC8+CD8</f>
        <v>1.1609752345792956</v>
      </c>
    </row>
    <row r="9" spans="1:83" s="17" customFormat="1" x14ac:dyDescent="0.35">
      <c r="A9" s="15" t="s">
        <v>129</v>
      </c>
      <c r="B9" s="15" t="s">
        <v>130</v>
      </c>
      <c r="C9" s="16">
        <v>20121129</v>
      </c>
      <c r="D9" s="16" t="str">
        <f>[1]!f_info_regulopenfundornot(A9)</f>
        <v>否</v>
      </c>
      <c r="E9" s="16" t="str">
        <f>[1]!f_dq_status(A9,$E$1)</f>
        <v>开放申购|开放赎回</v>
      </c>
      <c r="F9" s="17" t="str">
        <f>[1]!f_info_fundmanager(A9)</f>
        <v>裴禹翔,夏荣尧,曲泉儒</v>
      </c>
      <c r="G9" s="16">
        <v>20170830</v>
      </c>
      <c r="H9" s="18">
        <f>[1]!f_netasset_total(A9,$E$1,100000000)</f>
        <v>16.744384396800001</v>
      </c>
      <c r="I9" s="18">
        <f>[1]!f_prt_convertiblebondtonav(A9,$E$1)</f>
        <v>16.540004730224609</v>
      </c>
      <c r="J9" s="18">
        <f>[1]!f_prt_stocktonav(A9,$E$1)+0.5*I9</f>
        <v>18.586475372314453</v>
      </c>
      <c r="K9" s="19">
        <v>6.0620323563163359</v>
      </c>
      <c r="L9" s="19">
        <f>[1]!f_return($A9,"1",L$2,$E$1)</f>
        <v>10.776336050760937</v>
      </c>
      <c r="M9" s="19">
        <f>[1]!f_risk_stdevyearly($A9,L$2,$E$1,1,1)</f>
        <v>8.170295560948416</v>
      </c>
      <c r="N9" s="19">
        <f>IFERROR(L9/M9,"-")</f>
        <v>1.3189652651329555</v>
      </c>
      <c r="O9" s="19" t="str">
        <f>IFERROR(RANK(N9,N:N)&amp;"/"&amp;COUNT(N:N),"-")</f>
        <v>110/197</v>
      </c>
      <c r="P9" s="26">
        <f>IF(O9="-","-",RANK(N9,N:N)/COUNT(N:N))</f>
        <v>0.55837563451776651</v>
      </c>
      <c r="Q9" s="56">
        <v>0.12690355329949238</v>
      </c>
      <c r="R9" s="33" t="str">
        <f>IF(OR($C9&gt;20190630,$K9&gt;30,N9="-",$D9="是",$E9="封闭期",$H9&lt;10,$BN9&lt;-6,$BR9&lt;70),"-",COUNTIFS(N$4:N$200,"&lt;&gt;-",$D$4:$D$200,"&lt;&gt;是",$E$4:$E$200,"&lt;&gt;封闭期",$H$4:$H$200,"&gt;10",$BN$4:$BN$200,"&gt;-6",$BR$4:$BR$200,"&gt;=70",$K$4:$K$200,"&lt;=30",$C$4:$C$200,"&lt;20190630",N$4:N$200,"&gt;="&amp;N9)/COUNTIFS(N$4:N$200,"&lt;&gt;-",$D$4:$D$200,"&lt;&gt;是",$E$4:$E$200,"&lt;&gt;封闭期",$H$4:$H$200,"&gt;10",$BN$4:$BN$200,"&gt;-6",$BR$4:$BR$200,"&gt;=70",$C$4:$C$200,"&lt;20190630",$K$4:$K$200,"&lt;=30"))</f>
        <v>-</v>
      </c>
      <c r="S9" s="19">
        <f>IFERROR((L9-3)/M9,"-")</f>
        <v>0.9517814860859517</v>
      </c>
      <c r="T9" s="19" t="str">
        <f>IFERROR(RANK(S9,S:S)&amp;"/"&amp;COUNT(S:S),"-")</f>
        <v>78/197</v>
      </c>
      <c r="U9" s="26">
        <f>IFERROR(RANK(S9,S:S)/COUNT(S:S),"-")</f>
        <v>0.39593908629441626</v>
      </c>
      <c r="V9" s="34" t="str">
        <f>IF(OR($C9&gt;20190630,$K9&gt;30,S9="-",$D9="是",$E9="封闭期",$H9&lt;10,$BN9&lt;-6,$BR9&lt;70),"-",COUNTIFS(S$4:S$200,"&lt;&gt;-",$D$4:$D$200,"&lt;&gt;是",$E$4:$E$200,"&lt;&gt;封闭期",$H$4:$H$200,"&gt;10",$BN$4:$BN$200,"&gt;-6",$BR$4:$BR$200,"&gt;=70",$K$4:$K$200,"&lt;=30",$C$4:$C$200,"&lt;20190630",S$4:S$200,"&gt;="&amp;S9)&amp;"/"&amp;COUNTIFS(S$4:S$200,"&lt;&gt;-",$D$4:$D$200,"&lt;&gt;是",$E$4:$E$200,"&lt;&gt;封闭期",$H$4:$H$200,"&gt;10",$BN$4:$BN$200,"&gt;-6",$BR$4:$BR$200,"&gt;=70",$C$4:$C$200,"&lt;20190630",$K$4:$K$200,"&lt;=30"))</f>
        <v>-</v>
      </c>
      <c r="W9" s="33" t="str">
        <f>IF(OR($C9&gt;20190630,$K9&gt;30,S9="-",$D9="是",$E9="封闭期",$H9&lt;10,$BN9&lt;-6,$BR9&lt;70),"-",COUNTIFS(S$4:S$200,"&lt;&gt;-",$D$4:$D$200,"&lt;&gt;是",$E$4:$E$200,"&lt;&gt;封闭期",$H$4:$H$200,"&gt;10",$BN$4:$BN$200,"&gt;-6",$BR$4:$BR$200,"&gt;=70",$K$4:$K$200,"&lt;=30",$C$4:$C$200,"&lt;20190630",S$4:S$200,"&gt;="&amp;S9)/COUNTIFS(S$4:S$200,"&lt;&gt;-",$D$4:$D$200,"&lt;&gt;是",$E$4:$E$200,"&lt;&gt;封闭期",$H$4:$H$200,"&gt;10",$BN$4:$BN$200,"&gt;-6",$BR$4:$BR$200,"&gt;=70",$C$4:$C$200,"&lt;20190630",$K$4:$K$200,"&lt;=30"))</f>
        <v>-</v>
      </c>
      <c r="X9" s="19">
        <f>[1]!f_risk_calmar(A9,$L$2,$E$1)</f>
        <v>1.7303521873911716</v>
      </c>
      <c r="Y9" s="19" t="str">
        <f>IFERROR(RANK(X9,X:X)&amp;"/"&amp;COUNT(X:X),"-")</f>
        <v>115/197</v>
      </c>
      <c r="Z9" s="26">
        <f>IFERROR(RANK(X9,X:X)/COUNT(X:X),"-")</f>
        <v>0.58375634517766495</v>
      </c>
      <c r="AA9" s="34" t="str">
        <f>IF(OR($C9&gt;20190630,$K9&gt;30,X9="-",$D9="是",$E9="封闭期",$H9&lt;10,$BN9&lt;-6,$BR9&lt;70),"-",COUNTIFS(X$4:X$200,"&lt;&gt;-",$D$4:$D$200,"&lt;&gt;是",$E$4:$E$200,"&lt;&gt;封闭期",$H$4:$H$200,"&gt;10",$BN$4:$BN$200,"&gt;-6",$BR$4:$BR$200,"&gt;=70",$K$4:$K$200,"&lt;=30",$C$4:$C$200,"&lt;20190630",X$4:X$200,"&gt;="&amp;X9)&amp;"/"&amp;COUNTIFS(X$4:X$200,"&lt;&gt;-",$D$4:$D$200,"&lt;&gt;是",$E$4:$E$200,"&lt;&gt;封闭期",$H$4:$H$200,"&gt;10",$BN$4:$BN$200,"&gt;-6",$BR$4:$BR$200,"&gt;=70",$C$4:$C$200,"&lt;20190630",$K$4:$K$200,"&lt;=30"))</f>
        <v>-</v>
      </c>
      <c r="AB9" s="33" t="str">
        <f>IF(OR($C9&gt;20190630,$K9&gt;30,X9="-",$D9="是",$E9="封闭期",$H9&lt;10,$BN9&lt;-6,$BR9&lt;70),"-",COUNTIFS(X$4:X$200,"&lt;&gt;-",$D$4:$D$200,"&lt;&gt;是",$E$4:$E$200,"&lt;&gt;封闭期",$H$4:$H$200,"&gt;10",$BN$4:$BN$200,"&gt;-6",$BR$4:$BR$200,"&gt;=70",$K$4:$K$200,"&lt;=30",$C$4:$C$200,"&lt;20190630",X$4:X$200,"&gt;="&amp;X9)/COUNTIFS(X$4:X$200,"&lt;&gt;-",$D$4:$D$200,"&lt;&gt;是",$E$4:$E$200,"&lt;&gt;封闭期",$H$4:$H$200,"&gt;10",$BN$4:$BN$200,"&gt;-6",$BR$4:$BR$200,"&gt;=70",$C$4:$C$200,"&lt;20190630",$K$4:$K$200,"&lt;=30"))</f>
        <v>-</v>
      </c>
      <c r="AC9" s="20">
        <v>0.96638655462184875</v>
      </c>
      <c r="AD9" s="19" t="str">
        <f>IFERROR(RANK(AC9,AC:AC)&amp;"/"&amp;COUNT(AC:AC),"-")</f>
        <v>101/197</v>
      </c>
      <c r="AE9" s="26">
        <f>IFERROR(RANK(AC9,AC:AC)/COUNT(AC:AC),"-")</f>
        <v>0.51269035532994922</v>
      </c>
      <c r="AF9" s="34" t="str">
        <f>IF(OR($C9&gt;20190630,$K9&gt;30,AC9="-",$D9="是",$E9="封闭期",$H9&lt;10,$BN9&lt;-6,$BR9&lt;70),"-",COUNTIFS(AC$4:AC$200,"&lt;&gt;-",$D$4:$D$200,"&lt;&gt;是",$E$4:$E$200,"&lt;&gt;封闭期",$H$4:$H$200,"&gt;10",$BN$4:$BN$200,"&gt;-6",$BR$4:$BR$200,"&gt;=70",$K$4:$K$200,"&lt;=30",$C$4:$C$200,"&lt;20190630",AC$4:AC$200,"&gt;="&amp;AC9)&amp;"/"&amp;COUNTIFS(AC$4:AC$200,"&lt;&gt;-",$D$4:$D$200,"&lt;&gt;是",$E$4:$E$200,"&lt;&gt;封闭期",$H$4:$H$200,"&gt;10",$BN$4:$BN$200,"&gt;-6",$BR$4:$BR$200,"&gt;=70",$C$4:$C$200,"&lt;20190630",$K$4:$K$200,"&lt;=30"))</f>
        <v>-</v>
      </c>
      <c r="AG9" s="33" t="str">
        <f>IF(OR($C9&gt;20190630,$K9&gt;30,AC9="-",$D9="是",$E9="封闭期",$H9&lt;10,$BN9&lt;-6,$BR9&lt;70),"-",COUNTIFS(AC$4:AC$200,"&lt;&gt;-",$D$4:$D$200,"&lt;&gt;是",$E$4:$E$200,"&lt;&gt;封闭期",$H$4:$H$200,"&gt;10",$BN$4:$BN$200,"&gt;-6",$BR$4:$BR$200,"&gt;=70",$K$4:$K$200,"&lt;=30",$C$4:$C$200,"&lt;20190630",AC$4:AC$200,"&gt;="&amp;AC9)/COUNTIFS(AC$4:AC$200,"&lt;&gt;-",$D$4:$D$200,"&lt;&gt;是",$E$4:$E$200,"&lt;&gt;封闭期",$H$4:$H$200,"&gt;10",$BN$4:$BN$200,"&gt;-6",$BR$4:$BR$200,"&gt;=70",$C$4:$C$200,"&lt;20190630",$K$4:$K$200,"&lt;=30"))</f>
        <v>-</v>
      </c>
      <c r="AH9" s="21">
        <f>[1]!f_risk_maxdownside(A9,$L$2,$E$1)</f>
        <v>-6.2278281434765441</v>
      </c>
      <c r="AI9" s="19" t="str">
        <f>IFERROR(RANK(AH9,AH:AH)&amp;"/"&amp;COUNT(AH:AH),"-")</f>
        <v>181/197</v>
      </c>
      <c r="AJ9" s="26">
        <f>IFERROR(RANK(AH9,AH:AH)/COUNT(AH:AH),"-")</f>
        <v>0.91878172588832485</v>
      </c>
      <c r="AK9" s="34" t="str">
        <f>IF(OR($C9&gt;20190630,$K9&gt;30,AH9="-",$D9="是",$E9="封闭期",$H9&lt;10,$BN9&lt;-6,$BR9&lt;70),"-",COUNTIFS(AH$4:AH$200,"&lt;&gt;-",$D$4:$D$200,"&lt;&gt;是",$E$4:$E$200,"&lt;&gt;封闭期",$H$4:$H$200,"&gt;10",$BN$4:$BN$200,"&gt;-6",$BR$4:$BR$200,"&gt;=70",$K$4:$K$200,"&lt;=30",$C$4:$C$200,"&lt;20190630",AH$4:AH$200,"&gt;="&amp;AH9)&amp;"/"&amp;COUNTIFS(AH$4:AH$200,"&lt;&gt;-",$D$4:$D$200,"&lt;&gt;是",$E$4:$E$200,"&lt;&gt;封闭期",$H$4:$H$200,"&gt;10",$BN$4:$BN$200,"&gt;-6",$BR$4:$BR$200,"&gt;=70",$C$4:$C$200,"&lt;20190630",$K$4:$K$200,"&lt;=30"))</f>
        <v>-</v>
      </c>
      <c r="AL9" s="33" t="str">
        <f>IF(OR($C9&gt;20190630,$K9&gt;30,AH9="-",$D9="是",$E9="封闭期",$H9&lt;10,$BN9&lt;-6,$BR9&lt;70),"-",COUNTIFS(AH$4:AH$200,"&lt;&gt;-",$D$4:$D$200,"&lt;&gt;是",$E$4:$E$200,"&lt;&gt;封闭期",$H$4:$H$200,"&gt;10",$BN$4:$BN$200,"&gt;-6",$BR$4:$BR$200,"&gt;=70",$K$4:$K$200,"&lt;=30",$C$4:$C$200,"&lt;20190630",AH$4:AH$200,"&gt;="&amp;AH9)/COUNTIFS(AH$4:AH$200,"&lt;&gt;-",$D$4:$D$200,"&lt;&gt;是",$E$4:$E$200,"&lt;&gt;封闭期",$H$4:$H$200,"&gt;10",$BN$4:$BN$200,"&gt;-6",$BR$4:$BR$200,"&gt;=70",$C$4:$C$200,"&lt;20190630",$K$4:$K$200,"&lt;=30"))</f>
        <v>-</v>
      </c>
      <c r="AM9" s="19">
        <f>[1]!f_return($A9,"1",AM$2,$L$2)</f>
        <v>18.899143990754872</v>
      </c>
      <c r="AN9" s="19">
        <f>[1]!f_risk_stdevyearly($A9,AM$2,$L$2,1,1)</f>
        <v>11.550311237477203</v>
      </c>
      <c r="AO9" s="19">
        <f>IFERROR(AM9/AN9,"-")</f>
        <v>1.6362454311562593</v>
      </c>
      <c r="AP9" s="19" t="str">
        <f>IFERROR(RANK(AO9,AO:AO)&amp;"/"&amp;COUNT(AO:AO),"-")</f>
        <v>94/197</v>
      </c>
      <c r="AQ9" s="26">
        <f>IF(AP9="-","-",RANK(AO9,AO:AO)/COUNT(AO:AO))</f>
        <v>0.47715736040609136</v>
      </c>
      <c r="AR9" s="57">
        <v>3.0456852791878174E-2</v>
      </c>
      <c r="AS9" s="33" t="str">
        <f>IF(OR($C9&gt;20190630,$K9&gt;30,AO9="-",$D9="是",$E9="封闭期",$H9&lt;10,$BN9&lt;-6,$BR9&lt;70),"-",COUNTIFS(AO$4:AO$200,"&lt;&gt;-",$D$4:$D$200,"&lt;&gt;是",$E$4:$E$200,"&lt;&gt;封闭期",$H$4:$H$200,"&gt;10",$BN$4:$BN$200,"&gt;-6",$BR$4:$BR$200,"&gt;=70",$K$4:$K$200,"&lt;=30",$C$4:$C$200,"&lt;20190630",AO$4:AO$200,"&gt;="&amp;AO9)/COUNTIFS(AO$4:AO$200,"&lt;&gt;-",$D$4:$D$200,"&lt;&gt;是",$E$4:$E$200,"&lt;&gt;封闭期",$H$4:$H$200,"&gt;10",$BN$4:$BN$200,"&gt;-6",$BR$4:$BR$200,"&gt;=70",$C$4:$C$200,"&lt;20190630",$K$4:$K$200,"&lt;=30"))</f>
        <v>-</v>
      </c>
      <c r="AT9" s="19">
        <f>IFERROR((AM9-3)/AN9,"-")</f>
        <v>1.3765121704397927</v>
      </c>
      <c r="AU9" s="19" t="str">
        <f>IFERROR(RANK(AT9,AT:AT)&amp;"/"&amp;COUNT(AT:AT),"-")</f>
        <v>37/197</v>
      </c>
      <c r="AV9" s="26">
        <f>IFERROR(RANK(AT9,AT:AT)/COUNT(AT:AT),"-")</f>
        <v>0.18781725888324874</v>
      </c>
      <c r="AW9" s="34" t="str">
        <f>IF(OR($C9&gt;20190630,$K9&gt;30,AT9="-",$D9="是",$E9="封闭期",$H9&lt;10,$BN9&lt;-6,$BR9&lt;70),"-",COUNTIFS(AT$4:AT$200,"&lt;&gt;-",$D$4:$D$200,"&lt;&gt;是",$E$4:$E$200,"&lt;&gt;封闭期",$H$4:$H$200,"&gt;10",$BN$4:$BN$200,"&gt;-6",$BR$4:$BR$200,"&gt;=70",$K$4:$K$200,"&lt;=30",$C$4:$C$200,"&lt;20190630",AT$4:AT$200,"&gt;="&amp;AT9)&amp;"/"&amp;COUNTIFS(AT$4:AT$200,"&lt;&gt;-",$D$4:$D$200,"&lt;&gt;是",$E$4:$E$200,"&lt;&gt;封闭期",$H$4:$H$200,"&gt;10",$BN$4:$BN$200,"&gt;-6",$BR$4:$BR$200,"&gt;=70",$C$4:$C$200,"&lt;20190630",$K$4:$K$200,"&lt;=30"))</f>
        <v>-</v>
      </c>
      <c r="AX9" s="33" t="str">
        <f>IF(OR($C9&gt;20190630,$K9&gt;30,AT9="-",$D9="是",$E9="封闭期",$H9&lt;10,$BN9&lt;-6,$BR9&lt;70),"-",COUNTIFS(AT$4:AT$200,"&lt;&gt;-",$D$4:$D$200,"&lt;&gt;是",$E$4:$E$200,"&lt;&gt;封闭期",$H$4:$H$200,"&gt;10",$BN$4:$BN$200,"&gt;-6",$BR$4:$BR$200,"&gt;=70",$K$4:$K$200,"&lt;=30",$C$4:$C$200,"&lt;20190630",AT$4:AT$200,"&gt;="&amp;AT9)/COUNTIFS(AT$4:AT$200,"&lt;&gt;-",$D$4:$D$200,"&lt;&gt;是",$E$4:$E$200,"&lt;&gt;封闭期",$H$4:$H$200,"&gt;10",$BN$4:$BN$200,"&gt;-6",$BR$4:$BR$200,"&gt;=70",$C$4:$C$200,"&lt;20190630",$K$4:$K$200,"&lt;=30"))</f>
        <v>-</v>
      </c>
      <c r="AY9" s="19">
        <f>[1]!f_risk_calmar(A9,$AM$2,$L$2)</f>
        <v>2.4590862936807771</v>
      </c>
      <c r="AZ9" s="19" t="str">
        <f>IFERROR(RANK(AY9,AY:AY)&amp;"/"&amp;COUNT(AY:AY),"-")</f>
        <v>80/197</v>
      </c>
      <c r="BA9" s="26">
        <f>IFERROR(RANK(AY9,AY:AY)/COUNT(AY:AY),"-")</f>
        <v>0.40609137055837563</v>
      </c>
      <c r="BB9" s="34" t="str">
        <f>IF(OR($C9&gt;20190630,$K9&gt;30,AY9="-",$D9="是",$E9="封闭期",$H9&lt;10,$BN9&lt;-6,$BR9&lt;70),"-",COUNTIFS(AY$4:AY$200,"&lt;&gt;-",$D$4:$D$200,"&lt;&gt;是",$E$4:$E$200,"&lt;&gt;封闭期",$H$4:$H$200,"&gt;10",$BN$4:$BN$200,"&gt;-6",$BR$4:$BR$200,"&gt;=70",$K$4:$K$200,"&lt;=30",$C$4:$C$200,"&lt;20190630",AY$4:AY$200,"&gt;="&amp;AY9)&amp;"/"&amp;COUNTIFS(AY$4:AY$200,"&lt;&gt;-",$D$4:$D$200,"&lt;&gt;是",$E$4:$E$200,"&lt;&gt;封闭期",$H$4:$H$200,"&gt;10",$BN$4:$BN$200,"&gt;-6",$BR$4:$BR$200,"&gt;=70",$C$4:$C$200,"&lt;20190630",$K$4:$K$200,"&lt;=30"))</f>
        <v>-</v>
      </c>
      <c r="BC9" s="33" t="str">
        <f>IF(OR($C9&gt;20190630,$K9&gt;30,AY9="-",$D9="是",$E9="封闭期",$H9&lt;10,$BN9&lt;-6,$BR9&lt;70),"-",COUNTIFS(AY$4:AY$200,"&lt;&gt;-",$D$4:$D$200,"&lt;&gt;是",$E$4:$E$200,"&lt;&gt;封闭期",$H$4:$H$200,"&gt;10",$BN$4:$BN$200,"&gt;-6",$BR$4:$BR$200,"&gt;=70",$K$4:$K$200,"&lt;=30",$C$4:$C$200,"&lt;20190630",AY$4:AY$200,"&gt;="&amp;AY9)/COUNTIFS(AY$4:AY$200,"&lt;&gt;-",$D$4:$D$200,"&lt;&gt;是",$E$4:$E$200,"&lt;&gt;封闭期",$H$4:$H$200,"&gt;10",$BN$4:$BN$200,"&gt;-6",$BR$4:$BR$200,"&gt;=70",$C$4:$C$200,"&lt;20190630",$K$4:$K$200,"&lt;=30"))</f>
        <v>-</v>
      </c>
      <c r="BD9" s="20">
        <v>1</v>
      </c>
      <c r="BE9" s="19" t="str">
        <f>IFERROR(RANK(BD9,BD:BD)&amp;"/"&amp;COUNT(BD:BD),"-")</f>
        <v>1/197</v>
      </c>
      <c r="BF9" s="26">
        <f>IFERROR(RANK(BD9,BD:BD)/COUNT(BD:BD),"-")</f>
        <v>5.076142131979695E-3</v>
      </c>
      <c r="BG9" s="34" t="str">
        <f>IF(OR($C9&gt;20190630,$K9&gt;30,BD9="-",$D9="是",$E9="封闭期",$H9&lt;10,$BN9&lt;-6,$BR9&lt;70),"-",COUNTIFS(BD$4:BD$200,"&lt;&gt;-",$D$4:$D$200,"&lt;&gt;是",$E$4:$E$200,"&lt;&gt;封闭期",$H$4:$H$200,"&gt;10",$BN$4:$BN$200,"&gt;-6",$BR$4:$BR$200,"&gt;=70",$K$4:$K$200,"&lt;=30",$C$4:$C$200,"&lt;20190630",BD$4:BD$200,"&gt;="&amp;BD9)&amp;"/"&amp;COUNTIFS(BD$4:BD$200,"&lt;&gt;-",$D$4:$D$200,"&lt;&gt;是",$E$4:$E$200,"&lt;&gt;封闭期",$H$4:$H$200,"&gt;10",$BN$4:$BN$200,"&gt;-6",$BR$4:$BR$200,"&gt;=70",$C$4:$C$200,"&lt;20190630",$K$4:$K$200,"&lt;=30"))</f>
        <v>-</v>
      </c>
      <c r="BH9" s="33" t="str">
        <f>IF(OR($C9&gt;20190630,$K9&gt;30,BD9="-",$D9="是",$E9="封闭期",$H9&lt;10,$BN9&lt;-6,$BR9&lt;70),"-",COUNTIFS(BD$4:BD$200,"&lt;&gt;-",$D$4:$D$200,"&lt;&gt;是",$E$4:$E$200,"&lt;&gt;封闭期",$H$4:$H$200,"&gt;10",$BN$4:$BN$200,"&gt;-6",$BR$4:$BR$200,"&gt;=70",$K$4:$K$200,"&lt;=30",$C$4:$C$200,"&lt;20190630",BD$4:BD$200,"&gt;="&amp;BD9)/COUNTIFS(BD$4:BD$200,"&lt;&gt;-",$D$4:$D$200,"&lt;&gt;是",$E$4:$E$200,"&lt;&gt;封闭期",$H$4:$H$200,"&gt;10",$BN$4:$BN$200,"&gt;-6",$BR$4:$BR$200,"&gt;=70",$C$4:$C$200,"&lt;20190630",$K$4:$K$200,"&lt;=30"))</f>
        <v>-</v>
      </c>
      <c r="BI9" s="21">
        <f>[1]!f_risk_maxdownside(A9,$AM$2,$L$2)</f>
        <v>-7.6854334226988454</v>
      </c>
      <c r="BJ9" s="19" t="str">
        <f>IFERROR(RANK(BI9,BI:BI)&amp;"/"&amp;COUNT(BI:BI),"-")</f>
        <v>183/197</v>
      </c>
      <c r="BK9" s="26">
        <f>IFERROR(RANK(BI9,BI:BI)/COUNT(BI:BI),"-")</f>
        <v>0.92893401015228427</v>
      </c>
      <c r="BL9" s="34" t="str">
        <f>IF(OR($C9&gt;20190630,$K9&gt;30,BI9="-",$D9="是",$E9="封闭期",$H9&lt;10,$BN9&lt;-6,$BR9&lt;70),"-",COUNTIFS(BI$4:BI$200,"&lt;&gt;-",$D$4:$D$200,"&lt;&gt;是",$E$4:$E$200,"&lt;&gt;封闭期",$H$4:$H$200,"&gt;10",$BN$4:$BN$200,"&gt;-6",$BR$4:$BR$200,"&gt;=70",$K$4:$K$200,"&lt;=30",$C$4:$C$200,"&lt;20190630",BI$4:BI$200,"&gt;="&amp;BI9)&amp;"/"&amp;COUNTIFS(BI$4:BI$200,"&lt;&gt;-",$D$4:$D$200,"&lt;&gt;是",$E$4:$E$200,"&lt;&gt;封闭期",$H$4:$H$200,"&gt;10",$BN$4:$BN$200,"&gt;-6",$BR$4:$BR$200,"&gt;=70",$C$4:$C$200,"&lt;20190630",$K$4:$K$200,"&lt;=30"))</f>
        <v>-</v>
      </c>
      <c r="BM9" s="33" t="str">
        <f>IF(OR($C9&gt;20190630,$K9&gt;30,BI9="-",$D9="是",$E9="封闭期",$H9&lt;10,$BN9&lt;-6,$BR9&lt;70),"-",COUNTIFS(BI$4:BI$200,"&lt;&gt;-",$D$4:$D$200,"&lt;&gt;是",$E$4:$E$200,"&lt;&gt;封闭期",$H$4:$H$200,"&gt;10",$BN$4:$BN$200,"&gt;-6",$BR$4:$BR$200,"&gt;=70",$K$4:$K$200,"&lt;=30",$C$4:$C$200,"&lt;20190630",BI$4:BI$200,"&gt;="&amp;BI9)/COUNTIFS(BI$4:BI$200,"&lt;&gt;-",$D$4:$D$200,"&lt;&gt;是",$E$4:$E$200,"&lt;&gt;封闭期",$H$4:$H$200,"&gt;10",$BN$4:$BN$200,"&gt;-6",$BR$4:$BR$200,"&gt;=70",$C$4:$C$200,"&lt;20190630",$K$4:$K$200,"&lt;=30"))</f>
        <v>-</v>
      </c>
      <c r="BN9" s="21">
        <f>[1]!f_risk_maxdownside(A9,$AM$2,$E$1)</f>
        <v>-7.6854334226988454</v>
      </c>
      <c r="BO9" s="21">
        <f>IF(C9&lt;20190930,[1]!f_return_2y(A9,"0","20210930"),"-")</f>
        <v>31.552670993509718</v>
      </c>
      <c r="BP9" s="19" t="str">
        <f>IFERROR(RANK(BO9,BO:BO)&amp;"/"&amp;COUNT(BO:BO),"-")</f>
        <v>11/197</v>
      </c>
      <c r="BQ9" s="25">
        <f>IFERROR(RANK(BO9,BO:BO)/COUNT(BO:BO),"-")</f>
        <v>5.5837563451776651E-2</v>
      </c>
      <c r="BR9" s="19">
        <f>IF(C9&lt;20190930,[1]!f_absolute_profitmonthper(A9,"20190930","20210930"),"-")</f>
        <v>75</v>
      </c>
      <c r="BS9" s="19" t="str">
        <f>IFERROR(RANK(BR9,BR:BR)&amp;"/"&amp;COUNT(BR:BR),"-")</f>
        <v>26/198</v>
      </c>
      <c r="BT9" s="25">
        <f>IFERROR(RANK(BR9,BR:BR)/COUNT(BR:BR),"-")</f>
        <v>0.13131313131313133</v>
      </c>
      <c r="BV9" s="12">
        <f>X9-3/M9</f>
        <v>1.3631684083441677</v>
      </c>
      <c r="BW9" s="76">
        <f>IFERROR(RANK(BV9,BV:BV)/COUNT(BV:BV),"-")</f>
        <v>0.50761421319796951</v>
      </c>
      <c r="BX9" s="76">
        <f>IFERROR(RANK(L9,L:L)/COUNT(L:L),"-")</f>
        <v>0.13131313131313133</v>
      </c>
      <c r="BY9" s="12">
        <f>AY9-3/AN9</f>
        <v>2.1993530329643107</v>
      </c>
      <c r="BZ9" s="76">
        <f>IFERROR(RANK(BY9,BY:BY)/COUNT(BY:BY),"-")</f>
        <v>0.26903553299492383</v>
      </c>
      <c r="CA9" s="76">
        <f>IFERROR(RANK(AM9,AM:AM)/COUNT(AM:AM),"-")</f>
        <v>3.5353535353535352E-2</v>
      </c>
      <c r="CB9" s="2"/>
      <c r="CC9" s="77">
        <f>AV9+BF9+BZ9+CA9</f>
        <v>0.49728246936368758</v>
      </c>
      <c r="CD9" s="77">
        <f>BW9+BX9+AE9+U9</f>
        <v>1.5475567861354662</v>
      </c>
      <c r="CE9" s="77">
        <f>CC9+CD9</f>
        <v>2.0448392554991539</v>
      </c>
    </row>
    <row r="10" spans="1:83" s="17" customFormat="1" x14ac:dyDescent="0.35">
      <c r="A10" s="15" t="s">
        <v>215</v>
      </c>
      <c r="B10" s="15" t="s">
        <v>216</v>
      </c>
      <c r="C10" s="16">
        <v>20160113</v>
      </c>
      <c r="D10" s="16" t="str">
        <f>[1]!f_info_regulopenfundornot(A10)</f>
        <v>否</v>
      </c>
      <c r="E10" s="16" t="str">
        <f>[1]!f_dq_status(A10,$E$1)</f>
        <v>开放申购|开放赎回</v>
      </c>
      <c r="F10" s="17" t="str">
        <f>[1]!f_info_fundmanager(A10)</f>
        <v>张清华,王成,李中阳</v>
      </c>
      <c r="G10" s="16">
        <v>20190219</v>
      </c>
      <c r="H10" s="18">
        <f>[1]!f_netasset_total(A10,$E$1,100000000)</f>
        <v>91.309690923199994</v>
      </c>
      <c r="I10" s="18">
        <f>[1]!f_prt_convertiblebondtonav(A10,$E$1)</f>
        <v>12.009032249450684</v>
      </c>
      <c r="J10" s="18">
        <f>[1]!f_prt_stocktonav(A10,$E$1)+0.5*I10</f>
        <v>22.599681377410889</v>
      </c>
      <c r="K10" s="19">
        <v>5.3288976786621616</v>
      </c>
      <c r="L10" s="19">
        <f>[1]!f_return($A10,"1",L$2,$E$1)</f>
        <v>11.95348115126118</v>
      </c>
      <c r="M10" s="19">
        <f>[1]!f_risk_stdevyearly($A10,L$2,$E$1,1,1)</f>
        <v>7.0816322208568288</v>
      </c>
      <c r="N10" s="19">
        <f>IFERROR(L10/M10,"-")</f>
        <v>1.6879556546378922</v>
      </c>
      <c r="O10" s="19" t="str">
        <f>IFERROR(RANK(N10,N:N)&amp;"/"&amp;COUNT(N:N),"-")</f>
        <v>67/197</v>
      </c>
      <c r="P10" s="26">
        <f>IF(O10="-","-",RANK(N10,N:N)/COUNT(N:N))</f>
        <v>0.34010152284263961</v>
      </c>
      <c r="Q10" s="56">
        <v>0.1065989847715736</v>
      </c>
      <c r="R10" s="33" t="str">
        <f>IF(OR($C10&gt;20190630,$K10&gt;30,N10="-",$D10="是",$E10="封闭期",$H10&lt;10,$BN10&lt;-6,$BR10&lt;70),"-",COUNTIFS(N$4:N$200,"&lt;&gt;-",$D$4:$D$200,"&lt;&gt;是",$E$4:$E$200,"&lt;&gt;封闭期",$H$4:$H$200,"&gt;10",$BN$4:$BN$200,"&gt;-6",$BR$4:$BR$200,"&gt;=70",$K$4:$K$200,"&lt;=30",$C$4:$C$200,"&lt;20190630",N$4:N$200,"&gt;="&amp;N10)/COUNTIFS(N$4:N$200,"&lt;&gt;-",$D$4:$D$200,"&lt;&gt;是",$E$4:$E$200,"&lt;&gt;封闭期",$H$4:$H$200,"&gt;10",$BN$4:$BN$200,"&gt;-6",$BR$4:$BR$200,"&gt;=70",$C$4:$C$200,"&lt;20190630",$K$4:$K$200,"&lt;=30"))</f>
        <v>-</v>
      </c>
      <c r="S10" s="19">
        <f>IFERROR((L10-3)/M10,"-")</f>
        <v>1.2643245048636358</v>
      </c>
      <c r="T10" s="19" t="str">
        <f>IFERROR(RANK(S10,S:S)&amp;"/"&amp;COUNT(S:S),"-")</f>
        <v>49/197</v>
      </c>
      <c r="U10" s="26">
        <f>IFERROR(RANK(S10,S:S)/COUNT(S:S),"-")</f>
        <v>0.24873096446700507</v>
      </c>
      <c r="V10" s="34" t="str">
        <f>IF(OR($C10&gt;20190630,$K10&gt;30,S10="-",$D10="是",$E10="封闭期",$H10&lt;10,$BN10&lt;-6,$BR10&lt;70),"-",COUNTIFS(S$4:S$200,"&lt;&gt;-",$D$4:$D$200,"&lt;&gt;是",$E$4:$E$200,"&lt;&gt;封闭期",$H$4:$H$200,"&gt;10",$BN$4:$BN$200,"&gt;-6",$BR$4:$BR$200,"&gt;=70",$K$4:$K$200,"&lt;=30",$C$4:$C$200,"&lt;20190630",S$4:S$200,"&gt;="&amp;S10)&amp;"/"&amp;COUNTIFS(S$4:S$200,"&lt;&gt;-",$D$4:$D$200,"&lt;&gt;是",$E$4:$E$200,"&lt;&gt;封闭期",$H$4:$H$200,"&gt;10",$BN$4:$BN$200,"&gt;-6",$BR$4:$BR$200,"&gt;=70",$C$4:$C$200,"&lt;20190630",$K$4:$K$200,"&lt;=30"))</f>
        <v>-</v>
      </c>
      <c r="W10" s="33" t="str">
        <f>IF(OR($C10&gt;20190630,$K10&gt;30,S10="-",$D10="是",$E10="封闭期",$H10&lt;10,$BN10&lt;-6,$BR10&lt;70),"-",COUNTIFS(S$4:S$200,"&lt;&gt;-",$D$4:$D$200,"&lt;&gt;是",$E$4:$E$200,"&lt;&gt;封闭期",$H$4:$H$200,"&gt;10",$BN$4:$BN$200,"&gt;-6",$BR$4:$BR$200,"&gt;=70",$K$4:$K$200,"&lt;=30",$C$4:$C$200,"&lt;20190630",S$4:S$200,"&gt;="&amp;S10)/COUNTIFS(S$4:S$200,"&lt;&gt;-",$D$4:$D$200,"&lt;&gt;是",$E$4:$E$200,"&lt;&gt;封闭期",$H$4:$H$200,"&gt;10",$BN$4:$BN$200,"&gt;-6",$BR$4:$BR$200,"&gt;=70",$C$4:$C$200,"&lt;20190630",$K$4:$K$200,"&lt;=30"))</f>
        <v>-</v>
      </c>
      <c r="X10" s="19">
        <f>[1]!f_risk_calmar(A10,$L$2,$E$1)</f>
        <v>1.875202355604098</v>
      </c>
      <c r="Y10" s="19" t="str">
        <f>IFERROR(RANK(X10,X:X)&amp;"/"&amp;COUNT(X:X),"-")</f>
        <v>105/197</v>
      </c>
      <c r="Z10" s="26">
        <f>IFERROR(RANK(X10,X:X)/COUNT(X:X),"-")</f>
        <v>0.53299492385786806</v>
      </c>
      <c r="AA10" s="34" t="str">
        <f>IF(OR($C10&gt;20190630,$K10&gt;30,X10="-",$D10="是",$E10="封闭期",$H10&lt;10,$BN10&lt;-6,$BR10&lt;70),"-",COUNTIFS(X$4:X$200,"&lt;&gt;-",$D$4:$D$200,"&lt;&gt;是",$E$4:$E$200,"&lt;&gt;封闭期",$H$4:$H$200,"&gt;10",$BN$4:$BN$200,"&gt;-6",$BR$4:$BR$200,"&gt;=70",$K$4:$K$200,"&lt;=30",$C$4:$C$200,"&lt;20190630",X$4:X$200,"&gt;="&amp;X10)&amp;"/"&amp;COUNTIFS(X$4:X$200,"&lt;&gt;-",$D$4:$D$200,"&lt;&gt;是",$E$4:$E$200,"&lt;&gt;封闭期",$H$4:$H$200,"&gt;10",$BN$4:$BN$200,"&gt;-6",$BR$4:$BR$200,"&gt;=70",$C$4:$C$200,"&lt;20190630",$K$4:$K$200,"&lt;=30"))</f>
        <v>-</v>
      </c>
      <c r="AB10" s="33" t="str">
        <f>IF(OR($C10&gt;20190630,$K10&gt;30,X10="-",$D10="是",$E10="封闭期",$H10&lt;10,$BN10&lt;-6,$BR10&lt;70),"-",COUNTIFS(X$4:X$200,"&lt;&gt;-",$D$4:$D$200,"&lt;&gt;是",$E$4:$E$200,"&lt;&gt;封闭期",$H$4:$H$200,"&gt;10",$BN$4:$BN$200,"&gt;-6",$BR$4:$BR$200,"&gt;=70",$K$4:$K$200,"&lt;=30",$C$4:$C$200,"&lt;20190630",X$4:X$200,"&gt;="&amp;X10)/COUNTIFS(X$4:X$200,"&lt;&gt;-",$D$4:$D$200,"&lt;&gt;是",$E$4:$E$200,"&lt;&gt;封闭期",$H$4:$H$200,"&gt;10",$BN$4:$BN$200,"&gt;-6",$BR$4:$BR$200,"&gt;=70",$C$4:$C$200,"&lt;20190630",$K$4:$K$200,"&lt;=30"))</f>
        <v>-</v>
      </c>
      <c r="AC10" s="20">
        <v>1</v>
      </c>
      <c r="AD10" s="19" t="str">
        <f>IFERROR(RANK(AC10,AC:AC)&amp;"/"&amp;COUNT(AC:AC),"-")</f>
        <v>1/197</v>
      </c>
      <c r="AE10" s="26">
        <f>IFERROR(RANK(AC10,AC:AC)/COUNT(AC:AC),"-")</f>
        <v>5.076142131979695E-3</v>
      </c>
      <c r="AF10" s="34" t="str">
        <f>IF(OR($C10&gt;20190630,$K10&gt;30,AC10="-",$D10="是",$E10="封闭期",$H10&lt;10,$BN10&lt;-6,$BR10&lt;70),"-",COUNTIFS(AC$4:AC$200,"&lt;&gt;-",$D$4:$D$200,"&lt;&gt;是",$E$4:$E$200,"&lt;&gt;封闭期",$H$4:$H$200,"&gt;10",$BN$4:$BN$200,"&gt;-6",$BR$4:$BR$200,"&gt;=70",$K$4:$K$200,"&lt;=30",$C$4:$C$200,"&lt;20190630",AC$4:AC$200,"&gt;="&amp;AC10)&amp;"/"&amp;COUNTIFS(AC$4:AC$200,"&lt;&gt;-",$D$4:$D$200,"&lt;&gt;是",$E$4:$E$200,"&lt;&gt;封闭期",$H$4:$H$200,"&gt;10",$BN$4:$BN$200,"&gt;-6",$BR$4:$BR$200,"&gt;=70",$C$4:$C$200,"&lt;20190630",$K$4:$K$200,"&lt;=30"))</f>
        <v>-</v>
      </c>
      <c r="AG10" s="33" t="str">
        <f>IF(OR($C10&gt;20190630,$K10&gt;30,AC10="-",$D10="是",$E10="封闭期",$H10&lt;10,$BN10&lt;-6,$BR10&lt;70),"-",COUNTIFS(AC$4:AC$200,"&lt;&gt;-",$D$4:$D$200,"&lt;&gt;是",$E$4:$E$200,"&lt;&gt;封闭期",$H$4:$H$200,"&gt;10",$BN$4:$BN$200,"&gt;-6",$BR$4:$BR$200,"&gt;=70",$K$4:$K$200,"&lt;=30",$C$4:$C$200,"&lt;20190630",AC$4:AC$200,"&gt;="&amp;AC10)/COUNTIFS(AC$4:AC$200,"&lt;&gt;-",$D$4:$D$200,"&lt;&gt;是",$E$4:$E$200,"&lt;&gt;封闭期",$H$4:$H$200,"&gt;10",$BN$4:$BN$200,"&gt;-6",$BR$4:$BR$200,"&gt;=70",$C$4:$C$200,"&lt;20190630",$K$4:$K$200,"&lt;=30"))</f>
        <v>-</v>
      </c>
      <c r="AH10" s="21">
        <f>[1]!f_risk_maxdownside(A10,$L$2,$E$1)</f>
        <v>-6.3745019920318713</v>
      </c>
      <c r="AI10" s="19" t="str">
        <f>IFERROR(RANK(AH10,AH:AH)&amp;"/"&amp;COUNT(AH:AH),"-")</f>
        <v>183/197</v>
      </c>
      <c r="AJ10" s="26">
        <f>IFERROR(RANK(AH10,AH:AH)/COUNT(AH:AH),"-")</f>
        <v>0.92893401015228427</v>
      </c>
      <c r="AK10" s="34" t="str">
        <f>IF(OR($C10&gt;20190630,$K10&gt;30,AH10="-",$D10="是",$E10="封闭期",$H10&lt;10,$BN10&lt;-6,$BR10&lt;70),"-",COUNTIFS(AH$4:AH$200,"&lt;&gt;-",$D$4:$D$200,"&lt;&gt;是",$E$4:$E$200,"&lt;&gt;封闭期",$H$4:$H$200,"&gt;10",$BN$4:$BN$200,"&gt;-6",$BR$4:$BR$200,"&gt;=70",$K$4:$K$200,"&lt;=30",$C$4:$C$200,"&lt;20190630",AH$4:AH$200,"&gt;="&amp;AH10)&amp;"/"&amp;COUNTIFS(AH$4:AH$200,"&lt;&gt;-",$D$4:$D$200,"&lt;&gt;是",$E$4:$E$200,"&lt;&gt;封闭期",$H$4:$H$200,"&gt;10",$BN$4:$BN$200,"&gt;-6",$BR$4:$BR$200,"&gt;=70",$C$4:$C$200,"&lt;20190630",$K$4:$K$200,"&lt;=30"))</f>
        <v>-</v>
      </c>
      <c r="AL10" s="33" t="str">
        <f>IF(OR($C10&gt;20190630,$K10&gt;30,AH10="-",$D10="是",$E10="封闭期",$H10&lt;10,$BN10&lt;-6,$BR10&lt;70),"-",COUNTIFS(AH$4:AH$200,"&lt;&gt;-",$D$4:$D$200,"&lt;&gt;是",$E$4:$E$200,"&lt;&gt;封闭期",$H$4:$H$200,"&gt;10",$BN$4:$BN$200,"&gt;-6",$BR$4:$BR$200,"&gt;=70",$K$4:$K$200,"&lt;=30",$C$4:$C$200,"&lt;20190630",AH$4:AH$200,"&gt;="&amp;AH10)/COUNTIFS(AH$4:AH$200,"&lt;&gt;-",$D$4:$D$200,"&lt;&gt;是",$E$4:$E$200,"&lt;&gt;封闭期",$H$4:$H$200,"&gt;10",$BN$4:$BN$200,"&gt;-6",$BR$4:$BR$200,"&gt;=70",$C$4:$C$200,"&lt;20190630",$K$4:$K$200,"&lt;=30"))</f>
        <v>-</v>
      </c>
      <c r="AM10" s="19">
        <f>[1]!f_return($A10,"1",AM$2,$L$2)</f>
        <v>18.507469279459521</v>
      </c>
      <c r="AN10" s="19">
        <f>[1]!f_risk_stdevyearly($A10,AM$2,$L$2,1,1)</f>
        <v>8.3987056447460979</v>
      </c>
      <c r="AO10" s="19">
        <f>IFERROR(AM10/AN10,"-")</f>
        <v>2.2036097063405324</v>
      </c>
      <c r="AP10" s="19" t="str">
        <f>IFERROR(RANK(AO10,AO:AO)&amp;"/"&amp;COUNT(AO:AO),"-")</f>
        <v>32/197</v>
      </c>
      <c r="AQ10" s="26">
        <f>IF(AP10="-","-",RANK(AO10,AO:AO)/COUNT(AO:AO))</f>
        <v>0.16243654822335024</v>
      </c>
      <c r="AR10" s="57">
        <v>3.553299492385787E-2</v>
      </c>
      <c r="AS10" s="33" t="str">
        <f>IF(OR($C10&gt;20190630,$K10&gt;30,AO10="-",$D10="是",$E10="封闭期",$H10&lt;10,$BN10&lt;-6,$BR10&lt;70),"-",COUNTIFS(AO$4:AO$200,"&lt;&gt;-",$D$4:$D$200,"&lt;&gt;是",$E$4:$E$200,"&lt;&gt;封闭期",$H$4:$H$200,"&gt;10",$BN$4:$BN$200,"&gt;-6",$BR$4:$BR$200,"&gt;=70",$K$4:$K$200,"&lt;=30",$C$4:$C$200,"&lt;20190630",AO$4:AO$200,"&gt;="&amp;AO10)/COUNTIFS(AO$4:AO$200,"&lt;&gt;-",$D$4:$D$200,"&lt;&gt;是",$E$4:$E$200,"&lt;&gt;封闭期",$H$4:$H$200,"&gt;10",$BN$4:$BN$200,"&gt;-6",$BR$4:$BR$200,"&gt;=70",$C$4:$C$200,"&lt;20190630",$K$4:$K$200,"&lt;=30"))</f>
        <v>-</v>
      </c>
      <c r="AT10" s="19">
        <f>IFERROR((AM10-3)/AN10,"-")</f>
        <v>1.84641180860534</v>
      </c>
      <c r="AU10" s="19" t="str">
        <f>IFERROR(RANK(AT10,AT:AT)&amp;"/"&amp;COUNT(AT:AT),"-")</f>
        <v>14/197</v>
      </c>
      <c r="AV10" s="26">
        <f>IFERROR(RANK(AT10,AT:AT)/COUNT(AT:AT),"-")</f>
        <v>7.1065989847715741E-2</v>
      </c>
      <c r="AW10" s="34" t="str">
        <f>IF(OR($C10&gt;20190630,$K10&gt;30,AT10="-",$D10="是",$E10="封闭期",$H10&lt;10,$BN10&lt;-6,$BR10&lt;70),"-",COUNTIFS(AT$4:AT$200,"&lt;&gt;-",$D$4:$D$200,"&lt;&gt;是",$E$4:$E$200,"&lt;&gt;封闭期",$H$4:$H$200,"&gt;10",$BN$4:$BN$200,"&gt;-6",$BR$4:$BR$200,"&gt;=70",$K$4:$K$200,"&lt;=30",$C$4:$C$200,"&lt;20190630",AT$4:AT$200,"&gt;="&amp;AT10)&amp;"/"&amp;COUNTIFS(AT$4:AT$200,"&lt;&gt;-",$D$4:$D$200,"&lt;&gt;是",$E$4:$E$200,"&lt;&gt;封闭期",$H$4:$H$200,"&gt;10",$BN$4:$BN$200,"&gt;-6",$BR$4:$BR$200,"&gt;=70",$C$4:$C$200,"&lt;20190630",$K$4:$K$200,"&lt;=30"))</f>
        <v>-</v>
      </c>
      <c r="AX10" s="33" t="str">
        <f>IF(OR($C10&gt;20190630,$K10&gt;30,AT10="-",$D10="是",$E10="封闭期",$H10&lt;10,$BN10&lt;-6,$BR10&lt;70),"-",COUNTIFS(AT$4:AT$200,"&lt;&gt;-",$D$4:$D$200,"&lt;&gt;是",$E$4:$E$200,"&lt;&gt;封闭期",$H$4:$H$200,"&gt;10",$BN$4:$BN$200,"&gt;-6",$BR$4:$BR$200,"&gt;=70",$K$4:$K$200,"&lt;=30",$C$4:$C$200,"&lt;20190630",AT$4:AT$200,"&gt;="&amp;AT10)/COUNTIFS(AT$4:AT$200,"&lt;&gt;-",$D$4:$D$200,"&lt;&gt;是",$E$4:$E$200,"&lt;&gt;封闭期",$H$4:$H$200,"&gt;10",$BN$4:$BN$200,"&gt;-6",$BR$4:$BR$200,"&gt;=70",$C$4:$C$200,"&lt;20190630",$K$4:$K$200,"&lt;=30"))</f>
        <v>-</v>
      </c>
      <c r="AY10" s="19">
        <f>[1]!f_risk_calmar(A10,$AM$2,$L$2)</f>
        <v>2.7648468065710361</v>
      </c>
      <c r="AZ10" s="19" t="str">
        <f>IFERROR(RANK(AY10,AY:AY)&amp;"/"&amp;COUNT(AY:AY),"-")</f>
        <v>64/197</v>
      </c>
      <c r="BA10" s="26">
        <f>IFERROR(RANK(AY10,AY:AY)/COUNT(AY:AY),"-")</f>
        <v>0.32487309644670048</v>
      </c>
      <c r="BB10" s="34" t="str">
        <f>IF(OR($C10&gt;20190630,$K10&gt;30,AY10="-",$D10="是",$E10="封闭期",$H10&lt;10,$BN10&lt;-6,$BR10&lt;70),"-",COUNTIFS(AY$4:AY$200,"&lt;&gt;-",$D$4:$D$200,"&lt;&gt;是",$E$4:$E$200,"&lt;&gt;封闭期",$H$4:$H$200,"&gt;10",$BN$4:$BN$200,"&gt;-6",$BR$4:$BR$200,"&gt;=70",$K$4:$K$200,"&lt;=30",$C$4:$C$200,"&lt;20190630",AY$4:AY$200,"&gt;="&amp;AY10)&amp;"/"&amp;COUNTIFS(AY$4:AY$200,"&lt;&gt;-",$D$4:$D$200,"&lt;&gt;是",$E$4:$E$200,"&lt;&gt;封闭期",$H$4:$H$200,"&gt;10",$BN$4:$BN$200,"&gt;-6",$BR$4:$BR$200,"&gt;=70",$C$4:$C$200,"&lt;20190630",$K$4:$K$200,"&lt;=30"))</f>
        <v>-</v>
      </c>
      <c r="BC10" s="33" t="str">
        <f>IF(OR($C10&gt;20190630,$K10&gt;30,AY10="-",$D10="是",$E10="封闭期",$H10&lt;10,$BN10&lt;-6,$BR10&lt;70),"-",COUNTIFS(AY$4:AY$200,"&lt;&gt;-",$D$4:$D$200,"&lt;&gt;是",$E$4:$E$200,"&lt;&gt;封闭期",$H$4:$H$200,"&gt;10",$BN$4:$BN$200,"&gt;-6",$BR$4:$BR$200,"&gt;=70",$K$4:$K$200,"&lt;=30",$C$4:$C$200,"&lt;20190630",AY$4:AY$200,"&gt;="&amp;AY10)/COUNTIFS(AY$4:AY$200,"&lt;&gt;-",$D$4:$D$200,"&lt;&gt;是",$E$4:$E$200,"&lt;&gt;封闭期",$H$4:$H$200,"&gt;10",$BN$4:$BN$200,"&gt;-6",$BR$4:$BR$200,"&gt;=70",$C$4:$C$200,"&lt;20190630",$K$4:$K$200,"&lt;=30"))</f>
        <v>-</v>
      </c>
      <c r="BD10" s="20">
        <v>1</v>
      </c>
      <c r="BE10" s="19" t="str">
        <f>IFERROR(RANK(BD10,BD:BD)&amp;"/"&amp;COUNT(BD:BD),"-")</f>
        <v>1/197</v>
      </c>
      <c r="BF10" s="26">
        <f>IFERROR(RANK(BD10,BD:BD)/COUNT(BD:BD),"-")</f>
        <v>5.076142131979695E-3</v>
      </c>
      <c r="BG10" s="34" t="str">
        <f>IF(OR($C10&gt;20190630,$K10&gt;30,BD10="-",$D10="是",$E10="封闭期",$H10&lt;10,$BN10&lt;-6,$BR10&lt;70),"-",COUNTIFS(BD$4:BD$200,"&lt;&gt;-",$D$4:$D$200,"&lt;&gt;是",$E$4:$E$200,"&lt;&gt;封闭期",$H$4:$H$200,"&gt;10",$BN$4:$BN$200,"&gt;-6",$BR$4:$BR$200,"&gt;=70",$K$4:$K$200,"&lt;=30",$C$4:$C$200,"&lt;20190630",BD$4:BD$200,"&gt;="&amp;BD10)&amp;"/"&amp;COUNTIFS(BD$4:BD$200,"&lt;&gt;-",$D$4:$D$200,"&lt;&gt;是",$E$4:$E$200,"&lt;&gt;封闭期",$H$4:$H$200,"&gt;10",$BN$4:$BN$200,"&gt;-6",$BR$4:$BR$200,"&gt;=70",$C$4:$C$200,"&lt;20190630",$K$4:$K$200,"&lt;=30"))</f>
        <v>-</v>
      </c>
      <c r="BH10" s="33" t="str">
        <f>IF(OR($C10&gt;20190630,$K10&gt;30,BD10="-",$D10="是",$E10="封闭期",$H10&lt;10,$BN10&lt;-6,$BR10&lt;70),"-",COUNTIFS(BD$4:BD$200,"&lt;&gt;-",$D$4:$D$200,"&lt;&gt;是",$E$4:$E$200,"&lt;&gt;封闭期",$H$4:$H$200,"&gt;10",$BN$4:$BN$200,"&gt;-6",$BR$4:$BR$200,"&gt;=70",$K$4:$K$200,"&lt;=30",$C$4:$C$200,"&lt;20190630",BD$4:BD$200,"&gt;="&amp;BD10)/COUNTIFS(BD$4:BD$200,"&lt;&gt;-",$D$4:$D$200,"&lt;&gt;是",$E$4:$E$200,"&lt;&gt;封闭期",$H$4:$H$200,"&gt;10",$BN$4:$BN$200,"&gt;-6",$BR$4:$BR$200,"&gt;=70",$C$4:$C$200,"&lt;20190630",$K$4:$K$200,"&lt;=30"))</f>
        <v>-</v>
      </c>
      <c r="BI10" s="21">
        <f>[1]!f_risk_maxdownside(A10,$AM$2,$L$2)</f>
        <v>-6.6938498131158628</v>
      </c>
      <c r="BJ10" s="19" t="str">
        <f>IFERROR(RANK(BI10,BI:BI)&amp;"/"&amp;COUNT(BI:BI),"-")</f>
        <v>177/197</v>
      </c>
      <c r="BK10" s="26">
        <f>IFERROR(RANK(BI10,BI:BI)/COUNT(BI:BI),"-")</f>
        <v>0.89847715736040612</v>
      </c>
      <c r="BL10" s="34" t="str">
        <f>IF(OR($C10&gt;20190630,$K10&gt;30,BI10="-",$D10="是",$E10="封闭期",$H10&lt;10,$BN10&lt;-6,$BR10&lt;70),"-",COUNTIFS(BI$4:BI$200,"&lt;&gt;-",$D$4:$D$200,"&lt;&gt;是",$E$4:$E$200,"&lt;&gt;封闭期",$H$4:$H$200,"&gt;10",$BN$4:$BN$200,"&gt;-6",$BR$4:$BR$200,"&gt;=70",$K$4:$K$200,"&lt;=30",$C$4:$C$200,"&lt;20190630",BI$4:BI$200,"&gt;="&amp;BI10)&amp;"/"&amp;COUNTIFS(BI$4:BI$200,"&lt;&gt;-",$D$4:$D$200,"&lt;&gt;是",$E$4:$E$200,"&lt;&gt;封闭期",$H$4:$H$200,"&gt;10",$BN$4:$BN$200,"&gt;-6",$BR$4:$BR$200,"&gt;=70",$C$4:$C$200,"&lt;20190630",$K$4:$K$200,"&lt;=30"))</f>
        <v>-</v>
      </c>
      <c r="BM10" s="33" t="str">
        <f>IF(OR($C10&gt;20190630,$K10&gt;30,BI10="-",$D10="是",$E10="封闭期",$H10&lt;10,$BN10&lt;-6,$BR10&lt;70),"-",COUNTIFS(BI$4:BI$200,"&lt;&gt;-",$D$4:$D$200,"&lt;&gt;是",$E$4:$E$200,"&lt;&gt;封闭期",$H$4:$H$200,"&gt;10",$BN$4:$BN$200,"&gt;-6",$BR$4:$BR$200,"&gt;=70",$K$4:$K$200,"&lt;=30",$C$4:$C$200,"&lt;20190630",BI$4:BI$200,"&gt;="&amp;BI10)/COUNTIFS(BI$4:BI$200,"&lt;&gt;-",$D$4:$D$200,"&lt;&gt;是",$E$4:$E$200,"&lt;&gt;封闭期",$H$4:$H$200,"&gt;10",$BN$4:$BN$200,"&gt;-6",$BR$4:$BR$200,"&gt;=70",$C$4:$C$200,"&lt;20190630",$K$4:$K$200,"&lt;=30"))</f>
        <v>-</v>
      </c>
      <c r="BN10" s="21">
        <f>[1]!f_risk_maxdownside(A10,$AM$2,$E$1)</f>
        <v>-6.6938498131158628</v>
      </c>
      <c r="BO10" s="21">
        <f>IF(C10&lt;20190930,[1]!f_return_2y(A10,"0","20210930"),"-")</f>
        <v>32.450066759003533</v>
      </c>
      <c r="BP10" s="19" t="str">
        <f>IFERROR(RANK(BO10,BO:BO)&amp;"/"&amp;COUNT(BO:BO),"-")</f>
        <v>8/197</v>
      </c>
      <c r="BQ10" s="25">
        <f>IFERROR(RANK(BO10,BO:BO)/COUNT(BO:BO),"-")</f>
        <v>4.060913705583756E-2</v>
      </c>
      <c r="BR10" s="19">
        <f>IF(C10&lt;20190930,[1]!f_absolute_profitmonthper(A10,"20190930","20210930"),"-")</f>
        <v>70.833333333333343</v>
      </c>
      <c r="BS10" s="19" t="str">
        <f>IFERROR(RANK(BR10,BR:BR)&amp;"/"&amp;COUNT(BR:BR),"-")</f>
        <v>55/198</v>
      </c>
      <c r="BT10" s="25">
        <f>IFERROR(RANK(BR10,BR:BR)/COUNT(BR:BR),"-")</f>
        <v>0.27777777777777779</v>
      </c>
      <c r="BV10" s="12">
        <f>X10-3/M10</f>
        <v>1.4515712058298416</v>
      </c>
      <c r="BW10" s="76">
        <f>IFERROR(RANK(BV10,BV:BV)/COUNT(BV:BV),"-")</f>
        <v>0.48223350253807107</v>
      </c>
      <c r="BX10" s="76">
        <f>IFERROR(RANK(L10,L:L)/COUNT(L:L),"-")</f>
        <v>0.1111111111111111</v>
      </c>
      <c r="BY10" s="12">
        <f>AY10-3/AN10</f>
        <v>2.4076489088358439</v>
      </c>
      <c r="BZ10" s="76">
        <f>IFERROR(RANK(BY10,BY:BY)/COUNT(BY:BY),"-")</f>
        <v>0.21827411167512689</v>
      </c>
      <c r="CA10" s="76">
        <f>IFERROR(RANK(AM10,AM:AM)/COUNT(AM:AM),"-")</f>
        <v>4.0404040404040407E-2</v>
      </c>
      <c r="CB10" s="2"/>
      <c r="CC10" s="77">
        <f>AV10+BF10+BZ10+CA10</f>
        <v>0.33482028405886272</v>
      </c>
      <c r="CD10" s="77">
        <f>BW10+BX10+AE10+U10</f>
        <v>0.84715172024816698</v>
      </c>
      <c r="CE10" s="77">
        <f>CC10+CD10</f>
        <v>1.1819720043070296</v>
      </c>
    </row>
    <row r="11" spans="1:83" s="2" customFormat="1" x14ac:dyDescent="0.35">
      <c r="A11" s="15" t="s">
        <v>191</v>
      </c>
      <c r="B11" s="15" t="s">
        <v>192</v>
      </c>
      <c r="C11" s="16">
        <v>20150309</v>
      </c>
      <c r="D11" s="16" t="str">
        <f>[1]!f_info_regulopenfundornot(A11)</f>
        <v>否</v>
      </c>
      <c r="E11" s="16" t="str">
        <f>[1]!f_dq_status(A11,$E$1)</f>
        <v>开放申购|开放赎回</v>
      </c>
      <c r="F11" s="17" t="str">
        <f>[1]!f_info_fundmanager(A11)</f>
        <v>林龙军</v>
      </c>
      <c r="G11" s="16">
        <v>20180517</v>
      </c>
      <c r="H11" s="18">
        <f>[1]!f_netasset_total(A11,$E$1,100000000)</f>
        <v>21.614960825600001</v>
      </c>
      <c r="I11" s="18">
        <f>[1]!f_prt_convertiblebondtonav(A11,$E$1)</f>
        <v>8.0083866119384766</v>
      </c>
      <c r="J11" s="18">
        <f>[1]!f_prt_stocktonav(A11,$E$1)+0.5*I11</f>
        <v>23.656107902526855</v>
      </c>
      <c r="K11" s="19">
        <v>0</v>
      </c>
      <c r="L11" s="19">
        <f>[1]!f_return($A11,"1",L$2,$E$1)</f>
        <v>21.299826531595258</v>
      </c>
      <c r="M11" s="19">
        <f>[1]!f_risk_stdevyearly($A11,L$2,$E$1,1,1)</f>
        <v>11.559860712483708</v>
      </c>
      <c r="N11" s="19">
        <f>IFERROR(L11/M11,"-")</f>
        <v>1.8425677489862122</v>
      </c>
      <c r="O11" s="19" t="str">
        <f>IFERROR(RANK(N11,N:N)&amp;"/"&amp;COUNT(N:N),"-")</f>
        <v>58/197</v>
      </c>
      <c r="P11" s="26">
        <f>IF(O11="-","-",RANK(N11,N:N)/COUNT(N:N))</f>
        <v>0.29441624365482233</v>
      </c>
      <c r="Q11" s="56">
        <v>1.5228426395939087E-2</v>
      </c>
      <c r="R11" s="33" t="str">
        <f>IF(OR($C11&gt;20190630,$K11&gt;30,N11="-",$D11="是",$E11="封闭期",$H11&lt;10,$BN11&lt;-6,$BR11&lt;70),"-",COUNTIFS(N$4:N$200,"&lt;&gt;-",$D$4:$D$200,"&lt;&gt;是",$E$4:$E$200,"&lt;&gt;封闭期",$H$4:$H$200,"&gt;10",$BN$4:$BN$200,"&gt;-6",$BR$4:$BR$200,"&gt;=70",$K$4:$K$200,"&lt;=30",$C$4:$C$200,"&lt;20190630",N$4:N$200,"&gt;="&amp;N11)/COUNTIFS(N$4:N$200,"&lt;&gt;-",$D$4:$D$200,"&lt;&gt;是",$E$4:$E$200,"&lt;&gt;封闭期",$H$4:$H$200,"&gt;10",$BN$4:$BN$200,"&gt;-6",$BR$4:$BR$200,"&gt;=70",$C$4:$C$200,"&lt;20190630",$K$4:$K$200,"&lt;=30"))</f>
        <v>-</v>
      </c>
      <c r="S11" s="19">
        <f>IFERROR((L11-3)/M11,"-")</f>
        <v>1.5830490510870028</v>
      </c>
      <c r="T11" s="19" t="str">
        <f>IFERROR(RANK(S11,S:S)&amp;"/"&amp;COUNT(S:S),"-")</f>
        <v>27/197</v>
      </c>
      <c r="U11" s="26">
        <f>IFERROR(RANK(S11,S:S)/COUNT(S:S),"-")</f>
        <v>0.13705583756345177</v>
      </c>
      <c r="V11" s="34" t="str">
        <f>IF(OR($C11&gt;20190630,$K11&gt;30,S11="-",$D11="是",$E11="封闭期",$H11&lt;10,$BN11&lt;-6,$BR11&lt;70),"-",COUNTIFS(S$4:S$200,"&lt;&gt;-",$D$4:$D$200,"&lt;&gt;是",$E$4:$E$200,"&lt;&gt;封闭期",$H$4:$H$200,"&gt;10",$BN$4:$BN$200,"&gt;-6",$BR$4:$BR$200,"&gt;=70",$K$4:$K$200,"&lt;=30",$C$4:$C$200,"&lt;20190630",S$4:S$200,"&gt;="&amp;S11)&amp;"/"&amp;COUNTIFS(S$4:S$200,"&lt;&gt;-",$D$4:$D$200,"&lt;&gt;是",$E$4:$E$200,"&lt;&gt;封闭期",$H$4:$H$200,"&gt;10",$BN$4:$BN$200,"&gt;-6",$BR$4:$BR$200,"&gt;=70",$C$4:$C$200,"&lt;20190630",$K$4:$K$200,"&lt;=30"))</f>
        <v>-</v>
      </c>
      <c r="W11" s="33" t="str">
        <f>IF(OR($C11&gt;20190630,$K11&gt;30,S11="-",$D11="是",$E11="封闭期",$H11&lt;10,$BN11&lt;-6,$BR11&lt;70),"-",COUNTIFS(S$4:S$200,"&lt;&gt;-",$D$4:$D$200,"&lt;&gt;是",$E$4:$E$200,"&lt;&gt;封闭期",$H$4:$H$200,"&gt;10",$BN$4:$BN$200,"&gt;-6",$BR$4:$BR$200,"&gt;=70",$K$4:$K$200,"&lt;=30",$C$4:$C$200,"&lt;20190630",S$4:S$200,"&gt;="&amp;S11)/COUNTIFS(S$4:S$200,"&lt;&gt;-",$D$4:$D$200,"&lt;&gt;是",$E$4:$E$200,"&lt;&gt;封闭期",$H$4:$H$200,"&gt;10",$BN$4:$BN$200,"&gt;-6",$BR$4:$BR$200,"&gt;=70",$C$4:$C$200,"&lt;20190630",$K$4:$K$200,"&lt;=30"))</f>
        <v>-</v>
      </c>
      <c r="X11" s="19">
        <f>[1]!f_risk_calmar(A11,$L$2,$E$1)</f>
        <v>2.7849085046788158</v>
      </c>
      <c r="Y11" s="19" t="str">
        <f>IFERROR(RANK(X11,X:X)&amp;"/"&amp;COUNT(X:X),"-")</f>
        <v>67/197</v>
      </c>
      <c r="Z11" s="26">
        <f>IFERROR(RANK(X11,X:X)/COUNT(X:X),"-")</f>
        <v>0.34010152284263961</v>
      </c>
      <c r="AA11" s="34" t="str">
        <f>IF(OR($C11&gt;20190630,$K11&gt;30,X11="-",$D11="是",$E11="封闭期",$H11&lt;10,$BN11&lt;-6,$BR11&lt;70),"-",COUNTIFS(X$4:X$200,"&lt;&gt;-",$D$4:$D$200,"&lt;&gt;是",$E$4:$E$200,"&lt;&gt;封闭期",$H$4:$H$200,"&gt;10",$BN$4:$BN$200,"&gt;-6",$BR$4:$BR$200,"&gt;=70",$K$4:$K$200,"&lt;=30",$C$4:$C$200,"&lt;20190630",X$4:X$200,"&gt;="&amp;X11)&amp;"/"&amp;COUNTIFS(X$4:X$200,"&lt;&gt;-",$D$4:$D$200,"&lt;&gt;是",$E$4:$E$200,"&lt;&gt;封闭期",$H$4:$H$200,"&gt;10",$BN$4:$BN$200,"&gt;-6",$BR$4:$BR$200,"&gt;=70",$C$4:$C$200,"&lt;20190630",$K$4:$K$200,"&lt;=30"))</f>
        <v>-</v>
      </c>
      <c r="AB11" s="33" t="str">
        <f>IF(OR($C11&gt;20190630,$K11&gt;30,X11="-",$D11="是",$E11="封闭期",$H11&lt;10,$BN11&lt;-6,$BR11&lt;70),"-",COUNTIFS(X$4:X$200,"&lt;&gt;-",$D$4:$D$200,"&lt;&gt;是",$E$4:$E$200,"&lt;&gt;封闭期",$H$4:$H$200,"&gt;10",$BN$4:$BN$200,"&gt;-6",$BR$4:$BR$200,"&gt;=70",$K$4:$K$200,"&lt;=30",$C$4:$C$200,"&lt;20190630",X$4:X$200,"&gt;="&amp;X11)/COUNTIFS(X$4:X$200,"&lt;&gt;-",$D$4:$D$200,"&lt;&gt;是",$E$4:$E$200,"&lt;&gt;封闭期",$H$4:$H$200,"&gt;10",$BN$4:$BN$200,"&gt;-6",$BR$4:$BR$200,"&gt;=70",$C$4:$C$200,"&lt;20190630",$K$4:$K$200,"&lt;=30"))</f>
        <v>-</v>
      </c>
      <c r="AC11" s="20">
        <v>1</v>
      </c>
      <c r="AD11" s="19" t="str">
        <f>IFERROR(RANK(AC11,AC:AC)&amp;"/"&amp;COUNT(AC:AC),"-")</f>
        <v>1/197</v>
      </c>
      <c r="AE11" s="26">
        <f>IFERROR(RANK(AC11,AC:AC)/COUNT(AC:AC),"-")</f>
        <v>5.076142131979695E-3</v>
      </c>
      <c r="AF11" s="34" t="str">
        <f>IF(OR($C11&gt;20190630,$K11&gt;30,AC11="-",$D11="是",$E11="封闭期",$H11&lt;10,$BN11&lt;-6,$BR11&lt;70),"-",COUNTIFS(AC$4:AC$200,"&lt;&gt;-",$D$4:$D$200,"&lt;&gt;是",$E$4:$E$200,"&lt;&gt;封闭期",$H$4:$H$200,"&gt;10",$BN$4:$BN$200,"&gt;-6",$BR$4:$BR$200,"&gt;=70",$K$4:$K$200,"&lt;=30",$C$4:$C$200,"&lt;20190630",AC$4:AC$200,"&gt;="&amp;AC11)&amp;"/"&amp;COUNTIFS(AC$4:AC$200,"&lt;&gt;-",$D$4:$D$200,"&lt;&gt;是",$E$4:$E$200,"&lt;&gt;封闭期",$H$4:$H$200,"&gt;10",$BN$4:$BN$200,"&gt;-6",$BR$4:$BR$200,"&gt;=70",$C$4:$C$200,"&lt;20190630",$K$4:$K$200,"&lt;=30"))</f>
        <v>-</v>
      </c>
      <c r="AG11" s="33" t="str">
        <f>IF(OR($C11&gt;20190630,$K11&gt;30,AC11="-",$D11="是",$E11="封闭期",$H11&lt;10,$BN11&lt;-6,$BR11&lt;70),"-",COUNTIFS(AC$4:AC$200,"&lt;&gt;-",$D$4:$D$200,"&lt;&gt;是",$E$4:$E$200,"&lt;&gt;封闭期",$H$4:$H$200,"&gt;10",$BN$4:$BN$200,"&gt;-6",$BR$4:$BR$200,"&gt;=70",$K$4:$K$200,"&lt;=30",$C$4:$C$200,"&lt;20190630",AC$4:AC$200,"&gt;="&amp;AC11)/COUNTIFS(AC$4:AC$200,"&lt;&gt;-",$D$4:$D$200,"&lt;&gt;是",$E$4:$E$200,"&lt;&gt;封闭期",$H$4:$H$200,"&gt;10",$BN$4:$BN$200,"&gt;-6",$BR$4:$BR$200,"&gt;=70",$C$4:$C$200,"&lt;20190630",$K$4:$K$200,"&lt;=30"))</f>
        <v>-</v>
      </c>
      <c r="AH11" s="21">
        <f>[1]!f_risk_maxdownside(A11,$L$2,$E$1)</f>
        <v>-7.6483038835244512</v>
      </c>
      <c r="AI11" s="19" t="str">
        <f>IFERROR(RANK(AH11,AH:AH)&amp;"/"&amp;COUNT(AH:AH),"-")</f>
        <v>189/197</v>
      </c>
      <c r="AJ11" s="26">
        <f>IFERROR(RANK(AH11,AH:AH)/COUNT(AH:AH),"-")</f>
        <v>0.95939086294416243</v>
      </c>
      <c r="AK11" s="34" t="str">
        <f>IF(OR($C11&gt;20190630,$K11&gt;30,AH11="-",$D11="是",$E11="封闭期",$H11&lt;10,$BN11&lt;-6,$BR11&lt;70),"-",COUNTIFS(AH$4:AH$200,"&lt;&gt;-",$D$4:$D$200,"&lt;&gt;是",$E$4:$E$200,"&lt;&gt;封闭期",$H$4:$H$200,"&gt;10",$BN$4:$BN$200,"&gt;-6",$BR$4:$BR$200,"&gt;=70",$K$4:$K$200,"&lt;=30",$C$4:$C$200,"&lt;20190630",AH$4:AH$200,"&gt;="&amp;AH11)&amp;"/"&amp;COUNTIFS(AH$4:AH$200,"&lt;&gt;-",$D$4:$D$200,"&lt;&gt;是",$E$4:$E$200,"&lt;&gt;封闭期",$H$4:$H$200,"&gt;10",$BN$4:$BN$200,"&gt;-6",$BR$4:$BR$200,"&gt;=70",$C$4:$C$200,"&lt;20190630",$K$4:$K$200,"&lt;=30"))</f>
        <v>-</v>
      </c>
      <c r="AL11" s="33" t="str">
        <f>IF(OR($C11&gt;20190630,$K11&gt;30,AH11="-",$D11="是",$E11="封闭期",$H11&lt;10,$BN11&lt;-6,$BR11&lt;70),"-",COUNTIFS(AH$4:AH$200,"&lt;&gt;-",$D$4:$D$200,"&lt;&gt;是",$E$4:$E$200,"&lt;&gt;封闭期",$H$4:$H$200,"&gt;10",$BN$4:$BN$200,"&gt;-6",$BR$4:$BR$200,"&gt;=70",$K$4:$K$200,"&lt;=30",$C$4:$C$200,"&lt;20190630",AH$4:AH$200,"&gt;="&amp;AH11)/COUNTIFS(AH$4:AH$200,"&lt;&gt;-",$D$4:$D$200,"&lt;&gt;是",$E$4:$E$200,"&lt;&gt;封闭期",$H$4:$H$200,"&gt;10",$BN$4:$BN$200,"&gt;-6",$BR$4:$BR$200,"&gt;=70",$C$4:$C$200,"&lt;20190630",$K$4:$K$200,"&lt;=30"))</f>
        <v>-</v>
      </c>
      <c r="AM11" s="19">
        <f>[1]!f_return($A11,"1",AM$2,$L$2)</f>
        <v>17.438803017471937</v>
      </c>
      <c r="AN11" s="19">
        <f>[1]!f_risk_stdevyearly($A11,AM$2,$L$2,1,1)</f>
        <v>15.728312914554039</v>
      </c>
      <c r="AO11" s="19">
        <f>IFERROR(AM11/AN11,"-")</f>
        <v>1.108752293536525</v>
      </c>
      <c r="AP11" s="19" t="str">
        <f>IFERROR(RANK(AO11,AO:AO)&amp;"/"&amp;COUNT(AO:AO),"-")</f>
        <v>151/197</v>
      </c>
      <c r="AQ11" s="26">
        <f>IF(AP11="-","-",RANK(AO11,AO:AO)/COUNT(AO:AO))</f>
        <v>0.76649746192893398</v>
      </c>
      <c r="AR11" s="57">
        <v>4.060913705583756E-2</v>
      </c>
      <c r="AS11" s="33" t="str">
        <f>IF(OR($C11&gt;20190630,$K11&gt;30,AO11="-",$D11="是",$E11="封闭期",$H11&lt;10,$BN11&lt;-6,$BR11&lt;70),"-",COUNTIFS(AO$4:AO$200,"&lt;&gt;-",$D$4:$D$200,"&lt;&gt;是",$E$4:$E$200,"&lt;&gt;封闭期",$H$4:$H$200,"&gt;10",$BN$4:$BN$200,"&gt;-6",$BR$4:$BR$200,"&gt;=70",$K$4:$K$200,"&lt;=30",$C$4:$C$200,"&lt;20190630",AO$4:AO$200,"&gt;="&amp;AO11)/COUNTIFS(AO$4:AO$200,"&lt;&gt;-",$D$4:$D$200,"&lt;&gt;是",$E$4:$E$200,"&lt;&gt;封闭期",$H$4:$H$200,"&gt;10",$BN$4:$BN$200,"&gt;-6",$BR$4:$BR$200,"&gt;=70",$C$4:$C$200,"&lt;20190630",$K$4:$K$200,"&lt;=30"))</f>
        <v>-</v>
      </c>
      <c r="AT11" s="19">
        <f>IFERROR((AM11-3)/AN11,"-")</f>
        <v>0.91801346373972081</v>
      </c>
      <c r="AU11" s="19" t="str">
        <f>IFERROR(RANK(AT11,AT:AT)&amp;"/"&amp;COUNT(AT:AT),"-")</f>
        <v>93/197</v>
      </c>
      <c r="AV11" s="26">
        <f>IFERROR(RANK(AT11,AT:AT)/COUNT(AT:AT),"-")</f>
        <v>0.4720812182741117</v>
      </c>
      <c r="AW11" s="34" t="str">
        <f>IF(OR($C11&gt;20190630,$K11&gt;30,AT11="-",$D11="是",$E11="封闭期",$H11&lt;10,$BN11&lt;-6,$BR11&lt;70),"-",COUNTIFS(AT$4:AT$200,"&lt;&gt;-",$D$4:$D$200,"&lt;&gt;是",$E$4:$E$200,"&lt;&gt;封闭期",$H$4:$H$200,"&gt;10",$BN$4:$BN$200,"&gt;-6",$BR$4:$BR$200,"&gt;=70",$K$4:$K$200,"&lt;=30",$C$4:$C$200,"&lt;20190630",AT$4:AT$200,"&gt;="&amp;AT11)&amp;"/"&amp;COUNTIFS(AT$4:AT$200,"&lt;&gt;-",$D$4:$D$200,"&lt;&gt;是",$E$4:$E$200,"&lt;&gt;封闭期",$H$4:$H$200,"&gt;10",$BN$4:$BN$200,"&gt;-6",$BR$4:$BR$200,"&gt;=70",$C$4:$C$200,"&lt;20190630",$K$4:$K$200,"&lt;=30"))</f>
        <v>-</v>
      </c>
      <c r="AX11" s="33" t="str">
        <f>IF(OR($C11&gt;20190630,$K11&gt;30,AT11="-",$D11="是",$E11="封闭期",$H11&lt;10,$BN11&lt;-6,$BR11&lt;70),"-",COUNTIFS(AT$4:AT$200,"&lt;&gt;-",$D$4:$D$200,"&lt;&gt;是",$E$4:$E$200,"&lt;&gt;封闭期",$H$4:$H$200,"&gt;10",$BN$4:$BN$200,"&gt;-6",$BR$4:$BR$200,"&gt;=70",$K$4:$K$200,"&lt;=30",$C$4:$C$200,"&lt;20190630",AT$4:AT$200,"&gt;="&amp;AT11)/COUNTIFS(AT$4:AT$200,"&lt;&gt;-",$D$4:$D$200,"&lt;&gt;是",$E$4:$E$200,"&lt;&gt;封闭期",$H$4:$H$200,"&gt;10",$BN$4:$BN$200,"&gt;-6",$BR$4:$BR$200,"&gt;=70",$C$4:$C$200,"&lt;20190630",$K$4:$K$200,"&lt;=30"))</f>
        <v>-</v>
      </c>
      <c r="AY11" s="19">
        <f>[1]!f_risk_calmar(A11,$AM$2,$L$2)</f>
        <v>1.9260521753288524</v>
      </c>
      <c r="AZ11" s="19" t="str">
        <f>IFERROR(RANK(AY11,AY:AY)&amp;"/"&amp;COUNT(AY:AY),"-")</f>
        <v>119/197</v>
      </c>
      <c r="BA11" s="26">
        <f>IFERROR(RANK(AY11,AY:AY)/COUNT(AY:AY),"-")</f>
        <v>0.60406091370558379</v>
      </c>
      <c r="BB11" s="34" t="str">
        <f>IF(OR($C11&gt;20190630,$K11&gt;30,AY11="-",$D11="是",$E11="封闭期",$H11&lt;10,$BN11&lt;-6,$BR11&lt;70),"-",COUNTIFS(AY$4:AY$200,"&lt;&gt;-",$D$4:$D$200,"&lt;&gt;是",$E$4:$E$200,"&lt;&gt;封闭期",$H$4:$H$200,"&gt;10",$BN$4:$BN$200,"&gt;-6",$BR$4:$BR$200,"&gt;=70",$K$4:$K$200,"&lt;=30",$C$4:$C$200,"&lt;20190630",AY$4:AY$200,"&gt;="&amp;AY11)&amp;"/"&amp;COUNTIFS(AY$4:AY$200,"&lt;&gt;-",$D$4:$D$200,"&lt;&gt;是",$E$4:$E$200,"&lt;&gt;封闭期",$H$4:$H$200,"&gt;10",$BN$4:$BN$200,"&gt;-6",$BR$4:$BR$200,"&gt;=70",$C$4:$C$200,"&lt;20190630",$K$4:$K$200,"&lt;=30"))</f>
        <v>-</v>
      </c>
      <c r="BC11" s="33" t="str">
        <f>IF(OR($C11&gt;20190630,$K11&gt;30,AY11="-",$D11="是",$E11="封闭期",$H11&lt;10,$BN11&lt;-6,$BR11&lt;70),"-",COUNTIFS(AY$4:AY$200,"&lt;&gt;-",$D$4:$D$200,"&lt;&gt;是",$E$4:$E$200,"&lt;&gt;封闭期",$H$4:$H$200,"&gt;10",$BN$4:$BN$200,"&gt;-6",$BR$4:$BR$200,"&gt;=70",$K$4:$K$200,"&lt;=30",$C$4:$C$200,"&lt;20190630",AY$4:AY$200,"&gt;="&amp;AY11)/COUNTIFS(AY$4:AY$200,"&lt;&gt;-",$D$4:$D$200,"&lt;&gt;是",$E$4:$E$200,"&lt;&gt;封闭期",$H$4:$H$200,"&gt;10",$BN$4:$BN$200,"&gt;-6",$BR$4:$BR$200,"&gt;=70",$C$4:$C$200,"&lt;20190630",$K$4:$K$200,"&lt;=30"))</f>
        <v>-</v>
      </c>
      <c r="BD11" s="20">
        <v>1</v>
      </c>
      <c r="BE11" s="19" t="str">
        <f>IFERROR(RANK(BD11,BD:BD)&amp;"/"&amp;COUNT(BD:BD),"-")</f>
        <v>1/197</v>
      </c>
      <c r="BF11" s="26">
        <f>IFERROR(RANK(BD11,BD:BD)/COUNT(BD:BD),"-")</f>
        <v>5.076142131979695E-3</v>
      </c>
      <c r="BG11" s="34" t="str">
        <f>IF(OR($C11&gt;20190630,$K11&gt;30,BD11="-",$D11="是",$E11="封闭期",$H11&lt;10,$BN11&lt;-6,$BR11&lt;70),"-",COUNTIFS(BD$4:BD$200,"&lt;&gt;-",$D$4:$D$200,"&lt;&gt;是",$E$4:$E$200,"&lt;&gt;封闭期",$H$4:$H$200,"&gt;10",$BN$4:$BN$200,"&gt;-6",$BR$4:$BR$200,"&gt;=70",$K$4:$K$200,"&lt;=30",$C$4:$C$200,"&lt;20190630",BD$4:BD$200,"&gt;="&amp;BD11)&amp;"/"&amp;COUNTIFS(BD$4:BD$200,"&lt;&gt;-",$D$4:$D$200,"&lt;&gt;是",$E$4:$E$200,"&lt;&gt;封闭期",$H$4:$H$200,"&gt;10",$BN$4:$BN$200,"&gt;-6",$BR$4:$BR$200,"&gt;=70",$C$4:$C$200,"&lt;20190630",$K$4:$K$200,"&lt;=30"))</f>
        <v>-</v>
      </c>
      <c r="BH11" s="33" t="str">
        <f>IF(OR($C11&gt;20190630,$K11&gt;30,BD11="-",$D11="是",$E11="封闭期",$H11&lt;10,$BN11&lt;-6,$BR11&lt;70),"-",COUNTIFS(BD$4:BD$200,"&lt;&gt;-",$D$4:$D$200,"&lt;&gt;是",$E$4:$E$200,"&lt;&gt;封闭期",$H$4:$H$200,"&gt;10",$BN$4:$BN$200,"&gt;-6",$BR$4:$BR$200,"&gt;=70",$K$4:$K$200,"&lt;=30",$C$4:$C$200,"&lt;20190630",BD$4:BD$200,"&gt;="&amp;BD11)/COUNTIFS(BD$4:BD$200,"&lt;&gt;-",$D$4:$D$200,"&lt;&gt;是",$E$4:$E$200,"&lt;&gt;封闭期",$H$4:$H$200,"&gt;10",$BN$4:$BN$200,"&gt;-6",$BR$4:$BR$200,"&gt;=70",$C$4:$C$200,"&lt;20190630",$K$4:$K$200,"&lt;=30"))</f>
        <v>-</v>
      </c>
      <c r="BI11" s="21">
        <f>[1]!f_risk_maxdownside(A11,$AM$2,$L$2)</f>
        <v>-9.0541695810989395</v>
      </c>
      <c r="BJ11" s="19" t="str">
        <f>IFERROR(RANK(BI11,BI:BI)&amp;"/"&amp;COUNT(BI:BI),"-")</f>
        <v>188/197</v>
      </c>
      <c r="BK11" s="26">
        <f>IFERROR(RANK(BI11,BI:BI)/COUNT(BI:BI),"-")</f>
        <v>0.95431472081218272</v>
      </c>
      <c r="BL11" s="34" t="str">
        <f>IF(OR($C11&gt;20190630,$K11&gt;30,BI11="-",$D11="是",$E11="封闭期",$H11&lt;10,$BN11&lt;-6,$BR11&lt;70),"-",COUNTIFS(BI$4:BI$200,"&lt;&gt;-",$D$4:$D$200,"&lt;&gt;是",$E$4:$E$200,"&lt;&gt;封闭期",$H$4:$H$200,"&gt;10",$BN$4:$BN$200,"&gt;-6",$BR$4:$BR$200,"&gt;=70",$K$4:$K$200,"&lt;=30",$C$4:$C$200,"&lt;20190630",BI$4:BI$200,"&gt;="&amp;BI11)&amp;"/"&amp;COUNTIFS(BI$4:BI$200,"&lt;&gt;-",$D$4:$D$200,"&lt;&gt;是",$E$4:$E$200,"&lt;&gt;封闭期",$H$4:$H$200,"&gt;10",$BN$4:$BN$200,"&gt;-6",$BR$4:$BR$200,"&gt;=70",$C$4:$C$200,"&lt;20190630",$K$4:$K$200,"&lt;=30"))</f>
        <v>-</v>
      </c>
      <c r="BM11" s="33" t="str">
        <f>IF(OR($C11&gt;20190630,$K11&gt;30,BI11="-",$D11="是",$E11="封闭期",$H11&lt;10,$BN11&lt;-6,$BR11&lt;70),"-",COUNTIFS(BI$4:BI$200,"&lt;&gt;-",$D$4:$D$200,"&lt;&gt;是",$E$4:$E$200,"&lt;&gt;封闭期",$H$4:$H$200,"&gt;10",$BN$4:$BN$200,"&gt;-6",$BR$4:$BR$200,"&gt;=70",$K$4:$K$200,"&lt;=30",$C$4:$C$200,"&lt;20190630",BI$4:BI$200,"&gt;="&amp;BI11)/COUNTIFS(BI$4:BI$200,"&lt;&gt;-",$D$4:$D$200,"&lt;&gt;是",$E$4:$E$200,"&lt;&gt;封闭期",$H$4:$H$200,"&gt;10",$BN$4:$BN$200,"&gt;-6",$BR$4:$BR$200,"&gt;=70",$C$4:$C$200,"&lt;20190630",$K$4:$K$200,"&lt;=30"))</f>
        <v>-</v>
      </c>
      <c r="BN11" s="21">
        <f>[1]!f_risk_maxdownside(A11,$AM$2,$E$1)</f>
        <v>-9.0541695810989395</v>
      </c>
      <c r="BO11" s="21">
        <f>IF(C11&lt;20190930,[1]!f_return_2y(A11,"0","20210930"),"-")</f>
        <v>42.324908933123865</v>
      </c>
      <c r="BP11" s="19" t="str">
        <f>IFERROR(RANK(BO11,BO:BO)&amp;"/"&amp;COUNT(BO:BO),"-")</f>
        <v>2/197</v>
      </c>
      <c r="BQ11" s="25">
        <f>IFERROR(RANK(BO11,BO:BO)/COUNT(BO:BO),"-")</f>
        <v>1.015228426395939E-2</v>
      </c>
      <c r="BR11" s="19">
        <f>IF(C11&lt;20190930,[1]!f_absolute_profitmonthper(A11,"20190930","20210930"),"-")</f>
        <v>58.333333333333336</v>
      </c>
      <c r="BS11" s="19" t="str">
        <f>IFERROR(RANK(BR11,BR:BR)&amp;"/"&amp;COUNT(BR:BR),"-")</f>
        <v>165/198</v>
      </c>
      <c r="BT11" s="25">
        <f>IFERROR(RANK(BR11,BR:BR)/COUNT(BR:BR),"-")</f>
        <v>0.83333333333333337</v>
      </c>
      <c r="BU11" s="17"/>
      <c r="BV11" s="12">
        <f>X11-3/M11</f>
        <v>2.5253898067796063</v>
      </c>
      <c r="BW11" s="76">
        <f>IFERROR(RANK(BV11,BV:BV)/COUNT(BV:BV),"-")</f>
        <v>0.26903553299492383</v>
      </c>
      <c r="BX11" s="76">
        <f>IFERROR(RANK(L11,L:L)/COUNT(L:L),"-")</f>
        <v>2.0202020202020204E-2</v>
      </c>
      <c r="BY11" s="12">
        <f>AY11-3/AN11</f>
        <v>1.7353133455320482</v>
      </c>
      <c r="BZ11" s="76">
        <f>IFERROR(RANK(BY11,BY:BY)/COUNT(BY:BY),"-")</f>
        <v>0.4467005076142132</v>
      </c>
      <c r="CA11" s="76">
        <f>IFERROR(RANK(AM11,AM:AM)/COUNT(AM:AM),"-")</f>
        <v>4.5454545454545456E-2</v>
      </c>
      <c r="CC11" s="77">
        <f>AV11+BF11+BZ11+CA11</f>
        <v>0.96931241347485009</v>
      </c>
      <c r="CD11" s="77">
        <f>BW11+BX11+AE11+U11</f>
        <v>0.43136953289237556</v>
      </c>
      <c r="CE11" s="77">
        <f>CC11+CD11</f>
        <v>1.4006819463672255</v>
      </c>
    </row>
    <row r="12" spans="1:83" s="2" customFormat="1" x14ac:dyDescent="0.35">
      <c r="A12" s="15" t="s">
        <v>177</v>
      </c>
      <c r="B12" s="15" t="s">
        <v>178</v>
      </c>
      <c r="C12" s="16">
        <v>20141028</v>
      </c>
      <c r="D12" s="16" t="str">
        <f>[1]!f_info_regulopenfundornot(A12)</f>
        <v>否</v>
      </c>
      <c r="E12" s="16" t="str">
        <f>[1]!f_dq_status(A12,$E$1)</f>
        <v>开放申购|开放赎回</v>
      </c>
      <c r="F12" s="17" t="str">
        <f>[1]!f_info_fundmanager(A12)</f>
        <v>张明凯</v>
      </c>
      <c r="G12" s="16">
        <v>20190319</v>
      </c>
      <c r="H12" s="18">
        <f>[1]!f_netasset_total(A12,$E$1,100000000)</f>
        <v>96.804245157099984</v>
      </c>
      <c r="I12" s="18">
        <f>[1]!f_prt_convertiblebondtonav(A12,$E$1)</f>
        <v>18.775739669799805</v>
      </c>
      <c r="J12" s="18">
        <f>[1]!f_prt_stocktonav(A12,$E$1)+0.5*I12</f>
        <v>26.847392082214355</v>
      </c>
      <c r="K12" s="19">
        <v>0</v>
      </c>
      <c r="L12" s="19">
        <f>[1]!f_return($A12,"1",L$2,$E$1)</f>
        <v>14.040894615161115</v>
      </c>
      <c r="M12" s="19">
        <f>[1]!f_risk_stdevyearly($A12,L$2,$E$1,1,1)</f>
        <v>8.5636843928727657</v>
      </c>
      <c r="N12" s="19">
        <f>IFERROR(L12/M12,"-")</f>
        <v>1.6395857169662658</v>
      </c>
      <c r="O12" s="19" t="str">
        <f>IFERROR(RANK(N12,N:N)&amp;"/"&amp;COUNT(N:N),"-")</f>
        <v>75/197</v>
      </c>
      <c r="P12" s="26">
        <f>IF(O12="-","-",RANK(N12,N:N)/COUNT(N:N))</f>
        <v>0.38071065989847713</v>
      </c>
      <c r="Q12" s="56">
        <v>4.5685279187817257E-2</v>
      </c>
      <c r="R12" s="33" t="str">
        <f>IF(OR($C12&gt;20190630,$K12&gt;30,N12="-",$D12="是",$E12="封闭期",$H12&lt;10,$BN12&lt;-6,$BR12&lt;70),"-",COUNTIFS(N$4:N$200,"&lt;&gt;-",$D$4:$D$200,"&lt;&gt;是",$E$4:$E$200,"&lt;&gt;封闭期",$H$4:$H$200,"&gt;10",$BN$4:$BN$200,"&gt;-6",$BR$4:$BR$200,"&gt;=70",$K$4:$K$200,"&lt;=30",$C$4:$C$200,"&lt;20190630",N$4:N$200,"&gt;="&amp;N12)/COUNTIFS(N$4:N$200,"&lt;&gt;-",$D$4:$D$200,"&lt;&gt;是",$E$4:$E$200,"&lt;&gt;封闭期",$H$4:$H$200,"&gt;10",$BN$4:$BN$200,"&gt;-6",$BR$4:$BR$200,"&gt;=70",$C$4:$C$200,"&lt;20190630",$K$4:$K$200,"&lt;=30"))</f>
        <v>-</v>
      </c>
      <c r="S12" s="19">
        <f>IFERROR((L12-3)/M12,"-")</f>
        <v>1.2892692103821619</v>
      </c>
      <c r="T12" s="19" t="str">
        <f>IFERROR(RANK(S12,S:S)&amp;"/"&amp;COUNT(S:S),"-")</f>
        <v>47/197</v>
      </c>
      <c r="U12" s="26">
        <f>IFERROR(RANK(S12,S:S)/COUNT(S:S),"-")</f>
        <v>0.23857868020304568</v>
      </c>
      <c r="V12" s="34" t="str">
        <f>IF(OR($C12&gt;20190630,$K12&gt;30,S12="-",$D12="是",$E12="封闭期",$H12&lt;10,$BN12&lt;-6,$BR12&lt;70),"-",COUNTIFS(S$4:S$200,"&lt;&gt;-",$D$4:$D$200,"&lt;&gt;是",$E$4:$E$200,"&lt;&gt;封闭期",$H$4:$H$200,"&gt;10",$BN$4:$BN$200,"&gt;-6",$BR$4:$BR$200,"&gt;=70",$K$4:$K$200,"&lt;=30",$C$4:$C$200,"&lt;20190630",S$4:S$200,"&gt;="&amp;S12)&amp;"/"&amp;COUNTIFS(S$4:S$200,"&lt;&gt;-",$D$4:$D$200,"&lt;&gt;是",$E$4:$E$200,"&lt;&gt;封闭期",$H$4:$H$200,"&gt;10",$BN$4:$BN$200,"&gt;-6",$BR$4:$BR$200,"&gt;=70",$C$4:$C$200,"&lt;20190630",$K$4:$K$200,"&lt;=30"))</f>
        <v>-</v>
      </c>
      <c r="W12" s="33" t="str">
        <f>IF(OR($C12&gt;20190630,$K12&gt;30,S12="-",$D12="是",$E12="封闭期",$H12&lt;10,$BN12&lt;-6,$BR12&lt;70),"-",COUNTIFS(S$4:S$200,"&lt;&gt;-",$D$4:$D$200,"&lt;&gt;是",$E$4:$E$200,"&lt;&gt;封闭期",$H$4:$H$200,"&gt;10",$BN$4:$BN$200,"&gt;-6",$BR$4:$BR$200,"&gt;=70",$K$4:$K$200,"&lt;=30",$C$4:$C$200,"&lt;20190630",S$4:S$200,"&gt;="&amp;S12)/COUNTIFS(S$4:S$200,"&lt;&gt;-",$D$4:$D$200,"&lt;&gt;是",$E$4:$E$200,"&lt;&gt;封闭期",$H$4:$H$200,"&gt;10",$BN$4:$BN$200,"&gt;-6",$BR$4:$BR$200,"&gt;=70",$C$4:$C$200,"&lt;20190630",$K$4:$K$200,"&lt;=30"))</f>
        <v>-</v>
      </c>
      <c r="X12" s="19">
        <f>[1]!f_risk_calmar(A12,$L$2,$E$1)</f>
        <v>3.0017155785384908</v>
      </c>
      <c r="Y12" s="19" t="str">
        <f>IFERROR(RANK(X12,X:X)&amp;"/"&amp;COUNT(X:X),"-")</f>
        <v>61/197</v>
      </c>
      <c r="Z12" s="26">
        <f>IFERROR(RANK(X12,X:X)/COUNT(X:X),"-")</f>
        <v>0.30964467005076141</v>
      </c>
      <c r="AA12" s="34" t="str">
        <f>IF(OR($C12&gt;20190630,$K12&gt;30,X12="-",$D12="是",$E12="封闭期",$H12&lt;10,$BN12&lt;-6,$BR12&lt;70),"-",COUNTIFS(X$4:X$200,"&lt;&gt;-",$D$4:$D$200,"&lt;&gt;是",$E$4:$E$200,"&lt;&gt;封闭期",$H$4:$H$200,"&gt;10",$BN$4:$BN$200,"&gt;-6",$BR$4:$BR$200,"&gt;=70",$K$4:$K$200,"&lt;=30",$C$4:$C$200,"&lt;20190630",X$4:X$200,"&gt;="&amp;X12)&amp;"/"&amp;COUNTIFS(X$4:X$200,"&lt;&gt;-",$D$4:$D$200,"&lt;&gt;是",$E$4:$E$200,"&lt;&gt;封闭期",$H$4:$H$200,"&gt;10",$BN$4:$BN$200,"&gt;-6",$BR$4:$BR$200,"&gt;=70",$C$4:$C$200,"&lt;20190630",$K$4:$K$200,"&lt;=30"))</f>
        <v>-</v>
      </c>
      <c r="AB12" s="33" t="str">
        <f>IF(OR($C12&gt;20190630,$K12&gt;30,X12="-",$D12="是",$E12="封闭期",$H12&lt;10,$BN12&lt;-6,$BR12&lt;70),"-",COUNTIFS(X$4:X$200,"&lt;&gt;-",$D$4:$D$200,"&lt;&gt;是",$E$4:$E$200,"&lt;&gt;封闭期",$H$4:$H$200,"&gt;10",$BN$4:$BN$200,"&gt;-6",$BR$4:$BR$200,"&gt;=70",$K$4:$K$200,"&lt;=30",$C$4:$C$200,"&lt;20190630",X$4:X$200,"&gt;="&amp;X12)/COUNTIFS(X$4:X$200,"&lt;&gt;-",$D$4:$D$200,"&lt;&gt;是",$E$4:$E$200,"&lt;&gt;封闭期",$H$4:$H$200,"&gt;10",$BN$4:$BN$200,"&gt;-6",$BR$4:$BR$200,"&gt;=70",$C$4:$C$200,"&lt;20190630",$K$4:$K$200,"&lt;=30"))</f>
        <v>-</v>
      </c>
      <c r="AC12" s="20">
        <v>1</v>
      </c>
      <c r="AD12" s="19" t="str">
        <f>IFERROR(RANK(AC12,AC:AC)&amp;"/"&amp;COUNT(AC:AC),"-")</f>
        <v>1/197</v>
      </c>
      <c r="AE12" s="26">
        <f>IFERROR(RANK(AC12,AC:AC)/COUNT(AC:AC),"-")</f>
        <v>5.076142131979695E-3</v>
      </c>
      <c r="AF12" s="34" t="str">
        <f>IF(OR($C12&gt;20190630,$K12&gt;30,AC12="-",$D12="是",$E12="封闭期",$H12&lt;10,$BN12&lt;-6,$BR12&lt;70),"-",COUNTIFS(AC$4:AC$200,"&lt;&gt;-",$D$4:$D$200,"&lt;&gt;是",$E$4:$E$200,"&lt;&gt;封闭期",$H$4:$H$200,"&gt;10",$BN$4:$BN$200,"&gt;-6",$BR$4:$BR$200,"&gt;=70",$K$4:$K$200,"&lt;=30",$C$4:$C$200,"&lt;20190630",AC$4:AC$200,"&gt;="&amp;AC12)&amp;"/"&amp;COUNTIFS(AC$4:AC$200,"&lt;&gt;-",$D$4:$D$200,"&lt;&gt;是",$E$4:$E$200,"&lt;&gt;封闭期",$H$4:$H$200,"&gt;10",$BN$4:$BN$200,"&gt;-6",$BR$4:$BR$200,"&gt;=70",$C$4:$C$200,"&lt;20190630",$K$4:$K$200,"&lt;=30"))</f>
        <v>-</v>
      </c>
      <c r="AG12" s="33" t="str">
        <f>IF(OR($C12&gt;20190630,$K12&gt;30,AC12="-",$D12="是",$E12="封闭期",$H12&lt;10,$BN12&lt;-6,$BR12&lt;70),"-",COUNTIFS(AC$4:AC$200,"&lt;&gt;-",$D$4:$D$200,"&lt;&gt;是",$E$4:$E$200,"&lt;&gt;封闭期",$H$4:$H$200,"&gt;10",$BN$4:$BN$200,"&gt;-6",$BR$4:$BR$200,"&gt;=70",$K$4:$K$200,"&lt;=30",$C$4:$C$200,"&lt;20190630",AC$4:AC$200,"&gt;="&amp;AC12)/COUNTIFS(AC$4:AC$200,"&lt;&gt;-",$D$4:$D$200,"&lt;&gt;是",$E$4:$E$200,"&lt;&gt;封闭期",$H$4:$H$200,"&gt;10",$BN$4:$BN$200,"&gt;-6",$BR$4:$BR$200,"&gt;=70",$C$4:$C$200,"&lt;20190630",$K$4:$K$200,"&lt;=30"))</f>
        <v>-</v>
      </c>
      <c r="AH12" s="21">
        <f>[1]!f_risk_maxdownside(A12,$L$2,$E$1)</f>
        <v>-4.6776232616940687</v>
      </c>
      <c r="AI12" s="19" t="str">
        <f>IFERROR(RANK(AH12,AH:AH)&amp;"/"&amp;COUNT(AH:AH),"-")</f>
        <v>147/197</v>
      </c>
      <c r="AJ12" s="26">
        <f>IFERROR(RANK(AH12,AH:AH)/COUNT(AH:AH),"-")</f>
        <v>0.74619289340101524</v>
      </c>
      <c r="AK12" s="34" t="str">
        <f>IF(OR($C12&gt;20190630,$K12&gt;30,AH12="-",$D12="是",$E12="封闭期",$H12&lt;10,$BN12&lt;-6,$BR12&lt;70),"-",COUNTIFS(AH$4:AH$200,"&lt;&gt;-",$D$4:$D$200,"&lt;&gt;是",$E$4:$E$200,"&lt;&gt;封闭期",$H$4:$H$200,"&gt;10",$BN$4:$BN$200,"&gt;-6",$BR$4:$BR$200,"&gt;=70",$K$4:$K$200,"&lt;=30",$C$4:$C$200,"&lt;20190630",AH$4:AH$200,"&gt;="&amp;AH12)&amp;"/"&amp;COUNTIFS(AH$4:AH$200,"&lt;&gt;-",$D$4:$D$200,"&lt;&gt;是",$E$4:$E$200,"&lt;&gt;封闭期",$H$4:$H$200,"&gt;10",$BN$4:$BN$200,"&gt;-6",$BR$4:$BR$200,"&gt;=70",$C$4:$C$200,"&lt;20190630",$K$4:$K$200,"&lt;=30"))</f>
        <v>-</v>
      </c>
      <c r="AL12" s="33" t="str">
        <f>IF(OR($C12&gt;20190630,$K12&gt;30,AH12="-",$D12="是",$E12="封闭期",$H12&lt;10,$BN12&lt;-6,$BR12&lt;70),"-",COUNTIFS(AH$4:AH$200,"&lt;&gt;-",$D$4:$D$200,"&lt;&gt;是",$E$4:$E$200,"&lt;&gt;封闭期",$H$4:$H$200,"&gt;10",$BN$4:$BN$200,"&gt;-6",$BR$4:$BR$200,"&gt;=70",$K$4:$K$200,"&lt;=30",$C$4:$C$200,"&lt;20190630",AH$4:AH$200,"&gt;="&amp;AH12)/COUNTIFS(AH$4:AH$200,"&lt;&gt;-",$D$4:$D$200,"&lt;&gt;是",$E$4:$E$200,"&lt;&gt;封闭期",$H$4:$H$200,"&gt;10",$BN$4:$BN$200,"&gt;-6",$BR$4:$BR$200,"&gt;=70",$C$4:$C$200,"&lt;20190630",$K$4:$K$200,"&lt;=30"))</f>
        <v>-</v>
      </c>
      <c r="AM12" s="19">
        <f>[1]!f_return($A12,"1",AM$2,$L$2)</f>
        <v>17.357349365401209</v>
      </c>
      <c r="AN12" s="19">
        <f>[1]!f_risk_stdevyearly($A12,AM$2,$L$2,1,1)</f>
        <v>12.417900725305502</v>
      </c>
      <c r="AO12" s="19">
        <f>IFERROR(AM12/AN12,"-")</f>
        <v>1.397768411051151</v>
      </c>
      <c r="AP12" s="19" t="str">
        <f>IFERROR(RANK(AO12,AO:AO)&amp;"/"&amp;COUNT(AO:AO),"-")</f>
        <v>122/197</v>
      </c>
      <c r="AQ12" s="26">
        <f>IF(AP12="-","-",RANK(AO12,AO:AO)/COUNT(AO:AO))</f>
        <v>0.61928934010152281</v>
      </c>
      <c r="AR12" s="57">
        <v>4.5685279187817257E-2</v>
      </c>
      <c r="AS12" s="33" t="str">
        <f>IF(OR($C12&gt;20190630,$K12&gt;30,AO12="-",$D12="是",$E12="封闭期",$H12&lt;10,$BN12&lt;-6,$BR12&lt;70),"-",COUNTIFS(AO$4:AO$200,"&lt;&gt;-",$D$4:$D$200,"&lt;&gt;是",$E$4:$E$200,"&lt;&gt;封闭期",$H$4:$H$200,"&gt;10",$BN$4:$BN$200,"&gt;-6",$BR$4:$BR$200,"&gt;=70",$K$4:$K$200,"&lt;=30",$C$4:$C$200,"&lt;20190630",AO$4:AO$200,"&gt;="&amp;AO12)/COUNTIFS(AO$4:AO$200,"&lt;&gt;-",$D$4:$D$200,"&lt;&gt;是",$E$4:$E$200,"&lt;&gt;封闭期",$H$4:$H$200,"&gt;10",$BN$4:$BN$200,"&gt;-6",$BR$4:$BR$200,"&gt;=70",$C$4:$C$200,"&lt;20190630",$K$4:$K$200,"&lt;=30"))</f>
        <v>-</v>
      </c>
      <c r="AT12" s="19">
        <f>IFERROR((AM12-3)/AN12,"-")</f>
        <v>1.1561816834421499</v>
      </c>
      <c r="AU12" s="19" t="str">
        <f>IFERROR(RANK(AT12,AT:AT)&amp;"/"&amp;COUNT(AT:AT),"-")</f>
        <v>59/197</v>
      </c>
      <c r="AV12" s="26">
        <f>IFERROR(RANK(AT12,AT:AT)/COUNT(AT:AT),"-")</f>
        <v>0.29949238578680204</v>
      </c>
      <c r="AW12" s="34" t="str">
        <f>IF(OR($C12&gt;20190630,$K12&gt;30,AT12="-",$D12="是",$E12="封闭期",$H12&lt;10,$BN12&lt;-6,$BR12&lt;70),"-",COUNTIFS(AT$4:AT$200,"&lt;&gt;-",$D$4:$D$200,"&lt;&gt;是",$E$4:$E$200,"&lt;&gt;封闭期",$H$4:$H$200,"&gt;10",$BN$4:$BN$200,"&gt;-6",$BR$4:$BR$200,"&gt;=70",$K$4:$K$200,"&lt;=30",$C$4:$C$200,"&lt;20190630",AT$4:AT$200,"&gt;="&amp;AT12)&amp;"/"&amp;COUNTIFS(AT$4:AT$200,"&lt;&gt;-",$D$4:$D$200,"&lt;&gt;是",$E$4:$E$200,"&lt;&gt;封闭期",$H$4:$H$200,"&gt;10",$BN$4:$BN$200,"&gt;-6",$BR$4:$BR$200,"&gt;=70",$C$4:$C$200,"&lt;20190630",$K$4:$K$200,"&lt;=30"))</f>
        <v>-</v>
      </c>
      <c r="AX12" s="33" t="str">
        <f>IF(OR($C12&gt;20190630,$K12&gt;30,AT12="-",$D12="是",$E12="封闭期",$H12&lt;10,$BN12&lt;-6,$BR12&lt;70),"-",COUNTIFS(AT$4:AT$200,"&lt;&gt;-",$D$4:$D$200,"&lt;&gt;是",$E$4:$E$200,"&lt;&gt;封闭期",$H$4:$H$200,"&gt;10",$BN$4:$BN$200,"&gt;-6",$BR$4:$BR$200,"&gt;=70",$K$4:$K$200,"&lt;=30",$C$4:$C$200,"&lt;20190630",AT$4:AT$200,"&gt;="&amp;AT12)/COUNTIFS(AT$4:AT$200,"&lt;&gt;-",$D$4:$D$200,"&lt;&gt;是",$E$4:$E$200,"&lt;&gt;封闭期",$H$4:$H$200,"&gt;10",$BN$4:$BN$200,"&gt;-6",$BR$4:$BR$200,"&gt;=70",$C$4:$C$200,"&lt;20190630",$K$4:$K$200,"&lt;=30"))</f>
        <v>-</v>
      </c>
      <c r="AY12" s="19">
        <f>[1]!f_risk_calmar(A12,$AM$2,$L$2)</f>
        <v>2.018793249268199</v>
      </c>
      <c r="AZ12" s="19" t="str">
        <f>IFERROR(RANK(AY12,AY:AY)&amp;"/"&amp;COUNT(AY:AY),"-")</f>
        <v>109/197</v>
      </c>
      <c r="BA12" s="26">
        <f>IFERROR(RANK(AY12,AY:AY)/COUNT(AY:AY),"-")</f>
        <v>0.5532994923857868</v>
      </c>
      <c r="BB12" s="34" t="str">
        <f>IF(OR($C12&gt;20190630,$K12&gt;30,AY12="-",$D12="是",$E12="封闭期",$H12&lt;10,$BN12&lt;-6,$BR12&lt;70),"-",COUNTIFS(AY$4:AY$200,"&lt;&gt;-",$D$4:$D$200,"&lt;&gt;是",$E$4:$E$200,"&lt;&gt;封闭期",$H$4:$H$200,"&gt;10",$BN$4:$BN$200,"&gt;-6",$BR$4:$BR$200,"&gt;=70",$K$4:$K$200,"&lt;=30",$C$4:$C$200,"&lt;20190630",AY$4:AY$200,"&gt;="&amp;AY12)&amp;"/"&amp;COUNTIFS(AY$4:AY$200,"&lt;&gt;-",$D$4:$D$200,"&lt;&gt;是",$E$4:$E$200,"&lt;&gt;封闭期",$H$4:$H$200,"&gt;10",$BN$4:$BN$200,"&gt;-6",$BR$4:$BR$200,"&gt;=70",$C$4:$C$200,"&lt;20190630",$K$4:$K$200,"&lt;=30"))</f>
        <v>-</v>
      </c>
      <c r="BC12" s="33" t="str">
        <f>IF(OR($C12&gt;20190630,$K12&gt;30,AY12="-",$D12="是",$E12="封闭期",$H12&lt;10,$BN12&lt;-6,$BR12&lt;70),"-",COUNTIFS(AY$4:AY$200,"&lt;&gt;-",$D$4:$D$200,"&lt;&gt;是",$E$4:$E$200,"&lt;&gt;封闭期",$H$4:$H$200,"&gt;10",$BN$4:$BN$200,"&gt;-6",$BR$4:$BR$200,"&gt;=70",$K$4:$K$200,"&lt;=30",$C$4:$C$200,"&lt;20190630",AY$4:AY$200,"&gt;="&amp;AY12)/COUNTIFS(AY$4:AY$200,"&lt;&gt;-",$D$4:$D$200,"&lt;&gt;是",$E$4:$E$200,"&lt;&gt;封闭期",$H$4:$H$200,"&gt;10",$BN$4:$BN$200,"&gt;-6",$BR$4:$BR$200,"&gt;=70",$C$4:$C$200,"&lt;20190630",$K$4:$K$200,"&lt;=30"))</f>
        <v>-</v>
      </c>
      <c r="BD12" s="20">
        <v>1</v>
      </c>
      <c r="BE12" s="19" t="str">
        <f>IFERROR(RANK(BD12,BD:BD)&amp;"/"&amp;COUNT(BD:BD),"-")</f>
        <v>1/197</v>
      </c>
      <c r="BF12" s="26">
        <f>IFERROR(RANK(BD12,BD:BD)/COUNT(BD:BD),"-")</f>
        <v>5.076142131979695E-3</v>
      </c>
      <c r="BG12" s="34" t="str">
        <f>IF(OR($C12&gt;20190630,$K12&gt;30,BD12="-",$D12="是",$E12="封闭期",$H12&lt;10,$BN12&lt;-6,$BR12&lt;70),"-",COUNTIFS(BD$4:BD$200,"&lt;&gt;-",$D$4:$D$200,"&lt;&gt;是",$E$4:$E$200,"&lt;&gt;封闭期",$H$4:$H$200,"&gt;10",$BN$4:$BN$200,"&gt;-6",$BR$4:$BR$200,"&gt;=70",$K$4:$K$200,"&lt;=30",$C$4:$C$200,"&lt;20190630",BD$4:BD$200,"&gt;="&amp;BD12)&amp;"/"&amp;COUNTIFS(BD$4:BD$200,"&lt;&gt;-",$D$4:$D$200,"&lt;&gt;是",$E$4:$E$200,"&lt;&gt;封闭期",$H$4:$H$200,"&gt;10",$BN$4:$BN$200,"&gt;-6",$BR$4:$BR$200,"&gt;=70",$C$4:$C$200,"&lt;20190630",$K$4:$K$200,"&lt;=30"))</f>
        <v>-</v>
      </c>
      <c r="BH12" s="33" t="str">
        <f>IF(OR($C12&gt;20190630,$K12&gt;30,BD12="-",$D12="是",$E12="封闭期",$H12&lt;10,$BN12&lt;-6,$BR12&lt;70),"-",COUNTIFS(BD$4:BD$200,"&lt;&gt;-",$D$4:$D$200,"&lt;&gt;是",$E$4:$E$200,"&lt;&gt;封闭期",$H$4:$H$200,"&gt;10",$BN$4:$BN$200,"&gt;-6",$BR$4:$BR$200,"&gt;=70",$K$4:$K$200,"&lt;=30",$C$4:$C$200,"&lt;20190630",BD$4:BD$200,"&gt;="&amp;BD12)/COUNTIFS(BD$4:BD$200,"&lt;&gt;-",$D$4:$D$200,"&lt;&gt;是",$E$4:$E$200,"&lt;&gt;封闭期",$H$4:$H$200,"&gt;10",$BN$4:$BN$200,"&gt;-6",$BR$4:$BR$200,"&gt;=70",$C$4:$C$200,"&lt;20190630",$K$4:$K$200,"&lt;=30"))</f>
        <v>-</v>
      </c>
      <c r="BI12" s="21">
        <f>[1]!f_risk_maxdownside(A12,$AM$2,$L$2)</f>
        <v>-8.5978835978836106</v>
      </c>
      <c r="BJ12" s="19" t="str">
        <f>IFERROR(RANK(BI12,BI:BI)&amp;"/"&amp;COUNT(BI:BI),"-")</f>
        <v>186/197</v>
      </c>
      <c r="BK12" s="26">
        <f>IFERROR(RANK(BI12,BI:BI)/COUNT(BI:BI),"-")</f>
        <v>0.9441624365482234</v>
      </c>
      <c r="BL12" s="34" t="str">
        <f>IF(OR($C12&gt;20190630,$K12&gt;30,BI12="-",$D12="是",$E12="封闭期",$H12&lt;10,$BN12&lt;-6,$BR12&lt;70),"-",COUNTIFS(BI$4:BI$200,"&lt;&gt;-",$D$4:$D$200,"&lt;&gt;是",$E$4:$E$200,"&lt;&gt;封闭期",$H$4:$H$200,"&gt;10",$BN$4:$BN$200,"&gt;-6",$BR$4:$BR$200,"&gt;=70",$K$4:$K$200,"&lt;=30",$C$4:$C$200,"&lt;20190630",BI$4:BI$200,"&gt;="&amp;BI12)&amp;"/"&amp;COUNTIFS(BI$4:BI$200,"&lt;&gt;-",$D$4:$D$200,"&lt;&gt;是",$E$4:$E$200,"&lt;&gt;封闭期",$H$4:$H$200,"&gt;10",$BN$4:$BN$200,"&gt;-6",$BR$4:$BR$200,"&gt;=70",$C$4:$C$200,"&lt;20190630",$K$4:$K$200,"&lt;=30"))</f>
        <v>-</v>
      </c>
      <c r="BM12" s="33" t="str">
        <f>IF(OR($C12&gt;20190630,$K12&gt;30,BI12="-",$D12="是",$E12="封闭期",$H12&lt;10,$BN12&lt;-6,$BR12&lt;70),"-",COUNTIFS(BI$4:BI$200,"&lt;&gt;-",$D$4:$D$200,"&lt;&gt;是",$E$4:$E$200,"&lt;&gt;封闭期",$H$4:$H$200,"&gt;10",$BN$4:$BN$200,"&gt;-6",$BR$4:$BR$200,"&gt;=70",$K$4:$K$200,"&lt;=30",$C$4:$C$200,"&lt;20190630",BI$4:BI$200,"&gt;="&amp;BI12)/COUNTIFS(BI$4:BI$200,"&lt;&gt;-",$D$4:$D$200,"&lt;&gt;是",$E$4:$E$200,"&lt;&gt;封闭期",$H$4:$H$200,"&gt;10",$BN$4:$BN$200,"&gt;-6",$BR$4:$BR$200,"&gt;=70",$C$4:$C$200,"&lt;20190630",$K$4:$K$200,"&lt;=30"))</f>
        <v>-</v>
      </c>
      <c r="BN12" s="21">
        <f>[1]!f_risk_maxdownside(A12,$AM$2,$E$1)</f>
        <v>-8.5978835978836106</v>
      </c>
      <c r="BO12" s="21">
        <f>IF(C12&lt;20190930,[1]!f_return_2y(A12,"0","20210930"),"-")</f>
        <v>33.366098610007775</v>
      </c>
      <c r="BP12" s="19" t="str">
        <f>IFERROR(RANK(BO12,BO:BO)&amp;"/"&amp;COUNT(BO:BO),"-")</f>
        <v>6/197</v>
      </c>
      <c r="BQ12" s="25">
        <f>IFERROR(RANK(BO12,BO:BO)/COUNT(BO:BO),"-")</f>
        <v>3.0456852791878174E-2</v>
      </c>
      <c r="BR12" s="19">
        <f>IF(C12&lt;20190930,[1]!f_absolute_profitmonthper(A12,"20190930","20210930"),"-")</f>
        <v>70.833333333333343</v>
      </c>
      <c r="BS12" s="19" t="str">
        <f>IFERROR(RANK(BR12,BR:BR)&amp;"/"&amp;COUNT(BR:BR),"-")</f>
        <v>55/198</v>
      </c>
      <c r="BT12" s="25">
        <f>IFERROR(RANK(BR12,BR:BR)/COUNT(BR:BR),"-")</f>
        <v>0.27777777777777779</v>
      </c>
      <c r="BU12" s="17"/>
      <c r="BV12" s="12">
        <f>X12-3/M12</f>
        <v>2.651399071954387</v>
      </c>
      <c r="BW12" s="76">
        <f>IFERROR(RANK(BV12,BV:BV)/COUNT(BV:BV),"-")</f>
        <v>0.25380710659898476</v>
      </c>
      <c r="BX12" s="76">
        <f>IFERROR(RANK(L12,L:L)/COUNT(L:L),"-")</f>
        <v>5.0505050505050504E-2</v>
      </c>
      <c r="BY12" s="12">
        <f>AY12-3/AN12</f>
        <v>1.7772065216591977</v>
      </c>
      <c r="BZ12" s="76">
        <f>IFERROR(RANK(BY12,BY:BY)/COUNT(BY:BY),"-")</f>
        <v>0.42131979695431471</v>
      </c>
      <c r="CA12" s="76">
        <f>IFERROR(RANK(AM12,AM:AM)/COUNT(AM:AM),"-")</f>
        <v>5.0505050505050504E-2</v>
      </c>
      <c r="CC12" s="77">
        <f>AV12+BF12+BZ12+CA12</f>
        <v>0.77639337537814701</v>
      </c>
      <c r="CD12" s="77">
        <f>BW12+BX12+AE12+U12</f>
        <v>0.5479669794390607</v>
      </c>
      <c r="CE12" s="77">
        <f>CC12+CD12</f>
        <v>1.3243603548172076</v>
      </c>
    </row>
    <row r="13" spans="1:83" s="17" customFormat="1" hidden="1" x14ac:dyDescent="0.35">
      <c r="A13" s="15" t="s">
        <v>371</v>
      </c>
      <c r="B13" s="15" t="s">
        <v>372</v>
      </c>
      <c r="C13" s="16">
        <v>20180403</v>
      </c>
      <c r="D13" s="16" t="str">
        <f>[1]!f_info_regulopenfundornot(A13)</f>
        <v>否</v>
      </c>
      <c r="E13" s="16" t="str">
        <f>[1]!f_dq_status(A13,$E$1)</f>
        <v>开放申购|开放赎回</v>
      </c>
      <c r="F13" s="17" t="str">
        <f>[1]!f_info_fundmanager(A13)</f>
        <v>吕晓蓉</v>
      </c>
      <c r="G13" s="16">
        <v>20180403</v>
      </c>
      <c r="H13" s="18">
        <f>[1]!f_netasset_total(A13,$E$1,100000000)</f>
        <v>9.8950082587000008</v>
      </c>
      <c r="I13" s="18">
        <f>[1]!f_prt_convertiblebondtonav(A13,$E$1)</f>
        <v>1.0804567337036133</v>
      </c>
      <c r="J13" s="18">
        <f>[1]!f_prt_stocktonav(A13,$E$1)+0.5*I13</f>
        <v>5.4710693359375</v>
      </c>
      <c r="K13" s="19">
        <v>0</v>
      </c>
      <c r="L13" s="19">
        <f>[1]!f_return($A13,"1",L$2,$E$1)</f>
        <v>-3.0156593171621671</v>
      </c>
      <c r="M13" s="19">
        <f>[1]!f_risk_stdevyearly($A13,L$2,$E$1,1,1)</f>
        <v>6.0404814847944772</v>
      </c>
      <c r="N13" s="19">
        <f>IFERROR(L13/M13,"-")</f>
        <v>-0.49924154634914381</v>
      </c>
      <c r="O13" s="19" t="str">
        <f>IFERROR(RANK(N13,N:N)&amp;"/"&amp;COUNT(N:N),"-")</f>
        <v>194/197</v>
      </c>
      <c r="P13" s="26">
        <f>IF(O13="-","-",RANK(N13,N:N)/COUNT(N:N))</f>
        <v>0.98477157360406087</v>
      </c>
      <c r="Q13" s="56">
        <v>0.98984771573604058</v>
      </c>
      <c r="R13" s="33" t="str">
        <f>IF(OR($C13&gt;20190630,$K13&gt;30,N13="-",$D13="是",$E13="封闭期",$H13&lt;10,$BN13&lt;-6,$BR13&lt;70),"-",COUNTIFS(N$4:N$200,"&lt;&gt;-",$D$4:$D$200,"&lt;&gt;是",$E$4:$E$200,"&lt;&gt;封闭期",$H$4:$H$200,"&gt;10",$BN$4:$BN$200,"&gt;-6",$BR$4:$BR$200,"&gt;=70",$K$4:$K$200,"&lt;=30",$C$4:$C$200,"&lt;20190630",N$4:N$200,"&gt;="&amp;N13)/COUNTIFS(N$4:N$200,"&lt;&gt;-",$D$4:$D$200,"&lt;&gt;是",$E$4:$E$200,"&lt;&gt;封闭期",$H$4:$H$200,"&gt;10",$BN$4:$BN$200,"&gt;-6",$BR$4:$BR$200,"&gt;=70",$C$4:$C$200,"&lt;20190630",$K$4:$K$200,"&lt;=30"))</f>
        <v>-</v>
      </c>
      <c r="S13" s="19">
        <f>IFERROR((L13-3)/M13,"-")</f>
        <v>-0.99589069717458878</v>
      </c>
      <c r="T13" s="19" t="str">
        <f>IFERROR(RANK(S13,S:S)&amp;"/"&amp;COUNT(S:S),"-")</f>
        <v>190/197</v>
      </c>
      <c r="U13" s="26">
        <f>IFERROR(RANK(S13,S:S)/COUNT(S:S),"-")</f>
        <v>0.96446700507614214</v>
      </c>
      <c r="V13" s="34" t="str">
        <f>IF(OR($C13&gt;20190630,$K13&gt;30,S13="-",$D13="是",$E13="封闭期",$H13&lt;10,$BN13&lt;-6,$BR13&lt;70),"-",COUNTIFS(S$4:S$200,"&lt;&gt;-",$D$4:$D$200,"&lt;&gt;是",$E$4:$E$200,"&lt;&gt;封闭期",$H$4:$H$200,"&gt;10",$BN$4:$BN$200,"&gt;-6",$BR$4:$BR$200,"&gt;=70",$K$4:$K$200,"&lt;=30",$C$4:$C$200,"&lt;20190630",S$4:S$200,"&gt;="&amp;S13)&amp;"/"&amp;COUNTIFS(S$4:S$200,"&lt;&gt;-",$D$4:$D$200,"&lt;&gt;是",$E$4:$E$200,"&lt;&gt;封闭期",$H$4:$H$200,"&gt;10",$BN$4:$BN$200,"&gt;-6",$BR$4:$BR$200,"&gt;=70",$C$4:$C$200,"&lt;20190630",$K$4:$K$200,"&lt;=30"))</f>
        <v>-</v>
      </c>
      <c r="W13" s="33" t="str">
        <f>IF(OR($C13&gt;20190630,$K13&gt;30,S13="-",$D13="是",$E13="封闭期",$H13&lt;10,$BN13&lt;-6,$BR13&lt;70),"-",COUNTIFS(S$4:S$200,"&lt;&gt;-",$D$4:$D$200,"&lt;&gt;是",$E$4:$E$200,"&lt;&gt;封闭期",$H$4:$H$200,"&gt;10",$BN$4:$BN$200,"&gt;-6",$BR$4:$BR$200,"&gt;=70",$K$4:$K$200,"&lt;=30",$C$4:$C$200,"&lt;20190630",S$4:S$200,"&gt;="&amp;S13)/COUNTIFS(S$4:S$200,"&lt;&gt;-",$D$4:$D$200,"&lt;&gt;是",$E$4:$E$200,"&lt;&gt;封闭期",$H$4:$H$200,"&gt;10",$BN$4:$BN$200,"&gt;-6",$BR$4:$BR$200,"&gt;=70",$C$4:$C$200,"&lt;20190630",$K$4:$K$200,"&lt;=30"))</f>
        <v>-</v>
      </c>
      <c r="X13" s="19">
        <f>[1]!f_risk_calmar(A13,$L$2,$E$1)</f>
        <v>-0.34957088732369446</v>
      </c>
      <c r="Y13" s="19" t="str">
        <f>IFERROR(RANK(X13,X:X)&amp;"/"&amp;COUNT(X:X),"-")</f>
        <v>192/197</v>
      </c>
      <c r="Z13" s="26">
        <f>IFERROR(RANK(X13,X:X)/COUNT(X:X),"-")</f>
        <v>0.97461928934010156</v>
      </c>
      <c r="AA13" s="34" t="str">
        <f>IF(OR($C13&gt;20190630,$K13&gt;30,X13="-",$D13="是",$E13="封闭期",$H13&lt;10,$BN13&lt;-6,$BR13&lt;70),"-",COUNTIFS(X$4:X$200,"&lt;&gt;-",$D$4:$D$200,"&lt;&gt;是",$E$4:$E$200,"&lt;&gt;封闭期",$H$4:$H$200,"&gt;10",$BN$4:$BN$200,"&gt;-6",$BR$4:$BR$200,"&gt;=70",$K$4:$K$200,"&lt;=30",$C$4:$C$200,"&lt;20190630",X$4:X$200,"&gt;="&amp;X13)&amp;"/"&amp;COUNTIFS(X$4:X$200,"&lt;&gt;-",$D$4:$D$200,"&lt;&gt;是",$E$4:$E$200,"&lt;&gt;封闭期",$H$4:$H$200,"&gt;10",$BN$4:$BN$200,"&gt;-6",$BR$4:$BR$200,"&gt;=70",$C$4:$C$200,"&lt;20190630",$K$4:$K$200,"&lt;=30"))</f>
        <v>-</v>
      </c>
      <c r="AB13" s="33" t="str">
        <f>IF(OR($C13&gt;20190630,$K13&gt;30,X13="-",$D13="是",$E13="封闭期",$H13&lt;10,$BN13&lt;-6,$BR13&lt;70),"-",COUNTIFS(X$4:X$200,"&lt;&gt;-",$D$4:$D$200,"&lt;&gt;是",$E$4:$E$200,"&lt;&gt;封闭期",$H$4:$H$200,"&gt;10",$BN$4:$BN$200,"&gt;-6",$BR$4:$BR$200,"&gt;=70",$K$4:$K$200,"&lt;=30",$C$4:$C$200,"&lt;20190630",X$4:X$200,"&gt;="&amp;X13)/COUNTIFS(X$4:X$200,"&lt;&gt;-",$D$4:$D$200,"&lt;&gt;是",$E$4:$E$200,"&lt;&gt;封闭期",$H$4:$H$200,"&gt;10",$BN$4:$BN$200,"&gt;-6",$BR$4:$BR$200,"&gt;=70",$C$4:$C$200,"&lt;20190630",$K$4:$K$200,"&lt;=30"))</f>
        <v>-</v>
      </c>
      <c r="AC13" s="20">
        <v>0.13445378151260501</v>
      </c>
      <c r="AD13" s="19" t="str">
        <f>IFERROR(RANK(AC13,AC:AC)&amp;"/"&amp;COUNT(AC:AC),"-")</f>
        <v>193/197</v>
      </c>
      <c r="AE13" s="26">
        <f>IFERROR(RANK(AC13,AC:AC)/COUNT(AC:AC),"-")</f>
        <v>0.97969543147208127</v>
      </c>
      <c r="AF13" s="34" t="str">
        <f>IF(OR($C13&gt;20190630,$K13&gt;30,AC13="-",$D13="是",$E13="封闭期",$H13&lt;10,$BN13&lt;-6,$BR13&lt;70),"-",COUNTIFS(AC$4:AC$200,"&lt;&gt;-",$D$4:$D$200,"&lt;&gt;是",$E$4:$E$200,"&lt;&gt;封闭期",$H$4:$H$200,"&gt;10",$BN$4:$BN$200,"&gt;-6",$BR$4:$BR$200,"&gt;=70",$K$4:$K$200,"&lt;=30",$C$4:$C$200,"&lt;20190630",AC$4:AC$200,"&gt;="&amp;AC13)&amp;"/"&amp;COUNTIFS(AC$4:AC$200,"&lt;&gt;-",$D$4:$D$200,"&lt;&gt;是",$E$4:$E$200,"&lt;&gt;封闭期",$H$4:$H$200,"&gt;10",$BN$4:$BN$200,"&gt;-6",$BR$4:$BR$200,"&gt;=70",$C$4:$C$200,"&lt;20190630",$K$4:$K$200,"&lt;=30"))</f>
        <v>-</v>
      </c>
      <c r="AG13" s="33" t="str">
        <f>IF(OR($C13&gt;20190630,$K13&gt;30,AC13="-",$D13="是",$E13="封闭期",$H13&lt;10,$BN13&lt;-6,$BR13&lt;70),"-",COUNTIFS(AC$4:AC$200,"&lt;&gt;-",$D$4:$D$200,"&lt;&gt;是",$E$4:$E$200,"&lt;&gt;封闭期",$H$4:$H$200,"&gt;10",$BN$4:$BN$200,"&gt;-6",$BR$4:$BR$200,"&gt;=70",$K$4:$K$200,"&lt;=30",$C$4:$C$200,"&lt;20190630",AC$4:AC$200,"&gt;="&amp;AC13)/COUNTIFS(AC$4:AC$200,"&lt;&gt;-",$D$4:$D$200,"&lt;&gt;是",$E$4:$E$200,"&lt;&gt;封闭期",$H$4:$H$200,"&gt;10",$BN$4:$BN$200,"&gt;-6",$BR$4:$BR$200,"&gt;=70",$C$4:$C$200,"&lt;20190630",$K$4:$K$200,"&lt;=30"))</f>
        <v>-</v>
      </c>
      <c r="AH13" s="21">
        <f>[1]!f_risk_maxdownside(A13,$L$2,$E$1)</f>
        <v>-8.6267461808675652</v>
      </c>
      <c r="AI13" s="19" t="str">
        <f>IFERROR(RANK(AH13,AH:AH)&amp;"/"&amp;COUNT(AH:AH),"-")</f>
        <v>191/197</v>
      </c>
      <c r="AJ13" s="26">
        <f>IFERROR(RANK(AH13,AH:AH)/COUNT(AH:AH),"-")</f>
        <v>0.96954314720812185</v>
      </c>
      <c r="AK13" s="34" t="str">
        <f>IF(OR($C13&gt;20190630,$K13&gt;30,AH13="-",$D13="是",$E13="封闭期",$H13&lt;10,$BN13&lt;-6,$BR13&lt;70),"-",COUNTIFS(AH$4:AH$200,"&lt;&gt;-",$D$4:$D$200,"&lt;&gt;是",$E$4:$E$200,"&lt;&gt;封闭期",$H$4:$H$200,"&gt;10",$BN$4:$BN$200,"&gt;-6",$BR$4:$BR$200,"&gt;=70",$K$4:$K$200,"&lt;=30",$C$4:$C$200,"&lt;20190630",AH$4:AH$200,"&gt;="&amp;AH13)&amp;"/"&amp;COUNTIFS(AH$4:AH$200,"&lt;&gt;-",$D$4:$D$200,"&lt;&gt;是",$E$4:$E$200,"&lt;&gt;封闭期",$H$4:$H$200,"&gt;10",$BN$4:$BN$200,"&gt;-6",$BR$4:$BR$200,"&gt;=70",$C$4:$C$200,"&lt;20190630",$K$4:$K$200,"&lt;=30"))</f>
        <v>-</v>
      </c>
      <c r="AL13" s="33" t="str">
        <f>IF(OR($C13&gt;20190630,$K13&gt;30,AH13="-",$D13="是",$E13="封闭期",$H13&lt;10,$BN13&lt;-6,$BR13&lt;70),"-",COUNTIFS(AH$4:AH$200,"&lt;&gt;-",$D$4:$D$200,"&lt;&gt;是",$E$4:$E$200,"&lt;&gt;封闭期",$H$4:$H$200,"&gt;10",$BN$4:$BN$200,"&gt;-6",$BR$4:$BR$200,"&gt;=70",$K$4:$K$200,"&lt;=30",$C$4:$C$200,"&lt;20190630",AH$4:AH$200,"&gt;="&amp;AH13)/COUNTIFS(AH$4:AH$200,"&lt;&gt;-",$D$4:$D$200,"&lt;&gt;是",$E$4:$E$200,"&lt;&gt;封闭期",$H$4:$H$200,"&gt;10",$BN$4:$BN$200,"&gt;-6",$BR$4:$BR$200,"&gt;=70",$C$4:$C$200,"&lt;20190630",$K$4:$K$200,"&lt;=30"))</f>
        <v>-</v>
      </c>
      <c r="AM13" s="19">
        <f>[1]!f_return($A13,"1",AM$2,$L$2)</f>
        <v>16.631711851586275</v>
      </c>
      <c r="AN13" s="19">
        <f>[1]!f_risk_stdevyearly($A13,AM$2,$L$2,1,1)</f>
        <v>11.962255245952354</v>
      </c>
      <c r="AO13" s="19">
        <f>IFERROR(AM13/AN13,"-")</f>
        <v>1.3903491866396944</v>
      </c>
      <c r="AP13" s="19" t="str">
        <f>IFERROR(RANK(AO13,AO:AO)&amp;"/"&amp;COUNT(AO:AO),"-")</f>
        <v>125/197</v>
      </c>
      <c r="AQ13" s="26">
        <f>IF(AP13="-","-",RANK(AO13,AO:AO)/COUNT(AO:AO))</f>
        <v>0.63451776649746194</v>
      </c>
      <c r="AR13" s="57">
        <v>5.0761421319796954E-2</v>
      </c>
      <c r="AS13" s="33" t="str">
        <f>IF(OR($C13&gt;20190630,$K13&gt;30,AO13="-",$D13="是",$E13="封闭期",$H13&lt;10,$BN13&lt;-6,$BR13&lt;70),"-",COUNTIFS(AO$4:AO$200,"&lt;&gt;-",$D$4:$D$200,"&lt;&gt;是",$E$4:$E$200,"&lt;&gt;封闭期",$H$4:$H$200,"&gt;10",$BN$4:$BN$200,"&gt;-6",$BR$4:$BR$200,"&gt;=70",$K$4:$K$200,"&lt;=30",$C$4:$C$200,"&lt;20190630",AO$4:AO$200,"&gt;="&amp;AO13)/COUNTIFS(AO$4:AO$200,"&lt;&gt;-",$D$4:$D$200,"&lt;&gt;是",$E$4:$E$200,"&lt;&gt;封闭期",$H$4:$H$200,"&gt;10",$BN$4:$BN$200,"&gt;-6",$BR$4:$BR$200,"&gt;=70",$C$4:$C$200,"&lt;20190630",$K$4:$K$200,"&lt;=30"))</f>
        <v>-</v>
      </c>
      <c r="AT13" s="19">
        <f>IFERROR((AM13-3)/AN13,"-")</f>
        <v>1.1395603564134624</v>
      </c>
      <c r="AU13" s="19" t="str">
        <f>IFERROR(RANK(AT13,AT:AT)&amp;"/"&amp;COUNT(AT:AT),"-")</f>
        <v>61/197</v>
      </c>
      <c r="AV13" s="26">
        <f>IFERROR(RANK(AT13,AT:AT)/COUNT(AT:AT),"-")</f>
        <v>0.30964467005076141</v>
      </c>
      <c r="AW13" s="34" t="str">
        <f>IF(OR($C13&gt;20190630,$K13&gt;30,AT13="-",$D13="是",$E13="封闭期",$H13&lt;10,$BN13&lt;-6,$BR13&lt;70),"-",COUNTIFS(AT$4:AT$200,"&lt;&gt;-",$D$4:$D$200,"&lt;&gt;是",$E$4:$E$200,"&lt;&gt;封闭期",$H$4:$H$200,"&gt;10",$BN$4:$BN$200,"&gt;-6",$BR$4:$BR$200,"&gt;=70",$K$4:$K$200,"&lt;=30",$C$4:$C$200,"&lt;20190630",AT$4:AT$200,"&gt;="&amp;AT13)&amp;"/"&amp;COUNTIFS(AT$4:AT$200,"&lt;&gt;-",$D$4:$D$200,"&lt;&gt;是",$E$4:$E$200,"&lt;&gt;封闭期",$H$4:$H$200,"&gt;10",$BN$4:$BN$200,"&gt;-6",$BR$4:$BR$200,"&gt;=70",$C$4:$C$200,"&lt;20190630",$K$4:$K$200,"&lt;=30"))</f>
        <v>-</v>
      </c>
      <c r="AX13" s="33" t="str">
        <f>IF(OR($C13&gt;20190630,$K13&gt;30,AT13="-",$D13="是",$E13="封闭期",$H13&lt;10,$BN13&lt;-6,$BR13&lt;70),"-",COUNTIFS(AT$4:AT$200,"&lt;&gt;-",$D$4:$D$200,"&lt;&gt;是",$E$4:$E$200,"&lt;&gt;封闭期",$H$4:$H$200,"&gt;10",$BN$4:$BN$200,"&gt;-6",$BR$4:$BR$200,"&gt;=70",$K$4:$K$200,"&lt;=30",$C$4:$C$200,"&lt;20190630",AT$4:AT$200,"&gt;="&amp;AT13)/COUNTIFS(AT$4:AT$200,"&lt;&gt;-",$D$4:$D$200,"&lt;&gt;是",$E$4:$E$200,"&lt;&gt;封闭期",$H$4:$H$200,"&gt;10",$BN$4:$BN$200,"&gt;-6",$BR$4:$BR$200,"&gt;=70",$C$4:$C$200,"&lt;20190630",$K$4:$K$200,"&lt;=30"))</f>
        <v>-</v>
      </c>
      <c r="AY13" s="19">
        <f>[1]!f_risk_calmar(A13,$AM$2,$L$2)</f>
        <v>1.6914303769772523</v>
      </c>
      <c r="AZ13" s="19" t="str">
        <f>IFERROR(RANK(AY13,AY:AY)&amp;"/"&amp;COUNT(AY:AY),"-")</f>
        <v>131/197</v>
      </c>
      <c r="BA13" s="26">
        <f>IFERROR(RANK(AY13,AY:AY)/COUNT(AY:AY),"-")</f>
        <v>0.6649746192893401</v>
      </c>
      <c r="BB13" s="34" t="str">
        <f>IF(OR($C13&gt;20190630,$K13&gt;30,AY13="-",$D13="是",$E13="封闭期",$H13&lt;10,$BN13&lt;-6,$BR13&lt;70),"-",COUNTIFS(AY$4:AY$200,"&lt;&gt;-",$D$4:$D$200,"&lt;&gt;是",$E$4:$E$200,"&lt;&gt;封闭期",$H$4:$H$200,"&gt;10",$BN$4:$BN$200,"&gt;-6",$BR$4:$BR$200,"&gt;=70",$K$4:$K$200,"&lt;=30",$C$4:$C$200,"&lt;20190630",AY$4:AY$200,"&gt;="&amp;AY13)&amp;"/"&amp;COUNTIFS(AY$4:AY$200,"&lt;&gt;-",$D$4:$D$200,"&lt;&gt;是",$E$4:$E$200,"&lt;&gt;封闭期",$H$4:$H$200,"&gt;10",$BN$4:$BN$200,"&gt;-6",$BR$4:$BR$200,"&gt;=70",$C$4:$C$200,"&lt;20190630",$K$4:$K$200,"&lt;=30"))</f>
        <v>-</v>
      </c>
      <c r="BC13" s="33" t="str">
        <f>IF(OR($C13&gt;20190630,$K13&gt;30,AY13="-",$D13="是",$E13="封闭期",$H13&lt;10,$BN13&lt;-6,$BR13&lt;70),"-",COUNTIFS(AY$4:AY$200,"&lt;&gt;-",$D$4:$D$200,"&lt;&gt;是",$E$4:$E$200,"&lt;&gt;封闭期",$H$4:$H$200,"&gt;10",$BN$4:$BN$200,"&gt;-6",$BR$4:$BR$200,"&gt;=70",$K$4:$K$200,"&lt;=30",$C$4:$C$200,"&lt;20190630",AY$4:AY$200,"&gt;="&amp;AY13)/COUNTIFS(AY$4:AY$200,"&lt;&gt;-",$D$4:$D$200,"&lt;&gt;是",$E$4:$E$200,"&lt;&gt;封闭期",$H$4:$H$200,"&gt;10",$BN$4:$BN$200,"&gt;-6",$BR$4:$BR$200,"&gt;=70",$C$4:$C$200,"&lt;20190630",$K$4:$K$200,"&lt;=30"))</f>
        <v>-</v>
      </c>
      <c r="BD13" s="20">
        <v>1</v>
      </c>
      <c r="BE13" s="19" t="str">
        <f>IFERROR(RANK(BD13,BD:BD)&amp;"/"&amp;COUNT(BD:BD),"-")</f>
        <v>1/197</v>
      </c>
      <c r="BF13" s="26">
        <f>IFERROR(RANK(BD13,BD:BD)/COUNT(BD:BD),"-")</f>
        <v>5.076142131979695E-3</v>
      </c>
      <c r="BG13" s="34" t="str">
        <f>IF(OR($C13&gt;20190630,$K13&gt;30,BD13="-",$D13="是",$E13="封闭期",$H13&lt;10,$BN13&lt;-6,$BR13&lt;70),"-",COUNTIFS(BD$4:BD$200,"&lt;&gt;-",$D$4:$D$200,"&lt;&gt;是",$E$4:$E$200,"&lt;&gt;封闭期",$H$4:$H$200,"&gt;10",$BN$4:$BN$200,"&gt;-6",$BR$4:$BR$200,"&gt;=70",$K$4:$K$200,"&lt;=30",$C$4:$C$200,"&lt;20190630",BD$4:BD$200,"&gt;="&amp;BD13)&amp;"/"&amp;COUNTIFS(BD$4:BD$200,"&lt;&gt;-",$D$4:$D$200,"&lt;&gt;是",$E$4:$E$200,"&lt;&gt;封闭期",$H$4:$H$200,"&gt;10",$BN$4:$BN$200,"&gt;-6",$BR$4:$BR$200,"&gt;=70",$C$4:$C$200,"&lt;20190630",$K$4:$K$200,"&lt;=30"))</f>
        <v>-</v>
      </c>
      <c r="BH13" s="33" t="str">
        <f>IF(OR($C13&gt;20190630,$K13&gt;30,BD13="-",$D13="是",$E13="封闭期",$H13&lt;10,$BN13&lt;-6,$BR13&lt;70),"-",COUNTIFS(BD$4:BD$200,"&lt;&gt;-",$D$4:$D$200,"&lt;&gt;是",$E$4:$E$200,"&lt;&gt;封闭期",$H$4:$H$200,"&gt;10",$BN$4:$BN$200,"&gt;-6",$BR$4:$BR$200,"&gt;=70",$K$4:$K$200,"&lt;=30",$C$4:$C$200,"&lt;20190630",BD$4:BD$200,"&gt;="&amp;BD13)/COUNTIFS(BD$4:BD$200,"&lt;&gt;-",$D$4:$D$200,"&lt;&gt;是",$E$4:$E$200,"&lt;&gt;封闭期",$H$4:$H$200,"&gt;10",$BN$4:$BN$200,"&gt;-6",$BR$4:$BR$200,"&gt;=70",$C$4:$C$200,"&lt;20190630",$K$4:$K$200,"&lt;=30"))</f>
        <v>-</v>
      </c>
      <c r="BI13" s="21">
        <f>[1]!f_risk_maxdownside(A13,$AM$2,$L$2)</f>
        <v>-9.8329272537417314</v>
      </c>
      <c r="BJ13" s="19" t="str">
        <f>IFERROR(RANK(BI13,BI:BI)&amp;"/"&amp;COUNT(BI:BI),"-")</f>
        <v>189/197</v>
      </c>
      <c r="BK13" s="26">
        <f>IFERROR(RANK(BI13,BI:BI)/COUNT(BI:BI),"-")</f>
        <v>0.95939086294416243</v>
      </c>
      <c r="BL13" s="34" t="str">
        <f>IF(OR($C13&gt;20190630,$K13&gt;30,BI13="-",$D13="是",$E13="封闭期",$H13&lt;10,$BN13&lt;-6,$BR13&lt;70),"-",COUNTIFS(BI$4:BI$200,"&lt;&gt;-",$D$4:$D$200,"&lt;&gt;是",$E$4:$E$200,"&lt;&gt;封闭期",$H$4:$H$200,"&gt;10",$BN$4:$BN$200,"&gt;-6",$BR$4:$BR$200,"&gt;=70",$K$4:$K$200,"&lt;=30",$C$4:$C$200,"&lt;20190630",BI$4:BI$200,"&gt;="&amp;BI13)&amp;"/"&amp;COUNTIFS(BI$4:BI$200,"&lt;&gt;-",$D$4:$D$200,"&lt;&gt;是",$E$4:$E$200,"&lt;&gt;封闭期",$H$4:$H$200,"&gt;10",$BN$4:$BN$200,"&gt;-6",$BR$4:$BR$200,"&gt;=70",$C$4:$C$200,"&lt;20190630",$K$4:$K$200,"&lt;=30"))</f>
        <v>-</v>
      </c>
      <c r="BM13" s="33" t="str">
        <f>IF(OR($C13&gt;20190630,$K13&gt;30,BI13="-",$D13="是",$E13="封闭期",$H13&lt;10,$BN13&lt;-6,$BR13&lt;70),"-",COUNTIFS(BI$4:BI$200,"&lt;&gt;-",$D$4:$D$200,"&lt;&gt;是",$E$4:$E$200,"&lt;&gt;封闭期",$H$4:$H$200,"&gt;10",$BN$4:$BN$200,"&gt;-6",$BR$4:$BR$200,"&gt;=70",$K$4:$K$200,"&lt;=30",$C$4:$C$200,"&lt;20190630",BI$4:BI$200,"&gt;="&amp;BI13)/COUNTIFS(BI$4:BI$200,"&lt;&gt;-",$D$4:$D$200,"&lt;&gt;是",$E$4:$E$200,"&lt;&gt;封闭期",$H$4:$H$200,"&gt;10",$BN$4:$BN$200,"&gt;-6",$BR$4:$BR$200,"&gt;=70",$C$4:$C$200,"&lt;20190630",$K$4:$K$200,"&lt;=30"))</f>
        <v>-</v>
      </c>
      <c r="BN13" s="21">
        <f>[1]!f_risk_maxdownside(A13,$AM$2,$E$1)</f>
        <v>-9.8329272537417314</v>
      </c>
      <c r="BO13" s="21">
        <f>IF(C13&lt;20190930,[1]!f_return_2y(A13,"0","20210930"),"-")</f>
        <v>13.263770442460132</v>
      </c>
      <c r="BP13" s="19" t="str">
        <f>IFERROR(RANK(BO13,BO:BO)&amp;"/"&amp;COUNT(BO:BO),"-")</f>
        <v>101/197</v>
      </c>
      <c r="BQ13" s="25">
        <f>IFERROR(RANK(BO13,BO:BO)/COUNT(BO:BO),"-")</f>
        <v>0.51269035532994922</v>
      </c>
      <c r="BR13" s="19">
        <f>IF(C13&lt;20190930,[1]!f_absolute_profitmonthper(A13,"20190930","20210930"),"-")</f>
        <v>66.666666666666657</v>
      </c>
      <c r="BS13" s="19" t="str">
        <f>IFERROR(RANK(BR13,BR:BR)&amp;"/"&amp;COUNT(BR:BR),"-")</f>
        <v>115/198</v>
      </c>
      <c r="BT13" s="25">
        <f>IFERROR(RANK(BR13,BR:BR)/COUNT(BR:BR),"-")</f>
        <v>0.58080808080808077</v>
      </c>
      <c r="BV13" s="12">
        <f>X13-3/M13</f>
        <v>-0.84622003814913938</v>
      </c>
      <c r="BW13" s="76">
        <f>IFERROR(RANK(BV13,BV:BV)/COUNT(BV:BV),"-")</f>
        <v>0.95431472081218272</v>
      </c>
      <c r="BX13" s="76">
        <f>IFERROR(RANK(L13,L:L)/COUNT(L:L),"-")</f>
        <v>0.98989898989898994</v>
      </c>
      <c r="BY13" s="12">
        <f>AY13-3/AN13</f>
        <v>1.4406415467510201</v>
      </c>
      <c r="BZ13" s="76">
        <f>IFERROR(RANK(BY13,BY:BY)/COUNT(BY:BY),"-")</f>
        <v>0.55837563451776651</v>
      </c>
      <c r="CA13" s="76">
        <f>IFERROR(RANK(AM13,AM:AM)/COUNT(AM:AM),"-")</f>
        <v>5.5555555555555552E-2</v>
      </c>
      <c r="CB13" s="2"/>
      <c r="CC13" s="77">
        <f>AV13+BF13+BZ13+CA13</f>
        <v>0.92865200225606315</v>
      </c>
      <c r="CD13" s="77">
        <f>BW13+BX13+AE13+U13</f>
        <v>3.8883761472593958</v>
      </c>
      <c r="CE13" s="77">
        <f>CC13+CD13</f>
        <v>4.8170281495154592</v>
      </c>
    </row>
    <row r="14" spans="1:83" s="17" customFormat="1" hidden="1" x14ac:dyDescent="0.35">
      <c r="A14" s="15" t="s">
        <v>285</v>
      </c>
      <c r="B14" s="15" t="s">
        <v>286</v>
      </c>
      <c r="C14" s="16">
        <v>20161026</v>
      </c>
      <c r="D14" s="16" t="str">
        <f>[1]!f_info_regulopenfundornot(A14)</f>
        <v>是</v>
      </c>
      <c r="E14" s="16" t="str">
        <f>[1]!f_dq_status(A14,$E$1)</f>
        <v>暂停申购|暂停赎回</v>
      </c>
      <c r="F14" s="17" t="str">
        <f>[1]!f_info_fundmanager(A14)</f>
        <v>梁钧</v>
      </c>
      <c r="G14" s="16">
        <v>20180929</v>
      </c>
      <c r="H14" s="18">
        <f>[1]!f_netasset_total(A14,$E$1,100000000)</f>
        <v>2.9155169181000002</v>
      </c>
      <c r="I14" s="18">
        <f>[1]!f_prt_convertiblebondtonav(A14,$E$1)</f>
        <v>21.866613388061523</v>
      </c>
      <c r="J14" s="18">
        <f>[1]!f_prt_stocktonav(A14,$E$1)+0.5*I14</f>
        <v>30.494658470153809</v>
      </c>
      <c r="K14" s="19">
        <v>0</v>
      </c>
      <c r="L14" s="19">
        <f>[1]!f_return($A14,"1",L$2,$E$1)</f>
        <v>3.4650806012662461</v>
      </c>
      <c r="M14" s="19">
        <f>[1]!f_risk_stdevyearly($A14,L$2,$E$1,1,1)</f>
        <v>16.785634593702969</v>
      </c>
      <c r="N14" s="19">
        <f>IFERROR(L14/M14,"-")</f>
        <v>0.20643131374765838</v>
      </c>
      <c r="O14" s="19" t="str">
        <f>IFERROR(RANK(N14,N:N)&amp;"/"&amp;COUNT(N:N),"-")</f>
        <v>182/197</v>
      </c>
      <c r="P14" s="26">
        <f>IF(O14="-","-",RANK(N14,N:N)/COUNT(N:N))</f>
        <v>0.92385786802030456</v>
      </c>
      <c r="Q14" s="56">
        <v>0.79695431472081213</v>
      </c>
      <c r="R14" s="33" t="str">
        <f>IF(OR($C14&gt;20190630,$K14&gt;30,N14="-",$D14="是",$E14="封闭期",$H14&lt;10,$BN14&lt;-6,$BR14&lt;70),"-",COUNTIFS(N$4:N$200,"&lt;&gt;-",$D$4:$D$200,"&lt;&gt;是",$E$4:$E$200,"&lt;&gt;封闭期",$H$4:$H$200,"&gt;10",$BN$4:$BN$200,"&gt;-6",$BR$4:$BR$200,"&gt;=70",$K$4:$K$200,"&lt;=30",$C$4:$C$200,"&lt;20190630",N$4:N$200,"&gt;="&amp;N14)/COUNTIFS(N$4:N$200,"&lt;&gt;-",$D$4:$D$200,"&lt;&gt;是",$E$4:$E$200,"&lt;&gt;封闭期",$H$4:$H$200,"&gt;10",$BN$4:$BN$200,"&gt;-6",$BR$4:$BR$200,"&gt;=70",$C$4:$C$200,"&lt;20190630",$K$4:$K$200,"&lt;=30"))</f>
        <v>-</v>
      </c>
      <c r="S14" s="19">
        <f>IFERROR((L14-3)/M14,"-")</f>
        <v>2.7707060979435254E-2</v>
      </c>
      <c r="T14" s="19" t="str">
        <f>IFERROR(RANK(S14,S:S)&amp;"/"&amp;COUNT(S:S),"-")</f>
        <v>162/197</v>
      </c>
      <c r="U14" s="26">
        <f>IFERROR(RANK(S14,S:S)/COUNT(S:S),"-")</f>
        <v>0.82233502538071068</v>
      </c>
      <c r="V14" s="34" t="str">
        <f>IF(OR($C14&gt;20190630,$K14&gt;30,S14="-",$D14="是",$E14="封闭期",$H14&lt;10,$BN14&lt;-6,$BR14&lt;70),"-",COUNTIFS(S$4:S$200,"&lt;&gt;-",$D$4:$D$200,"&lt;&gt;是",$E$4:$E$200,"&lt;&gt;封闭期",$H$4:$H$200,"&gt;10",$BN$4:$BN$200,"&gt;-6",$BR$4:$BR$200,"&gt;=70",$K$4:$K$200,"&lt;=30",$C$4:$C$200,"&lt;20190630",S$4:S$200,"&gt;="&amp;S14)&amp;"/"&amp;COUNTIFS(S$4:S$200,"&lt;&gt;-",$D$4:$D$200,"&lt;&gt;是",$E$4:$E$200,"&lt;&gt;封闭期",$H$4:$H$200,"&gt;10",$BN$4:$BN$200,"&gt;-6",$BR$4:$BR$200,"&gt;=70",$C$4:$C$200,"&lt;20190630",$K$4:$K$200,"&lt;=30"))</f>
        <v>-</v>
      </c>
      <c r="W14" s="33" t="str">
        <f>IF(OR($C14&gt;20190630,$K14&gt;30,S14="-",$D14="是",$E14="封闭期",$H14&lt;10,$BN14&lt;-6,$BR14&lt;70),"-",COUNTIFS(S$4:S$200,"&lt;&gt;-",$D$4:$D$200,"&lt;&gt;是",$E$4:$E$200,"&lt;&gt;封闭期",$H$4:$H$200,"&gt;10",$BN$4:$BN$200,"&gt;-6",$BR$4:$BR$200,"&gt;=70",$K$4:$K$200,"&lt;=30",$C$4:$C$200,"&lt;20190630",S$4:S$200,"&gt;="&amp;S14)/COUNTIFS(S$4:S$200,"&lt;&gt;-",$D$4:$D$200,"&lt;&gt;是",$E$4:$E$200,"&lt;&gt;封闭期",$H$4:$H$200,"&gt;10",$BN$4:$BN$200,"&gt;-6",$BR$4:$BR$200,"&gt;=70",$C$4:$C$200,"&lt;20190630",$K$4:$K$200,"&lt;=30"))</f>
        <v>-</v>
      </c>
      <c r="X14" s="19">
        <f>[1]!f_risk_calmar(A14,$L$2,$E$1)</f>
        <v>0.49221664608436433</v>
      </c>
      <c r="Y14" s="19" t="str">
        <f>IFERROR(RANK(X14,X:X)&amp;"/"&amp;COUNT(X:X),"-")</f>
        <v>177/197</v>
      </c>
      <c r="Z14" s="26">
        <f>IFERROR(RANK(X14,X:X)/COUNT(X:X),"-")</f>
        <v>0.89847715736040612</v>
      </c>
      <c r="AA14" s="34" t="str">
        <f>IF(OR($C14&gt;20190630,$K14&gt;30,X14="-",$D14="是",$E14="封闭期",$H14&lt;10,$BN14&lt;-6,$BR14&lt;70),"-",COUNTIFS(X$4:X$200,"&lt;&gt;-",$D$4:$D$200,"&lt;&gt;是",$E$4:$E$200,"&lt;&gt;封闭期",$H$4:$H$200,"&gt;10",$BN$4:$BN$200,"&gt;-6",$BR$4:$BR$200,"&gt;=70",$K$4:$K$200,"&lt;=30",$C$4:$C$200,"&lt;20190630",X$4:X$200,"&gt;="&amp;X14)&amp;"/"&amp;COUNTIFS(X$4:X$200,"&lt;&gt;-",$D$4:$D$200,"&lt;&gt;是",$E$4:$E$200,"&lt;&gt;封闭期",$H$4:$H$200,"&gt;10",$BN$4:$BN$200,"&gt;-6",$BR$4:$BR$200,"&gt;=70",$C$4:$C$200,"&lt;20190630",$K$4:$K$200,"&lt;=30"))</f>
        <v>-</v>
      </c>
      <c r="AB14" s="33" t="str">
        <f>IF(OR($C14&gt;20190630,$K14&gt;30,X14="-",$D14="是",$E14="封闭期",$H14&lt;10,$BN14&lt;-6,$BR14&lt;70),"-",COUNTIFS(X$4:X$200,"&lt;&gt;-",$D$4:$D$200,"&lt;&gt;是",$E$4:$E$200,"&lt;&gt;封闭期",$H$4:$H$200,"&gt;10",$BN$4:$BN$200,"&gt;-6",$BR$4:$BR$200,"&gt;=70",$K$4:$K$200,"&lt;=30",$C$4:$C$200,"&lt;20190630",X$4:X$200,"&gt;="&amp;X14)/COUNTIFS(X$4:X$200,"&lt;&gt;-",$D$4:$D$200,"&lt;&gt;是",$E$4:$E$200,"&lt;&gt;封闭期",$H$4:$H$200,"&gt;10",$BN$4:$BN$200,"&gt;-6",$BR$4:$BR$200,"&gt;=70",$C$4:$C$200,"&lt;20190630",$K$4:$K$200,"&lt;=30"))</f>
        <v>-</v>
      </c>
      <c r="AC14" s="20">
        <v>0.36134453781512599</v>
      </c>
      <c r="AD14" s="19" t="str">
        <f>IFERROR(RANK(AC14,AC:AC)&amp;"/"&amp;COUNT(AC:AC),"-")</f>
        <v>188/197</v>
      </c>
      <c r="AE14" s="26">
        <f>IFERROR(RANK(AC14,AC:AC)/COUNT(AC:AC),"-")</f>
        <v>0.95431472081218272</v>
      </c>
      <c r="AF14" s="34" t="str">
        <f>IF(OR($C14&gt;20190630,$K14&gt;30,AC14="-",$D14="是",$E14="封闭期",$H14&lt;10,$BN14&lt;-6,$BR14&lt;70),"-",COUNTIFS(AC$4:AC$200,"&lt;&gt;-",$D$4:$D$200,"&lt;&gt;是",$E$4:$E$200,"&lt;&gt;封闭期",$H$4:$H$200,"&gt;10",$BN$4:$BN$200,"&gt;-6",$BR$4:$BR$200,"&gt;=70",$K$4:$K$200,"&lt;=30",$C$4:$C$200,"&lt;20190630",AC$4:AC$200,"&gt;="&amp;AC14)&amp;"/"&amp;COUNTIFS(AC$4:AC$200,"&lt;&gt;-",$D$4:$D$200,"&lt;&gt;是",$E$4:$E$200,"&lt;&gt;封闭期",$H$4:$H$200,"&gt;10",$BN$4:$BN$200,"&gt;-6",$BR$4:$BR$200,"&gt;=70",$C$4:$C$200,"&lt;20190630",$K$4:$K$200,"&lt;=30"))</f>
        <v>-</v>
      </c>
      <c r="AG14" s="33" t="str">
        <f>IF(OR($C14&gt;20190630,$K14&gt;30,AC14="-",$D14="是",$E14="封闭期",$H14&lt;10,$BN14&lt;-6,$BR14&lt;70),"-",COUNTIFS(AC$4:AC$200,"&lt;&gt;-",$D$4:$D$200,"&lt;&gt;是",$E$4:$E$200,"&lt;&gt;封闭期",$H$4:$H$200,"&gt;10",$BN$4:$BN$200,"&gt;-6",$BR$4:$BR$200,"&gt;=70",$K$4:$K$200,"&lt;=30",$C$4:$C$200,"&lt;20190630",AC$4:AC$200,"&gt;="&amp;AC14)/COUNTIFS(AC$4:AC$200,"&lt;&gt;-",$D$4:$D$200,"&lt;&gt;是",$E$4:$E$200,"&lt;&gt;封闭期",$H$4:$H$200,"&gt;10",$BN$4:$BN$200,"&gt;-6",$BR$4:$BR$200,"&gt;=70",$C$4:$C$200,"&lt;20190630",$K$4:$K$200,"&lt;=30"))</f>
        <v>-</v>
      </c>
      <c r="AH14" s="21">
        <f>[1]!f_risk_maxdownside(A14,$L$2,$E$1)</f>
        <v>-7.039746885505255</v>
      </c>
      <c r="AI14" s="19" t="str">
        <f>IFERROR(RANK(AH14,AH:AH)&amp;"/"&amp;COUNT(AH:AH),"-")</f>
        <v>186/197</v>
      </c>
      <c r="AJ14" s="26">
        <f>IFERROR(RANK(AH14,AH:AH)/COUNT(AH:AH),"-")</f>
        <v>0.9441624365482234</v>
      </c>
      <c r="AK14" s="34" t="str">
        <f>IF(OR($C14&gt;20190630,$K14&gt;30,AH14="-",$D14="是",$E14="封闭期",$H14&lt;10,$BN14&lt;-6,$BR14&lt;70),"-",COUNTIFS(AH$4:AH$200,"&lt;&gt;-",$D$4:$D$200,"&lt;&gt;是",$E$4:$E$200,"&lt;&gt;封闭期",$H$4:$H$200,"&gt;10",$BN$4:$BN$200,"&gt;-6",$BR$4:$BR$200,"&gt;=70",$K$4:$K$200,"&lt;=30",$C$4:$C$200,"&lt;20190630",AH$4:AH$200,"&gt;="&amp;AH14)&amp;"/"&amp;COUNTIFS(AH$4:AH$200,"&lt;&gt;-",$D$4:$D$200,"&lt;&gt;是",$E$4:$E$200,"&lt;&gt;封闭期",$H$4:$H$200,"&gt;10",$BN$4:$BN$200,"&gt;-6",$BR$4:$BR$200,"&gt;=70",$C$4:$C$200,"&lt;20190630",$K$4:$K$200,"&lt;=30"))</f>
        <v>-</v>
      </c>
      <c r="AL14" s="33" t="str">
        <f>IF(OR($C14&gt;20190630,$K14&gt;30,AH14="-",$D14="是",$E14="封闭期",$H14&lt;10,$BN14&lt;-6,$BR14&lt;70),"-",COUNTIFS(AH$4:AH$200,"&lt;&gt;-",$D$4:$D$200,"&lt;&gt;是",$E$4:$E$200,"&lt;&gt;封闭期",$H$4:$H$200,"&gt;10",$BN$4:$BN$200,"&gt;-6",$BR$4:$BR$200,"&gt;=70",$K$4:$K$200,"&lt;=30",$C$4:$C$200,"&lt;20190630",AH$4:AH$200,"&gt;="&amp;AH14)/COUNTIFS(AH$4:AH$200,"&lt;&gt;-",$D$4:$D$200,"&lt;&gt;是",$E$4:$E$200,"&lt;&gt;封闭期",$H$4:$H$200,"&gt;10",$BN$4:$BN$200,"&gt;-6",$BR$4:$BR$200,"&gt;=70",$C$4:$C$200,"&lt;20190630",$K$4:$K$200,"&lt;=30"))</f>
        <v>-</v>
      </c>
      <c r="AM14" s="19">
        <f>[1]!f_return($A14,"1",AM$2,$L$2)</f>
        <v>16.081156876962588</v>
      </c>
      <c r="AN14" s="19">
        <f>[1]!f_risk_stdevyearly($A14,AM$2,$L$2,1,1)</f>
        <v>24.510752602642118</v>
      </c>
      <c r="AO14" s="19">
        <f>IFERROR(AM14/AN14,"-")</f>
        <v>0.65608580599965471</v>
      </c>
      <c r="AP14" s="19" t="str">
        <f>IFERROR(RANK(AO14,AO:AO)&amp;"/"&amp;COUNT(AO:AO),"-")</f>
        <v>181/197</v>
      </c>
      <c r="AQ14" s="26">
        <f>IF(AP14="-","-",RANK(AO14,AO:AO)/COUNT(AO:AO))</f>
        <v>0.91878172588832485</v>
      </c>
      <c r="AR14" s="57">
        <v>5.5837563451776651E-2</v>
      </c>
      <c r="AS14" s="33" t="str">
        <f>IF(OR($C14&gt;20190630,$K14&gt;30,AO14="-",$D14="是",$E14="封闭期",$H14&lt;10,$BN14&lt;-6,$BR14&lt;70),"-",COUNTIFS(AO$4:AO$200,"&lt;&gt;-",$D$4:$D$200,"&lt;&gt;是",$E$4:$E$200,"&lt;&gt;封闭期",$H$4:$H$200,"&gt;10",$BN$4:$BN$200,"&gt;-6",$BR$4:$BR$200,"&gt;=70",$K$4:$K$200,"&lt;=30",$C$4:$C$200,"&lt;20190630",AO$4:AO$200,"&gt;="&amp;AO14)/COUNTIFS(AO$4:AO$200,"&lt;&gt;-",$D$4:$D$200,"&lt;&gt;是",$E$4:$E$200,"&lt;&gt;封闭期",$H$4:$H$200,"&gt;10",$BN$4:$BN$200,"&gt;-6",$BR$4:$BR$200,"&gt;=70",$C$4:$C$200,"&lt;20190630",$K$4:$K$200,"&lt;=30"))</f>
        <v>-</v>
      </c>
      <c r="AT14" s="19">
        <f>IFERROR((AM14-3)/AN14,"-")</f>
        <v>0.53369054345367239</v>
      </c>
      <c r="AU14" s="19" t="str">
        <f>IFERROR(RANK(AT14,AT:AT)&amp;"/"&amp;COUNT(AT:AT),"-")</f>
        <v>135/197</v>
      </c>
      <c r="AV14" s="26">
        <f>IFERROR(RANK(AT14,AT:AT)/COUNT(AT:AT),"-")</f>
        <v>0.68527918781725883</v>
      </c>
      <c r="AW14" s="34" t="str">
        <f>IF(OR($C14&gt;20190630,$K14&gt;30,AT14="-",$D14="是",$E14="封闭期",$H14&lt;10,$BN14&lt;-6,$BR14&lt;70),"-",COUNTIFS(AT$4:AT$200,"&lt;&gt;-",$D$4:$D$200,"&lt;&gt;是",$E$4:$E$200,"&lt;&gt;封闭期",$H$4:$H$200,"&gt;10",$BN$4:$BN$200,"&gt;-6",$BR$4:$BR$200,"&gt;=70",$K$4:$K$200,"&lt;=30",$C$4:$C$200,"&lt;20190630",AT$4:AT$200,"&gt;="&amp;AT14)&amp;"/"&amp;COUNTIFS(AT$4:AT$200,"&lt;&gt;-",$D$4:$D$200,"&lt;&gt;是",$E$4:$E$200,"&lt;&gt;封闭期",$H$4:$H$200,"&gt;10",$BN$4:$BN$200,"&gt;-6",$BR$4:$BR$200,"&gt;=70",$C$4:$C$200,"&lt;20190630",$K$4:$K$200,"&lt;=30"))</f>
        <v>-</v>
      </c>
      <c r="AX14" s="33" t="str">
        <f>IF(OR($C14&gt;20190630,$K14&gt;30,AT14="-",$D14="是",$E14="封闭期",$H14&lt;10,$BN14&lt;-6,$BR14&lt;70),"-",COUNTIFS(AT$4:AT$200,"&lt;&gt;-",$D$4:$D$200,"&lt;&gt;是",$E$4:$E$200,"&lt;&gt;封闭期",$H$4:$H$200,"&gt;10",$BN$4:$BN$200,"&gt;-6",$BR$4:$BR$200,"&gt;=70",$K$4:$K$200,"&lt;=30",$C$4:$C$200,"&lt;20190630",AT$4:AT$200,"&gt;="&amp;AT14)/COUNTIFS(AT$4:AT$200,"&lt;&gt;-",$D$4:$D$200,"&lt;&gt;是",$E$4:$E$200,"&lt;&gt;封闭期",$H$4:$H$200,"&gt;10",$BN$4:$BN$200,"&gt;-6",$BR$4:$BR$200,"&gt;=70",$C$4:$C$200,"&lt;20190630",$K$4:$K$200,"&lt;=30"))</f>
        <v>-</v>
      </c>
      <c r="AY14" s="19">
        <f>[1]!f_risk_calmar(A14,$AM$2,$L$2)</f>
        <v>2.3402550244001898</v>
      </c>
      <c r="AZ14" s="19" t="str">
        <f>IFERROR(RANK(AY14,AY:AY)&amp;"/"&amp;COUNT(AY:AY),"-")</f>
        <v>84/197</v>
      </c>
      <c r="BA14" s="26">
        <f>IFERROR(RANK(AY14,AY:AY)/COUNT(AY:AY),"-")</f>
        <v>0.42639593908629442</v>
      </c>
      <c r="BB14" s="34" t="str">
        <f>IF(OR($C14&gt;20190630,$K14&gt;30,AY14="-",$D14="是",$E14="封闭期",$H14&lt;10,$BN14&lt;-6,$BR14&lt;70),"-",COUNTIFS(AY$4:AY$200,"&lt;&gt;-",$D$4:$D$200,"&lt;&gt;是",$E$4:$E$200,"&lt;&gt;封闭期",$H$4:$H$200,"&gt;10",$BN$4:$BN$200,"&gt;-6",$BR$4:$BR$200,"&gt;=70",$K$4:$K$200,"&lt;=30",$C$4:$C$200,"&lt;20190630",AY$4:AY$200,"&gt;="&amp;AY14)&amp;"/"&amp;COUNTIFS(AY$4:AY$200,"&lt;&gt;-",$D$4:$D$200,"&lt;&gt;是",$E$4:$E$200,"&lt;&gt;封闭期",$H$4:$H$200,"&gt;10",$BN$4:$BN$200,"&gt;-6",$BR$4:$BR$200,"&gt;=70",$C$4:$C$200,"&lt;20190630",$K$4:$K$200,"&lt;=30"))</f>
        <v>-</v>
      </c>
      <c r="BC14" s="33" t="str">
        <f>IF(OR($C14&gt;20190630,$K14&gt;30,AY14="-",$D14="是",$E14="封闭期",$H14&lt;10,$BN14&lt;-6,$BR14&lt;70),"-",COUNTIFS(AY$4:AY$200,"&lt;&gt;-",$D$4:$D$200,"&lt;&gt;是",$E$4:$E$200,"&lt;&gt;封闭期",$H$4:$H$200,"&gt;10",$BN$4:$BN$200,"&gt;-6",$BR$4:$BR$200,"&gt;=70",$K$4:$K$200,"&lt;=30",$C$4:$C$200,"&lt;20190630",AY$4:AY$200,"&gt;="&amp;AY14)/COUNTIFS(AY$4:AY$200,"&lt;&gt;-",$D$4:$D$200,"&lt;&gt;是",$E$4:$E$200,"&lt;&gt;封闭期",$H$4:$H$200,"&gt;10",$BN$4:$BN$200,"&gt;-6",$BR$4:$BR$200,"&gt;=70",$C$4:$C$200,"&lt;20190630",$K$4:$K$200,"&lt;=30"))</f>
        <v>-</v>
      </c>
      <c r="BD14" s="20">
        <v>1</v>
      </c>
      <c r="BE14" s="19" t="str">
        <f>IFERROR(RANK(BD14,BD:BD)&amp;"/"&amp;COUNT(BD:BD),"-")</f>
        <v>1/197</v>
      </c>
      <c r="BF14" s="26">
        <f>IFERROR(RANK(BD14,BD:BD)/COUNT(BD:BD),"-")</f>
        <v>5.076142131979695E-3</v>
      </c>
      <c r="BG14" s="34" t="str">
        <f>IF(OR($C14&gt;20190630,$K14&gt;30,BD14="-",$D14="是",$E14="封闭期",$H14&lt;10,$BN14&lt;-6,$BR14&lt;70),"-",COUNTIFS(BD$4:BD$200,"&lt;&gt;-",$D$4:$D$200,"&lt;&gt;是",$E$4:$E$200,"&lt;&gt;封闭期",$H$4:$H$200,"&gt;10",$BN$4:$BN$200,"&gt;-6",$BR$4:$BR$200,"&gt;=70",$K$4:$K$200,"&lt;=30",$C$4:$C$200,"&lt;20190630",BD$4:BD$200,"&gt;="&amp;BD14)&amp;"/"&amp;COUNTIFS(BD$4:BD$200,"&lt;&gt;-",$D$4:$D$200,"&lt;&gt;是",$E$4:$E$200,"&lt;&gt;封闭期",$H$4:$H$200,"&gt;10",$BN$4:$BN$200,"&gt;-6",$BR$4:$BR$200,"&gt;=70",$C$4:$C$200,"&lt;20190630",$K$4:$K$200,"&lt;=30"))</f>
        <v>-</v>
      </c>
      <c r="BH14" s="33" t="str">
        <f>IF(OR($C14&gt;20190630,$K14&gt;30,BD14="-",$D14="是",$E14="封闭期",$H14&lt;10,$BN14&lt;-6,$BR14&lt;70),"-",COUNTIFS(BD$4:BD$200,"&lt;&gt;-",$D$4:$D$200,"&lt;&gt;是",$E$4:$E$200,"&lt;&gt;封闭期",$H$4:$H$200,"&gt;10",$BN$4:$BN$200,"&gt;-6",$BR$4:$BR$200,"&gt;=70",$K$4:$K$200,"&lt;=30",$C$4:$C$200,"&lt;20190630",BD$4:BD$200,"&gt;="&amp;BD14)/COUNTIFS(BD$4:BD$200,"&lt;&gt;-",$D$4:$D$200,"&lt;&gt;是",$E$4:$E$200,"&lt;&gt;封闭期",$H$4:$H$200,"&gt;10",$BN$4:$BN$200,"&gt;-6",$BR$4:$BR$200,"&gt;=70",$C$4:$C$200,"&lt;20190630",$K$4:$K$200,"&lt;=30"))</f>
        <v>-</v>
      </c>
      <c r="BI14" s="21">
        <f>[1]!f_risk_maxdownside(A14,$AM$2,$L$2)</f>
        <v>-6.8715403702996891</v>
      </c>
      <c r="BJ14" s="19" t="str">
        <f>IFERROR(RANK(BI14,BI:BI)&amp;"/"&amp;COUNT(BI:BI),"-")</f>
        <v>178/197</v>
      </c>
      <c r="BK14" s="26">
        <f>IFERROR(RANK(BI14,BI:BI)/COUNT(BI:BI),"-")</f>
        <v>0.90355329949238583</v>
      </c>
      <c r="BL14" s="34" t="str">
        <f>IF(OR($C14&gt;20190630,$K14&gt;30,BI14="-",$D14="是",$E14="封闭期",$H14&lt;10,$BN14&lt;-6,$BR14&lt;70),"-",COUNTIFS(BI$4:BI$200,"&lt;&gt;-",$D$4:$D$200,"&lt;&gt;是",$E$4:$E$200,"&lt;&gt;封闭期",$H$4:$H$200,"&gt;10",$BN$4:$BN$200,"&gt;-6",$BR$4:$BR$200,"&gt;=70",$K$4:$K$200,"&lt;=30",$C$4:$C$200,"&lt;20190630",BI$4:BI$200,"&gt;="&amp;BI14)&amp;"/"&amp;COUNTIFS(BI$4:BI$200,"&lt;&gt;-",$D$4:$D$200,"&lt;&gt;是",$E$4:$E$200,"&lt;&gt;封闭期",$H$4:$H$200,"&gt;10",$BN$4:$BN$200,"&gt;-6",$BR$4:$BR$200,"&gt;=70",$C$4:$C$200,"&lt;20190630",$K$4:$K$200,"&lt;=30"))</f>
        <v>-</v>
      </c>
      <c r="BM14" s="33" t="str">
        <f>IF(OR($C14&gt;20190630,$K14&gt;30,BI14="-",$D14="是",$E14="封闭期",$H14&lt;10,$BN14&lt;-6,$BR14&lt;70),"-",COUNTIFS(BI$4:BI$200,"&lt;&gt;-",$D$4:$D$200,"&lt;&gt;是",$E$4:$E$200,"&lt;&gt;封闭期",$H$4:$H$200,"&gt;10",$BN$4:$BN$200,"&gt;-6",$BR$4:$BR$200,"&gt;=70",$K$4:$K$200,"&lt;=30",$C$4:$C$200,"&lt;20190630",BI$4:BI$200,"&gt;="&amp;BI14)/COUNTIFS(BI$4:BI$200,"&lt;&gt;-",$D$4:$D$200,"&lt;&gt;是",$E$4:$E$200,"&lt;&gt;封闭期",$H$4:$H$200,"&gt;10",$BN$4:$BN$200,"&gt;-6",$BR$4:$BR$200,"&gt;=70",$C$4:$C$200,"&lt;20190630",$K$4:$K$200,"&lt;=30"))</f>
        <v>-</v>
      </c>
      <c r="BN14" s="21">
        <f>[1]!f_risk_maxdownside(A14,$AM$2,$E$1)</f>
        <v>-8.0081330382931011</v>
      </c>
      <c r="BO14" s="21">
        <f>IF(C14&lt;20190930,[1]!f_return_2y(A14,"0","20210930"),"-")</f>
        <v>19.287046619560503</v>
      </c>
      <c r="BP14" s="19" t="str">
        <f>IFERROR(RANK(BO14,BO:BO)&amp;"/"&amp;COUNT(BO:BO),"-")</f>
        <v>40/197</v>
      </c>
      <c r="BQ14" s="25">
        <f>IFERROR(RANK(BO14,BO:BO)/COUNT(BO:BO),"-")</f>
        <v>0.20304568527918782</v>
      </c>
      <c r="BR14" s="19">
        <f>IF(C14&lt;20190930,[1]!f_absolute_profitmonthper(A14,"20190930","20210930"),"-")</f>
        <v>58.333333333333336</v>
      </c>
      <c r="BS14" s="19" t="str">
        <f>IFERROR(RANK(BR14,BR:BR)&amp;"/"&amp;COUNT(BR:BR),"-")</f>
        <v>165/198</v>
      </c>
      <c r="BT14" s="25">
        <f>IFERROR(RANK(BR14,BR:BR)/COUNT(BR:BR),"-")</f>
        <v>0.83333333333333337</v>
      </c>
      <c r="BV14" s="12">
        <f>X14-3/M14</f>
        <v>0.3134923933161412</v>
      </c>
      <c r="BW14" s="76">
        <f>IFERROR(RANK(BV14,BV:BV)/COUNT(BV:BV),"-")</f>
        <v>0.80203045685279184</v>
      </c>
      <c r="BX14" s="76">
        <f>IFERROR(RANK(L14,L:L)/COUNT(L:L),"-")</f>
        <v>0.79797979797979801</v>
      </c>
      <c r="BY14" s="12">
        <f>AY14-3/AN14</f>
        <v>2.2178597618542075</v>
      </c>
      <c r="BZ14" s="76">
        <f>IFERROR(RANK(BY14,BY:BY)/COUNT(BY:BY),"-")</f>
        <v>0.25888324873096447</v>
      </c>
      <c r="CA14" s="76">
        <f>IFERROR(RANK(AM14,AM:AM)/COUNT(AM:AM),"-")</f>
        <v>6.0606060606060608E-2</v>
      </c>
      <c r="CB14" s="2"/>
      <c r="CC14" s="77">
        <f>AV14+BF14+BZ14+CA14</f>
        <v>1.0098446392862637</v>
      </c>
      <c r="CD14" s="77">
        <f>BW14+BX14+AE14+U14</f>
        <v>3.376660001025483</v>
      </c>
      <c r="CE14" s="77">
        <f>CC14+CD14</f>
        <v>4.3865046403117471</v>
      </c>
    </row>
    <row r="15" spans="1:83" s="2" customFormat="1" x14ac:dyDescent="0.35">
      <c r="A15" s="3" t="s">
        <v>169</v>
      </c>
      <c r="B15" s="3" t="s">
        <v>170</v>
      </c>
      <c r="C15" s="4">
        <v>20160122</v>
      </c>
      <c r="D15" s="4" t="str">
        <f>[1]!f_info_regulopenfundornot(A15)</f>
        <v>否</v>
      </c>
      <c r="E15" s="4" t="str">
        <f>[1]!f_dq_status(A15,$E$1)</f>
        <v>开放申购|开放赎回</v>
      </c>
      <c r="F15" s="17" t="str">
        <f>[1]!f_info_fundmanager(A15)</f>
        <v>林森,林虎</v>
      </c>
      <c r="G15" s="4">
        <v>20170728</v>
      </c>
      <c r="H15" s="11">
        <f>[1]!f_netasset_total(A15,$E$1,100000000)</f>
        <v>559.85691811749996</v>
      </c>
      <c r="I15" s="11">
        <f>[1]!f_prt_convertiblebondtonav(A15,$E$1)</f>
        <v>5.0818696022033691</v>
      </c>
      <c r="J15" s="11">
        <f>[1]!f_prt_stocktonav(A15,$E$1)+0.5*I15</f>
        <v>21.082640886306763</v>
      </c>
      <c r="K15" s="12">
        <v>6.6685859889944981</v>
      </c>
      <c r="L15" s="19">
        <f>[1]!f_return($A15,"1",L$2,$E$1)</f>
        <v>9.3319111258402643</v>
      </c>
      <c r="M15" s="19">
        <f>[1]!f_risk_stdevyearly($A15,L$2,$E$1,1,1)</f>
        <v>5.0642077896193411</v>
      </c>
      <c r="N15" s="12">
        <f>IFERROR(L15/M15,"-")</f>
        <v>1.8427188443904099</v>
      </c>
      <c r="O15" s="12" t="str">
        <f>IFERROR(RANK(N15,N:N)&amp;"/"&amp;COUNT(N:N),"-")</f>
        <v>57/197</v>
      </c>
      <c r="P15" s="26">
        <f>IF(O15="-","-",RANK(N15,N:N)/COUNT(N:N))</f>
        <v>0.28934010152284262</v>
      </c>
      <c r="Q15" s="58">
        <v>0.19796954314720813</v>
      </c>
      <c r="R15" s="33">
        <f>IF(OR($C15&gt;20190630,$K15&gt;30,N15="-",$D15="是",$E15="封闭期",$H15&lt;10,$BN15&lt;-6,$BR15&lt;70),"-",COUNTIFS(N$4:N$200,"&lt;&gt;-",$D$4:$D$200,"&lt;&gt;是",$E$4:$E$200,"&lt;&gt;封闭期",$H$4:$H$200,"&gt;10",$BN$4:$BN$200,"&gt;-6",$BR$4:$BR$200,"&gt;=70",$K$4:$K$200,"&lt;=30",$C$4:$C$200,"&lt;20190630",N$4:N$200,"&gt;="&amp;N15)/COUNTIFS(N$4:N$200,"&lt;&gt;-",$D$4:$D$200,"&lt;&gt;是",$E$4:$E$200,"&lt;&gt;封闭期",$H$4:$H$200,"&gt;10",$BN$4:$BN$200,"&gt;-6",$BR$4:$BR$200,"&gt;=70",$C$4:$C$200,"&lt;20190630",$K$4:$K$200,"&lt;=30"))</f>
        <v>0.48717948717948717</v>
      </c>
      <c r="S15" s="12">
        <f>IFERROR((L15-3)/M15,"-")</f>
        <v>1.2503260902563029</v>
      </c>
      <c r="T15" s="12" t="str">
        <f>IFERROR(RANK(S15,S:S)&amp;"/"&amp;COUNT(S:S),"-")</f>
        <v>50/197</v>
      </c>
      <c r="U15" s="26">
        <f>IFERROR(RANK(S15,S:S)/COUNT(S:S),"-")</f>
        <v>0.25380710659898476</v>
      </c>
      <c r="V15" s="13" t="str">
        <f>IF(OR($C15&gt;20190630,$K15&gt;30,S15="-",$D15="是",$E15="封闭期",$H15&lt;10,$BN15&lt;-6,$BR15&lt;70),"-",COUNTIFS(S$4:S$200,"&lt;&gt;-",$D$4:$D$200,"&lt;&gt;是",$E$4:$E$200,"&lt;&gt;封闭期",$H$4:$H$200,"&gt;10",$BN$4:$BN$200,"&gt;-6",$BR$4:$BR$200,"&gt;=70",$K$4:$K$200,"&lt;=30",$C$4:$C$200,"&lt;20190630",S$4:S$200,"&gt;="&amp;S15)&amp;"/"&amp;COUNTIFS(S$4:S$200,"&lt;&gt;-",$D$4:$D$200,"&lt;&gt;是",$E$4:$E$200,"&lt;&gt;封闭期",$H$4:$H$200,"&gt;10",$BN$4:$BN$200,"&gt;-6",$BR$4:$BR$200,"&gt;=70",$C$4:$C$200,"&lt;20190630",$K$4:$K$200,"&lt;=30"))</f>
        <v>16/39</v>
      </c>
      <c r="W15" s="33">
        <f>IF(OR($C15&gt;20190630,$K15&gt;30,S15="-",$D15="是",$E15="封闭期",$H15&lt;10,$BN15&lt;-6,$BR15&lt;70),"-",COUNTIFS(S$4:S$200,"&lt;&gt;-",$D$4:$D$200,"&lt;&gt;是",$E$4:$E$200,"&lt;&gt;封闭期",$H$4:$H$200,"&gt;10",$BN$4:$BN$200,"&gt;-6",$BR$4:$BR$200,"&gt;=70",$K$4:$K$200,"&lt;=30",$C$4:$C$200,"&lt;20190630",S$4:S$200,"&gt;="&amp;S15)/COUNTIFS(S$4:S$200,"&lt;&gt;-",$D$4:$D$200,"&lt;&gt;是",$E$4:$E$200,"&lt;&gt;封闭期",$H$4:$H$200,"&gt;10",$BN$4:$BN$200,"&gt;-6",$BR$4:$BR$200,"&gt;=70",$C$4:$C$200,"&lt;20190630",$K$4:$K$200,"&lt;=30"))</f>
        <v>0.41025641025641024</v>
      </c>
      <c r="X15" s="19">
        <f>[1]!f_risk_calmar(A15,$L$2,$E$1)</f>
        <v>3.4710652035462348</v>
      </c>
      <c r="Y15" s="12" t="str">
        <f>IFERROR(RANK(X15,X:X)&amp;"/"&amp;COUNT(X:X),"-")</f>
        <v>52/197</v>
      </c>
      <c r="Z15" s="26">
        <f>IFERROR(RANK(X15,X:X)/COUNT(X:X),"-")</f>
        <v>0.26395939086294418</v>
      </c>
      <c r="AA15" s="13" t="str">
        <f>IF(OR($C15&gt;20190630,$K15&gt;30,X15="-",$D15="是",$E15="封闭期",$H15&lt;10,$BN15&lt;-6,$BR15&lt;70),"-",COUNTIFS(X$4:X$200,"&lt;&gt;-",$D$4:$D$200,"&lt;&gt;是",$E$4:$E$200,"&lt;&gt;封闭期",$H$4:$H$200,"&gt;10",$BN$4:$BN$200,"&gt;-6",$BR$4:$BR$200,"&gt;=70",$K$4:$K$200,"&lt;=30",$C$4:$C$200,"&lt;20190630",X$4:X$200,"&gt;="&amp;X15)&amp;"/"&amp;COUNTIFS(X$4:X$200,"&lt;&gt;-",$D$4:$D$200,"&lt;&gt;是",$E$4:$E$200,"&lt;&gt;封闭期",$H$4:$H$200,"&gt;10",$BN$4:$BN$200,"&gt;-6",$BR$4:$BR$200,"&gt;=70",$C$4:$C$200,"&lt;20190630",$K$4:$K$200,"&lt;=30"))</f>
        <v>17/39</v>
      </c>
      <c r="AB15" s="33">
        <f>IF(OR($C15&gt;20190630,$K15&gt;30,X15="-",$D15="是",$E15="封闭期",$H15&lt;10,$BN15&lt;-6,$BR15&lt;70),"-",COUNTIFS(X$4:X$200,"&lt;&gt;-",$D$4:$D$200,"&lt;&gt;是",$E$4:$E$200,"&lt;&gt;封闭期",$H$4:$H$200,"&gt;10",$BN$4:$BN$200,"&gt;-6",$BR$4:$BR$200,"&gt;=70",$K$4:$K$200,"&lt;=30",$C$4:$C$200,"&lt;20190630",X$4:X$200,"&gt;="&amp;X15)/COUNTIFS(X$4:X$200,"&lt;&gt;-",$D$4:$D$200,"&lt;&gt;是",$E$4:$E$200,"&lt;&gt;封闭期",$H$4:$H$200,"&gt;10",$BN$4:$BN$200,"&gt;-6",$BR$4:$BR$200,"&gt;=70",$C$4:$C$200,"&lt;20190630",$K$4:$K$200,"&lt;=30"))</f>
        <v>0.4358974358974359</v>
      </c>
      <c r="AC15" s="20">
        <v>1</v>
      </c>
      <c r="AD15" s="12" t="str">
        <f>IFERROR(RANK(AC15,AC:AC)&amp;"/"&amp;COUNT(AC:AC),"-")</f>
        <v>1/197</v>
      </c>
      <c r="AE15" s="26">
        <f>IFERROR(RANK(AC15,AC:AC)/COUNT(AC:AC),"-")</f>
        <v>5.076142131979695E-3</v>
      </c>
      <c r="AF15" s="13" t="str">
        <f>IF(OR($C15&gt;20190630,$K15&gt;30,AC15="-",$D15="是",$E15="封闭期",$H15&lt;10,$BN15&lt;-6,$BR15&lt;70),"-",COUNTIFS(AC$4:AC$200,"&lt;&gt;-",$D$4:$D$200,"&lt;&gt;是",$E$4:$E$200,"&lt;&gt;封闭期",$H$4:$H$200,"&gt;10",$BN$4:$BN$200,"&gt;-6",$BR$4:$BR$200,"&gt;=70",$K$4:$K$200,"&lt;=30",$C$4:$C$200,"&lt;20190630",AC$4:AC$200,"&gt;="&amp;AC15)&amp;"/"&amp;COUNTIFS(AC$4:AC$200,"&lt;&gt;-",$D$4:$D$200,"&lt;&gt;是",$E$4:$E$200,"&lt;&gt;封闭期",$H$4:$H$200,"&gt;10",$BN$4:$BN$200,"&gt;-6",$BR$4:$BR$200,"&gt;=70",$C$4:$C$200,"&lt;20190630",$K$4:$K$200,"&lt;=30"))</f>
        <v>28/39</v>
      </c>
      <c r="AG15" s="33">
        <f>IF(OR($C15&gt;20190630,$K15&gt;30,AC15="-",$D15="是",$E15="封闭期",$H15&lt;10,$BN15&lt;-6,$BR15&lt;70),"-",COUNTIFS(AC$4:AC$200,"&lt;&gt;-",$D$4:$D$200,"&lt;&gt;是",$E$4:$E$200,"&lt;&gt;封闭期",$H$4:$H$200,"&gt;10",$BN$4:$BN$200,"&gt;-6",$BR$4:$BR$200,"&gt;=70",$K$4:$K$200,"&lt;=30",$C$4:$C$200,"&lt;20190630",AC$4:AC$200,"&gt;="&amp;AC15)/COUNTIFS(AC$4:AC$200,"&lt;&gt;-",$D$4:$D$200,"&lt;&gt;是",$E$4:$E$200,"&lt;&gt;封闭期",$H$4:$H$200,"&gt;10",$BN$4:$BN$200,"&gt;-6",$BR$4:$BR$200,"&gt;=70",$C$4:$C$200,"&lt;20190630",$K$4:$K$200,"&lt;=30"))</f>
        <v>0.71794871794871795</v>
      </c>
      <c r="AH15" s="21">
        <f>[1]!f_risk_maxdownside(A15,$L$2,$E$1)</f>
        <v>-2.6884862653419073</v>
      </c>
      <c r="AI15" s="19" t="str">
        <f>IFERROR(RANK(AH15,AH:AH)&amp;"/"&amp;COUNT(AH:AH),"-")</f>
        <v>81/197</v>
      </c>
      <c r="AJ15" s="26">
        <f>IFERROR(RANK(AH15,AH:AH)/COUNT(AH:AH),"-")</f>
        <v>0.41116751269035534</v>
      </c>
      <c r="AK15" s="34" t="str">
        <f>IF(OR($C15&gt;20190630,$K15&gt;30,AH15="-",$D15="是",$E15="封闭期",$H15&lt;10,$BN15&lt;-6,$BR15&lt;70),"-",COUNTIFS(AH$4:AH$200,"&lt;&gt;-",$D$4:$D$200,"&lt;&gt;是",$E$4:$E$200,"&lt;&gt;封闭期",$H$4:$H$200,"&gt;10",$BN$4:$BN$200,"&gt;-6",$BR$4:$BR$200,"&gt;=70",$K$4:$K$200,"&lt;=30",$C$4:$C$200,"&lt;20190630",AH$4:AH$200,"&gt;="&amp;AH15)&amp;"/"&amp;COUNTIFS(AH$4:AH$200,"&lt;&gt;-",$D$4:$D$200,"&lt;&gt;是",$E$4:$E$200,"&lt;&gt;封闭期",$H$4:$H$200,"&gt;10",$BN$4:$BN$200,"&gt;-6",$BR$4:$BR$200,"&gt;=70",$C$4:$C$200,"&lt;20190630",$K$4:$K$200,"&lt;=30"))</f>
        <v>20/39</v>
      </c>
      <c r="AL15" s="33">
        <f>IF(OR($C15&gt;20190630,$K15&gt;30,AH15="-",$D15="是",$E15="封闭期",$H15&lt;10,$BN15&lt;-6,$BR15&lt;70),"-",COUNTIFS(AH$4:AH$200,"&lt;&gt;-",$D$4:$D$200,"&lt;&gt;是",$E$4:$E$200,"&lt;&gt;封闭期",$H$4:$H$200,"&gt;10",$BN$4:$BN$200,"&gt;-6",$BR$4:$BR$200,"&gt;=70",$K$4:$K$200,"&lt;=30",$C$4:$C$200,"&lt;20190630",AH$4:AH$200,"&gt;="&amp;AH15)/COUNTIFS(AH$4:AH$200,"&lt;&gt;-",$D$4:$D$200,"&lt;&gt;是",$E$4:$E$200,"&lt;&gt;封闭期",$H$4:$H$200,"&gt;10",$BN$4:$BN$200,"&gt;-6",$BR$4:$BR$200,"&gt;=70",$C$4:$C$200,"&lt;20190630",$K$4:$K$200,"&lt;=30"))</f>
        <v>0.51282051282051277</v>
      </c>
      <c r="AM15" s="19">
        <f>[1]!f_return($A15,"1",AM$2,$L$2)</f>
        <v>15.653450211275555</v>
      </c>
      <c r="AN15" s="19">
        <f>[1]!f_risk_stdevyearly($A15,AM$2,$L$2,1,1)</f>
        <v>6.1678395249354718</v>
      </c>
      <c r="AO15" s="12">
        <f>IFERROR(AM15/AN15,"-")</f>
        <v>2.5379146373687993</v>
      </c>
      <c r="AP15" s="12" t="str">
        <f>IFERROR(RANK(AO15,AO:AO)&amp;"/"&amp;COUNT(AO:AO),"-")</f>
        <v>19/197</v>
      </c>
      <c r="AQ15" s="26">
        <f>IF(AP15="-","-",RANK(AO15,AO:AO)/COUNT(AO:AO))</f>
        <v>9.6446700507614211E-2</v>
      </c>
      <c r="AR15" s="60">
        <v>6.0913705583756347E-2</v>
      </c>
      <c r="AS15" s="35">
        <f>IF(OR($C15&gt;20190630,$K15&gt;30,AO15="-",$D15="是",$E15="封闭期",$H15&lt;10,$BN15&lt;-6,$BR15&lt;70),"-",COUNTIFS(AO$4:AO$200,"&lt;&gt;-",$D$4:$D$200,"&lt;&gt;是",$E$4:$E$200,"&lt;&gt;封闭期",$H$4:$H$200,"&gt;10",$BN$4:$BN$200,"&gt;-6",$BR$4:$BR$200,"&gt;=70",$K$4:$K$200,"&lt;=30",$C$4:$C$200,"&lt;20190630",AO$4:AO$200,"&gt;="&amp;AO15)/COUNTIFS(AO$4:AO$200,"&lt;&gt;-",$D$4:$D$200,"&lt;&gt;是",$E$4:$E$200,"&lt;&gt;封闭期",$H$4:$H$200,"&gt;10",$BN$4:$BN$200,"&gt;-6",$BR$4:$BR$200,"&gt;=70",$C$4:$C$200,"&lt;20190630",$K$4:$K$200,"&lt;=30"))</f>
        <v>0.12820512820512819</v>
      </c>
      <c r="AT15" s="12">
        <f>IFERROR((AM15-3)/AN15,"-")</f>
        <v>2.051520659725325</v>
      </c>
      <c r="AU15" s="12" t="str">
        <f>IFERROR(RANK(AT15,AT:AT)&amp;"/"&amp;COUNT(AT:AT),"-")</f>
        <v>7/197</v>
      </c>
      <c r="AV15" s="26">
        <f>IFERROR(RANK(AT15,AT:AT)/COUNT(AT:AT),"-")</f>
        <v>3.553299492385787E-2</v>
      </c>
      <c r="AW15" s="13" t="str">
        <f>IF(OR($C15&gt;20190630,$K15&gt;30,AT15="-",$D15="是",$E15="封闭期",$H15&lt;10,$BN15&lt;-6,$BR15&lt;70),"-",COUNTIFS(AT$4:AT$200,"&lt;&gt;-",$D$4:$D$200,"&lt;&gt;是",$E$4:$E$200,"&lt;&gt;封闭期",$H$4:$H$200,"&gt;10",$BN$4:$BN$200,"&gt;-6",$BR$4:$BR$200,"&gt;=70",$K$4:$K$200,"&lt;=30",$C$4:$C$200,"&lt;20190630",AT$4:AT$200,"&gt;="&amp;AT15)&amp;"/"&amp;COUNTIFS(AT$4:AT$200,"&lt;&gt;-",$D$4:$D$200,"&lt;&gt;是",$E$4:$E$200,"&lt;&gt;封闭期",$H$4:$H$200,"&gt;10",$BN$4:$BN$200,"&gt;-6",$BR$4:$BR$200,"&gt;=70",$C$4:$C$200,"&lt;20190630",$K$4:$K$200,"&lt;=30"))</f>
        <v>4/39</v>
      </c>
      <c r="AX15" s="33">
        <f>IF(OR($C15&gt;20190630,$K15&gt;30,AT15="-",$D15="是",$E15="封闭期",$H15&lt;10,$BN15&lt;-6,$BR15&lt;70),"-",COUNTIFS(AT$4:AT$200,"&lt;&gt;-",$D$4:$D$200,"&lt;&gt;是",$E$4:$E$200,"&lt;&gt;封闭期",$H$4:$H$200,"&gt;10",$BN$4:$BN$200,"&gt;-6",$BR$4:$BR$200,"&gt;=70",$K$4:$K$200,"&lt;=30",$C$4:$C$200,"&lt;20190630",AT$4:AT$200,"&gt;="&amp;AT15)/COUNTIFS(AT$4:AT$200,"&lt;&gt;-",$D$4:$D$200,"&lt;&gt;是",$E$4:$E$200,"&lt;&gt;封闭期",$H$4:$H$200,"&gt;10",$BN$4:$BN$200,"&gt;-6",$BR$4:$BR$200,"&gt;=70",$C$4:$C$200,"&lt;20190630",$K$4:$K$200,"&lt;=30"))</f>
        <v>0.10256410256410256</v>
      </c>
      <c r="AY15" s="19">
        <f>[1]!f_risk_calmar(A15,$AM$2,$L$2)</f>
        <v>3.3378680597572847</v>
      </c>
      <c r="AZ15" s="12" t="str">
        <f>IFERROR(RANK(AY15,AY:AY)&amp;"/"&amp;COUNT(AY:AY),"-")</f>
        <v>36/197</v>
      </c>
      <c r="BA15" s="26">
        <f>IFERROR(RANK(AY15,AY:AY)/COUNT(AY:AY),"-")</f>
        <v>0.18274111675126903</v>
      </c>
      <c r="BB15" s="13" t="str">
        <f>IF(OR($C15&gt;20190630,$K15&gt;30,AY15="-",$D15="是",$E15="封闭期",$H15&lt;10,$BN15&lt;-6,$BR15&lt;70),"-",COUNTIFS(AY$4:AY$200,"&lt;&gt;-",$D$4:$D$200,"&lt;&gt;是",$E$4:$E$200,"&lt;&gt;封闭期",$H$4:$H$200,"&gt;10",$BN$4:$BN$200,"&gt;-6",$BR$4:$BR$200,"&gt;=70",$K$4:$K$200,"&lt;=30",$C$4:$C$200,"&lt;20190630",AY$4:AY$200,"&gt;="&amp;AY15)&amp;"/"&amp;COUNTIFS(AY$4:AY$200,"&lt;&gt;-",$D$4:$D$200,"&lt;&gt;是",$E$4:$E$200,"&lt;&gt;封闭期",$H$4:$H$200,"&gt;10",$BN$4:$BN$200,"&gt;-6",$BR$4:$BR$200,"&gt;=70",$C$4:$C$200,"&lt;20190630",$K$4:$K$200,"&lt;=30"))</f>
        <v>14/39</v>
      </c>
      <c r="BC15" s="33">
        <f>IF(OR($C15&gt;20190630,$K15&gt;30,AY15="-",$D15="是",$E15="封闭期",$H15&lt;10,$BN15&lt;-6,$BR15&lt;70),"-",COUNTIFS(AY$4:AY$200,"&lt;&gt;-",$D$4:$D$200,"&lt;&gt;是",$E$4:$E$200,"&lt;&gt;封闭期",$H$4:$H$200,"&gt;10",$BN$4:$BN$200,"&gt;-6",$BR$4:$BR$200,"&gt;=70",$K$4:$K$200,"&lt;=30",$C$4:$C$200,"&lt;20190630",AY$4:AY$200,"&gt;="&amp;AY15)/COUNTIFS(AY$4:AY$200,"&lt;&gt;-",$D$4:$D$200,"&lt;&gt;是",$E$4:$E$200,"&lt;&gt;封闭期",$H$4:$H$200,"&gt;10",$BN$4:$BN$200,"&gt;-6",$BR$4:$BR$200,"&gt;=70",$C$4:$C$200,"&lt;20190630",$K$4:$K$200,"&lt;=30"))</f>
        <v>0.35897435897435898</v>
      </c>
      <c r="BD15" s="20">
        <v>1</v>
      </c>
      <c r="BE15" s="12" t="str">
        <f>IFERROR(RANK(BD15,BD:BD)&amp;"/"&amp;COUNT(BD:BD),"-")</f>
        <v>1/197</v>
      </c>
      <c r="BF15" s="26">
        <f>IFERROR(RANK(BD15,BD:BD)/COUNT(BD:BD),"-")</f>
        <v>5.076142131979695E-3</v>
      </c>
      <c r="BG15" s="13" t="str">
        <f>IF(OR($C15&gt;20190630,$K15&gt;30,BD15="-",$D15="是",$E15="封闭期",$H15&lt;10,$BN15&lt;-6,$BR15&lt;70),"-",COUNTIFS(BD$4:BD$200,"&lt;&gt;-",$D$4:$D$200,"&lt;&gt;是",$E$4:$E$200,"&lt;&gt;封闭期",$H$4:$H$200,"&gt;10",$BN$4:$BN$200,"&gt;-6",$BR$4:$BR$200,"&gt;=70",$K$4:$K$200,"&lt;=30",$C$4:$C$200,"&lt;20190630",BD$4:BD$200,"&gt;="&amp;BD15)&amp;"/"&amp;COUNTIFS(BD$4:BD$200,"&lt;&gt;-",$D$4:$D$200,"&lt;&gt;是",$E$4:$E$200,"&lt;&gt;封闭期",$H$4:$H$200,"&gt;10",$BN$4:$BN$200,"&gt;-6",$BR$4:$BR$200,"&gt;=70",$C$4:$C$200,"&lt;20190630",$K$4:$K$200,"&lt;=30"))</f>
        <v>35/39</v>
      </c>
      <c r="BH15" s="33">
        <f>IF(OR($C15&gt;20190630,$K15&gt;30,BD15="-",$D15="是",$E15="封闭期",$H15&lt;10,$BN15&lt;-6,$BR15&lt;70),"-",COUNTIFS(BD$4:BD$200,"&lt;&gt;-",$D$4:$D$200,"&lt;&gt;是",$E$4:$E$200,"&lt;&gt;封闭期",$H$4:$H$200,"&gt;10",$BN$4:$BN$200,"&gt;-6",$BR$4:$BR$200,"&gt;=70",$K$4:$K$200,"&lt;=30",$C$4:$C$200,"&lt;20190630",BD$4:BD$200,"&gt;="&amp;BD15)/COUNTIFS(BD$4:BD$200,"&lt;&gt;-",$D$4:$D$200,"&lt;&gt;是",$E$4:$E$200,"&lt;&gt;封闭期",$H$4:$H$200,"&gt;10",$BN$4:$BN$200,"&gt;-6",$BR$4:$BR$200,"&gt;=70",$C$4:$C$200,"&lt;20190630",$K$4:$K$200,"&lt;=30"))</f>
        <v>0.89743589743589747</v>
      </c>
      <c r="BI15" s="21">
        <f>[1]!f_risk_maxdownside(A15,$AM$2,$L$2)</f>
        <v>-4.6896551724137971</v>
      </c>
      <c r="BJ15" s="19" t="str">
        <f>IFERROR(RANK(BI15,BI:BI)&amp;"/"&amp;COUNT(BI:BI),"-")</f>
        <v>153/197</v>
      </c>
      <c r="BK15" s="26">
        <f>IFERROR(RANK(BI15,BI:BI)/COUNT(BI:BI),"-")</f>
        <v>0.7766497461928934</v>
      </c>
      <c r="BL15" s="34" t="str">
        <f>IF(OR($C15&gt;20190630,$K15&gt;30,BI15="-",$D15="是",$E15="封闭期",$H15&lt;10,$BN15&lt;-6,$BR15&lt;70),"-",COUNTIFS(BI$4:BI$200,"&lt;&gt;-",$D$4:$D$200,"&lt;&gt;是",$E$4:$E$200,"&lt;&gt;封闭期",$H$4:$H$200,"&gt;10",$BN$4:$BN$200,"&gt;-6",$BR$4:$BR$200,"&gt;=70",$K$4:$K$200,"&lt;=30",$C$4:$C$200,"&lt;20190630",BI$4:BI$200,"&gt;="&amp;BI15)&amp;"/"&amp;COUNTIFS(BI$4:BI$200,"&lt;&gt;-",$D$4:$D$200,"&lt;&gt;是",$E$4:$E$200,"&lt;&gt;封闭期",$H$4:$H$200,"&gt;10",$BN$4:$BN$200,"&gt;-6",$BR$4:$BR$200,"&gt;=70",$C$4:$C$200,"&lt;20190630",$K$4:$K$200,"&lt;=30"))</f>
        <v>36/39</v>
      </c>
      <c r="BM15" s="33">
        <f>IF(OR($C15&gt;20190630,$K15&gt;30,BI15="-",$D15="是",$E15="封闭期",$H15&lt;10,$BN15&lt;-6,$BR15&lt;70),"-",COUNTIFS(BI$4:BI$200,"&lt;&gt;-",$D$4:$D$200,"&lt;&gt;是",$E$4:$E$200,"&lt;&gt;封闭期",$H$4:$H$200,"&gt;10",$BN$4:$BN$200,"&gt;-6",$BR$4:$BR$200,"&gt;=70",$K$4:$K$200,"&lt;=30",$C$4:$C$200,"&lt;20190630",BI$4:BI$200,"&gt;="&amp;BI15)/COUNTIFS(BI$4:BI$200,"&lt;&gt;-",$D$4:$D$200,"&lt;&gt;是",$E$4:$E$200,"&lt;&gt;封闭期",$H$4:$H$200,"&gt;10",$BN$4:$BN$200,"&gt;-6",$BR$4:$BR$200,"&gt;=70",$C$4:$C$200,"&lt;20190630",$K$4:$K$200,"&lt;=30"))</f>
        <v>0.92307692307692313</v>
      </c>
      <c r="BN15" s="21">
        <f>[1]!f_risk_maxdownside(A15,$AM$2,$E$1)</f>
        <v>-4.6896551724137971</v>
      </c>
      <c r="BO15" s="14">
        <f>IF(C15&lt;20190930,[1]!f_return_2y(A15,"0","20210930"),"-")</f>
        <v>27.168949771689494</v>
      </c>
      <c r="BP15" s="12" t="str">
        <f>IFERROR(RANK(BO15,BO:BO)&amp;"/"&amp;COUNT(BO:BO),"-")</f>
        <v>17/197</v>
      </c>
      <c r="BQ15" s="25">
        <f>IFERROR(RANK(BO15,BO:BO)/COUNT(BO:BO),"-")</f>
        <v>8.6294416243654817E-2</v>
      </c>
      <c r="BR15" s="12">
        <f>IF(C15&lt;20190930,[1]!f_absolute_profitmonthper(A15,"20190930","20210930"),"-")</f>
        <v>83.333333333333343</v>
      </c>
      <c r="BS15" s="12" t="str">
        <f>IFERROR(RANK(BR15,BR:BR)&amp;"/"&amp;COUNT(BR:BR),"-")</f>
        <v>4/198</v>
      </c>
      <c r="BT15" s="25">
        <f>IFERROR(RANK(BR15,BR:BR)/COUNT(BR:BR),"-")</f>
        <v>2.0202020202020204E-2</v>
      </c>
      <c r="BU15" s="17"/>
      <c r="BV15" s="12">
        <f>X15-3/M15</f>
        <v>2.8786724494121279</v>
      </c>
      <c r="BW15" s="76">
        <f>IFERROR(RANK(BV15,BV:BV)/COUNT(BV:BV),"-")</f>
        <v>0.21827411167512689</v>
      </c>
      <c r="BX15" s="76">
        <f>IFERROR(RANK(L15,L:L)/COUNT(L:L),"-")</f>
        <v>0.20202020202020202</v>
      </c>
      <c r="BY15" s="12">
        <f>AY15-3/AN15</f>
        <v>2.8514740821138105</v>
      </c>
      <c r="BZ15" s="76">
        <f>IFERROR(RANK(BY15,BY:BY)/COUNT(BY:BY),"-")</f>
        <v>0.15736040609137056</v>
      </c>
      <c r="CA15" s="76">
        <f>IFERROR(RANK(AM15,AM:AM)/COUNT(AM:AM),"-")</f>
        <v>6.5656565656565663E-2</v>
      </c>
      <c r="CC15" s="77">
        <f>AV15+BF15+BZ15+CA15</f>
        <v>0.2636261088037738</v>
      </c>
      <c r="CD15" s="77">
        <f>BW15+BX15+AE15+U15</f>
        <v>0.67917756242629335</v>
      </c>
      <c r="CE15" s="77">
        <f>CC15+CD15</f>
        <v>0.94280367123006714</v>
      </c>
    </row>
    <row r="16" spans="1:83" s="17" customFormat="1" x14ac:dyDescent="0.35">
      <c r="A16" s="3" t="s">
        <v>63</v>
      </c>
      <c r="B16" s="3" t="s">
        <v>64</v>
      </c>
      <c r="C16" s="4">
        <v>20190529</v>
      </c>
      <c r="D16" s="4" t="str">
        <f>[1]!f_info_regulopenfundornot(A16)</f>
        <v>否</v>
      </c>
      <c r="E16" s="4" t="str">
        <f>[1]!f_dq_status(A16,$E$1)</f>
        <v>开放申购|开放赎回</v>
      </c>
      <c r="F16" s="17" t="str">
        <f>[1]!f_info_fundmanager(A16)</f>
        <v>姜晓丽,张寓,彭玮</v>
      </c>
      <c r="G16" s="4">
        <v>20190529</v>
      </c>
      <c r="H16" s="11">
        <f>[1]!f_netasset_total(A16,$E$1,100000000)</f>
        <v>79.972919173799994</v>
      </c>
      <c r="I16" s="11">
        <f>[1]!f_prt_convertiblebondtonav(A16,$E$1)</f>
        <v>10.088583946228027</v>
      </c>
      <c r="J16" s="11">
        <f>[1]!f_prt_stocktonav(A16,$E$1)+0.5*I16</f>
        <v>19.394369602203369</v>
      </c>
      <c r="K16" s="12">
        <v>5.0016931247777228</v>
      </c>
      <c r="L16" s="19">
        <f>[1]!f_return($A16,"1",L$2,$E$1)</f>
        <v>14.961609275168474</v>
      </c>
      <c r="M16" s="19">
        <f>[1]!f_risk_stdevyearly($A16,L$2,$E$1,1,1)</f>
        <v>6.3395033812357227</v>
      </c>
      <c r="N16" s="12">
        <f>IFERROR(L16/M16,"-")</f>
        <v>2.3600601459498067</v>
      </c>
      <c r="O16" s="12" t="str">
        <f>IFERROR(RANK(N16,N:N)&amp;"/"&amp;COUNT(N:N),"-")</f>
        <v>36/197</v>
      </c>
      <c r="P16" s="26">
        <f>IF(O16="-","-",RANK(N16,N:N)/COUNT(N:N))</f>
        <v>0.18274111675126903</v>
      </c>
      <c r="Q16" s="58">
        <v>4.060913705583756E-2</v>
      </c>
      <c r="R16" s="33">
        <f>IF(OR($C16&gt;20190630,$K16&gt;30,N16="-",$D16="是",$E16="封闭期",$H16&lt;10,$BN16&lt;-6,$BR16&lt;70),"-",COUNTIFS(N$4:N$200,"&lt;&gt;-",$D$4:$D$200,"&lt;&gt;是",$E$4:$E$200,"&lt;&gt;封闭期",$H$4:$H$200,"&gt;10",$BN$4:$BN$200,"&gt;-6",$BR$4:$BR$200,"&gt;=70",$K$4:$K$200,"&lt;=30",$C$4:$C$200,"&lt;20190630",N$4:N$200,"&gt;="&amp;N16)/COUNTIFS(N$4:N$200,"&lt;&gt;-",$D$4:$D$200,"&lt;&gt;是",$E$4:$E$200,"&lt;&gt;封闭期",$H$4:$H$200,"&gt;10",$BN$4:$BN$200,"&gt;-6",$BR$4:$BR$200,"&gt;=70",$C$4:$C$200,"&lt;20190630",$K$4:$K$200,"&lt;=30"))</f>
        <v>0.30769230769230771</v>
      </c>
      <c r="S16" s="12">
        <f>IFERROR((L16-3)/M16,"-")</f>
        <v>1.8868369580137154</v>
      </c>
      <c r="T16" s="12" t="str">
        <f>IFERROR(RANK(S16,S:S)&amp;"/"&amp;COUNT(S:S),"-")</f>
        <v>17/197</v>
      </c>
      <c r="U16" s="26">
        <f>IFERROR(RANK(S16,S:S)/COUNT(S:S),"-")</f>
        <v>8.6294416243654817E-2</v>
      </c>
      <c r="V16" s="13" t="str">
        <f>IF(OR($C16&gt;20190630,$K16&gt;30,S16="-",$D16="是",$E16="封闭期",$H16&lt;10,$BN16&lt;-6,$BR16&lt;70),"-",COUNTIFS(S$4:S$200,"&lt;&gt;-",$D$4:$D$200,"&lt;&gt;是",$E$4:$E$200,"&lt;&gt;封闭期",$H$4:$H$200,"&gt;10",$BN$4:$BN$200,"&gt;-6",$BR$4:$BR$200,"&gt;=70",$K$4:$K$200,"&lt;=30",$C$4:$C$200,"&lt;20190630",S$4:S$200,"&gt;="&amp;S16)&amp;"/"&amp;COUNTIFS(S$4:S$200,"&lt;&gt;-",$D$4:$D$200,"&lt;&gt;是",$E$4:$E$200,"&lt;&gt;封闭期",$H$4:$H$200,"&gt;10",$BN$4:$BN$200,"&gt;-6",$BR$4:$BR$200,"&gt;=70",$C$4:$C$200,"&lt;20190630",$K$4:$K$200,"&lt;=30"))</f>
        <v>5/39</v>
      </c>
      <c r="W16" s="33">
        <f>IF(OR($C16&gt;20190630,$K16&gt;30,S16="-",$D16="是",$E16="封闭期",$H16&lt;10,$BN16&lt;-6,$BR16&lt;70),"-",COUNTIFS(S$4:S$200,"&lt;&gt;-",$D$4:$D$200,"&lt;&gt;是",$E$4:$E$200,"&lt;&gt;封闭期",$H$4:$H$200,"&gt;10",$BN$4:$BN$200,"&gt;-6",$BR$4:$BR$200,"&gt;=70",$K$4:$K$200,"&lt;=30",$C$4:$C$200,"&lt;20190630",S$4:S$200,"&gt;="&amp;S16)/COUNTIFS(S$4:S$200,"&lt;&gt;-",$D$4:$D$200,"&lt;&gt;是",$E$4:$E$200,"&lt;&gt;封闭期",$H$4:$H$200,"&gt;10",$BN$4:$BN$200,"&gt;-6",$BR$4:$BR$200,"&gt;=70",$C$4:$C$200,"&lt;20190630",$K$4:$K$200,"&lt;=30"))</f>
        <v>0.12820512820512819</v>
      </c>
      <c r="X16" s="19">
        <f>[1]!f_risk_calmar(A16,$L$2,$E$1)</f>
        <v>5.0853208916795527</v>
      </c>
      <c r="Y16" s="12" t="str">
        <f>IFERROR(RANK(X16,X:X)&amp;"/"&amp;COUNT(X:X),"-")</f>
        <v>34/197</v>
      </c>
      <c r="Z16" s="26">
        <f>IFERROR(RANK(X16,X:X)/COUNT(X:X),"-")</f>
        <v>0.17258883248730963</v>
      </c>
      <c r="AA16" s="13" t="str">
        <f>IF(OR($C16&gt;20190630,$K16&gt;30,X16="-",$D16="是",$E16="封闭期",$H16&lt;10,$BN16&lt;-6,$BR16&lt;70),"-",COUNTIFS(X$4:X$200,"&lt;&gt;-",$D$4:$D$200,"&lt;&gt;是",$E$4:$E$200,"&lt;&gt;封闭期",$H$4:$H$200,"&gt;10",$BN$4:$BN$200,"&gt;-6",$BR$4:$BR$200,"&gt;=70",$K$4:$K$200,"&lt;=30",$C$4:$C$200,"&lt;20190630",X$4:X$200,"&gt;="&amp;X16)&amp;"/"&amp;COUNTIFS(X$4:X$200,"&lt;&gt;-",$D$4:$D$200,"&lt;&gt;是",$E$4:$E$200,"&lt;&gt;封闭期",$H$4:$H$200,"&gt;10",$BN$4:$BN$200,"&gt;-6",$BR$4:$BR$200,"&gt;=70",$C$4:$C$200,"&lt;20190630",$K$4:$K$200,"&lt;=30"))</f>
        <v>11/39</v>
      </c>
      <c r="AB16" s="33">
        <f>IF(OR($C16&gt;20190630,$K16&gt;30,X16="-",$D16="是",$E16="封闭期",$H16&lt;10,$BN16&lt;-6,$BR16&lt;70),"-",COUNTIFS(X$4:X$200,"&lt;&gt;-",$D$4:$D$200,"&lt;&gt;是",$E$4:$E$200,"&lt;&gt;封闭期",$H$4:$H$200,"&gt;10",$BN$4:$BN$200,"&gt;-6",$BR$4:$BR$200,"&gt;=70",$K$4:$K$200,"&lt;=30",$C$4:$C$200,"&lt;20190630",X$4:X$200,"&gt;="&amp;X16)/COUNTIFS(X$4:X$200,"&lt;&gt;-",$D$4:$D$200,"&lt;&gt;是",$E$4:$E$200,"&lt;&gt;封闭期",$H$4:$H$200,"&gt;10",$BN$4:$BN$200,"&gt;-6",$BR$4:$BR$200,"&gt;=70",$C$4:$C$200,"&lt;20190630",$K$4:$K$200,"&lt;=30"))</f>
        <v>0.28205128205128205</v>
      </c>
      <c r="AC16" s="20">
        <v>1</v>
      </c>
      <c r="AD16" s="12" t="str">
        <f>IFERROR(RANK(AC16,AC:AC)&amp;"/"&amp;COUNT(AC:AC),"-")</f>
        <v>1/197</v>
      </c>
      <c r="AE16" s="26">
        <f>IFERROR(RANK(AC16,AC:AC)/COUNT(AC:AC),"-")</f>
        <v>5.076142131979695E-3</v>
      </c>
      <c r="AF16" s="13" t="str">
        <f>IF(OR($C16&gt;20190630,$K16&gt;30,AC16="-",$D16="是",$E16="封闭期",$H16&lt;10,$BN16&lt;-6,$BR16&lt;70),"-",COUNTIFS(AC$4:AC$200,"&lt;&gt;-",$D$4:$D$200,"&lt;&gt;是",$E$4:$E$200,"&lt;&gt;封闭期",$H$4:$H$200,"&gt;10",$BN$4:$BN$200,"&gt;-6",$BR$4:$BR$200,"&gt;=70",$K$4:$K$200,"&lt;=30",$C$4:$C$200,"&lt;20190630",AC$4:AC$200,"&gt;="&amp;AC16)&amp;"/"&amp;COUNTIFS(AC$4:AC$200,"&lt;&gt;-",$D$4:$D$200,"&lt;&gt;是",$E$4:$E$200,"&lt;&gt;封闭期",$H$4:$H$200,"&gt;10",$BN$4:$BN$200,"&gt;-6",$BR$4:$BR$200,"&gt;=70",$C$4:$C$200,"&lt;20190630",$K$4:$K$200,"&lt;=30"))</f>
        <v>28/39</v>
      </c>
      <c r="AG16" s="33">
        <f>IF(OR($C16&gt;20190630,$K16&gt;30,AC16="-",$D16="是",$E16="封闭期",$H16&lt;10,$BN16&lt;-6,$BR16&lt;70),"-",COUNTIFS(AC$4:AC$200,"&lt;&gt;-",$D$4:$D$200,"&lt;&gt;是",$E$4:$E$200,"&lt;&gt;封闭期",$H$4:$H$200,"&gt;10",$BN$4:$BN$200,"&gt;-6",$BR$4:$BR$200,"&gt;=70",$K$4:$K$200,"&lt;=30",$C$4:$C$200,"&lt;20190630",AC$4:AC$200,"&gt;="&amp;AC16)/COUNTIFS(AC$4:AC$200,"&lt;&gt;-",$D$4:$D$200,"&lt;&gt;是",$E$4:$E$200,"&lt;&gt;封闭期",$H$4:$H$200,"&gt;10",$BN$4:$BN$200,"&gt;-6",$BR$4:$BR$200,"&gt;=70",$C$4:$C$200,"&lt;20190630",$K$4:$K$200,"&lt;=30"))</f>
        <v>0.71794871794871795</v>
      </c>
      <c r="AH16" s="21">
        <f>[1]!f_risk_maxdownside(A16,$L$2,$E$1)</f>
        <v>-2.9421170450911376</v>
      </c>
      <c r="AI16" s="19" t="str">
        <f>IFERROR(RANK(AH16,AH:AH)&amp;"/"&amp;COUNT(AH:AH),"-")</f>
        <v>93/197</v>
      </c>
      <c r="AJ16" s="26">
        <f>IFERROR(RANK(AH16,AH:AH)/COUNT(AH:AH),"-")</f>
        <v>0.4720812182741117</v>
      </c>
      <c r="AK16" s="34" t="str">
        <f>IF(OR($C16&gt;20190630,$K16&gt;30,AH16="-",$D16="是",$E16="封闭期",$H16&lt;10,$BN16&lt;-6,$BR16&lt;70),"-",COUNTIFS(AH$4:AH$200,"&lt;&gt;-",$D$4:$D$200,"&lt;&gt;是",$E$4:$E$200,"&lt;&gt;封闭期",$H$4:$H$200,"&gt;10",$BN$4:$BN$200,"&gt;-6",$BR$4:$BR$200,"&gt;=70",$K$4:$K$200,"&lt;=30",$C$4:$C$200,"&lt;20190630",AH$4:AH$200,"&gt;="&amp;AH16)&amp;"/"&amp;COUNTIFS(AH$4:AH$200,"&lt;&gt;-",$D$4:$D$200,"&lt;&gt;是",$E$4:$E$200,"&lt;&gt;封闭期",$H$4:$H$200,"&gt;10",$BN$4:$BN$200,"&gt;-6",$BR$4:$BR$200,"&gt;=70",$C$4:$C$200,"&lt;20190630",$K$4:$K$200,"&lt;=30"))</f>
        <v>24/39</v>
      </c>
      <c r="AL16" s="33">
        <f>IF(OR($C16&gt;20190630,$K16&gt;30,AH16="-",$D16="是",$E16="封闭期",$H16&lt;10,$BN16&lt;-6,$BR16&lt;70),"-",COUNTIFS(AH$4:AH$200,"&lt;&gt;-",$D$4:$D$200,"&lt;&gt;是",$E$4:$E$200,"&lt;&gt;封闭期",$H$4:$H$200,"&gt;10",$BN$4:$BN$200,"&gt;-6",$BR$4:$BR$200,"&gt;=70",$K$4:$K$200,"&lt;=30",$C$4:$C$200,"&lt;20190630",AH$4:AH$200,"&gt;="&amp;AH16)/COUNTIFS(AH$4:AH$200,"&lt;&gt;-",$D$4:$D$200,"&lt;&gt;是",$E$4:$E$200,"&lt;&gt;封闭期",$H$4:$H$200,"&gt;10",$BN$4:$BN$200,"&gt;-6",$BR$4:$BR$200,"&gt;=70",$C$4:$C$200,"&lt;20190630",$K$4:$K$200,"&lt;=30"))</f>
        <v>0.61538461538461542</v>
      </c>
      <c r="AM16" s="19">
        <f>[1]!f_return($A16,"1",AM$2,$L$2)</f>
        <v>15.59617288439188</v>
      </c>
      <c r="AN16" s="19">
        <f>[1]!f_risk_stdevyearly($A16,AM$2,$L$2,1,1)</f>
        <v>5.1405747768709862</v>
      </c>
      <c r="AO16" s="12">
        <f>IFERROR(AM16/AN16,"-")</f>
        <v>3.0339356125240737</v>
      </c>
      <c r="AP16" s="12" t="str">
        <f>IFERROR(RANK(AO16,AO:AO)&amp;"/"&amp;COUNT(AO:AO),"-")</f>
        <v>8/197</v>
      </c>
      <c r="AQ16" s="26">
        <f>IF(AP16="-","-",RANK(AO16,AO:AO)/COUNT(AO:AO))</f>
        <v>4.060913705583756E-2</v>
      </c>
      <c r="AR16" s="60">
        <v>6.5989847715736044E-2</v>
      </c>
      <c r="AS16" s="35">
        <f>IF(OR($C16&gt;20190630,$K16&gt;30,AO16="-",$D16="是",$E16="封闭期",$H16&lt;10,$BN16&lt;-6,$BR16&lt;70),"-",COUNTIFS(AO$4:AO$200,"&lt;&gt;-",$D$4:$D$200,"&lt;&gt;是",$E$4:$E$200,"&lt;&gt;封闭期",$H$4:$H$200,"&gt;10",$BN$4:$BN$200,"&gt;-6",$BR$4:$BR$200,"&gt;=70",$K$4:$K$200,"&lt;=30",$C$4:$C$200,"&lt;20190630",AO$4:AO$200,"&gt;="&amp;AO16)/COUNTIFS(AO$4:AO$200,"&lt;&gt;-",$D$4:$D$200,"&lt;&gt;是",$E$4:$E$200,"&lt;&gt;封闭期",$H$4:$H$200,"&gt;10",$BN$4:$BN$200,"&gt;-6",$BR$4:$BR$200,"&gt;=70",$C$4:$C$200,"&lt;20190630",$K$4:$K$200,"&lt;=30"))</f>
        <v>5.128205128205128E-2</v>
      </c>
      <c r="AT16" s="12">
        <f>IFERROR((AM16-3)/AN16,"-")</f>
        <v>2.4503432847754505</v>
      </c>
      <c r="AU16" s="12" t="str">
        <f>IFERROR(RANK(AT16,AT:AT)&amp;"/"&amp;COUNT(AT:AT),"-")</f>
        <v>3/197</v>
      </c>
      <c r="AV16" s="26">
        <f>IFERROR(RANK(AT16,AT:AT)/COUNT(AT:AT),"-")</f>
        <v>1.5228426395939087E-2</v>
      </c>
      <c r="AW16" s="13" t="str">
        <f>IF(OR($C16&gt;20190630,$K16&gt;30,AT16="-",$D16="是",$E16="封闭期",$H16&lt;10,$BN16&lt;-6,$BR16&lt;70),"-",COUNTIFS(AT$4:AT$200,"&lt;&gt;-",$D$4:$D$200,"&lt;&gt;是",$E$4:$E$200,"&lt;&gt;封闭期",$H$4:$H$200,"&gt;10",$BN$4:$BN$200,"&gt;-6",$BR$4:$BR$200,"&gt;=70",$K$4:$K$200,"&lt;=30",$C$4:$C$200,"&lt;20190630",AT$4:AT$200,"&gt;="&amp;AT16)&amp;"/"&amp;COUNTIFS(AT$4:AT$200,"&lt;&gt;-",$D$4:$D$200,"&lt;&gt;是",$E$4:$E$200,"&lt;&gt;封闭期",$H$4:$H$200,"&gt;10",$BN$4:$BN$200,"&gt;-6",$BR$4:$BR$200,"&gt;=70",$C$4:$C$200,"&lt;20190630",$K$4:$K$200,"&lt;=30"))</f>
        <v>2/39</v>
      </c>
      <c r="AX16" s="33">
        <f>IF(OR($C16&gt;20190630,$K16&gt;30,AT16="-",$D16="是",$E16="封闭期",$H16&lt;10,$BN16&lt;-6,$BR16&lt;70),"-",COUNTIFS(AT$4:AT$200,"&lt;&gt;-",$D$4:$D$200,"&lt;&gt;是",$E$4:$E$200,"&lt;&gt;封闭期",$H$4:$H$200,"&gt;10",$BN$4:$BN$200,"&gt;-6",$BR$4:$BR$200,"&gt;=70",$K$4:$K$200,"&lt;=30",$C$4:$C$200,"&lt;20190630",AT$4:AT$200,"&gt;="&amp;AT16)/COUNTIFS(AT$4:AT$200,"&lt;&gt;-",$D$4:$D$200,"&lt;&gt;是",$E$4:$E$200,"&lt;&gt;封闭期",$H$4:$H$200,"&gt;10",$BN$4:$BN$200,"&gt;-6",$BR$4:$BR$200,"&gt;=70",$C$4:$C$200,"&lt;20190630",$K$4:$K$200,"&lt;=30"))</f>
        <v>5.128205128205128E-2</v>
      </c>
      <c r="AY16" s="19">
        <f>[1]!f_risk_calmar(A16,$AM$2,$L$2)</f>
        <v>5.7980117195388994</v>
      </c>
      <c r="AZ16" s="12" t="str">
        <f>IFERROR(RANK(AY16,AY:AY)&amp;"/"&amp;COUNT(AY:AY),"-")</f>
        <v>7/197</v>
      </c>
      <c r="BA16" s="26">
        <f>IFERROR(RANK(AY16,AY:AY)/COUNT(AY:AY),"-")</f>
        <v>3.553299492385787E-2</v>
      </c>
      <c r="BB16" s="13" t="str">
        <f>IF(OR($C16&gt;20190630,$K16&gt;30,AY16="-",$D16="是",$E16="封闭期",$H16&lt;10,$BN16&lt;-6,$BR16&lt;70),"-",COUNTIFS(AY$4:AY$200,"&lt;&gt;-",$D$4:$D$200,"&lt;&gt;是",$E$4:$E$200,"&lt;&gt;封闭期",$H$4:$H$200,"&gt;10",$BN$4:$BN$200,"&gt;-6",$BR$4:$BR$200,"&gt;=70",$K$4:$K$200,"&lt;=30",$C$4:$C$200,"&lt;20190630",AY$4:AY$200,"&gt;="&amp;AY16)&amp;"/"&amp;COUNTIFS(AY$4:AY$200,"&lt;&gt;-",$D$4:$D$200,"&lt;&gt;是",$E$4:$E$200,"&lt;&gt;封闭期",$H$4:$H$200,"&gt;10",$BN$4:$BN$200,"&gt;-6",$BR$4:$BR$200,"&gt;=70",$C$4:$C$200,"&lt;20190630",$K$4:$K$200,"&lt;=30"))</f>
        <v>2/39</v>
      </c>
      <c r="BC16" s="33">
        <f>IF(OR($C16&gt;20190630,$K16&gt;30,AY16="-",$D16="是",$E16="封闭期",$H16&lt;10,$BN16&lt;-6,$BR16&lt;70),"-",COUNTIFS(AY$4:AY$200,"&lt;&gt;-",$D$4:$D$200,"&lt;&gt;是",$E$4:$E$200,"&lt;&gt;封闭期",$H$4:$H$200,"&gt;10",$BN$4:$BN$200,"&gt;-6",$BR$4:$BR$200,"&gt;=70",$K$4:$K$200,"&lt;=30",$C$4:$C$200,"&lt;20190630",AY$4:AY$200,"&gt;="&amp;AY16)/COUNTIFS(AY$4:AY$200,"&lt;&gt;-",$D$4:$D$200,"&lt;&gt;是",$E$4:$E$200,"&lt;&gt;封闭期",$H$4:$H$200,"&gt;10",$BN$4:$BN$200,"&gt;-6",$BR$4:$BR$200,"&gt;=70",$C$4:$C$200,"&lt;20190630",$K$4:$K$200,"&lt;=30"))</f>
        <v>5.128205128205128E-2</v>
      </c>
      <c r="BD16" s="20">
        <v>1</v>
      </c>
      <c r="BE16" s="12" t="str">
        <f>IFERROR(RANK(BD16,BD:BD)&amp;"/"&amp;COUNT(BD:BD),"-")</f>
        <v>1/197</v>
      </c>
      <c r="BF16" s="26">
        <f>IFERROR(RANK(BD16,BD:BD)/COUNT(BD:BD),"-")</f>
        <v>5.076142131979695E-3</v>
      </c>
      <c r="BG16" s="13" t="str">
        <f>IF(OR($C16&gt;20190630,$K16&gt;30,BD16="-",$D16="是",$E16="封闭期",$H16&lt;10,$BN16&lt;-6,$BR16&lt;70),"-",COUNTIFS(BD$4:BD$200,"&lt;&gt;-",$D$4:$D$200,"&lt;&gt;是",$E$4:$E$200,"&lt;&gt;封闭期",$H$4:$H$200,"&gt;10",$BN$4:$BN$200,"&gt;-6",$BR$4:$BR$200,"&gt;=70",$K$4:$K$200,"&lt;=30",$C$4:$C$200,"&lt;20190630",BD$4:BD$200,"&gt;="&amp;BD16)&amp;"/"&amp;COUNTIFS(BD$4:BD$200,"&lt;&gt;-",$D$4:$D$200,"&lt;&gt;是",$E$4:$E$200,"&lt;&gt;封闭期",$H$4:$H$200,"&gt;10",$BN$4:$BN$200,"&gt;-6",$BR$4:$BR$200,"&gt;=70",$C$4:$C$200,"&lt;20190630",$K$4:$K$200,"&lt;=30"))</f>
        <v>35/39</v>
      </c>
      <c r="BH16" s="33">
        <f>IF(OR($C16&gt;20190630,$K16&gt;30,BD16="-",$D16="是",$E16="封闭期",$H16&lt;10,$BN16&lt;-6,$BR16&lt;70),"-",COUNTIFS(BD$4:BD$200,"&lt;&gt;-",$D$4:$D$200,"&lt;&gt;是",$E$4:$E$200,"&lt;&gt;封闭期",$H$4:$H$200,"&gt;10",$BN$4:$BN$200,"&gt;-6",$BR$4:$BR$200,"&gt;=70",$K$4:$K$200,"&lt;=30",$C$4:$C$200,"&lt;20190630",BD$4:BD$200,"&gt;="&amp;BD16)/COUNTIFS(BD$4:BD$200,"&lt;&gt;-",$D$4:$D$200,"&lt;&gt;是",$E$4:$E$200,"&lt;&gt;封闭期",$H$4:$H$200,"&gt;10",$BN$4:$BN$200,"&gt;-6",$BR$4:$BR$200,"&gt;=70",$C$4:$C$200,"&lt;20190630",$K$4:$K$200,"&lt;=30"))</f>
        <v>0.89743589743589747</v>
      </c>
      <c r="BI16" s="21">
        <f>[1]!f_risk_maxdownside(A16,$AM$2,$L$2)</f>
        <v>-2.6899174473611107</v>
      </c>
      <c r="BJ16" s="19" t="str">
        <f>IFERROR(RANK(BI16,BI:BI)&amp;"/"&amp;COUNT(BI:BI),"-")</f>
        <v>70/197</v>
      </c>
      <c r="BK16" s="26">
        <f>IFERROR(RANK(BI16,BI:BI)/COUNT(BI:BI),"-")</f>
        <v>0.35532994923857869</v>
      </c>
      <c r="BL16" s="34" t="str">
        <f>IF(OR($C16&gt;20190630,$K16&gt;30,BI16="-",$D16="是",$E16="封闭期",$H16&lt;10,$BN16&lt;-6,$BR16&lt;70),"-",COUNTIFS(BI$4:BI$200,"&lt;&gt;-",$D$4:$D$200,"&lt;&gt;是",$E$4:$E$200,"&lt;&gt;封闭期",$H$4:$H$200,"&gt;10",$BN$4:$BN$200,"&gt;-6",$BR$4:$BR$200,"&gt;=70",$K$4:$K$200,"&lt;=30",$C$4:$C$200,"&lt;20190630",BI$4:BI$200,"&gt;="&amp;BI16)&amp;"/"&amp;COUNTIFS(BI$4:BI$200,"&lt;&gt;-",$D$4:$D$200,"&lt;&gt;是",$E$4:$E$200,"&lt;&gt;封闭期",$H$4:$H$200,"&gt;10",$BN$4:$BN$200,"&gt;-6",$BR$4:$BR$200,"&gt;=70",$C$4:$C$200,"&lt;20190630",$K$4:$K$200,"&lt;=30"))</f>
        <v>12/39</v>
      </c>
      <c r="BM16" s="33">
        <f>IF(OR($C16&gt;20190630,$K16&gt;30,BI16="-",$D16="是",$E16="封闭期",$H16&lt;10,$BN16&lt;-6,$BR16&lt;70),"-",COUNTIFS(BI$4:BI$200,"&lt;&gt;-",$D$4:$D$200,"&lt;&gt;是",$E$4:$E$200,"&lt;&gt;封闭期",$H$4:$H$200,"&gt;10",$BN$4:$BN$200,"&gt;-6",$BR$4:$BR$200,"&gt;=70",$K$4:$K$200,"&lt;=30",$C$4:$C$200,"&lt;20190630",BI$4:BI$200,"&gt;="&amp;BI16)/COUNTIFS(BI$4:BI$200,"&lt;&gt;-",$D$4:$D$200,"&lt;&gt;是",$E$4:$E$200,"&lt;&gt;封闭期",$H$4:$H$200,"&gt;10",$BN$4:$BN$200,"&gt;-6",$BR$4:$BR$200,"&gt;=70",$C$4:$C$200,"&lt;20190630",$K$4:$K$200,"&lt;=30"))</f>
        <v>0.30769230769230771</v>
      </c>
      <c r="BN16" s="21">
        <f>[1]!f_risk_maxdownside(A16,$AM$2,$E$1)</f>
        <v>-2.9421170450911376</v>
      </c>
      <c r="BO16" s="14">
        <f>IF(C16&lt;20190930,[1]!f_return_2y(A16,"0","20210930"),"-")</f>
        <v>32.965951584333794</v>
      </c>
      <c r="BP16" s="12" t="str">
        <f>IFERROR(RANK(BO16,BO:BO)&amp;"/"&amp;COUNT(BO:BO),"-")</f>
        <v>7/197</v>
      </c>
      <c r="BQ16" s="25">
        <f>IFERROR(RANK(BO16,BO:BO)/COUNT(BO:BO),"-")</f>
        <v>3.553299492385787E-2</v>
      </c>
      <c r="BR16" s="12">
        <f>IF(C16&lt;20190930,[1]!f_absolute_profitmonthper(A16,"20190930","20210930"),"-")</f>
        <v>87.5</v>
      </c>
      <c r="BS16" s="12" t="str">
        <f>IFERROR(RANK(BR16,BR:BR)&amp;"/"&amp;COUNT(BR:BR),"-")</f>
        <v>3/198</v>
      </c>
      <c r="BT16" s="25">
        <f>IFERROR(RANK(BR16,BR:BR)/COUNT(BR:BR),"-")</f>
        <v>1.5151515151515152E-2</v>
      </c>
      <c r="BV16" s="12">
        <f>X16-3/M16</f>
        <v>4.6120977037434612</v>
      </c>
      <c r="BW16" s="76">
        <f>IFERROR(RANK(BV16,BV:BV)/COUNT(BV:BV),"-")</f>
        <v>0.1116751269035533</v>
      </c>
      <c r="BX16" s="76">
        <f>IFERROR(RANK(L16,L:L)/COUNT(L:L),"-")</f>
        <v>4.5454545454545456E-2</v>
      </c>
      <c r="BY16" s="12">
        <f>AY16-3/AN16</f>
        <v>5.2144193917902761</v>
      </c>
      <c r="BZ16" s="76">
        <f>IFERROR(RANK(BY16,BY:BY)/COUNT(BY:BY),"-")</f>
        <v>3.553299492385787E-2</v>
      </c>
      <c r="CA16" s="76">
        <f>IFERROR(RANK(AM16,AM:AM)/COUNT(AM:AM),"-")</f>
        <v>7.0707070707070704E-2</v>
      </c>
      <c r="CB16" s="2"/>
      <c r="CC16" s="77">
        <f>AV16+BF16+BZ16+CA16</f>
        <v>0.12654463415884737</v>
      </c>
      <c r="CD16" s="77">
        <f>BW16+BX16+AE16+U16</f>
        <v>0.24850023073373328</v>
      </c>
      <c r="CE16" s="77">
        <f>CC16+CD16</f>
        <v>0.37504486489258065</v>
      </c>
    </row>
    <row r="17" spans="1:83" s="17" customFormat="1" x14ac:dyDescent="0.35">
      <c r="A17" s="15" t="s">
        <v>37</v>
      </c>
      <c r="B17" s="15" t="s">
        <v>38</v>
      </c>
      <c r="C17" s="16">
        <v>20080910</v>
      </c>
      <c r="D17" s="16" t="str">
        <f>[1]!f_info_regulopenfundornot(A17)</f>
        <v>否</v>
      </c>
      <c r="E17" s="16" t="str">
        <f>[1]!f_dq_status(A17,$E$1)</f>
        <v>开放申购|开放赎回</v>
      </c>
      <c r="F17" s="17" t="str">
        <f>[1]!f_info_fundmanager(A17)</f>
        <v>王茜,洪流</v>
      </c>
      <c r="G17" s="16">
        <v>20090213</v>
      </c>
      <c r="H17" s="18">
        <f>[1]!f_netasset_total(A17,$E$1,100000000)</f>
        <v>25.464360860599999</v>
      </c>
      <c r="I17" s="18">
        <f>[1]!f_prt_convertiblebondtonav(A17,$E$1)</f>
        <v>20.778264999389648</v>
      </c>
      <c r="J17" s="18">
        <f>[1]!f_prt_stocktonav(A17,$E$1)+0.5*I17</f>
        <v>29.126181602478027</v>
      </c>
      <c r="K17" s="19">
        <v>0</v>
      </c>
      <c r="L17" s="19">
        <f>[1]!f_return($A17,"1",L$2,$E$1)</f>
        <v>8.0613199848686321</v>
      </c>
      <c r="M17" s="19">
        <f>[1]!f_risk_stdevyearly($A17,L$2,$E$1,1,1)</f>
        <v>6.9897199308511144</v>
      </c>
      <c r="N17" s="19">
        <f>IFERROR(L17/M17,"-")</f>
        <v>1.1533108714825191</v>
      </c>
      <c r="O17" s="19" t="str">
        <f>IFERROR(RANK(N17,N:N)&amp;"/"&amp;COUNT(N:N),"-")</f>
        <v>125/197</v>
      </c>
      <c r="P17" s="26">
        <f>IF(O17="-","-",RANK(N17,N:N)/COUNT(N:N))</f>
        <v>0.63451776649746194</v>
      </c>
      <c r="Q17" s="56">
        <v>0.27918781725888325</v>
      </c>
      <c r="R17" s="33" t="str">
        <f>IF(OR($C17&gt;20190630,$K17&gt;30,N17="-",$D17="是",$E17="封闭期",$H17&lt;10,$BN17&lt;-6,$BR17&lt;70),"-",COUNTIFS(N$4:N$200,"&lt;&gt;-",$D$4:$D$200,"&lt;&gt;是",$E$4:$E$200,"&lt;&gt;封闭期",$H$4:$H$200,"&gt;10",$BN$4:$BN$200,"&gt;-6",$BR$4:$BR$200,"&gt;=70",$K$4:$K$200,"&lt;=30",$C$4:$C$200,"&lt;20190630",N$4:N$200,"&gt;="&amp;N17)/COUNTIFS(N$4:N$200,"&lt;&gt;-",$D$4:$D$200,"&lt;&gt;是",$E$4:$E$200,"&lt;&gt;封闭期",$H$4:$H$200,"&gt;10",$BN$4:$BN$200,"&gt;-6",$BR$4:$BR$200,"&gt;=70",$C$4:$C$200,"&lt;20190630",$K$4:$K$200,"&lt;=30"))</f>
        <v>-</v>
      </c>
      <c r="S17" s="19">
        <f>IFERROR((L17-3)/M17,"-")</f>
        <v>0.72410912524964821</v>
      </c>
      <c r="T17" s="19" t="str">
        <f>IFERROR(RANK(S17,S:S)&amp;"/"&amp;COUNT(S:S),"-")</f>
        <v>103/197</v>
      </c>
      <c r="U17" s="26">
        <f>IFERROR(RANK(S17,S:S)/COUNT(S:S),"-")</f>
        <v>0.52284263959390864</v>
      </c>
      <c r="V17" s="34" t="str">
        <f>IF(OR($C17&gt;20190630,$K17&gt;30,S17="-",$D17="是",$E17="封闭期",$H17&lt;10,$BN17&lt;-6,$BR17&lt;70),"-",COUNTIFS(S$4:S$200,"&lt;&gt;-",$D$4:$D$200,"&lt;&gt;是",$E$4:$E$200,"&lt;&gt;封闭期",$H$4:$H$200,"&gt;10",$BN$4:$BN$200,"&gt;-6",$BR$4:$BR$200,"&gt;=70",$K$4:$K$200,"&lt;=30",$C$4:$C$200,"&lt;20190630",S$4:S$200,"&gt;="&amp;S17)&amp;"/"&amp;COUNTIFS(S$4:S$200,"&lt;&gt;-",$D$4:$D$200,"&lt;&gt;是",$E$4:$E$200,"&lt;&gt;封闭期",$H$4:$H$200,"&gt;10",$BN$4:$BN$200,"&gt;-6",$BR$4:$BR$200,"&gt;=70",$C$4:$C$200,"&lt;20190630",$K$4:$K$200,"&lt;=30"))</f>
        <v>-</v>
      </c>
      <c r="W17" s="33" t="str">
        <f>IF(OR($C17&gt;20190630,$K17&gt;30,S17="-",$D17="是",$E17="封闭期",$H17&lt;10,$BN17&lt;-6,$BR17&lt;70),"-",COUNTIFS(S$4:S$200,"&lt;&gt;-",$D$4:$D$200,"&lt;&gt;是",$E$4:$E$200,"&lt;&gt;封闭期",$H$4:$H$200,"&gt;10",$BN$4:$BN$200,"&gt;-6",$BR$4:$BR$200,"&gt;=70",$K$4:$K$200,"&lt;=30",$C$4:$C$200,"&lt;20190630",S$4:S$200,"&gt;="&amp;S17)/COUNTIFS(S$4:S$200,"&lt;&gt;-",$D$4:$D$200,"&lt;&gt;是",$E$4:$E$200,"&lt;&gt;封闭期",$H$4:$H$200,"&gt;10",$BN$4:$BN$200,"&gt;-6",$BR$4:$BR$200,"&gt;=70",$C$4:$C$200,"&lt;20190630",$K$4:$K$200,"&lt;=30"))</f>
        <v>-</v>
      </c>
      <c r="X17" s="19">
        <f>[1]!f_risk_calmar(A17,$L$2,$E$1)</f>
        <v>1.7054730092987693</v>
      </c>
      <c r="Y17" s="19" t="str">
        <f>IFERROR(RANK(X17,X:X)&amp;"/"&amp;COUNT(X:X),"-")</f>
        <v>116/197</v>
      </c>
      <c r="Z17" s="26">
        <f>IFERROR(RANK(X17,X:X)/COUNT(X:X),"-")</f>
        <v>0.58883248730964466</v>
      </c>
      <c r="AA17" s="34" t="str">
        <f>IF(OR($C17&gt;20190630,$K17&gt;30,X17="-",$D17="是",$E17="封闭期",$H17&lt;10,$BN17&lt;-6,$BR17&lt;70),"-",COUNTIFS(X$4:X$200,"&lt;&gt;-",$D$4:$D$200,"&lt;&gt;是",$E$4:$E$200,"&lt;&gt;封闭期",$H$4:$H$200,"&gt;10",$BN$4:$BN$200,"&gt;-6",$BR$4:$BR$200,"&gt;=70",$K$4:$K$200,"&lt;=30",$C$4:$C$200,"&lt;20190630",X$4:X$200,"&gt;="&amp;X17)&amp;"/"&amp;COUNTIFS(X$4:X$200,"&lt;&gt;-",$D$4:$D$200,"&lt;&gt;是",$E$4:$E$200,"&lt;&gt;封闭期",$H$4:$H$200,"&gt;10",$BN$4:$BN$200,"&gt;-6",$BR$4:$BR$200,"&gt;=70",$C$4:$C$200,"&lt;20190630",$K$4:$K$200,"&lt;=30"))</f>
        <v>-</v>
      </c>
      <c r="AB17" s="33" t="str">
        <f>IF(OR($C17&gt;20190630,$K17&gt;30,X17="-",$D17="是",$E17="封闭期",$H17&lt;10,$BN17&lt;-6,$BR17&lt;70),"-",COUNTIFS(X$4:X$200,"&lt;&gt;-",$D$4:$D$200,"&lt;&gt;是",$E$4:$E$200,"&lt;&gt;封闭期",$H$4:$H$200,"&gt;10",$BN$4:$BN$200,"&gt;-6",$BR$4:$BR$200,"&gt;=70",$K$4:$K$200,"&lt;=30",$C$4:$C$200,"&lt;20190630",X$4:X$200,"&gt;="&amp;X17)/COUNTIFS(X$4:X$200,"&lt;&gt;-",$D$4:$D$200,"&lt;&gt;是",$E$4:$E$200,"&lt;&gt;封闭期",$H$4:$H$200,"&gt;10",$BN$4:$BN$200,"&gt;-6",$BR$4:$BR$200,"&gt;=70",$C$4:$C$200,"&lt;20190630",$K$4:$K$200,"&lt;=30"))</f>
        <v>-</v>
      </c>
      <c r="AC17" s="20">
        <v>0.84873949579831931</v>
      </c>
      <c r="AD17" s="19" t="str">
        <f>IFERROR(RANK(AC17,AC:AC)&amp;"/"&amp;COUNT(AC:AC),"-")</f>
        <v>138/197</v>
      </c>
      <c r="AE17" s="26">
        <f>IFERROR(RANK(AC17,AC:AC)/COUNT(AC:AC),"-")</f>
        <v>0.70050761421319796</v>
      </c>
      <c r="AF17" s="34" t="str">
        <f>IF(OR($C17&gt;20190630,$K17&gt;30,AC17="-",$D17="是",$E17="封闭期",$H17&lt;10,$BN17&lt;-6,$BR17&lt;70),"-",COUNTIFS(AC$4:AC$200,"&lt;&gt;-",$D$4:$D$200,"&lt;&gt;是",$E$4:$E$200,"&lt;&gt;封闭期",$H$4:$H$200,"&gt;10",$BN$4:$BN$200,"&gt;-6",$BR$4:$BR$200,"&gt;=70",$K$4:$K$200,"&lt;=30",$C$4:$C$200,"&lt;20190630",AC$4:AC$200,"&gt;="&amp;AC17)&amp;"/"&amp;COUNTIFS(AC$4:AC$200,"&lt;&gt;-",$D$4:$D$200,"&lt;&gt;是",$E$4:$E$200,"&lt;&gt;封闭期",$H$4:$H$200,"&gt;10",$BN$4:$BN$200,"&gt;-6",$BR$4:$BR$200,"&gt;=70",$C$4:$C$200,"&lt;20190630",$K$4:$K$200,"&lt;=30"))</f>
        <v>-</v>
      </c>
      <c r="AG17" s="33" t="str">
        <f>IF(OR($C17&gt;20190630,$K17&gt;30,AC17="-",$D17="是",$E17="封闭期",$H17&lt;10,$BN17&lt;-6,$BR17&lt;70),"-",COUNTIFS(AC$4:AC$200,"&lt;&gt;-",$D$4:$D$200,"&lt;&gt;是",$E$4:$E$200,"&lt;&gt;封闭期",$H$4:$H$200,"&gt;10",$BN$4:$BN$200,"&gt;-6",$BR$4:$BR$200,"&gt;=70",$K$4:$K$200,"&lt;=30",$C$4:$C$200,"&lt;20190630",AC$4:AC$200,"&gt;="&amp;AC17)/COUNTIFS(AC$4:AC$200,"&lt;&gt;-",$D$4:$D$200,"&lt;&gt;是",$E$4:$E$200,"&lt;&gt;封闭期",$H$4:$H$200,"&gt;10",$BN$4:$BN$200,"&gt;-6",$BR$4:$BR$200,"&gt;=70",$C$4:$C$200,"&lt;20190630",$K$4:$K$200,"&lt;=30"))</f>
        <v>-</v>
      </c>
      <c r="AH17" s="21">
        <f>[1]!f_risk_maxdownside(A17,$L$2,$E$1)</f>
        <v>-4.7267355982274761</v>
      </c>
      <c r="AI17" s="19" t="str">
        <f>IFERROR(RANK(AH17,AH:AH)&amp;"/"&amp;COUNT(AH:AH),"-")</f>
        <v>148/197</v>
      </c>
      <c r="AJ17" s="26">
        <f>IFERROR(RANK(AH17,AH:AH)/COUNT(AH:AH),"-")</f>
        <v>0.75126903553299496</v>
      </c>
      <c r="AK17" s="34" t="str">
        <f>IF(OR($C17&gt;20190630,$K17&gt;30,AH17="-",$D17="是",$E17="封闭期",$H17&lt;10,$BN17&lt;-6,$BR17&lt;70),"-",COUNTIFS(AH$4:AH$200,"&lt;&gt;-",$D$4:$D$200,"&lt;&gt;是",$E$4:$E$200,"&lt;&gt;封闭期",$H$4:$H$200,"&gt;10",$BN$4:$BN$200,"&gt;-6",$BR$4:$BR$200,"&gt;=70",$K$4:$K$200,"&lt;=30",$C$4:$C$200,"&lt;20190630",AH$4:AH$200,"&gt;="&amp;AH17)&amp;"/"&amp;COUNTIFS(AH$4:AH$200,"&lt;&gt;-",$D$4:$D$200,"&lt;&gt;是",$E$4:$E$200,"&lt;&gt;封闭期",$H$4:$H$200,"&gt;10",$BN$4:$BN$200,"&gt;-6",$BR$4:$BR$200,"&gt;=70",$C$4:$C$200,"&lt;20190630",$K$4:$K$200,"&lt;=30"))</f>
        <v>-</v>
      </c>
      <c r="AL17" s="33" t="str">
        <f>IF(OR($C17&gt;20190630,$K17&gt;30,AH17="-",$D17="是",$E17="封闭期",$H17&lt;10,$BN17&lt;-6,$BR17&lt;70),"-",COUNTIFS(AH$4:AH$200,"&lt;&gt;-",$D$4:$D$200,"&lt;&gt;是",$E$4:$E$200,"&lt;&gt;封闭期",$H$4:$H$200,"&gt;10",$BN$4:$BN$200,"&gt;-6",$BR$4:$BR$200,"&gt;=70",$K$4:$K$200,"&lt;=30",$C$4:$C$200,"&lt;20190630",AH$4:AH$200,"&gt;="&amp;AH17)/COUNTIFS(AH$4:AH$200,"&lt;&gt;-",$D$4:$D$200,"&lt;&gt;是",$E$4:$E$200,"&lt;&gt;封闭期",$H$4:$H$200,"&gt;10",$BN$4:$BN$200,"&gt;-6",$BR$4:$BR$200,"&gt;=70",$C$4:$C$200,"&lt;20190630",$K$4:$K$200,"&lt;=30"))</f>
        <v>-</v>
      </c>
      <c r="AM17" s="19">
        <f>[1]!f_return($A17,"1",AM$2,$L$2)</f>
        <v>15.421806357947521</v>
      </c>
      <c r="AN17" s="19">
        <f>[1]!f_risk_stdevyearly($A17,AM$2,$L$2,1,1)</f>
        <v>8.1012817779616935</v>
      </c>
      <c r="AO17" s="19">
        <f>IFERROR(AM17/AN17,"-")</f>
        <v>1.9036254731813183</v>
      </c>
      <c r="AP17" s="19" t="str">
        <f>IFERROR(RANK(AO17,AO:AO)&amp;"/"&amp;COUNT(AO:AO),"-")</f>
        <v>62/197</v>
      </c>
      <c r="AQ17" s="26">
        <f>IF(AP17="-","-",RANK(AO17,AO:AO)/COUNT(AO:AO))</f>
        <v>0.31472081218274112</v>
      </c>
      <c r="AR17" s="57">
        <v>7.1065989847715741E-2</v>
      </c>
      <c r="AS17" s="33" t="str">
        <f>IF(OR($C17&gt;20190630,$K17&gt;30,AO17="-",$D17="是",$E17="封闭期",$H17&lt;10,$BN17&lt;-6,$BR17&lt;70),"-",COUNTIFS(AO$4:AO$200,"&lt;&gt;-",$D$4:$D$200,"&lt;&gt;是",$E$4:$E$200,"&lt;&gt;封闭期",$H$4:$H$200,"&gt;10",$BN$4:$BN$200,"&gt;-6",$BR$4:$BR$200,"&gt;=70",$K$4:$K$200,"&lt;=30",$C$4:$C$200,"&lt;20190630",AO$4:AO$200,"&gt;="&amp;AO17)/COUNTIFS(AO$4:AO$200,"&lt;&gt;-",$D$4:$D$200,"&lt;&gt;是",$E$4:$E$200,"&lt;&gt;封闭期",$H$4:$H$200,"&gt;10",$BN$4:$BN$200,"&gt;-6",$BR$4:$BR$200,"&gt;=70",$C$4:$C$200,"&lt;20190630",$K$4:$K$200,"&lt;=30"))</f>
        <v>-</v>
      </c>
      <c r="AT17" s="19">
        <f>IFERROR((AM17-3)/AN17,"-")</f>
        <v>1.5333137024981847</v>
      </c>
      <c r="AU17" s="19" t="str">
        <f>IFERROR(RANK(AT17,AT:AT)&amp;"/"&amp;COUNT(AT:AT),"-")</f>
        <v>28/197</v>
      </c>
      <c r="AV17" s="26">
        <f>IFERROR(RANK(AT17,AT:AT)/COUNT(AT:AT),"-")</f>
        <v>0.14213197969543148</v>
      </c>
      <c r="AW17" s="34" t="str">
        <f>IF(OR($C17&gt;20190630,$K17&gt;30,AT17="-",$D17="是",$E17="封闭期",$H17&lt;10,$BN17&lt;-6,$BR17&lt;70),"-",COUNTIFS(AT$4:AT$200,"&lt;&gt;-",$D$4:$D$200,"&lt;&gt;是",$E$4:$E$200,"&lt;&gt;封闭期",$H$4:$H$200,"&gt;10",$BN$4:$BN$200,"&gt;-6",$BR$4:$BR$200,"&gt;=70",$K$4:$K$200,"&lt;=30",$C$4:$C$200,"&lt;20190630",AT$4:AT$200,"&gt;="&amp;AT17)&amp;"/"&amp;COUNTIFS(AT$4:AT$200,"&lt;&gt;-",$D$4:$D$200,"&lt;&gt;是",$E$4:$E$200,"&lt;&gt;封闭期",$H$4:$H$200,"&gt;10",$BN$4:$BN$200,"&gt;-6",$BR$4:$BR$200,"&gt;=70",$C$4:$C$200,"&lt;20190630",$K$4:$K$200,"&lt;=30"))</f>
        <v>-</v>
      </c>
      <c r="AX17" s="33" t="str">
        <f>IF(OR($C17&gt;20190630,$K17&gt;30,AT17="-",$D17="是",$E17="封闭期",$H17&lt;10,$BN17&lt;-6,$BR17&lt;70),"-",COUNTIFS(AT$4:AT$200,"&lt;&gt;-",$D$4:$D$200,"&lt;&gt;是",$E$4:$E$200,"&lt;&gt;封闭期",$H$4:$H$200,"&gt;10",$BN$4:$BN$200,"&gt;-6",$BR$4:$BR$200,"&gt;=70",$K$4:$K$200,"&lt;=30",$C$4:$C$200,"&lt;20190630",AT$4:AT$200,"&gt;="&amp;AT17)/COUNTIFS(AT$4:AT$200,"&lt;&gt;-",$D$4:$D$200,"&lt;&gt;是",$E$4:$E$200,"&lt;&gt;封闭期",$H$4:$H$200,"&gt;10",$BN$4:$BN$200,"&gt;-6",$BR$4:$BR$200,"&gt;=70",$C$4:$C$200,"&lt;20190630",$K$4:$K$200,"&lt;=30"))</f>
        <v>-</v>
      </c>
      <c r="AY17" s="19">
        <f>[1]!f_risk_calmar(A17,$AM$2,$L$2)</f>
        <v>2.4614805212879802</v>
      </c>
      <c r="AZ17" s="19" t="str">
        <f>IFERROR(RANK(AY17,AY:AY)&amp;"/"&amp;COUNT(AY:AY),"-")</f>
        <v>79/197</v>
      </c>
      <c r="BA17" s="26">
        <f>IFERROR(RANK(AY17,AY:AY)/COUNT(AY:AY),"-")</f>
        <v>0.40101522842639592</v>
      </c>
      <c r="BB17" s="34" t="str">
        <f>IF(OR($C17&gt;20190630,$K17&gt;30,AY17="-",$D17="是",$E17="封闭期",$H17&lt;10,$BN17&lt;-6,$BR17&lt;70),"-",COUNTIFS(AY$4:AY$200,"&lt;&gt;-",$D$4:$D$200,"&lt;&gt;是",$E$4:$E$200,"&lt;&gt;封闭期",$H$4:$H$200,"&gt;10",$BN$4:$BN$200,"&gt;-6",$BR$4:$BR$200,"&gt;=70",$K$4:$K$200,"&lt;=30",$C$4:$C$200,"&lt;20190630",AY$4:AY$200,"&gt;="&amp;AY17)&amp;"/"&amp;COUNTIFS(AY$4:AY$200,"&lt;&gt;-",$D$4:$D$200,"&lt;&gt;是",$E$4:$E$200,"&lt;&gt;封闭期",$H$4:$H$200,"&gt;10",$BN$4:$BN$200,"&gt;-6",$BR$4:$BR$200,"&gt;=70",$C$4:$C$200,"&lt;20190630",$K$4:$K$200,"&lt;=30"))</f>
        <v>-</v>
      </c>
      <c r="BC17" s="33" t="str">
        <f>IF(OR($C17&gt;20190630,$K17&gt;30,AY17="-",$D17="是",$E17="封闭期",$H17&lt;10,$BN17&lt;-6,$BR17&lt;70),"-",COUNTIFS(AY$4:AY$200,"&lt;&gt;-",$D$4:$D$200,"&lt;&gt;是",$E$4:$E$200,"&lt;&gt;封闭期",$H$4:$H$200,"&gt;10",$BN$4:$BN$200,"&gt;-6",$BR$4:$BR$200,"&gt;=70",$K$4:$K$200,"&lt;=30",$C$4:$C$200,"&lt;20190630",AY$4:AY$200,"&gt;="&amp;AY17)/COUNTIFS(AY$4:AY$200,"&lt;&gt;-",$D$4:$D$200,"&lt;&gt;是",$E$4:$E$200,"&lt;&gt;封闭期",$H$4:$H$200,"&gt;10",$BN$4:$BN$200,"&gt;-6",$BR$4:$BR$200,"&gt;=70",$C$4:$C$200,"&lt;20190630",$K$4:$K$200,"&lt;=30"))</f>
        <v>-</v>
      </c>
      <c r="BD17" s="20">
        <v>1</v>
      </c>
      <c r="BE17" s="19" t="str">
        <f>IFERROR(RANK(BD17,BD:BD)&amp;"/"&amp;COUNT(BD:BD),"-")</f>
        <v>1/197</v>
      </c>
      <c r="BF17" s="26">
        <f>IFERROR(RANK(BD17,BD:BD)/COUNT(BD:BD),"-")</f>
        <v>5.076142131979695E-3</v>
      </c>
      <c r="BG17" s="34" t="str">
        <f>IF(OR($C17&gt;20190630,$K17&gt;30,BD17="-",$D17="是",$E17="封闭期",$H17&lt;10,$BN17&lt;-6,$BR17&lt;70),"-",COUNTIFS(BD$4:BD$200,"&lt;&gt;-",$D$4:$D$200,"&lt;&gt;是",$E$4:$E$200,"&lt;&gt;封闭期",$H$4:$H$200,"&gt;10",$BN$4:$BN$200,"&gt;-6",$BR$4:$BR$200,"&gt;=70",$K$4:$K$200,"&lt;=30",$C$4:$C$200,"&lt;20190630",BD$4:BD$200,"&gt;="&amp;BD17)&amp;"/"&amp;COUNTIFS(BD$4:BD$200,"&lt;&gt;-",$D$4:$D$200,"&lt;&gt;是",$E$4:$E$200,"&lt;&gt;封闭期",$H$4:$H$200,"&gt;10",$BN$4:$BN$200,"&gt;-6",$BR$4:$BR$200,"&gt;=70",$C$4:$C$200,"&lt;20190630",$K$4:$K$200,"&lt;=30"))</f>
        <v>-</v>
      </c>
      <c r="BH17" s="33" t="str">
        <f>IF(OR($C17&gt;20190630,$K17&gt;30,BD17="-",$D17="是",$E17="封闭期",$H17&lt;10,$BN17&lt;-6,$BR17&lt;70),"-",COUNTIFS(BD$4:BD$200,"&lt;&gt;-",$D$4:$D$200,"&lt;&gt;是",$E$4:$E$200,"&lt;&gt;封闭期",$H$4:$H$200,"&gt;10",$BN$4:$BN$200,"&gt;-6",$BR$4:$BR$200,"&gt;=70",$K$4:$K$200,"&lt;=30",$C$4:$C$200,"&lt;20190630",BD$4:BD$200,"&gt;="&amp;BD17)/COUNTIFS(BD$4:BD$200,"&lt;&gt;-",$D$4:$D$200,"&lt;&gt;是",$E$4:$E$200,"&lt;&gt;封闭期",$H$4:$H$200,"&gt;10",$BN$4:$BN$200,"&gt;-6",$BR$4:$BR$200,"&gt;=70",$C$4:$C$200,"&lt;20190630",$K$4:$K$200,"&lt;=30"))</f>
        <v>-</v>
      </c>
      <c r="BI17" s="21">
        <f>[1]!f_risk_maxdownside(A17,$AM$2,$L$2)</f>
        <v>-6.2652563059398068</v>
      </c>
      <c r="BJ17" s="19" t="str">
        <f>IFERROR(RANK(BI17,BI:BI)&amp;"/"&amp;COUNT(BI:BI),"-")</f>
        <v>171/197</v>
      </c>
      <c r="BK17" s="26">
        <f>IFERROR(RANK(BI17,BI:BI)/COUNT(BI:BI),"-")</f>
        <v>0.86802030456852797</v>
      </c>
      <c r="BL17" s="34" t="str">
        <f>IF(OR($C17&gt;20190630,$K17&gt;30,BI17="-",$D17="是",$E17="封闭期",$H17&lt;10,$BN17&lt;-6,$BR17&lt;70),"-",COUNTIFS(BI$4:BI$200,"&lt;&gt;-",$D$4:$D$200,"&lt;&gt;是",$E$4:$E$200,"&lt;&gt;封闭期",$H$4:$H$200,"&gt;10",$BN$4:$BN$200,"&gt;-6",$BR$4:$BR$200,"&gt;=70",$K$4:$K$200,"&lt;=30",$C$4:$C$200,"&lt;20190630",BI$4:BI$200,"&gt;="&amp;BI17)&amp;"/"&amp;COUNTIFS(BI$4:BI$200,"&lt;&gt;-",$D$4:$D$200,"&lt;&gt;是",$E$4:$E$200,"&lt;&gt;封闭期",$H$4:$H$200,"&gt;10",$BN$4:$BN$200,"&gt;-6",$BR$4:$BR$200,"&gt;=70",$C$4:$C$200,"&lt;20190630",$K$4:$K$200,"&lt;=30"))</f>
        <v>-</v>
      </c>
      <c r="BM17" s="33" t="str">
        <f>IF(OR($C17&gt;20190630,$K17&gt;30,BI17="-",$D17="是",$E17="封闭期",$H17&lt;10,$BN17&lt;-6,$BR17&lt;70),"-",COUNTIFS(BI$4:BI$200,"&lt;&gt;-",$D$4:$D$200,"&lt;&gt;是",$E$4:$E$200,"&lt;&gt;封闭期",$H$4:$H$200,"&gt;10",$BN$4:$BN$200,"&gt;-6",$BR$4:$BR$200,"&gt;=70",$K$4:$K$200,"&lt;=30",$C$4:$C$200,"&lt;20190630",BI$4:BI$200,"&gt;="&amp;BI17)/COUNTIFS(BI$4:BI$200,"&lt;&gt;-",$D$4:$D$200,"&lt;&gt;是",$E$4:$E$200,"&lt;&gt;封闭期",$H$4:$H$200,"&gt;10",$BN$4:$BN$200,"&gt;-6",$BR$4:$BR$200,"&gt;=70",$C$4:$C$200,"&lt;20190630",$K$4:$K$200,"&lt;=30"))</f>
        <v>-</v>
      </c>
      <c r="BN17" s="21">
        <f>[1]!f_risk_maxdownside(A17,$AM$2,$E$1)</f>
        <v>-6.2652563059398068</v>
      </c>
      <c r="BO17" s="21">
        <f>IF(C17&lt;20190930,[1]!f_return_2y(A17,"0","20210930"),"-")</f>
        <v>24.861402956189057</v>
      </c>
      <c r="BP17" s="19" t="str">
        <f>IFERROR(RANK(BO17,BO:BO)&amp;"/"&amp;COUNT(BO:BO),"-")</f>
        <v>22/197</v>
      </c>
      <c r="BQ17" s="25">
        <f>IFERROR(RANK(BO17,BO:BO)/COUNT(BO:BO),"-")</f>
        <v>0.1116751269035533</v>
      </c>
      <c r="BR17" s="19">
        <f>IF(C17&lt;20190930,[1]!f_absolute_profitmonthper(A17,"20190930","20210930"),"-")</f>
        <v>70.833333333333343</v>
      </c>
      <c r="BS17" s="19" t="str">
        <f>IFERROR(RANK(BR17,BR:BR)&amp;"/"&amp;COUNT(BR:BR),"-")</f>
        <v>55/198</v>
      </c>
      <c r="BT17" s="25">
        <f>IFERROR(RANK(BR17,BR:BR)/COUNT(BR:BR),"-")</f>
        <v>0.27777777777777779</v>
      </c>
      <c r="BV17" s="12">
        <f>X17-3/M17</f>
        <v>1.2762712630658983</v>
      </c>
      <c r="BW17" s="76">
        <f>IFERROR(RANK(BV17,BV:BV)/COUNT(BV:BV),"-")</f>
        <v>0.52284263959390864</v>
      </c>
      <c r="BX17" s="76">
        <f>IFERROR(RANK(L17,L:L)/COUNT(L:L),"-")</f>
        <v>0.28282828282828282</v>
      </c>
      <c r="BY17" s="12">
        <f>AY17-3/AN17</f>
        <v>2.0911687506048464</v>
      </c>
      <c r="BZ17" s="76">
        <f>IFERROR(RANK(BY17,BY:BY)/COUNT(BY:BY),"-")</f>
        <v>0.30964467005076141</v>
      </c>
      <c r="CA17" s="76">
        <f>IFERROR(RANK(AM17,AM:AM)/COUNT(AM:AM),"-")</f>
        <v>7.575757575757576E-2</v>
      </c>
      <c r="CB17" s="2"/>
      <c r="CC17" s="77">
        <f>AV17+BF17+BZ17+CA17</f>
        <v>0.53261036763574832</v>
      </c>
      <c r="CD17" s="77">
        <f>BW17+BX17+AE17+U17</f>
        <v>2.029021176229298</v>
      </c>
      <c r="CE17" s="77">
        <f>CC17+CD17</f>
        <v>2.5616315438650465</v>
      </c>
    </row>
    <row r="18" spans="1:83" s="17" customFormat="1" x14ac:dyDescent="0.35">
      <c r="A18" s="15" t="s">
        <v>99</v>
      </c>
      <c r="B18" s="15" t="s">
        <v>100</v>
      </c>
      <c r="C18" s="16">
        <v>20110621</v>
      </c>
      <c r="D18" s="16" t="str">
        <f>[1]!f_info_regulopenfundornot(A18)</f>
        <v>否</v>
      </c>
      <c r="E18" s="16" t="str">
        <f>[1]!f_dq_status(A18,$E$1)</f>
        <v>开放申购|开放赎回</v>
      </c>
      <c r="F18" s="17" t="str">
        <f>[1]!f_info_fundmanager(A18)</f>
        <v>张清华</v>
      </c>
      <c r="G18" s="16">
        <v>20131223</v>
      </c>
      <c r="H18" s="18">
        <f>[1]!f_netasset_total(A18,$E$1,100000000)</f>
        <v>302.07685069029998</v>
      </c>
      <c r="I18" s="18">
        <f>[1]!f_prt_convertiblebondtonav(A18,$E$1)</f>
        <v>28.497491836547852</v>
      </c>
      <c r="J18" s="18">
        <f>[1]!f_prt_stocktonav(A18,$E$1)+0.5*I18</f>
        <v>29.786260604858398</v>
      </c>
      <c r="K18" s="19">
        <v>0</v>
      </c>
      <c r="L18" s="19">
        <f>[1]!f_return($A18,"1",L$2,$E$1)</f>
        <v>11.97369017873644</v>
      </c>
      <c r="M18" s="19">
        <f>[1]!f_risk_stdevyearly($A18,L$2,$E$1,1,1)</f>
        <v>7.3642773569014208</v>
      </c>
      <c r="N18" s="19">
        <f>IFERROR(L18/M18,"-")</f>
        <v>1.6259151575158037</v>
      </c>
      <c r="O18" s="19" t="str">
        <f>IFERROR(RANK(N18,N:N)&amp;"/"&amp;COUNT(N:N),"-")</f>
        <v>77/197</v>
      </c>
      <c r="P18" s="26">
        <f>IF(O18="-","-",RANK(N18,N:N)/COUNT(N:N))</f>
        <v>0.39086294416243655</v>
      </c>
      <c r="Q18" s="56">
        <v>0.10152284263959391</v>
      </c>
      <c r="R18" s="33" t="str">
        <f>IF(OR($C18&gt;20190630,$K18&gt;30,N18="-",$D18="是",$E18="封闭期",$H18&lt;10,$BN18&lt;-6,$BR18&lt;70),"-",COUNTIFS(N$4:N$200,"&lt;&gt;-",$D$4:$D$200,"&lt;&gt;是",$E$4:$E$200,"&lt;&gt;封闭期",$H$4:$H$200,"&gt;10",$BN$4:$BN$200,"&gt;-6",$BR$4:$BR$200,"&gt;=70",$K$4:$K$200,"&lt;=30",$C$4:$C$200,"&lt;20190630",N$4:N$200,"&gt;="&amp;N18)/COUNTIFS(N$4:N$200,"&lt;&gt;-",$D$4:$D$200,"&lt;&gt;是",$E$4:$E$200,"&lt;&gt;封闭期",$H$4:$H$200,"&gt;10",$BN$4:$BN$200,"&gt;-6",$BR$4:$BR$200,"&gt;=70",$C$4:$C$200,"&lt;20190630",$K$4:$K$200,"&lt;=30"))</f>
        <v>-</v>
      </c>
      <c r="S18" s="19">
        <f>IFERROR((L18-3)/M18,"-")</f>
        <v>1.2185432112122665</v>
      </c>
      <c r="T18" s="19" t="str">
        <f>IFERROR(RANK(S18,S:S)&amp;"/"&amp;COUNT(S:S),"-")</f>
        <v>53/197</v>
      </c>
      <c r="U18" s="26">
        <f>IFERROR(RANK(S18,S:S)/COUNT(S:S),"-")</f>
        <v>0.26903553299492383</v>
      </c>
      <c r="V18" s="34" t="str">
        <f>IF(OR($C18&gt;20190630,$K18&gt;30,S18="-",$D18="是",$E18="封闭期",$H18&lt;10,$BN18&lt;-6,$BR18&lt;70),"-",COUNTIFS(S$4:S$200,"&lt;&gt;-",$D$4:$D$200,"&lt;&gt;是",$E$4:$E$200,"&lt;&gt;封闭期",$H$4:$H$200,"&gt;10",$BN$4:$BN$200,"&gt;-6",$BR$4:$BR$200,"&gt;=70",$K$4:$K$200,"&lt;=30",$C$4:$C$200,"&lt;20190630",S$4:S$200,"&gt;="&amp;S18)&amp;"/"&amp;COUNTIFS(S$4:S$200,"&lt;&gt;-",$D$4:$D$200,"&lt;&gt;是",$E$4:$E$200,"&lt;&gt;封闭期",$H$4:$H$200,"&gt;10",$BN$4:$BN$200,"&gt;-6",$BR$4:$BR$200,"&gt;=70",$C$4:$C$200,"&lt;20190630",$K$4:$K$200,"&lt;=30"))</f>
        <v>-</v>
      </c>
      <c r="W18" s="33" t="str">
        <f>IF(OR($C18&gt;20190630,$K18&gt;30,S18="-",$D18="是",$E18="封闭期",$H18&lt;10,$BN18&lt;-6,$BR18&lt;70),"-",COUNTIFS(S$4:S$200,"&lt;&gt;-",$D$4:$D$200,"&lt;&gt;是",$E$4:$E$200,"&lt;&gt;封闭期",$H$4:$H$200,"&gt;10",$BN$4:$BN$200,"&gt;-6",$BR$4:$BR$200,"&gt;=70",$K$4:$K$200,"&lt;=30",$C$4:$C$200,"&lt;20190630",S$4:S$200,"&gt;="&amp;S18)/COUNTIFS(S$4:S$200,"&lt;&gt;-",$D$4:$D$200,"&lt;&gt;是",$E$4:$E$200,"&lt;&gt;封闭期",$H$4:$H$200,"&gt;10",$BN$4:$BN$200,"&gt;-6",$BR$4:$BR$200,"&gt;=70",$C$4:$C$200,"&lt;20190630",$K$4:$K$200,"&lt;=30"))</f>
        <v>-</v>
      </c>
      <c r="X18" s="19">
        <f>[1]!f_risk_calmar(A18,$L$2,$E$1)</f>
        <v>1.9893296281207802</v>
      </c>
      <c r="Y18" s="19" t="str">
        <f>IFERROR(RANK(X18,X:X)&amp;"/"&amp;COUNT(X:X),"-")</f>
        <v>100/197</v>
      </c>
      <c r="Z18" s="26">
        <f>IFERROR(RANK(X18,X:X)/COUNT(X:X),"-")</f>
        <v>0.50761421319796951</v>
      </c>
      <c r="AA18" s="34" t="str">
        <f>IF(OR($C18&gt;20190630,$K18&gt;30,X18="-",$D18="是",$E18="封闭期",$H18&lt;10,$BN18&lt;-6,$BR18&lt;70),"-",COUNTIFS(X$4:X$200,"&lt;&gt;-",$D$4:$D$200,"&lt;&gt;是",$E$4:$E$200,"&lt;&gt;封闭期",$H$4:$H$200,"&gt;10",$BN$4:$BN$200,"&gt;-6",$BR$4:$BR$200,"&gt;=70",$K$4:$K$200,"&lt;=30",$C$4:$C$200,"&lt;20190630",X$4:X$200,"&gt;="&amp;X18)&amp;"/"&amp;COUNTIFS(X$4:X$200,"&lt;&gt;-",$D$4:$D$200,"&lt;&gt;是",$E$4:$E$200,"&lt;&gt;封闭期",$H$4:$H$200,"&gt;10",$BN$4:$BN$200,"&gt;-6",$BR$4:$BR$200,"&gt;=70",$C$4:$C$200,"&lt;20190630",$K$4:$K$200,"&lt;=30"))</f>
        <v>-</v>
      </c>
      <c r="AB18" s="33" t="str">
        <f>IF(OR($C18&gt;20190630,$K18&gt;30,X18="-",$D18="是",$E18="封闭期",$H18&lt;10,$BN18&lt;-6,$BR18&lt;70),"-",COUNTIFS(X$4:X$200,"&lt;&gt;-",$D$4:$D$200,"&lt;&gt;是",$E$4:$E$200,"&lt;&gt;封闭期",$H$4:$H$200,"&gt;10",$BN$4:$BN$200,"&gt;-6",$BR$4:$BR$200,"&gt;=70",$K$4:$K$200,"&lt;=30",$C$4:$C$200,"&lt;20190630",X$4:X$200,"&gt;="&amp;X18)/COUNTIFS(X$4:X$200,"&lt;&gt;-",$D$4:$D$200,"&lt;&gt;是",$E$4:$E$200,"&lt;&gt;封闭期",$H$4:$H$200,"&gt;10",$BN$4:$BN$200,"&gt;-6",$BR$4:$BR$200,"&gt;=70",$C$4:$C$200,"&lt;20190630",$K$4:$K$200,"&lt;=30"))</f>
        <v>-</v>
      </c>
      <c r="AC18" s="20">
        <v>1</v>
      </c>
      <c r="AD18" s="19" t="str">
        <f>IFERROR(RANK(AC18,AC:AC)&amp;"/"&amp;COUNT(AC:AC),"-")</f>
        <v>1/197</v>
      </c>
      <c r="AE18" s="26">
        <f>IFERROR(RANK(AC18,AC:AC)/COUNT(AC:AC),"-")</f>
        <v>5.076142131979695E-3</v>
      </c>
      <c r="AF18" s="34" t="str">
        <f>IF(OR($C18&gt;20190630,$K18&gt;30,AC18="-",$D18="是",$E18="封闭期",$H18&lt;10,$BN18&lt;-6,$BR18&lt;70),"-",COUNTIFS(AC$4:AC$200,"&lt;&gt;-",$D$4:$D$200,"&lt;&gt;是",$E$4:$E$200,"&lt;&gt;封闭期",$H$4:$H$200,"&gt;10",$BN$4:$BN$200,"&gt;-6",$BR$4:$BR$200,"&gt;=70",$K$4:$K$200,"&lt;=30",$C$4:$C$200,"&lt;20190630",AC$4:AC$200,"&gt;="&amp;AC18)&amp;"/"&amp;COUNTIFS(AC$4:AC$200,"&lt;&gt;-",$D$4:$D$200,"&lt;&gt;是",$E$4:$E$200,"&lt;&gt;封闭期",$H$4:$H$200,"&gt;10",$BN$4:$BN$200,"&gt;-6",$BR$4:$BR$200,"&gt;=70",$C$4:$C$200,"&lt;20190630",$K$4:$K$200,"&lt;=30"))</f>
        <v>-</v>
      </c>
      <c r="AG18" s="33" t="str">
        <f>IF(OR($C18&gt;20190630,$K18&gt;30,AC18="-",$D18="是",$E18="封闭期",$H18&lt;10,$BN18&lt;-6,$BR18&lt;70),"-",COUNTIFS(AC$4:AC$200,"&lt;&gt;-",$D$4:$D$200,"&lt;&gt;是",$E$4:$E$200,"&lt;&gt;封闭期",$H$4:$H$200,"&gt;10",$BN$4:$BN$200,"&gt;-6",$BR$4:$BR$200,"&gt;=70",$K$4:$K$200,"&lt;=30",$C$4:$C$200,"&lt;20190630",AC$4:AC$200,"&gt;="&amp;AC18)/COUNTIFS(AC$4:AC$200,"&lt;&gt;-",$D$4:$D$200,"&lt;&gt;是",$E$4:$E$200,"&lt;&gt;封闭期",$H$4:$H$200,"&gt;10",$BN$4:$BN$200,"&gt;-6",$BR$4:$BR$200,"&gt;=70",$C$4:$C$200,"&lt;20190630",$K$4:$K$200,"&lt;=30"))</f>
        <v>-</v>
      </c>
      <c r="AH18" s="21">
        <f>[1]!f_risk_maxdownside(A18,$L$2,$E$1)</f>
        <v>-6.0189573459715593</v>
      </c>
      <c r="AI18" s="19" t="str">
        <f>IFERROR(RANK(AH18,AH:AH)&amp;"/"&amp;COUNT(AH:AH),"-")</f>
        <v>177/197</v>
      </c>
      <c r="AJ18" s="26">
        <f>IFERROR(RANK(AH18,AH:AH)/COUNT(AH:AH),"-")</f>
        <v>0.89847715736040612</v>
      </c>
      <c r="AK18" s="34" t="str">
        <f>IF(OR($C18&gt;20190630,$K18&gt;30,AH18="-",$D18="是",$E18="封闭期",$H18&lt;10,$BN18&lt;-6,$BR18&lt;70),"-",COUNTIFS(AH$4:AH$200,"&lt;&gt;-",$D$4:$D$200,"&lt;&gt;是",$E$4:$E$200,"&lt;&gt;封闭期",$H$4:$H$200,"&gt;10",$BN$4:$BN$200,"&gt;-6",$BR$4:$BR$200,"&gt;=70",$K$4:$K$200,"&lt;=30",$C$4:$C$200,"&lt;20190630",AH$4:AH$200,"&gt;="&amp;AH18)&amp;"/"&amp;COUNTIFS(AH$4:AH$200,"&lt;&gt;-",$D$4:$D$200,"&lt;&gt;是",$E$4:$E$200,"&lt;&gt;封闭期",$H$4:$H$200,"&gt;10",$BN$4:$BN$200,"&gt;-6",$BR$4:$BR$200,"&gt;=70",$C$4:$C$200,"&lt;20190630",$K$4:$K$200,"&lt;=30"))</f>
        <v>-</v>
      </c>
      <c r="AL18" s="33" t="str">
        <f>IF(OR($C18&gt;20190630,$K18&gt;30,AH18="-",$D18="是",$E18="封闭期",$H18&lt;10,$BN18&lt;-6,$BR18&lt;70),"-",COUNTIFS(AH$4:AH$200,"&lt;&gt;-",$D$4:$D$200,"&lt;&gt;是",$E$4:$E$200,"&lt;&gt;封闭期",$H$4:$H$200,"&gt;10",$BN$4:$BN$200,"&gt;-6",$BR$4:$BR$200,"&gt;=70",$K$4:$K$200,"&lt;=30",$C$4:$C$200,"&lt;20190630",AH$4:AH$200,"&gt;="&amp;AH18)/COUNTIFS(AH$4:AH$200,"&lt;&gt;-",$D$4:$D$200,"&lt;&gt;是",$E$4:$E$200,"&lt;&gt;封闭期",$H$4:$H$200,"&gt;10",$BN$4:$BN$200,"&gt;-6",$BR$4:$BR$200,"&gt;=70",$C$4:$C$200,"&lt;20190630",$K$4:$K$200,"&lt;=30"))</f>
        <v>-</v>
      </c>
      <c r="AM18" s="19">
        <f>[1]!f_return($A18,"1",AM$2,$L$2)</f>
        <v>14.885552524134106</v>
      </c>
      <c r="AN18" s="19">
        <f>[1]!f_risk_stdevyearly($A18,AM$2,$L$2,1,1)</f>
        <v>8.8419378931954995</v>
      </c>
      <c r="AO18" s="19">
        <f>IFERROR(AM18/AN18,"-")</f>
        <v>1.6835169737608764</v>
      </c>
      <c r="AP18" s="19" t="str">
        <f>IFERROR(RANK(AO18,AO:AO)&amp;"/"&amp;COUNT(AO:AO),"-")</f>
        <v>88/197</v>
      </c>
      <c r="AQ18" s="26">
        <f>IF(AP18="-","-",RANK(AO18,AO:AO)/COUNT(AO:AO))</f>
        <v>0.4467005076142132</v>
      </c>
      <c r="AR18" s="57">
        <v>7.6142131979695438E-2</v>
      </c>
      <c r="AS18" s="33" t="str">
        <f>IF(OR($C18&gt;20190630,$K18&gt;30,AO18="-",$D18="是",$E18="封闭期",$H18&lt;10,$BN18&lt;-6,$BR18&lt;70),"-",COUNTIFS(AO$4:AO$200,"&lt;&gt;-",$D$4:$D$200,"&lt;&gt;是",$E$4:$E$200,"&lt;&gt;封闭期",$H$4:$H$200,"&gt;10",$BN$4:$BN$200,"&gt;-6",$BR$4:$BR$200,"&gt;=70",$K$4:$K$200,"&lt;=30",$C$4:$C$200,"&lt;20190630",AO$4:AO$200,"&gt;="&amp;AO18)/COUNTIFS(AO$4:AO$200,"&lt;&gt;-",$D$4:$D$200,"&lt;&gt;是",$E$4:$E$200,"&lt;&gt;封闭期",$H$4:$H$200,"&gt;10",$BN$4:$BN$200,"&gt;-6",$BR$4:$BR$200,"&gt;=70",$C$4:$C$200,"&lt;20190630",$K$4:$K$200,"&lt;=30"))</f>
        <v>-</v>
      </c>
      <c r="AT18" s="19">
        <f>IFERROR((AM18-3)/AN18,"-")</f>
        <v>1.3442248371005732</v>
      </c>
      <c r="AU18" s="19" t="str">
        <f>IFERROR(RANK(AT18,AT:AT)&amp;"/"&amp;COUNT(AT:AT),"-")</f>
        <v>40/197</v>
      </c>
      <c r="AV18" s="26">
        <f>IFERROR(RANK(AT18,AT:AT)/COUNT(AT:AT),"-")</f>
        <v>0.20304568527918782</v>
      </c>
      <c r="AW18" s="34" t="str">
        <f>IF(OR($C18&gt;20190630,$K18&gt;30,AT18="-",$D18="是",$E18="封闭期",$H18&lt;10,$BN18&lt;-6,$BR18&lt;70),"-",COUNTIFS(AT$4:AT$200,"&lt;&gt;-",$D$4:$D$200,"&lt;&gt;是",$E$4:$E$200,"&lt;&gt;封闭期",$H$4:$H$200,"&gt;10",$BN$4:$BN$200,"&gt;-6",$BR$4:$BR$200,"&gt;=70",$K$4:$K$200,"&lt;=30",$C$4:$C$200,"&lt;20190630",AT$4:AT$200,"&gt;="&amp;AT18)&amp;"/"&amp;COUNTIFS(AT$4:AT$200,"&lt;&gt;-",$D$4:$D$200,"&lt;&gt;是",$E$4:$E$200,"&lt;&gt;封闭期",$H$4:$H$200,"&gt;10",$BN$4:$BN$200,"&gt;-6",$BR$4:$BR$200,"&gt;=70",$C$4:$C$200,"&lt;20190630",$K$4:$K$200,"&lt;=30"))</f>
        <v>-</v>
      </c>
      <c r="AX18" s="33" t="str">
        <f>IF(OR($C18&gt;20190630,$K18&gt;30,AT18="-",$D18="是",$E18="封闭期",$H18&lt;10,$BN18&lt;-6,$BR18&lt;70),"-",COUNTIFS(AT$4:AT$200,"&lt;&gt;-",$D$4:$D$200,"&lt;&gt;是",$E$4:$E$200,"&lt;&gt;封闭期",$H$4:$H$200,"&gt;10",$BN$4:$BN$200,"&gt;-6",$BR$4:$BR$200,"&gt;=70",$K$4:$K$200,"&lt;=30",$C$4:$C$200,"&lt;20190630",AT$4:AT$200,"&gt;="&amp;AT18)/COUNTIFS(AT$4:AT$200,"&lt;&gt;-",$D$4:$D$200,"&lt;&gt;是",$E$4:$E$200,"&lt;&gt;封闭期",$H$4:$H$200,"&gt;10",$BN$4:$BN$200,"&gt;-6",$BR$4:$BR$200,"&gt;=70",$C$4:$C$200,"&lt;20190630",$K$4:$K$200,"&lt;=30"))</f>
        <v>-</v>
      </c>
      <c r="AY18" s="19">
        <f>[1]!f_risk_calmar(A18,$AM$2,$L$2)</f>
        <v>2.3261829537714629</v>
      </c>
      <c r="AZ18" s="19" t="str">
        <f>IFERROR(RANK(AY18,AY:AY)&amp;"/"&amp;COUNT(AY:AY),"-")</f>
        <v>87/197</v>
      </c>
      <c r="BA18" s="26">
        <f>IFERROR(RANK(AY18,AY:AY)/COUNT(AY:AY),"-")</f>
        <v>0.44162436548223349</v>
      </c>
      <c r="BB18" s="34" t="str">
        <f>IF(OR($C18&gt;20190630,$K18&gt;30,AY18="-",$D18="是",$E18="封闭期",$H18&lt;10,$BN18&lt;-6,$BR18&lt;70),"-",COUNTIFS(AY$4:AY$200,"&lt;&gt;-",$D$4:$D$200,"&lt;&gt;是",$E$4:$E$200,"&lt;&gt;封闭期",$H$4:$H$200,"&gt;10",$BN$4:$BN$200,"&gt;-6",$BR$4:$BR$200,"&gt;=70",$K$4:$K$200,"&lt;=30",$C$4:$C$200,"&lt;20190630",AY$4:AY$200,"&gt;="&amp;AY18)&amp;"/"&amp;COUNTIFS(AY$4:AY$200,"&lt;&gt;-",$D$4:$D$200,"&lt;&gt;是",$E$4:$E$200,"&lt;&gt;封闭期",$H$4:$H$200,"&gt;10",$BN$4:$BN$200,"&gt;-6",$BR$4:$BR$200,"&gt;=70",$C$4:$C$200,"&lt;20190630",$K$4:$K$200,"&lt;=30"))</f>
        <v>-</v>
      </c>
      <c r="BC18" s="33" t="str">
        <f>IF(OR($C18&gt;20190630,$K18&gt;30,AY18="-",$D18="是",$E18="封闭期",$H18&lt;10,$BN18&lt;-6,$BR18&lt;70),"-",COUNTIFS(AY$4:AY$200,"&lt;&gt;-",$D$4:$D$200,"&lt;&gt;是",$E$4:$E$200,"&lt;&gt;封闭期",$H$4:$H$200,"&gt;10",$BN$4:$BN$200,"&gt;-6",$BR$4:$BR$200,"&gt;=70",$K$4:$K$200,"&lt;=30",$C$4:$C$200,"&lt;20190630",AY$4:AY$200,"&gt;="&amp;AY18)/COUNTIFS(AY$4:AY$200,"&lt;&gt;-",$D$4:$D$200,"&lt;&gt;是",$E$4:$E$200,"&lt;&gt;封闭期",$H$4:$H$200,"&gt;10",$BN$4:$BN$200,"&gt;-6",$BR$4:$BR$200,"&gt;=70",$C$4:$C$200,"&lt;20190630",$K$4:$K$200,"&lt;=30"))</f>
        <v>-</v>
      </c>
      <c r="BD18" s="20">
        <v>1</v>
      </c>
      <c r="BE18" s="19" t="str">
        <f>IFERROR(RANK(BD18,BD:BD)&amp;"/"&amp;COUNT(BD:BD),"-")</f>
        <v>1/197</v>
      </c>
      <c r="BF18" s="26">
        <f>IFERROR(RANK(BD18,BD:BD)/COUNT(BD:BD),"-")</f>
        <v>5.076142131979695E-3</v>
      </c>
      <c r="BG18" s="34" t="str">
        <f>IF(OR($C18&gt;20190630,$K18&gt;30,BD18="-",$D18="是",$E18="封闭期",$H18&lt;10,$BN18&lt;-6,$BR18&lt;70),"-",COUNTIFS(BD$4:BD$200,"&lt;&gt;-",$D$4:$D$200,"&lt;&gt;是",$E$4:$E$200,"&lt;&gt;封闭期",$H$4:$H$200,"&gt;10",$BN$4:$BN$200,"&gt;-6",$BR$4:$BR$200,"&gt;=70",$K$4:$K$200,"&lt;=30",$C$4:$C$200,"&lt;20190630",BD$4:BD$200,"&gt;="&amp;BD18)&amp;"/"&amp;COUNTIFS(BD$4:BD$200,"&lt;&gt;-",$D$4:$D$200,"&lt;&gt;是",$E$4:$E$200,"&lt;&gt;封闭期",$H$4:$H$200,"&gt;10",$BN$4:$BN$200,"&gt;-6",$BR$4:$BR$200,"&gt;=70",$C$4:$C$200,"&lt;20190630",$K$4:$K$200,"&lt;=30"))</f>
        <v>-</v>
      </c>
      <c r="BH18" s="33" t="str">
        <f>IF(OR($C18&gt;20190630,$K18&gt;30,BD18="-",$D18="是",$E18="封闭期",$H18&lt;10,$BN18&lt;-6,$BR18&lt;70),"-",COUNTIFS(BD$4:BD$200,"&lt;&gt;-",$D$4:$D$200,"&lt;&gt;是",$E$4:$E$200,"&lt;&gt;封闭期",$H$4:$H$200,"&gt;10",$BN$4:$BN$200,"&gt;-6",$BR$4:$BR$200,"&gt;=70",$K$4:$K$200,"&lt;=30",$C$4:$C$200,"&lt;20190630",BD$4:BD$200,"&gt;="&amp;BD18)/COUNTIFS(BD$4:BD$200,"&lt;&gt;-",$D$4:$D$200,"&lt;&gt;是",$E$4:$E$200,"&lt;&gt;封闭期",$H$4:$H$200,"&gt;10",$BN$4:$BN$200,"&gt;-6",$BR$4:$BR$200,"&gt;=70",$C$4:$C$200,"&lt;20190630",$K$4:$K$200,"&lt;=30"))</f>
        <v>-</v>
      </c>
      <c r="BI18" s="21">
        <f>[1]!f_risk_maxdownside(A18,$AM$2,$L$2)</f>
        <v>-6.3991323210412219</v>
      </c>
      <c r="BJ18" s="19" t="str">
        <f>IFERROR(RANK(BI18,BI:BI)&amp;"/"&amp;COUNT(BI:BI),"-")</f>
        <v>174/197</v>
      </c>
      <c r="BK18" s="26">
        <f>IFERROR(RANK(BI18,BI:BI)/COUNT(BI:BI),"-")</f>
        <v>0.88324873096446699</v>
      </c>
      <c r="BL18" s="34" t="str">
        <f>IF(OR($C18&gt;20190630,$K18&gt;30,BI18="-",$D18="是",$E18="封闭期",$H18&lt;10,$BN18&lt;-6,$BR18&lt;70),"-",COUNTIFS(BI$4:BI$200,"&lt;&gt;-",$D$4:$D$200,"&lt;&gt;是",$E$4:$E$200,"&lt;&gt;封闭期",$H$4:$H$200,"&gt;10",$BN$4:$BN$200,"&gt;-6",$BR$4:$BR$200,"&gt;=70",$K$4:$K$200,"&lt;=30",$C$4:$C$200,"&lt;20190630",BI$4:BI$200,"&gt;="&amp;BI18)&amp;"/"&amp;COUNTIFS(BI$4:BI$200,"&lt;&gt;-",$D$4:$D$200,"&lt;&gt;是",$E$4:$E$200,"&lt;&gt;封闭期",$H$4:$H$200,"&gt;10",$BN$4:$BN$200,"&gt;-6",$BR$4:$BR$200,"&gt;=70",$C$4:$C$200,"&lt;20190630",$K$4:$K$200,"&lt;=30"))</f>
        <v>-</v>
      </c>
      <c r="BM18" s="33" t="str">
        <f>IF(OR($C18&gt;20190630,$K18&gt;30,BI18="-",$D18="是",$E18="封闭期",$H18&lt;10,$BN18&lt;-6,$BR18&lt;70),"-",COUNTIFS(BI$4:BI$200,"&lt;&gt;-",$D$4:$D$200,"&lt;&gt;是",$E$4:$E$200,"&lt;&gt;封闭期",$H$4:$H$200,"&gt;10",$BN$4:$BN$200,"&gt;-6",$BR$4:$BR$200,"&gt;=70",$K$4:$K$200,"&lt;=30",$C$4:$C$200,"&lt;20190630",BI$4:BI$200,"&gt;="&amp;BI18)/COUNTIFS(BI$4:BI$200,"&lt;&gt;-",$D$4:$D$200,"&lt;&gt;是",$E$4:$E$200,"&lt;&gt;封闭期",$H$4:$H$200,"&gt;10",$BN$4:$BN$200,"&gt;-6",$BR$4:$BR$200,"&gt;=70",$C$4:$C$200,"&lt;20190630",$K$4:$K$200,"&lt;=30"))</f>
        <v>-</v>
      </c>
      <c r="BN18" s="21">
        <f>[1]!f_risk_maxdownside(A18,$AM$2,$E$1)</f>
        <v>-6.3991323210412219</v>
      </c>
      <c r="BO18" s="21">
        <f>IF(C18&lt;20190930,[1]!f_return_2y(A18,"0","20210930"),"-")</f>
        <v>28.674698795180742</v>
      </c>
      <c r="BP18" s="19" t="str">
        <f>IFERROR(RANK(BO18,BO:BO)&amp;"/"&amp;COUNT(BO:BO),"-")</f>
        <v>14/197</v>
      </c>
      <c r="BQ18" s="25">
        <f>IFERROR(RANK(BO18,BO:BO)/COUNT(BO:BO),"-")</f>
        <v>7.1065989847715741E-2</v>
      </c>
      <c r="BR18" s="19">
        <f>IF(C18&lt;20190930,[1]!f_absolute_profitmonthper(A18,"20190930","20210930"),"-")</f>
        <v>75</v>
      </c>
      <c r="BS18" s="19" t="str">
        <f>IFERROR(RANK(BR18,BR:BR)&amp;"/"&amp;COUNT(BR:BR),"-")</f>
        <v>26/198</v>
      </c>
      <c r="BT18" s="25">
        <f>IFERROR(RANK(BR18,BR:BR)/COUNT(BR:BR),"-")</f>
        <v>0.13131313131313133</v>
      </c>
      <c r="BV18" s="12">
        <f>X18-3/M18</f>
        <v>1.5819576818172432</v>
      </c>
      <c r="BW18" s="76">
        <f>IFERROR(RANK(BV18,BV:BV)/COUNT(BV:BV),"-")</f>
        <v>0.43654822335025378</v>
      </c>
      <c r="BX18" s="76">
        <f>IFERROR(RANK(L18,L:L)/COUNT(L:L),"-")</f>
        <v>0.10606060606060606</v>
      </c>
      <c r="BY18" s="12">
        <f>AY18-3/AN18</f>
        <v>1.9868908171111599</v>
      </c>
      <c r="BZ18" s="76">
        <f>IFERROR(RANK(BY18,BY:BY)/COUNT(BY:BY),"-")</f>
        <v>0.34010152284263961</v>
      </c>
      <c r="CA18" s="76">
        <f>IFERROR(RANK(AM18,AM:AM)/COUNT(AM:AM),"-")</f>
        <v>8.0808080808080815E-2</v>
      </c>
      <c r="CB18" s="2"/>
      <c r="CC18" s="77">
        <f>AV18+BF18+BZ18+CA18</f>
        <v>0.62903143106188786</v>
      </c>
      <c r="CD18" s="77">
        <f>BW18+BX18+AE18+U18</f>
        <v>0.81672050453776346</v>
      </c>
      <c r="CE18" s="77">
        <f>CC18+CD18</f>
        <v>1.4457519355996513</v>
      </c>
    </row>
    <row r="19" spans="1:83" s="17" customFormat="1" x14ac:dyDescent="0.35">
      <c r="A19" s="3" t="s">
        <v>225</v>
      </c>
      <c r="B19" s="3" t="s">
        <v>226</v>
      </c>
      <c r="C19" s="4">
        <v>20080418</v>
      </c>
      <c r="D19" s="4" t="str">
        <f>[1]!f_info_regulopenfundornot(A19)</f>
        <v>否</v>
      </c>
      <c r="E19" s="4" t="str">
        <f>[1]!f_dq_status(A19,$E$1)</f>
        <v>暂停大额申购|开放赎回</v>
      </c>
      <c r="F19" s="17" t="str">
        <f>[1]!f_info_fundmanager(A19)</f>
        <v>姜晓丽,张寓,杜广</v>
      </c>
      <c r="G19" s="4">
        <v>20120803</v>
      </c>
      <c r="H19" s="11">
        <f>[1]!f_netasset_total(A19,$E$1,100000000)</f>
        <v>273.91725705990001</v>
      </c>
      <c r="I19" s="11">
        <f>[1]!f_prt_convertiblebondtonav(A19,$E$1)</f>
        <v>7.3234648704528809</v>
      </c>
      <c r="J19" s="11">
        <f>[1]!f_prt_stocktonav(A19,$E$1)+0.5*I19</f>
        <v>13.971603155136108</v>
      </c>
      <c r="K19" s="12">
        <v>0</v>
      </c>
      <c r="L19" s="19">
        <f>[1]!f_return($A19,"1",L$2,$E$1)</f>
        <v>13.197932771642872</v>
      </c>
      <c r="M19" s="19">
        <f>[1]!f_risk_stdevyearly($A19,L$2,$E$1,1,1)</f>
        <v>5.7842664814191593</v>
      </c>
      <c r="N19" s="12">
        <f>IFERROR(L19/M19,"-")</f>
        <v>2.2816951490804729</v>
      </c>
      <c r="O19" s="12" t="str">
        <f>IFERROR(RANK(N19,N:N)&amp;"/"&amp;COUNT(N:N),"-")</f>
        <v>40/197</v>
      </c>
      <c r="P19" s="26">
        <f>IF(O19="-","-",RANK(N19,N:N)/COUNT(N:N))</f>
        <v>0.20304568527918782</v>
      </c>
      <c r="Q19" s="58">
        <v>6.0913705583756347E-2</v>
      </c>
      <c r="R19" s="33">
        <f>IF(OR($C19&gt;20190630,$K19&gt;30,N19="-",$D19="是",$E19="封闭期",$H19&lt;10,$BN19&lt;-6,$BR19&lt;70),"-",COUNTIFS(N$4:N$200,"&lt;&gt;-",$D$4:$D$200,"&lt;&gt;是",$E$4:$E$200,"&lt;&gt;封闭期",$H$4:$H$200,"&gt;10",$BN$4:$BN$200,"&gt;-6",$BR$4:$BR$200,"&gt;=70",$K$4:$K$200,"&lt;=30",$C$4:$C$200,"&lt;20190630",N$4:N$200,"&gt;="&amp;N19)/COUNTIFS(N$4:N$200,"&lt;&gt;-",$D$4:$D$200,"&lt;&gt;是",$E$4:$E$200,"&lt;&gt;封闭期",$H$4:$H$200,"&gt;10",$BN$4:$BN$200,"&gt;-6",$BR$4:$BR$200,"&gt;=70",$C$4:$C$200,"&lt;20190630",$K$4:$K$200,"&lt;=30"))</f>
        <v>0.35897435897435898</v>
      </c>
      <c r="S19" s="12">
        <f>IFERROR((L19-3)/M19,"-")</f>
        <v>1.76304684516209</v>
      </c>
      <c r="T19" s="12" t="str">
        <f>IFERROR(RANK(S19,S:S)&amp;"/"&amp;COUNT(S:S),"-")</f>
        <v>19/197</v>
      </c>
      <c r="U19" s="26">
        <f>IFERROR(RANK(S19,S:S)/COUNT(S:S),"-")</f>
        <v>9.6446700507614211E-2</v>
      </c>
      <c r="V19" s="13" t="str">
        <f>IF(OR($C19&gt;20190630,$K19&gt;30,S19="-",$D19="是",$E19="封闭期",$H19&lt;10,$BN19&lt;-6,$BR19&lt;70),"-",COUNTIFS(S$4:S$200,"&lt;&gt;-",$D$4:$D$200,"&lt;&gt;是",$E$4:$E$200,"&lt;&gt;封闭期",$H$4:$H$200,"&gt;10",$BN$4:$BN$200,"&gt;-6",$BR$4:$BR$200,"&gt;=70",$K$4:$K$200,"&lt;=30",$C$4:$C$200,"&lt;20190630",S$4:S$200,"&gt;="&amp;S19)&amp;"/"&amp;COUNTIFS(S$4:S$200,"&lt;&gt;-",$D$4:$D$200,"&lt;&gt;是",$E$4:$E$200,"&lt;&gt;封闭期",$H$4:$H$200,"&gt;10",$BN$4:$BN$200,"&gt;-6",$BR$4:$BR$200,"&gt;=70",$C$4:$C$200,"&lt;20190630",$K$4:$K$200,"&lt;=30"))</f>
        <v>7/39</v>
      </c>
      <c r="W19" s="33">
        <f>IF(OR($C19&gt;20190630,$K19&gt;30,S19="-",$D19="是",$E19="封闭期",$H19&lt;10,$BN19&lt;-6,$BR19&lt;70),"-",COUNTIFS(S$4:S$200,"&lt;&gt;-",$D$4:$D$200,"&lt;&gt;是",$E$4:$E$200,"&lt;&gt;封闭期",$H$4:$H$200,"&gt;10",$BN$4:$BN$200,"&gt;-6",$BR$4:$BR$200,"&gt;=70",$K$4:$K$200,"&lt;=30",$C$4:$C$200,"&lt;20190630",S$4:S$200,"&gt;="&amp;S19)/COUNTIFS(S$4:S$200,"&lt;&gt;-",$D$4:$D$200,"&lt;&gt;是",$E$4:$E$200,"&lt;&gt;封闭期",$H$4:$H$200,"&gt;10",$BN$4:$BN$200,"&gt;-6",$BR$4:$BR$200,"&gt;=70",$C$4:$C$200,"&lt;20190630",$K$4:$K$200,"&lt;=30"))</f>
        <v>0.17948717948717949</v>
      </c>
      <c r="X19" s="19">
        <f>[1]!f_risk_calmar(A19,$L$2,$E$1)</f>
        <v>5.1235740827717269</v>
      </c>
      <c r="Y19" s="12" t="str">
        <f>IFERROR(RANK(X19,X:X)&amp;"/"&amp;COUNT(X:X),"-")</f>
        <v>33/197</v>
      </c>
      <c r="Z19" s="26">
        <f>IFERROR(RANK(X19,X:X)/COUNT(X:X),"-")</f>
        <v>0.16751269035532995</v>
      </c>
      <c r="AA19" s="13" t="str">
        <f>IF(OR($C19&gt;20190630,$K19&gt;30,X19="-",$D19="是",$E19="封闭期",$H19&lt;10,$BN19&lt;-6,$BR19&lt;70),"-",COUNTIFS(X$4:X$200,"&lt;&gt;-",$D$4:$D$200,"&lt;&gt;是",$E$4:$E$200,"&lt;&gt;封闭期",$H$4:$H$200,"&gt;10",$BN$4:$BN$200,"&gt;-6",$BR$4:$BR$200,"&gt;=70",$K$4:$K$200,"&lt;=30",$C$4:$C$200,"&lt;20190630",X$4:X$200,"&gt;="&amp;X19)&amp;"/"&amp;COUNTIFS(X$4:X$200,"&lt;&gt;-",$D$4:$D$200,"&lt;&gt;是",$E$4:$E$200,"&lt;&gt;封闭期",$H$4:$H$200,"&gt;10",$BN$4:$BN$200,"&gt;-6",$BR$4:$BR$200,"&gt;=70",$C$4:$C$200,"&lt;20190630",$K$4:$K$200,"&lt;=30"))</f>
        <v>10/39</v>
      </c>
      <c r="AB19" s="33">
        <f>IF(OR($C19&gt;20190630,$K19&gt;30,X19="-",$D19="是",$E19="封闭期",$H19&lt;10,$BN19&lt;-6,$BR19&lt;70),"-",COUNTIFS(X$4:X$200,"&lt;&gt;-",$D$4:$D$200,"&lt;&gt;是",$E$4:$E$200,"&lt;&gt;封闭期",$H$4:$H$200,"&gt;10",$BN$4:$BN$200,"&gt;-6",$BR$4:$BR$200,"&gt;=70",$K$4:$K$200,"&lt;=30",$C$4:$C$200,"&lt;20190630",X$4:X$200,"&gt;="&amp;X19)/COUNTIFS(X$4:X$200,"&lt;&gt;-",$D$4:$D$200,"&lt;&gt;是",$E$4:$E$200,"&lt;&gt;封闭期",$H$4:$H$200,"&gt;10",$BN$4:$BN$200,"&gt;-6",$BR$4:$BR$200,"&gt;=70",$C$4:$C$200,"&lt;20190630",$K$4:$K$200,"&lt;=30"))</f>
        <v>0.25641025641025639</v>
      </c>
      <c r="AC19" s="20">
        <v>1</v>
      </c>
      <c r="AD19" s="12" t="str">
        <f>IFERROR(RANK(AC19,AC:AC)&amp;"/"&amp;COUNT(AC:AC),"-")</f>
        <v>1/197</v>
      </c>
      <c r="AE19" s="26">
        <f>IFERROR(RANK(AC19,AC:AC)/COUNT(AC:AC),"-")</f>
        <v>5.076142131979695E-3</v>
      </c>
      <c r="AF19" s="13" t="str">
        <f>IF(OR($C19&gt;20190630,$K19&gt;30,AC19="-",$D19="是",$E19="封闭期",$H19&lt;10,$BN19&lt;-6,$BR19&lt;70),"-",COUNTIFS(AC$4:AC$200,"&lt;&gt;-",$D$4:$D$200,"&lt;&gt;是",$E$4:$E$200,"&lt;&gt;封闭期",$H$4:$H$200,"&gt;10",$BN$4:$BN$200,"&gt;-6",$BR$4:$BR$200,"&gt;=70",$K$4:$K$200,"&lt;=30",$C$4:$C$200,"&lt;20190630",AC$4:AC$200,"&gt;="&amp;AC19)&amp;"/"&amp;COUNTIFS(AC$4:AC$200,"&lt;&gt;-",$D$4:$D$200,"&lt;&gt;是",$E$4:$E$200,"&lt;&gt;封闭期",$H$4:$H$200,"&gt;10",$BN$4:$BN$200,"&gt;-6",$BR$4:$BR$200,"&gt;=70",$C$4:$C$200,"&lt;20190630",$K$4:$K$200,"&lt;=30"))</f>
        <v>28/39</v>
      </c>
      <c r="AG19" s="33">
        <f>IF(OR($C19&gt;20190630,$K19&gt;30,AC19="-",$D19="是",$E19="封闭期",$H19&lt;10,$BN19&lt;-6,$BR19&lt;70),"-",COUNTIFS(AC$4:AC$200,"&lt;&gt;-",$D$4:$D$200,"&lt;&gt;是",$E$4:$E$200,"&lt;&gt;封闭期",$H$4:$H$200,"&gt;10",$BN$4:$BN$200,"&gt;-6",$BR$4:$BR$200,"&gt;=70",$K$4:$K$200,"&lt;=30",$C$4:$C$200,"&lt;20190630",AC$4:AC$200,"&gt;="&amp;AC19)/COUNTIFS(AC$4:AC$200,"&lt;&gt;-",$D$4:$D$200,"&lt;&gt;是",$E$4:$E$200,"&lt;&gt;封闭期",$H$4:$H$200,"&gt;10",$BN$4:$BN$200,"&gt;-6",$BR$4:$BR$200,"&gt;=70",$C$4:$C$200,"&lt;20190630",$K$4:$K$200,"&lt;=30"))</f>
        <v>0.71794871794871795</v>
      </c>
      <c r="AH19" s="21">
        <f>[1]!f_risk_maxdownside(A19,$L$2,$E$1)</f>
        <v>-2.5759230877565678</v>
      </c>
      <c r="AI19" s="19" t="str">
        <f>IFERROR(RANK(AH19,AH:AH)&amp;"/"&amp;COUNT(AH:AH),"-")</f>
        <v>77/197</v>
      </c>
      <c r="AJ19" s="26">
        <f>IFERROR(RANK(AH19,AH:AH)/COUNT(AH:AH),"-")</f>
        <v>0.39086294416243655</v>
      </c>
      <c r="AK19" s="34" t="str">
        <f>IF(OR($C19&gt;20190630,$K19&gt;30,AH19="-",$D19="是",$E19="封闭期",$H19&lt;10,$BN19&lt;-6,$BR19&lt;70),"-",COUNTIFS(AH$4:AH$200,"&lt;&gt;-",$D$4:$D$200,"&lt;&gt;是",$E$4:$E$200,"&lt;&gt;封闭期",$H$4:$H$200,"&gt;10",$BN$4:$BN$200,"&gt;-6",$BR$4:$BR$200,"&gt;=70",$K$4:$K$200,"&lt;=30",$C$4:$C$200,"&lt;20190630",AH$4:AH$200,"&gt;="&amp;AH19)&amp;"/"&amp;COUNTIFS(AH$4:AH$200,"&lt;&gt;-",$D$4:$D$200,"&lt;&gt;是",$E$4:$E$200,"&lt;&gt;封闭期",$H$4:$H$200,"&gt;10",$BN$4:$BN$200,"&gt;-6",$BR$4:$BR$200,"&gt;=70",$C$4:$C$200,"&lt;20190630",$K$4:$K$200,"&lt;=30"))</f>
        <v>19/39</v>
      </c>
      <c r="AL19" s="33">
        <f>IF(OR($C19&gt;20190630,$K19&gt;30,AH19="-",$D19="是",$E19="封闭期",$H19&lt;10,$BN19&lt;-6,$BR19&lt;70),"-",COUNTIFS(AH$4:AH$200,"&lt;&gt;-",$D$4:$D$200,"&lt;&gt;是",$E$4:$E$200,"&lt;&gt;封闭期",$H$4:$H$200,"&gt;10",$BN$4:$BN$200,"&gt;-6",$BR$4:$BR$200,"&gt;=70",$K$4:$K$200,"&lt;=30",$C$4:$C$200,"&lt;20190630",AH$4:AH$200,"&gt;="&amp;AH19)/COUNTIFS(AH$4:AH$200,"&lt;&gt;-",$D$4:$D$200,"&lt;&gt;是",$E$4:$E$200,"&lt;&gt;封闭期",$H$4:$H$200,"&gt;10",$BN$4:$BN$200,"&gt;-6",$BR$4:$BR$200,"&gt;=70",$C$4:$C$200,"&lt;20190630",$K$4:$K$200,"&lt;=30"))</f>
        <v>0.48717948717948717</v>
      </c>
      <c r="AM19" s="19">
        <f>[1]!f_return($A19,"1",AM$2,$L$2)</f>
        <v>14.401050936944415</v>
      </c>
      <c r="AN19" s="19">
        <f>[1]!f_risk_stdevyearly($A19,AM$2,$L$2,1,1)</f>
        <v>4.6365695956279795</v>
      </c>
      <c r="AO19" s="12">
        <f>IFERROR(AM19/AN19,"-")</f>
        <v>3.1059710503480384</v>
      </c>
      <c r="AP19" s="12" t="str">
        <f>IFERROR(RANK(AO19,AO:AO)&amp;"/"&amp;COUNT(AO:AO),"-")</f>
        <v>6/197</v>
      </c>
      <c r="AQ19" s="26">
        <f>IF(AP19="-","-",RANK(AO19,AO:AO)/COUNT(AO:AO))</f>
        <v>3.0456852791878174E-2</v>
      </c>
      <c r="AR19" s="60">
        <v>8.1218274111675121E-2</v>
      </c>
      <c r="AS19" s="35">
        <f>IF(OR($C19&gt;20190630,$K19&gt;30,AO19="-",$D19="是",$E19="封闭期",$H19&lt;10,$BN19&lt;-6,$BR19&lt;70),"-",COUNTIFS(AO$4:AO$200,"&lt;&gt;-",$D$4:$D$200,"&lt;&gt;是",$E$4:$E$200,"&lt;&gt;封闭期",$H$4:$H$200,"&gt;10",$BN$4:$BN$200,"&gt;-6",$BR$4:$BR$200,"&gt;=70",$K$4:$K$200,"&lt;=30",$C$4:$C$200,"&lt;20190630",AO$4:AO$200,"&gt;="&amp;AO19)/COUNTIFS(AO$4:AO$200,"&lt;&gt;-",$D$4:$D$200,"&lt;&gt;是",$E$4:$E$200,"&lt;&gt;封闭期",$H$4:$H$200,"&gt;10",$BN$4:$BN$200,"&gt;-6",$BR$4:$BR$200,"&gt;=70",$C$4:$C$200,"&lt;20190630",$K$4:$K$200,"&lt;=30"))</f>
        <v>2.564102564102564E-2</v>
      </c>
      <c r="AT19" s="12">
        <f>IFERROR((AM19-3)/AN19,"-")</f>
        <v>2.4589409695683107</v>
      </c>
      <c r="AU19" s="12" t="str">
        <f>IFERROR(RANK(AT19,AT:AT)&amp;"/"&amp;COUNT(AT:AT),"-")</f>
        <v>2/197</v>
      </c>
      <c r="AV19" s="26">
        <f>IFERROR(RANK(AT19,AT:AT)/COUNT(AT:AT),"-")</f>
        <v>1.015228426395939E-2</v>
      </c>
      <c r="AW19" s="13" t="str">
        <f>IF(OR($C19&gt;20190630,$K19&gt;30,AT19="-",$D19="是",$E19="封闭期",$H19&lt;10,$BN19&lt;-6,$BR19&lt;70),"-",COUNTIFS(AT$4:AT$200,"&lt;&gt;-",$D$4:$D$200,"&lt;&gt;是",$E$4:$E$200,"&lt;&gt;封闭期",$H$4:$H$200,"&gt;10",$BN$4:$BN$200,"&gt;-6",$BR$4:$BR$200,"&gt;=70",$K$4:$K$200,"&lt;=30",$C$4:$C$200,"&lt;20190630",AT$4:AT$200,"&gt;="&amp;AT19)&amp;"/"&amp;COUNTIFS(AT$4:AT$200,"&lt;&gt;-",$D$4:$D$200,"&lt;&gt;是",$E$4:$E$200,"&lt;&gt;封闭期",$H$4:$H$200,"&gt;10",$BN$4:$BN$200,"&gt;-6",$BR$4:$BR$200,"&gt;=70",$C$4:$C$200,"&lt;20190630",$K$4:$K$200,"&lt;=30"))</f>
        <v>1/39</v>
      </c>
      <c r="AX19" s="33">
        <f>IF(OR($C19&gt;20190630,$K19&gt;30,AT19="-",$D19="是",$E19="封闭期",$H19&lt;10,$BN19&lt;-6,$BR19&lt;70),"-",COUNTIFS(AT$4:AT$200,"&lt;&gt;-",$D$4:$D$200,"&lt;&gt;是",$E$4:$E$200,"&lt;&gt;封闭期",$H$4:$H$200,"&gt;10",$BN$4:$BN$200,"&gt;-6",$BR$4:$BR$200,"&gt;=70",$K$4:$K$200,"&lt;=30",$C$4:$C$200,"&lt;20190630",AT$4:AT$200,"&gt;="&amp;AT19)/COUNTIFS(AT$4:AT$200,"&lt;&gt;-",$D$4:$D$200,"&lt;&gt;是",$E$4:$E$200,"&lt;&gt;封闭期",$H$4:$H$200,"&gt;10",$BN$4:$BN$200,"&gt;-6",$BR$4:$BR$200,"&gt;=70",$C$4:$C$200,"&lt;20190630",$K$4:$K$200,"&lt;=30"))</f>
        <v>2.564102564102564E-2</v>
      </c>
      <c r="AY19" s="19">
        <f>[1]!f_risk_calmar(A19,$AM$2,$L$2)</f>
        <v>6.6423451995983811</v>
      </c>
      <c r="AZ19" s="12" t="str">
        <f>IFERROR(RANK(AY19,AY:AY)&amp;"/"&amp;COUNT(AY:AY),"-")</f>
        <v>3/197</v>
      </c>
      <c r="BA19" s="26">
        <f>IFERROR(RANK(AY19,AY:AY)/COUNT(AY:AY),"-")</f>
        <v>1.5228426395939087E-2</v>
      </c>
      <c r="BB19" s="13" t="str">
        <f>IF(OR($C19&gt;20190630,$K19&gt;30,AY19="-",$D19="是",$E19="封闭期",$H19&lt;10,$BN19&lt;-6,$BR19&lt;70),"-",COUNTIFS(AY$4:AY$200,"&lt;&gt;-",$D$4:$D$200,"&lt;&gt;是",$E$4:$E$200,"&lt;&gt;封闭期",$H$4:$H$200,"&gt;10",$BN$4:$BN$200,"&gt;-6",$BR$4:$BR$200,"&gt;=70",$K$4:$K$200,"&lt;=30",$C$4:$C$200,"&lt;20190630",AY$4:AY$200,"&gt;="&amp;AY19)&amp;"/"&amp;COUNTIFS(AY$4:AY$200,"&lt;&gt;-",$D$4:$D$200,"&lt;&gt;是",$E$4:$E$200,"&lt;&gt;封闭期",$H$4:$H$200,"&gt;10",$BN$4:$BN$200,"&gt;-6",$BR$4:$BR$200,"&gt;=70",$C$4:$C$200,"&lt;20190630",$K$4:$K$200,"&lt;=30"))</f>
        <v>1/39</v>
      </c>
      <c r="BC19" s="33">
        <f>IF(OR($C19&gt;20190630,$K19&gt;30,AY19="-",$D19="是",$E19="封闭期",$H19&lt;10,$BN19&lt;-6,$BR19&lt;70),"-",COUNTIFS(AY$4:AY$200,"&lt;&gt;-",$D$4:$D$200,"&lt;&gt;是",$E$4:$E$200,"&lt;&gt;封闭期",$H$4:$H$200,"&gt;10",$BN$4:$BN$200,"&gt;-6",$BR$4:$BR$200,"&gt;=70",$K$4:$K$200,"&lt;=30",$C$4:$C$200,"&lt;20190630",AY$4:AY$200,"&gt;="&amp;AY19)/COUNTIFS(AY$4:AY$200,"&lt;&gt;-",$D$4:$D$200,"&lt;&gt;是",$E$4:$E$200,"&lt;&gt;封闭期",$H$4:$H$200,"&gt;10",$BN$4:$BN$200,"&gt;-6",$BR$4:$BR$200,"&gt;=70",$C$4:$C$200,"&lt;20190630",$K$4:$K$200,"&lt;=30"))</f>
        <v>2.564102564102564E-2</v>
      </c>
      <c r="BD19" s="20">
        <v>1</v>
      </c>
      <c r="BE19" s="12" t="str">
        <f>IFERROR(RANK(BD19,BD:BD)&amp;"/"&amp;COUNT(BD:BD),"-")</f>
        <v>1/197</v>
      </c>
      <c r="BF19" s="26">
        <f>IFERROR(RANK(BD19,BD:BD)/COUNT(BD:BD),"-")</f>
        <v>5.076142131979695E-3</v>
      </c>
      <c r="BG19" s="13" t="str">
        <f>IF(OR($C19&gt;20190630,$K19&gt;30,BD19="-",$D19="是",$E19="封闭期",$H19&lt;10,$BN19&lt;-6,$BR19&lt;70),"-",COUNTIFS(BD$4:BD$200,"&lt;&gt;-",$D$4:$D$200,"&lt;&gt;是",$E$4:$E$200,"&lt;&gt;封闭期",$H$4:$H$200,"&gt;10",$BN$4:$BN$200,"&gt;-6",$BR$4:$BR$200,"&gt;=70",$K$4:$K$200,"&lt;=30",$C$4:$C$200,"&lt;20190630",BD$4:BD$200,"&gt;="&amp;BD19)&amp;"/"&amp;COUNTIFS(BD$4:BD$200,"&lt;&gt;-",$D$4:$D$200,"&lt;&gt;是",$E$4:$E$200,"&lt;&gt;封闭期",$H$4:$H$200,"&gt;10",$BN$4:$BN$200,"&gt;-6",$BR$4:$BR$200,"&gt;=70",$C$4:$C$200,"&lt;20190630",$K$4:$K$200,"&lt;=30"))</f>
        <v>35/39</v>
      </c>
      <c r="BH19" s="33">
        <f>IF(OR($C19&gt;20190630,$K19&gt;30,BD19="-",$D19="是",$E19="封闭期",$H19&lt;10,$BN19&lt;-6,$BR19&lt;70),"-",COUNTIFS(BD$4:BD$200,"&lt;&gt;-",$D$4:$D$200,"&lt;&gt;是",$E$4:$E$200,"&lt;&gt;封闭期",$H$4:$H$200,"&gt;10",$BN$4:$BN$200,"&gt;-6",$BR$4:$BR$200,"&gt;=70",$K$4:$K$200,"&lt;=30",$C$4:$C$200,"&lt;20190630",BD$4:BD$200,"&gt;="&amp;BD19)/COUNTIFS(BD$4:BD$200,"&lt;&gt;-",$D$4:$D$200,"&lt;&gt;是",$E$4:$E$200,"&lt;&gt;封闭期",$H$4:$H$200,"&gt;10",$BN$4:$BN$200,"&gt;-6",$BR$4:$BR$200,"&gt;=70",$C$4:$C$200,"&lt;20190630",$K$4:$K$200,"&lt;=30"))</f>
        <v>0.89743589743589747</v>
      </c>
      <c r="BI19" s="21">
        <f>[1]!f_risk_maxdownside(A19,$AM$2,$L$2)</f>
        <v>-2.1680672268907601</v>
      </c>
      <c r="BJ19" s="19" t="str">
        <f>IFERROR(RANK(BI19,BI:BI)&amp;"/"&amp;COUNT(BI:BI),"-")</f>
        <v>41/197</v>
      </c>
      <c r="BK19" s="26">
        <f>IFERROR(RANK(BI19,BI:BI)/COUNT(BI:BI),"-")</f>
        <v>0.20812182741116753</v>
      </c>
      <c r="BL19" s="34" t="str">
        <f>IF(OR($C19&gt;20190630,$K19&gt;30,BI19="-",$D19="是",$E19="封闭期",$H19&lt;10,$BN19&lt;-6,$BR19&lt;70),"-",COUNTIFS(BI$4:BI$200,"&lt;&gt;-",$D$4:$D$200,"&lt;&gt;是",$E$4:$E$200,"&lt;&gt;封闭期",$H$4:$H$200,"&gt;10",$BN$4:$BN$200,"&gt;-6",$BR$4:$BR$200,"&gt;=70",$K$4:$K$200,"&lt;=30",$C$4:$C$200,"&lt;20190630",BI$4:BI$200,"&gt;="&amp;BI19)&amp;"/"&amp;COUNTIFS(BI$4:BI$200,"&lt;&gt;-",$D$4:$D$200,"&lt;&gt;是",$E$4:$E$200,"&lt;&gt;封闭期",$H$4:$H$200,"&gt;10",$BN$4:$BN$200,"&gt;-6",$BR$4:$BR$200,"&gt;=70",$C$4:$C$200,"&lt;20190630",$K$4:$K$200,"&lt;=30"))</f>
        <v>6/39</v>
      </c>
      <c r="BM19" s="33">
        <f>IF(OR($C19&gt;20190630,$K19&gt;30,BI19="-",$D19="是",$E19="封闭期",$H19&lt;10,$BN19&lt;-6,$BR19&lt;70),"-",COUNTIFS(BI$4:BI$200,"&lt;&gt;-",$D$4:$D$200,"&lt;&gt;是",$E$4:$E$200,"&lt;&gt;封闭期",$H$4:$H$200,"&gt;10",$BN$4:$BN$200,"&gt;-6",$BR$4:$BR$200,"&gt;=70",$K$4:$K$200,"&lt;=30",$C$4:$C$200,"&lt;20190630",BI$4:BI$200,"&gt;="&amp;BI19)/COUNTIFS(BI$4:BI$200,"&lt;&gt;-",$D$4:$D$200,"&lt;&gt;是",$E$4:$E$200,"&lt;&gt;封闭期",$H$4:$H$200,"&gt;10",$BN$4:$BN$200,"&gt;-6",$BR$4:$BR$200,"&gt;=70",$C$4:$C$200,"&lt;20190630",$K$4:$K$200,"&lt;=30"))</f>
        <v>0.15384615384615385</v>
      </c>
      <c r="BN19" s="21">
        <f>[1]!f_risk_maxdownside(A19,$AM$2,$E$1)</f>
        <v>-2.5759230877565678</v>
      </c>
      <c r="BO19" s="14">
        <f>IF(C19&lt;20190930,[1]!f_return_2y(A19,"0","20210930"),"-")</f>
        <v>29.742370750549576</v>
      </c>
      <c r="BP19" s="12" t="str">
        <f>IFERROR(RANK(BO19,BO:BO)&amp;"/"&amp;COUNT(BO:BO),"-")</f>
        <v>12/197</v>
      </c>
      <c r="BQ19" s="25">
        <f>IFERROR(RANK(BO19,BO:BO)/COUNT(BO:BO),"-")</f>
        <v>6.0913705583756347E-2</v>
      </c>
      <c r="BR19" s="12">
        <f>IF(C19&lt;20190930,[1]!f_absolute_profitmonthper(A19,"20190930","20210930"),"-")</f>
        <v>75</v>
      </c>
      <c r="BS19" s="12" t="str">
        <f>IFERROR(RANK(BR19,BR:BR)&amp;"/"&amp;COUNT(BR:BR),"-")</f>
        <v>26/198</v>
      </c>
      <c r="BT19" s="25">
        <f>IFERROR(RANK(BR19,BR:BR)/COUNT(BR:BR),"-")</f>
        <v>0.13131313131313133</v>
      </c>
      <c r="BV19" s="12">
        <f>X19-3/M19</f>
        <v>4.6049257788533442</v>
      </c>
      <c r="BW19" s="76">
        <f>IFERROR(RANK(BV19,BV:BV)/COUNT(BV:BV),"-")</f>
        <v>0.12182741116751269</v>
      </c>
      <c r="BX19" s="76">
        <f>IFERROR(RANK(L19,L:L)/COUNT(L:L),"-")</f>
        <v>6.5656565656565663E-2</v>
      </c>
      <c r="BY19" s="12">
        <f>AY19-3/AN19</f>
        <v>5.9953151188186533</v>
      </c>
      <c r="BZ19" s="76">
        <f>IFERROR(RANK(BY19,BY:BY)/COUNT(BY:BY),"-")</f>
        <v>1.5228426395939087E-2</v>
      </c>
      <c r="CA19" s="76">
        <f>IFERROR(RANK(AM19,AM:AM)/COUNT(AM:AM),"-")</f>
        <v>8.5858585858585856E-2</v>
      </c>
      <c r="CB19" s="2"/>
      <c r="CC19" s="77">
        <f>AV19+BF19+BZ19+CA19</f>
        <v>0.11631543865046404</v>
      </c>
      <c r="CD19" s="77">
        <f>BW19+BX19+AE19+U19</f>
        <v>0.28900681946367224</v>
      </c>
      <c r="CE19" s="77">
        <f>CC19+CD19</f>
        <v>0.40532225811413625</v>
      </c>
    </row>
    <row r="20" spans="1:83" s="17" customFormat="1" x14ac:dyDescent="0.35">
      <c r="A20" s="3" t="s">
        <v>65</v>
      </c>
      <c r="B20" s="3" t="s">
        <v>66</v>
      </c>
      <c r="C20" s="4">
        <v>20161101</v>
      </c>
      <c r="D20" s="4" t="str">
        <f>[1]!f_info_regulopenfundornot(A20)</f>
        <v>否</v>
      </c>
      <c r="E20" s="4" t="str">
        <f>[1]!f_dq_status(A20,$E$1)</f>
        <v>暂停大额申购|开放赎回</v>
      </c>
      <c r="F20" s="17" t="str">
        <f>[1]!f_info_fundmanager(A20)</f>
        <v>张芊,吴迪</v>
      </c>
      <c r="G20" s="4">
        <v>20190918</v>
      </c>
      <c r="H20" s="11">
        <f>[1]!f_netasset_total(A20,$E$1,100000000)</f>
        <v>11.674287405299999</v>
      </c>
      <c r="I20" s="11">
        <f>[1]!f_prt_convertiblebondtonav(A20,$E$1)</f>
        <v>19.433507919311523</v>
      </c>
      <c r="J20" s="11">
        <f>[1]!f_prt_stocktonav(A20,$E$1)+0.5*I20</f>
        <v>27.409934043884277</v>
      </c>
      <c r="K20" s="12">
        <v>11.36154999403079</v>
      </c>
      <c r="L20" s="19">
        <f>[1]!f_return($A20,"1",L$2,$E$1)</f>
        <v>8.2342468119999346</v>
      </c>
      <c r="M20" s="19">
        <f>[1]!f_risk_stdevyearly($A20,L$2,$E$1,1,1)</f>
        <v>3.9911202242678341</v>
      </c>
      <c r="N20" s="12">
        <f>IFERROR(L20/M20,"-")</f>
        <v>2.0631417620376236</v>
      </c>
      <c r="O20" s="12" t="str">
        <f>IFERROR(RANK(N20,N:N)&amp;"/"&amp;COUNT(N:N),"-")</f>
        <v>45/197</v>
      </c>
      <c r="P20" s="26">
        <f>IF(O20="-","-",RANK(N20,N:N)/COUNT(N:N))</f>
        <v>0.22842639593908629</v>
      </c>
      <c r="Q20" s="58">
        <v>0.26903553299492383</v>
      </c>
      <c r="R20" s="33">
        <f>IF(OR($C20&gt;20190630,$K20&gt;30,N20="-",$D20="是",$E20="封闭期",$H20&lt;10,$BN20&lt;-6,$BR20&lt;70),"-",COUNTIFS(N$4:N$200,"&lt;&gt;-",$D$4:$D$200,"&lt;&gt;是",$E$4:$E$200,"&lt;&gt;封闭期",$H$4:$H$200,"&gt;10",$BN$4:$BN$200,"&gt;-6",$BR$4:$BR$200,"&gt;=70",$K$4:$K$200,"&lt;=30",$C$4:$C$200,"&lt;20190630",N$4:N$200,"&gt;="&amp;N20)/COUNTIFS(N$4:N$200,"&lt;&gt;-",$D$4:$D$200,"&lt;&gt;是",$E$4:$E$200,"&lt;&gt;封闭期",$H$4:$H$200,"&gt;10",$BN$4:$BN$200,"&gt;-6",$BR$4:$BR$200,"&gt;=70",$C$4:$C$200,"&lt;20190630",$K$4:$K$200,"&lt;=30"))</f>
        <v>0.41025641025641024</v>
      </c>
      <c r="S20" s="12">
        <f>IFERROR((L20-3)/M20,"-")</f>
        <v>1.3114730997511233</v>
      </c>
      <c r="T20" s="12" t="str">
        <f>IFERROR(RANK(S20,S:S)&amp;"/"&amp;COUNT(S:S),"-")</f>
        <v>43/197</v>
      </c>
      <c r="U20" s="26">
        <f>IFERROR(RANK(S20,S:S)/COUNT(S:S),"-")</f>
        <v>0.21827411167512689</v>
      </c>
      <c r="V20" s="13" t="str">
        <f>IF(OR($C20&gt;20190630,$K20&gt;30,S20="-",$D20="是",$E20="封闭期",$H20&lt;10,$BN20&lt;-6,$BR20&lt;70),"-",COUNTIFS(S$4:S$200,"&lt;&gt;-",$D$4:$D$200,"&lt;&gt;是",$E$4:$E$200,"&lt;&gt;封闭期",$H$4:$H$200,"&gt;10",$BN$4:$BN$200,"&gt;-6",$BR$4:$BR$200,"&gt;=70",$K$4:$K$200,"&lt;=30",$C$4:$C$200,"&lt;20190630",S$4:S$200,"&gt;="&amp;S20)&amp;"/"&amp;COUNTIFS(S$4:S$200,"&lt;&gt;-",$D$4:$D$200,"&lt;&gt;是",$E$4:$E$200,"&lt;&gt;封闭期",$H$4:$H$200,"&gt;10",$BN$4:$BN$200,"&gt;-6",$BR$4:$BR$200,"&gt;=70",$C$4:$C$200,"&lt;20190630",$K$4:$K$200,"&lt;=30"))</f>
        <v>14/39</v>
      </c>
      <c r="W20" s="33">
        <f>IF(OR($C20&gt;20190630,$K20&gt;30,S20="-",$D20="是",$E20="封闭期",$H20&lt;10,$BN20&lt;-6,$BR20&lt;70),"-",COUNTIFS(S$4:S$200,"&lt;&gt;-",$D$4:$D$200,"&lt;&gt;是",$E$4:$E$200,"&lt;&gt;封闭期",$H$4:$H$200,"&gt;10",$BN$4:$BN$200,"&gt;-6",$BR$4:$BR$200,"&gt;=70",$K$4:$K$200,"&lt;=30",$C$4:$C$200,"&lt;20190630",S$4:S$200,"&gt;="&amp;S20)/COUNTIFS(S$4:S$200,"&lt;&gt;-",$D$4:$D$200,"&lt;&gt;是",$E$4:$E$200,"&lt;&gt;封闭期",$H$4:$H$200,"&gt;10",$BN$4:$BN$200,"&gt;-6",$BR$4:$BR$200,"&gt;=70",$C$4:$C$200,"&lt;20190630",$K$4:$K$200,"&lt;=30"))</f>
        <v>0.35897435897435898</v>
      </c>
      <c r="X20" s="19">
        <f>[1]!f_risk_calmar(A20,$L$2,$E$1)</f>
        <v>4.6150992846304293</v>
      </c>
      <c r="Y20" s="12" t="str">
        <f>IFERROR(RANK(X20,X:X)&amp;"/"&amp;COUNT(X:X),"-")</f>
        <v>37/197</v>
      </c>
      <c r="Z20" s="26">
        <f>IFERROR(RANK(X20,X:X)/COUNT(X:X),"-")</f>
        <v>0.18781725888324874</v>
      </c>
      <c r="AA20" s="13" t="str">
        <f>IF(OR($C20&gt;20190630,$K20&gt;30,X20="-",$D20="是",$E20="封闭期",$H20&lt;10,$BN20&lt;-6,$BR20&lt;70),"-",COUNTIFS(X$4:X$200,"&lt;&gt;-",$D$4:$D$200,"&lt;&gt;是",$E$4:$E$200,"&lt;&gt;封闭期",$H$4:$H$200,"&gt;10",$BN$4:$BN$200,"&gt;-6",$BR$4:$BR$200,"&gt;=70",$K$4:$K$200,"&lt;=30",$C$4:$C$200,"&lt;20190630",X$4:X$200,"&gt;="&amp;X20)&amp;"/"&amp;COUNTIFS(X$4:X$200,"&lt;&gt;-",$D$4:$D$200,"&lt;&gt;是",$E$4:$E$200,"&lt;&gt;封闭期",$H$4:$H$200,"&gt;10",$BN$4:$BN$200,"&gt;-6",$BR$4:$BR$200,"&gt;=70",$C$4:$C$200,"&lt;20190630",$K$4:$K$200,"&lt;=30"))</f>
        <v>12/39</v>
      </c>
      <c r="AB20" s="33">
        <f>IF(OR($C20&gt;20190630,$K20&gt;30,X20="-",$D20="是",$E20="封闭期",$H20&lt;10,$BN20&lt;-6,$BR20&lt;70),"-",COUNTIFS(X$4:X$200,"&lt;&gt;-",$D$4:$D$200,"&lt;&gt;是",$E$4:$E$200,"&lt;&gt;封闭期",$H$4:$H$200,"&gt;10",$BN$4:$BN$200,"&gt;-6",$BR$4:$BR$200,"&gt;=70",$K$4:$K$200,"&lt;=30",$C$4:$C$200,"&lt;20190630",X$4:X$200,"&gt;="&amp;X20)/COUNTIFS(X$4:X$200,"&lt;&gt;-",$D$4:$D$200,"&lt;&gt;是",$E$4:$E$200,"&lt;&gt;封闭期",$H$4:$H$200,"&gt;10",$BN$4:$BN$200,"&gt;-6",$BR$4:$BR$200,"&gt;=70",$C$4:$C$200,"&lt;20190630",$K$4:$K$200,"&lt;=30"))</f>
        <v>0.30769230769230771</v>
      </c>
      <c r="AC20" s="20">
        <v>1</v>
      </c>
      <c r="AD20" s="12" t="str">
        <f>IFERROR(RANK(AC20,AC:AC)&amp;"/"&amp;COUNT(AC:AC),"-")</f>
        <v>1/197</v>
      </c>
      <c r="AE20" s="26">
        <f>IFERROR(RANK(AC20,AC:AC)/COUNT(AC:AC),"-")</f>
        <v>5.076142131979695E-3</v>
      </c>
      <c r="AF20" s="13" t="str">
        <f>IF(OR($C20&gt;20190630,$K20&gt;30,AC20="-",$D20="是",$E20="封闭期",$H20&lt;10,$BN20&lt;-6,$BR20&lt;70),"-",COUNTIFS(AC$4:AC$200,"&lt;&gt;-",$D$4:$D$200,"&lt;&gt;是",$E$4:$E$200,"&lt;&gt;封闭期",$H$4:$H$200,"&gt;10",$BN$4:$BN$200,"&gt;-6",$BR$4:$BR$200,"&gt;=70",$K$4:$K$200,"&lt;=30",$C$4:$C$200,"&lt;20190630",AC$4:AC$200,"&gt;="&amp;AC20)&amp;"/"&amp;COUNTIFS(AC$4:AC$200,"&lt;&gt;-",$D$4:$D$200,"&lt;&gt;是",$E$4:$E$200,"&lt;&gt;封闭期",$H$4:$H$200,"&gt;10",$BN$4:$BN$200,"&gt;-6",$BR$4:$BR$200,"&gt;=70",$C$4:$C$200,"&lt;20190630",$K$4:$K$200,"&lt;=30"))</f>
        <v>28/39</v>
      </c>
      <c r="AG20" s="33">
        <f>IF(OR($C20&gt;20190630,$K20&gt;30,AC20="-",$D20="是",$E20="封闭期",$H20&lt;10,$BN20&lt;-6,$BR20&lt;70),"-",COUNTIFS(AC$4:AC$200,"&lt;&gt;-",$D$4:$D$200,"&lt;&gt;是",$E$4:$E$200,"&lt;&gt;封闭期",$H$4:$H$200,"&gt;10",$BN$4:$BN$200,"&gt;-6",$BR$4:$BR$200,"&gt;=70",$K$4:$K$200,"&lt;=30",$C$4:$C$200,"&lt;20190630",AC$4:AC$200,"&gt;="&amp;AC20)/COUNTIFS(AC$4:AC$200,"&lt;&gt;-",$D$4:$D$200,"&lt;&gt;是",$E$4:$E$200,"&lt;&gt;封闭期",$H$4:$H$200,"&gt;10",$BN$4:$BN$200,"&gt;-6",$BR$4:$BR$200,"&gt;=70",$C$4:$C$200,"&lt;20190630",$K$4:$K$200,"&lt;=30"))</f>
        <v>0.71794871794871795</v>
      </c>
      <c r="AH20" s="21">
        <f>[1]!f_risk_maxdownside(A20,$L$2,$E$1)</f>
        <v>-1.7841971112999189</v>
      </c>
      <c r="AI20" s="19" t="str">
        <f>IFERROR(RANK(AH20,AH:AH)&amp;"/"&amp;COUNT(AH:AH),"-")</f>
        <v>51/197</v>
      </c>
      <c r="AJ20" s="26">
        <f>IFERROR(RANK(AH20,AH:AH)/COUNT(AH:AH),"-")</f>
        <v>0.25888324873096447</v>
      </c>
      <c r="AK20" s="34" t="str">
        <f>IF(OR($C20&gt;20190630,$K20&gt;30,AH20="-",$D20="是",$E20="封闭期",$H20&lt;10,$BN20&lt;-6,$BR20&lt;70),"-",COUNTIFS(AH$4:AH$200,"&lt;&gt;-",$D$4:$D$200,"&lt;&gt;是",$E$4:$E$200,"&lt;&gt;封闭期",$H$4:$H$200,"&gt;10",$BN$4:$BN$200,"&gt;-6",$BR$4:$BR$200,"&gt;=70",$K$4:$K$200,"&lt;=30",$C$4:$C$200,"&lt;20190630",AH$4:AH$200,"&gt;="&amp;AH20)&amp;"/"&amp;COUNTIFS(AH$4:AH$200,"&lt;&gt;-",$D$4:$D$200,"&lt;&gt;是",$E$4:$E$200,"&lt;&gt;封闭期",$H$4:$H$200,"&gt;10",$BN$4:$BN$200,"&gt;-6",$BR$4:$BR$200,"&gt;=70",$C$4:$C$200,"&lt;20190630",$K$4:$K$200,"&lt;=30"))</f>
        <v>11/39</v>
      </c>
      <c r="AL20" s="33">
        <f>IF(OR($C20&gt;20190630,$K20&gt;30,AH20="-",$D20="是",$E20="封闭期",$H20&lt;10,$BN20&lt;-6,$BR20&lt;70),"-",COUNTIFS(AH$4:AH$200,"&lt;&gt;-",$D$4:$D$200,"&lt;&gt;是",$E$4:$E$200,"&lt;&gt;封闭期",$H$4:$H$200,"&gt;10",$BN$4:$BN$200,"&gt;-6",$BR$4:$BR$200,"&gt;=70",$K$4:$K$200,"&lt;=30",$C$4:$C$200,"&lt;20190630",AH$4:AH$200,"&gt;="&amp;AH20)/COUNTIFS(AH$4:AH$200,"&lt;&gt;-",$D$4:$D$200,"&lt;&gt;是",$E$4:$E$200,"&lt;&gt;封闭期",$H$4:$H$200,"&gt;10",$BN$4:$BN$200,"&gt;-6",$BR$4:$BR$200,"&gt;=70",$C$4:$C$200,"&lt;20190630",$K$4:$K$200,"&lt;=30"))</f>
        <v>0.28205128205128205</v>
      </c>
      <c r="AM20" s="19">
        <f>[1]!f_return($A20,"1",AM$2,$L$2)</f>
        <v>13.944603876383056</v>
      </c>
      <c r="AN20" s="19">
        <f>[1]!f_risk_stdevyearly($A20,AM$2,$L$2,1,1)</f>
        <v>5.7642003779270121</v>
      </c>
      <c r="AO20" s="12">
        <f>IFERROR(AM20/AN20,"-")</f>
        <v>2.4191740331896607</v>
      </c>
      <c r="AP20" s="12" t="str">
        <f>IFERROR(RANK(AO20,AO:AO)&amp;"/"&amp;COUNT(AO:AO),"-")</f>
        <v>22/197</v>
      </c>
      <c r="AQ20" s="26">
        <f>IF(AP20="-","-",RANK(AO20,AO:AO)/COUNT(AO:AO))</f>
        <v>0.1116751269035533</v>
      </c>
      <c r="AR20" s="60">
        <v>8.6294416243654817E-2</v>
      </c>
      <c r="AS20" s="35">
        <f>IF(OR($C20&gt;20190630,$K20&gt;30,AO20="-",$D20="是",$E20="封闭期",$H20&lt;10,$BN20&lt;-6,$BR20&lt;70),"-",COUNTIFS(AO$4:AO$200,"&lt;&gt;-",$D$4:$D$200,"&lt;&gt;是",$E$4:$E$200,"&lt;&gt;封闭期",$H$4:$H$200,"&gt;10",$BN$4:$BN$200,"&gt;-6",$BR$4:$BR$200,"&gt;=70",$K$4:$K$200,"&lt;=30",$C$4:$C$200,"&lt;20190630",AO$4:AO$200,"&gt;="&amp;AO20)/COUNTIFS(AO$4:AO$200,"&lt;&gt;-",$D$4:$D$200,"&lt;&gt;是",$E$4:$E$200,"&lt;&gt;封闭期",$H$4:$H$200,"&gt;10",$BN$4:$BN$200,"&gt;-6",$BR$4:$BR$200,"&gt;=70",$C$4:$C$200,"&lt;20190630",$K$4:$K$200,"&lt;=30"))</f>
        <v>0.17948717948717949</v>
      </c>
      <c r="AT20" s="12">
        <f>IFERROR((AM20-3)/AN20,"-")</f>
        <v>1.8987202315681955</v>
      </c>
      <c r="AU20" s="12" t="str">
        <f>IFERROR(RANK(AT20,AT:AT)&amp;"/"&amp;COUNT(AT:AT),"-")</f>
        <v>11/197</v>
      </c>
      <c r="AV20" s="26">
        <f>IFERROR(RANK(AT20,AT:AT)/COUNT(AT:AT),"-")</f>
        <v>5.5837563451776651E-2</v>
      </c>
      <c r="AW20" s="13" t="str">
        <f>IF(OR($C20&gt;20190630,$K20&gt;30,AT20="-",$D20="是",$E20="封闭期",$H20&lt;10,$BN20&lt;-6,$BR20&lt;70),"-",COUNTIFS(AT$4:AT$200,"&lt;&gt;-",$D$4:$D$200,"&lt;&gt;是",$E$4:$E$200,"&lt;&gt;封闭期",$H$4:$H$200,"&gt;10",$BN$4:$BN$200,"&gt;-6",$BR$4:$BR$200,"&gt;=70",$K$4:$K$200,"&lt;=30",$C$4:$C$200,"&lt;20190630",AT$4:AT$200,"&gt;="&amp;AT20)&amp;"/"&amp;COUNTIFS(AT$4:AT$200,"&lt;&gt;-",$D$4:$D$200,"&lt;&gt;是",$E$4:$E$200,"&lt;&gt;封闭期",$H$4:$H$200,"&gt;10",$BN$4:$BN$200,"&gt;-6",$BR$4:$BR$200,"&gt;=70",$C$4:$C$200,"&lt;20190630",$K$4:$K$200,"&lt;=30"))</f>
        <v>6/39</v>
      </c>
      <c r="AX20" s="33">
        <f>IF(OR($C20&gt;20190630,$K20&gt;30,AT20="-",$D20="是",$E20="封闭期",$H20&lt;10,$BN20&lt;-6,$BR20&lt;70),"-",COUNTIFS(AT$4:AT$200,"&lt;&gt;-",$D$4:$D$200,"&lt;&gt;是",$E$4:$E$200,"&lt;&gt;封闭期",$H$4:$H$200,"&gt;10",$BN$4:$BN$200,"&gt;-6",$BR$4:$BR$200,"&gt;=70",$K$4:$K$200,"&lt;=30",$C$4:$C$200,"&lt;20190630",AT$4:AT$200,"&gt;="&amp;AT20)/COUNTIFS(AT$4:AT$200,"&lt;&gt;-",$D$4:$D$200,"&lt;&gt;是",$E$4:$E$200,"&lt;&gt;封闭期",$H$4:$H$200,"&gt;10",$BN$4:$BN$200,"&gt;-6",$BR$4:$BR$200,"&gt;=70",$C$4:$C$200,"&lt;20190630",$K$4:$K$200,"&lt;=30"))</f>
        <v>0.15384615384615385</v>
      </c>
      <c r="AY20" s="19">
        <f>[1]!f_risk_calmar(A20,$AM$2,$L$2)</f>
        <v>4.9989292078063912</v>
      </c>
      <c r="AZ20" s="12" t="str">
        <f>IFERROR(RANK(AY20,AY:AY)&amp;"/"&amp;COUNT(AY:AY),"-")</f>
        <v>13/197</v>
      </c>
      <c r="BA20" s="26">
        <f>IFERROR(RANK(AY20,AY:AY)/COUNT(AY:AY),"-")</f>
        <v>6.5989847715736044E-2</v>
      </c>
      <c r="BB20" s="13" t="str">
        <f>IF(OR($C20&gt;20190630,$K20&gt;30,AY20="-",$D20="是",$E20="封闭期",$H20&lt;10,$BN20&lt;-6,$BR20&lt;70),"-",COUNTIFS(AY$4:AY$200,"&lt;&gt;-",$D$4:$D$200,"&lt;&gt;是",$E$4:$E$200,"&lt;&gt;封闭期",$H$4:$H$200,"&gt;10",$BN$4:$BN$200,"&gt;-6",$BR$4:$BR$200,"&gt;=70",$K$4:$K$200,"&lt;=30",$C$4:$C$200,"&lt;20190630",AY$4:AY$200,"&gt;="&amp;AY20)&amp;"/"&amp;COUNTIFS(AY$4:AY$200,"&lt;&gt;-",$D$4:$D$200,"&lt;&gt;是",$E$4:$E$200,"&lt;&gt;封闭期",$H$4:$H$200,"&gt;10",$BN$4:$BN$200,"&gt;-6",$BR$4:$BR$200,"&gt;=70",$C$4:$C$200,"&lt;20190630",$K$4:$K$200,"&lt;=30"))</f>
        <v>3/39</v>
      </c>
      <c r="BC20" s="33">
        <f>IF(OR($C20&gt;20190630,$K20&gt;30,AY20="-",$D20="是",$E20="封闭期",$H20&lt;10,$BN20&lt;-6,$BR20&lt;70),"-",COUNTIFS(AY$4:AY$200,"&lt;&gt;-",$D$4:$D$200,"&lt;&gt;是",$E$4:$E$200,"&lt;&gt;封闭期",$H$4:$H$200,"&gt;10",$BN$4:$BN$200,"&gt;-6",$BR$4:$BR$200,"&gt;=70",$K$4:$K$200,"&lt;=30",$C$4:$C$200,"&lt;20190630",AY$4:AY$200,"&gt;="&amp;AY20)/COUNTIFS(AY$4:AY$200,"&lt;&gt;-",$D$4:$D$200,"&lt;&gt;是",$E$4:$E$200,"&lt;&gt;封闭期",$H$4:$H$200,"&gt;10",$BN$4:$BN$200,"&gt;-6",$BR$4:$BR$200,"&gt;=70",$C$4:$C$200,"&lt;20190630",$K$4:$K$200,"&lt;=30"))</f>
        <v>7.6923076923076927E-2</v>
      </c>
      <c r="BD20" s="20">
        <v>1</v>
      </c>
      <c r="BE20" s="12" t="str">
        <f>IFERROR(RANK(BD20,BD:BD)&amp;"/"&amp;COUNT(BD:BD),"-")</f>
        <v>1/197</v>
      </c>
      <c r="BF20" s="26">
        <f>IFERROR(RANK(BD20,BD:BD)/COUNT(BD:BD),"-")</f>
        <v>5.076142131979695E-3</v>
      </c>
      <c r="BG20" s="13" t="str">
        <f>IF(OR($C20&gt;20190630,$K20&gt;30,BD20="-",$D20="是",$E20="封闭期",$H20&lt;10,$BN20&lt;-6,$BR20&lt;70),"-",COUNTIFS(BD$4:BD$200,"&lt;&gt;-",$D$4:$D$200,"&lt;&gt;是",$E$4:$E$200,"&lt;&gt;封闭期",$H$4:$H$200,"&gt;10",$BN$4:$BN$200,"&gt;-6",$BR$4:$BR$200,"&gt;=70",$K$4:$K$200,"&lt;=30",$C$4:$C$200,"&lt;20190630",BD$4:BD$200,"&gt;="&amp;BD20)&amp;"/"&amp;COUNTIFS(BD$4:BD$200,"&lt;&gt;-",$D$4:$D$200,"&lt;&gt;是",$E$4:$E$200,"&lt;&gt;封闭期",$H$4:$H$200,"&gt;10",$BN$4:$BN$200,"&gt;-6",$BR$4:$BR$200,"&gt;=70",$C$4:$C$200,"&lt;20190630",$K$4:$K$200,"&lt;=30"))</f>
        <v>35/39</v>
      </c>
      <c r="BH20" s="33">
        <f>IF(OR($C20&gt;20190630,$K20&gt;30,BD20="-",$D20="是",$E20="封闭期",$H20&lt;10,$BN20&lt;-6,$BR20&lt;70),"-",COUNTIFS(BD$4:BD$200,"&lt;&gt;-",$D$4:$D$200,"&lt;&gt;是",$E$4:$E$200,"&lt;&gt;封闭期",$H$4:$H$200,"&gt;10",$BN$4:$BN$200,"&gt;-6",$BR$4:$BR$200,"&gt;=70",$K$4:$K$200,"&lt;=30",$C$4:$C$200,"&lt;20190630",BD$4:BD$200,"&gt;="&amp;BD20)/COUNTIFS(BD$4:BD$200,"&lt;&gt;-",$D$4:$D$200,"&lt;&gt;是",$E$4:$E$200,"&lt;&gt;封闭期",$H$4:$H$200,"&gt;10",$BN$4:$BN$200,"&gt;-6",$BR$4:$BR$200,"&gt;=70",$C$4:$C$200,"&lt;20190630",$K$4:$K$200,"&lt;=30"))</f>
        <v>0.89743589743589747</v>
      </c>
      <c r="BI20" s="21">
        <f>[1]!f_risk_maxdownside(A20,$AM$2,$L$2)</f>
        <v>-2.7895181741335695</v>
      </c>
      <c r="BJ20" s="19" t="str">
        <f>IFERROR(RANK(BI20,BI:BI)&amp;"/"&amp;COUNT(BI:BI),"-")</f>
        <v>79/197</v>
      </c>
      <c r="BK20" s="26">
        <f>IFERROR(RANK(BI20,BI:BI)/COUNT(BI:BI),"-")</f>
        <v>0.40101522842639592</v>
      </c>
      <c r="BL20" s="34" t="str">
        <f>IF(OR($C20&gt;20190630,$K20&gt;30,BI20="-",$D20="是",$E20="封闭期",$H20&lt;10,$BN20&lt;-6,$BR20&lt;70),"-",COUNTIFS(BI$4:BI$200,"&lt;&gt;-",$D$4:$D$200,"&lt;&gt;是",$E$4:$E$200,"&lt;&gt;封闭期",$H$4:$H$200,"&gt;10",$BN$4:$BN$200,"&gt;-6",$BR$4:$BR$200,"&gt;=70",$K$4:$K$200,"&lt;=30",$C$4:$C$200,"&lt;20190630",BI$4:BI$200,"&gt;="&amp;BI20)&amp;"/"&amp;COUNTIFS(BI$4:BI$200,"&lt;&gt;-",$D$4:$D$200,"&lt;&gt;是",$E$4:$E$200,"&lt;&gt;封闭期",$H$4:$H$200,"&gt;10",$BN$4:$BN$200,"&gt;-6",$BR$4:$BR$200,"&gt;=70",$C$4:$C$200,"&lt;20190630",$K$4:$K$200,"&lt;=30"))</f>
        <v>16/39</v>
      </c>
      <c r="BM20" s="33">
        <f>IF(OR($C20&gt;20190630,$K20&gt;30,BI20="-",$D20="是",$E20="封闭期",$H20&lt;10,$BN20&lt;-6,$BR20&lt;70),"-",COUNTIFS(BI$4:BI$200,"&lt;&gt;-",$D$4:$D$200,"&lt;&gt;是",$E$4:$E$200,"&lt;&gt;封闭期",$H$4:$H$200,"&gt;10",$BN$4:$BN$200,"&gt;-6",$BR$4:$BR$200,"&gt;=70",$K$4:$K$200,"&lt;=30",$C$4:$C$200,"&lt;20190630",BI$4:BI$200,"&gt;="&amp;BI20)/COUNTIFS(BI$4:BI$200,"&lt;&gt;-",$D$4:$D$200,"&lt;&gt;是",$E$4:$E$200,"&lt;&gt;封闭期",$H$4:$H$200,"&gt;10",$BN$4:$BN$200,"&gt;-6",$BR$4:$BR$200,"&gt;=70",$C$4:$C$200,"&lt;20190630",$K$4:$K$200,"&lt;=30"))</f>
        <v>0.41025641025641024</v>
      </c>
      <c r="BN20" s="21">
        <f>[1]!f_risk_maxdownside(A20,$AM$2,$E$1)</f>
        <v>-2.7895181741335695</v>
      </c>
      <c r="BO20" s="14">
        <f>IF(C20&lt;20190930,[1]!f_return_2y(A20,"0","20210930"),"-")</f>
        <v>23.447296869989412</v>
      </c>
      <c r="BP20" s="12" t="str">
        <f>IFERROR(RANK(BO20,BO:BO)&amp;"/"&amp;COUNT(BO:BO),"-")</f>
        <v>26/197</v>
      </c>
      <c r="BQ20" s="25">
        <f>IFERROR(RANK(BO20,BO:BO)/COUNT(BO:BO),"-")</f>
        <v>0.13197969543147209</v>
      </c>
      <c r="BR20" s="12">
        <f>IF(C20&lt;20190930,[1]!f_absolute_profitmonthper(A20,"20190930","20210930"),"-")</f>
        <v>79.166666666666657</v>
      </c>
      <c r="BS20" s="12" t="str">
        <f>IFERROR(RANK(BR20,BR:BR)&amp;"/"&amp;COUNT(BR:BR),"-")</f>
        <v>16/198</v>
      </c>
      <c r="BT20" s="25">
        <f>IFERROR(RANK(BR20,BR:BR)/COUNT(BR:BR),"-")</f>
        <v>8.0808080808080815E-2</v>
      </c>
      <c r="BV20" s="12">
        <f>X20-3/M20</f>
        <v>3.863430622343929</v>
      </c>
      <c r="BW20" s="76">
        <f>IFERROR(RANK(BV20,BV:BV)/COUNT(BV:BV),"-")</f>
        <v>0.16751269035532995</v>
      </c>
      <c r="BX20" s="76">
        <f>IFERROR(RANK(L20,L:L)/COUNT(L:L),"-")</f>
        <v>0.27272727272727271</v>
      </c>
      <c r="BY20" s="12">
        <f>AY20-3/AN20</f>
        <v>4.4784754061849261</v>
      </c>
      <c r="BZ20" s="76">
        <f>IFERROR(RANK(BY20,BY:BY)/COUNT(BY:BY),"-")</f>
        <v>5.5837563451776651E-2</v>
      </c>
      <c r="CA20" s="76">
        <f>IFERROR(RANK(AM20,AM:AM)/COUNT(AM:AM),"-")</f>
        <v>9.0909090909090912E-2</v>
      </c>
      <c r="CB20" s="2"/>
      <c r="CC20" s="77">
        <f>AV20+BF20+BZ20+CA20</f>
        <v>0.2076603599446239</v>
      </c>
      <c r="CD20" s="77">
        <f>BW20+BX20+AE20+U20</f>
        <v>0.66359021688970921</v>
      </c>
      <c r="CE20" s="77">
        <f>CC20+CD20</f>
        <v>0.87125057683433305</v>
      </c>
    </row>
    <row r="21" spans="1:83" s="17" customFormat="1" x14ac:dyDescent="0.35">
      <c r="A21" s="15" t="s">
        <v>89</v>
      </c>
      <c r="B21" s="15" t="s">
        <v>90</v>
      </c>
      <c r="C21" s="16">
        <v>20110315</v>
      </c>
      <c r="D21" s="16" t="str">
        <f>[1]!f_info_regulopenfundornot(A21)</f>
        <v>否</v>
      </c>
      <c r="E21" s="16" t="str">
        <f>[1]!f_dq_status(A21,$E$1)</f>
        <v>开放申购|开放赎回</v>
      </c>
      <c r="F21" s="17" t="str">
        <f>[1]!f_info_fundmanager(A21)</f>
        <v>张永志</v>
      </c>
      <c r="G21" s="16">
        <v>20110315</v>
      </c>
      <c r="H21" s="18">
        <f>[1]!f_netasset_total(A21,$E$1,100000000)</f>
        <v>57.092019120600007</v>
      </c>
      <c r="I21" s="18">
        <f>[1]!f_prt_convertiblebondtonav(A21,$E$1)</f>
        <v>29.997520446777344</v>
      </c>
      <c r="J21" s="18">
        <f>[1]!f_prt_stocktonav(A21,$E$1)+0.5*I21</f>
        <v>34.227504730224609</v>
      </c>
      <c r="K21" s="19">
        <v>10.12664307385463</v>
      </c>
      <c r="L21" s="19">
        <f>[1]!f_return($A21,"1",L$2,$E$1)</f>
        <v>20.272706220182691</v>
      </c>
      <c r="M21" s="19">
        <f>[1]!f_risk_stdevyearly($A21,L$2,$E$1,1,1)</f>
        <v>11.164771531863734</v>
      </c>
      <c r="N21" s="19">
        <f>IFERROR(L21/M21,"-")</f>
        <v>1.8157743902170627</v>
      </c>
      <c r="O21" s="19" t="str">
        <f>IFERROR(RANK(N21,N:N)&amp;"/"&amp;COUNT(N:N),"-")</f>
        <v>60/197</v>
      </c>
      <c r="P21" s="26">
        <f>IF(O21="-","-",RANK(N21,N:N)/COUNT(N:N))</f>
        <v>0.30456852791878175</v>
      </c>
      <c r="Q21" s="56">
        <v>2.030456852791878E-2</v>
      </c>
      <c r="R21" s="33" t="str">
        <f>IF(OR($C21&gt;20190630,$K21&gt;30,N21="-",$D21="是",$E21="封闭期",$H21&lt;10,$BN21&lt;-6,$BR21&lt;70),"-",COUNTIFS(N$4:N$200,"&lt;&gt;-",$D$4:$D$200,"&lt;&gt;是",$E$4:$E$200,"&lt;&gt;封闭期",$H$4:$H$200,"&gt;10",$BN$4:$BN$200,"&gt;-6",$BR$4:$BR$200,"&gt;=70",$K$4:$K$200,"&lt;=30",$C$4:$C$200,"&lt;20190630",N$4:N$200,"&gt;="&amp;N21)/COUNTIFS(N$4:N$200,"&lt;&gt;-",$D$4:$D$200,"&lt;&gt;是",$E$4:$E$200,"&lt;&gt;封闭期",$H$4:$H$200,"&gt;10",$BN$4:$BN$200,"&gt;-6",$BR$4:$BR$200,"&gt;=70",$C$4:$C$200,"&lt;20190630",$K$4:$K$200,"&lt;=30"))</f>
        <v>-</v>
      </c>
      <c r="S21" s="19">
        <f>IFERROR((L21-3)/M21,"-")</f>
        <v>1.547072071370847</v>
      </c>
      <c r="T21" s="19" t="str">
        <f>IFERROR(RANK(S21,S:S)&amp;"/"&amp;COUNT(S:S),"-")</f>
        <v>30/197</v>
      </c>
      <c r="U21" s="26">
        <f>IFERROR(RANK(S21,S:S)/COUNT(S:S),"-")</f>
        <v>0.15228426395939088</v>
      </c>
      <c r="V21" s="34" t="str">
        <f>IF(OR($C21&gt;20190630,$K21&gt;30,S21="-",$D21="是",$E21="封闭期",$H21&lt;10,$BN21&lt;-6,$BR21&lt;70),"-",COUNTIFS(S$4:S$200,"&lt;&gt;-",$D$4:$D$200,"&lt;&gt;是",$E$4:$E$200,"&lt;&gt;封闭期",$H$4:$H$200,"&gt;10",$BN$4:$BN$200,"&gt;-6",$BR$4:$BR$200,"&gt;=70",$K$4:$K$200,"&lt;=30",$C$4:$C$200,"&lt;20190630",S$4:S$200,"&gt;="&amp;S21)&amp;"/"&amp;COUNTIFS(S$4:S$200,"&lt;&gt;-",$D$4:$D$200,"&lt;&gt;是",$E$4:$E$200,"&lt;&gt;封闭期",$H$4:$H$200,"&gt;10",$BN$4:$BN$200,"&gt;-6",$BR$4:$BR$200,"&gt;=70",$C$4:$C$200,"&lt;20190630",$K$4:$K$200,"&lt;=30"))</f>
        <v>-</v>
      </c>
      <c r="W21" s="33" t="str">
        <f>IF(OR($C21&gt;20190630,$K21&gt;30,S21="-",$D21="是",$E21="封闭期",$H21&lt;10,$BN21&lt;-6,$BR21&lt;70),"-",COUNTIFS(S$4:S$200,"&lt;&gt;-",$D$4:$D$200,"&lt;&gt;是",$E$4:$E$200,"&lt;&gt;封闭期",$H$4:$H$200,"&gt;10",$BN$4:$BN$200,"&gt;-6",$BR$4:$BR$200,"&gt;=70",$K$4:$K$200,"&lt;=30",$C$4:$C$200,"&lt;20190630",S$4:S$200,"&gt;="&amp;S21)/COUNTIFS(S$4:S$200,"&lt;&gt;-",$D$4:$D$200,"&lt;&gt;是",$E$4:$E$200,"&lt;&gt;封闭期",$H$4:$H$200,"&gt;10",$BN$4:$BN$200,"&gt;-6",$BR$4:$BR$200,"&gt;=70",$C$4:$C$200,"&lt;20190630",$K$4:$K$200,"&lt;=30"))</f>
        <v>-</v>
      </c>
      <c r="X21" s="19">
        <f>[1]!f_risk_calmar(A21,$L$2,$E$1)</f>
        <v>2.2665550233056697</v>
      </c>
      <c r="Y21" s="19" t="str">
        <f>IFERROR(RANK(X21,X:X)&amp;"/"&amp;COUNT(X:X),"-")</f>
        <v>83/197</v>
      </c>
      <c r="Z21" s="26">
        <f>IFERROR(RANK(X21,X:X)/COUNT(X:X),"-")</f>
        <v>0.42131979695431471</v>
      </c>
      <c r="AA21" s="34" t="str">
        <f>IF(OR($C21&gt;20190630,$K21&gt;30,X21="-",$D21="是",$E21="封闭期",$H21&lt;10,$BN21&lt;-6,$BR21&lt;70),"-",COUNTIFS(X$4:X$200,"&lt;&gt;-",$D$4:$D$200,"&lt;&gt;是",$E$4:$E$200,"&lt;&gt;封闭期",$H$4:$H$200,"&gt;10",$BN$4:$BN$200,"&gt;-6",$BR$4:$BR$200,"&gt;=70",$K$4:$K$200,"&lt;=30",$C$4:$C$200,"&lt;20190630",X$4:X$200,"&gt;="&amp;X21)&amp;"/"&amp;COUNTIFS(X$4:X$200,"&lt;&gt;-",$D$4:$D$200,"&lt;&gt;是",$E$4:$E$200,"&lt;&gt;封闭期",$H$4:$H$200,"&gt;10",$BN$4:$BN$200,"&gt;-6",$BR$4:$BR$200,"&gt;=70",$C$4:$C$200,"&lt;20190630",$K$4:$K$200,"&lt;=30"))</f>
        <v>-</v>
      </c>
      <c r="AB21" s="33" t="str">
        <f>IF(OR($C21&gt;20190630,$K21&gt;30,X21="-",$D21="是",$E21="封闭期",$H21&lt;10,$BN21&lt;-6,$BR21&lt;70),"-",COUNTIFS(X$4:X$200,"&lt;&gt;-",$D$4:$D$200,"&lt;&gt;是",$E$4:$E$200,"&lt;&gt;封闭期",$H$4:$H$200,"&gt;10",$BN$4:$BN$200,"&gt;-6",$BR$4:$BR$200,"&gt;=70",$K$4:$K$200,"&lt;=30",$C$4:$C$200,"&lt;20190630",X$4:X$200,"&gt;="&amp;X21)/COUNTIFS(X$4:X$200,"&lt;&gt;-",$D$4:$D$200,"&lt;&gt;是",$E$4:$E$200,"&lt;&gt;封闭期",$H$4:$H$200,"&gt;10",$BN$4:$BN$200,"&gt;-6",$BR$4:$BR$200,"&gt;=70",$C$4:$C$200,"&lt;20190630",$K$4:$K$200,"&lt;=30"))</f>
        <v>-</v>
      </c>
      <c r="AC21" s="20">
        <v>1</v>
      </c>
      <c r="AD21" s="19" t="str">
        <f>IFERROR(RANK(AC21,AC:AC)&amp;"/"&amp;COUNT(AC:AC),"-")</f>
        <v>1/197</v>
      </c>
      <c r="AE21" s="26">
        <f>IFERROR(RANK(AC21,AC:AC)/COUNT(AC:AC),"-")</f>
        <v>5.076142131979695E-3</v>
      </c>
      <c r="AF21" s="34" t="str">
        <f>IF(OR($C21&gt;20190630,$K21&gt;30,AC21="-",$D21="是",$E21="封闭期",$H21&lt;10,$BN21&lt;-6,$BR21&lt;70),"-",COUNTIFS(AC$4:AC$200,"&lt;&gt;-",$D$4:$D$200,"&lt;&gt;是",$E$4:$E$200,"&lt;&gt;封闭期",$H$4:$H$200,"&gt;10",$BN$4:$BN$200,"&gt;-6",$BR$4:$BR$200,"&gt;=70",$K$4:$K$200,"&lt;=30",$C$4:$C$200,"&lt;20190630",AC$4:AC$200,"&gt;="&amp;AC21)&amp;"/"&amp;COUNTIFS(AC$4:AC$200,"&lt;&gt;-",$D$4:$D$200,"&lt;&gt;是",$E$4:$E$200,"&lt;&gt;封闭期",$H$4:$H$200,"&gt;10",$BN$4:$BN$200,"&gt;-6",$BR$4:$BR$200,"&gt;=70",$C$4:$C$200,"&lt;20190630",$K$4:$K$200,"&lt;=30"))</f>
        <v>-</v>
      </c>
      <c r="AG21" s="33" t="str">
        <f>IF(OR($C21&gt;20190630,$K21&gt;30,AC21="-",$D21="是",$E21="封闭期",$H21&lt;10,$BN21&lt;-6,$BR21&lt;70),"-",COUNTIFS(AC$4:AC$200,"&lt;&gt;-",$D$4:$D$200,"&lt;&gt;是",$E$4:$E$200,"&lt;&gt;封闭期",$H$4:$H$200,"&gt;10",$BN$4:$BN$200,"&gt;-6",$BR$4:$BR$200,"&gt;=70",$K$4:$K$200,"&lt;=30",$C$4:$C$200,"&lt;20190630",AC$4:AC$200,"&gt;="&amp;AC21)/COUNTIFS(AC$4:AC$200,"&lt;&gt;-",$D$4:$D$200,"&lt;&gt;是",$E$4:$E$200,"&lt;&gt;封闭期",$H$4:$H$200,"&gt;10",$BN$4:$BN$200,"&gt;-6",$BR$4:$BR$200,"&gt;=70",$C$4:$C$200,"&lt;20190630",$K$4:$K$200,"&lt;=30"))</f>
        <v>-</v>
      </c>
      <c r="AH21" s="21">
        <f>[1]!f_risk_maxdownside(A21,$L$2,$E$1)</f>
        <v>-8.9442815249266925</v>
      </c>
      <c r="AI21" s="19" t="str">
        <f>IFERROR(RANK(AH21,AH:AH)&amp;"/"&amp;COUNT(AH:AH),"-")</f>
        <v>192/197</v>
      </c>
      <c r="AJ21" s="26">
        <f>IFERROR(RANK(AH21,AH:AH)/COUNT(AH:AH),"-")</f>
        <v>0.97461928934010156</v>
      </c>
      <c r="AK21" s="34" t="str">
        <f>IF(OR($C21&gt;20190630,$K21&gt;30,AH21="-",$D21="是",$E21="封闭期",$H21&lt;10,$BN21&lt;-6,$BR21&lt;70),"-",COUNTIFS(AH$4:AH$200,"&lt;&gt;-",$D$4:$D$200,"&lt;&gt;是",$E$4:$E$200,"&lt;&gt;封闭期",$H$4:$H$200,"&gt;10",$BN$4:$BN$200,"&gt;-6",$BR$4:$BR$200,"&gt;=70",$K$4:$K$200,"&lt;=30",$C$4:$C$200,"&lt;20190630",AH$4:AH$200,"&gt;="&amp;AH21)&amp;"/"&amp;COUNTIFS(AH$4:AH$200,"&lt;&gt;-",$D$4:$D$200,"&lt;&gt;是",$E$4:$E$200,"&lt;&gt;封闭期",$H$4:$H$200,"&gt;10",$BN$4:$BN$200,"&gt;-6",$BR$4:$BR$200,"&gt;=70",$C$4:$C$200,"&lt;20190630",$K$4:$K$200,"&lt;=30"))</f>
        <v>-</v>
      </c>
      <c r="AL21" s="33" t="str">
        <f>IF(OR($C21&gt;20190630,$K21&gt;30,AH21="-",$D21="是",$E21="封闭期",$H21&lt;10,$BN21&lt;-6,$BR21&lt;70),"-",COUNTIFS(AH$4:AH$200,"&lt;&gt;-",$D$4:$D$200,"&lt;&gt;是",$E$4:$E$200,"&lt;&gt;封闭期",$H$4:$H$200,"&gt;10",$BN$4:$BN$200,"&gt;-6",$BR$4:$BR$200,"&gt;=70",$K$4:$K$200,"&lt;=30",$C$4:$C$200,"&lt;20190630",AH$4:AH$200,"&gt;="&amp;AH21)/COUNTIFS(AH$4:AH$200,"&lt;&gt;-",$D$4:$D$200,"&lt;&gt;是",$E$4:$E$200,"&lt;&gt;封闭期",$H$4:$H$200,"&gt;10",$BN$4:$BN$200,"&gt;-6",$BR$4:$BR$200,"&gt;=70",$C$4:$C$200,"&lt;20190630",$K$4:$K$200,"&lt;=30"))</f>
        <v>-</v>
      </c>
      <c r="AM21" s="19">
        <f>[1]!f_return($A21,"1",AM$2,$L$2)</f>
        <v>13.818297878846675</v>
      </c>
      <c r="AN21" s="19">
        <f>[1]!f_risk_stdevyearly($A21,AM$2,$L$2,1,1)</f>
        <v>9.8736605755998959</v>
      </c>
      <c r="AO21" s="19">
        <f>IFERROR(AM21/AN21,"-")</f>
        <v>1.3995111309573363</v>
      </c>
      <c r="AP21" s="19" t="str">
        <f>IFERROR(RANK(AO21,AO:AO)&amp;"/"&amp;COUNT(AO:AO),"-")</f>
        <v>121/197</v>
      </c>
      <c r="AQ21" s="26">
        <f>IF(AP21="-","-",RANK(AO21,AO:AO)/COUNT(AO:AO))</f>
        <v>0.6142131979695431</v>
      </c>
      <c r="AR21" s="57">
        <v>9.1370558375634514E-2</v>
      </c>
      <c r="AS21" s="33" t="str">
        <f>IF(OR($C21&gt;20190630,$K21&gt;30,AO21="-",$D21="是",$E21="封闭期",$H21&lt;10,$BN21&lt;-6,$BR21&lt;70),"-",COUNTIFS(AO$4:AO$200,"&lt;&gt;-",$D$4:$D$200,"&lt;&gt;是",$E$4:$E$200,"&lt;&gt;封闭期",$H$4:$H$200,"&gt;10",$BN$4:$BN$200,"&gt;-6",$BR$4:$BR$200,"&gt;=70",$K$4:$K$200,"&lt;=30",$C$4:$C$200,"&lt;20190630",AO$4:AO$200,"&gt;="&amp;AO21)/COUNTIFS(AO$4:AO$200,"&lt;&gt;-",$D$4:$D$200,"&lt;&gt;是",$E$4:$E$200,"&lt;&gt;封闭期",$H$4:$H$200,"&gt;10",$BN$4:$BN$200,"&gt;-6",$BR$4:$BR$200,"&gt;=70",$C$4:$C$200,"&lt;20190630",$K$4:$K$200,"&lt;=30"))</f>
        <v>-</v>
      </c>
      <c r="AT21" s="19">
        <f>IFERROR((AM21-3)/AN21,"-")</f>
        <v>1.0956724505581239</v>
      </c>
      <c r="AU21" s="19" t="str">
        <f>IFERROR(RANK(AT21,AT:AT)&amp;"/"&amp;COUNT(AT:AT),"-")</f>
        <v>75/197</v>
      </c>
      <c r="AV21" s="26">
        <f>IFERROR(RANK(AT21,AT:AT)/COUNT(AT:AT),"-")</f>
        <v>0.38071065989847713</v>
      </c>
      <c r="AW21" s="34" t="str">
        <f>IF(OR($C21&gt;20190630,$K21&gt;30,AT21="-",$D21="是",$E21="封闭期",$H21&lt;10,$BN21&lt;-6,$BR21&lt;70),"-",COUNTIFS(AT$4:AT$200,"&lt;&gt;-",$D$4:$D$200,"&lt;&gt;是",$E$4:$E$200,"&lt;&gt;封闭期",$H$4:$H$200,"&gt;10",$BN$4:$BN$200,"&gt;-6",$BR$4:$BR$200,"&gt;=70",$K$4:$K$200,"&lt;=30",$C$4:$C$200,"&lt;20190630",AT$4:AT$200,"&gt;="&amp;AT21)&amp;"/"&amp;COUNTIFS(AT$4:AT$200,"&lt;&gt;-",$D$4:$D$200,"&lt;&gt;是",$E$4:$E$200,"&lt;&gt;封闭期",$H$4:$H$200,"&gt;10",$BN$4:$BN$200,"&gt;-6",$BR$4:$BR$200,"&gt;=70",$C$4:$C$200,"&lt;20190630",$K$4:$K$200,"&lt;=30"))</f>
        <v>-</v>
      </c>
      <c r="AX21" s="33" t="str">
        <f>IF(OR($C21&gt;20190630,$K21&gt;30,AT21="-",$D21="是",$E21="封闭期",$H21&lt;10,$BN21&lt;-6,$BR21&lt;70),"-",COUNTIFS(AT$4:AT$200,"&lt;&gt;-",$D$4:$D$200,"&lt;&gt;是",$E$4:$E$200,"&lt;&gt;封闭期",$H$4:$H$200,"&gt;10",$BN$4:$BN$200,"&gt;-6",$BR$4:$BR$200,"&gt;=70",$K$4:$K$200,"&lt;=30",$C$4:$C$200,"&lt;20190630",AT$4:AT$200,"&gt;="&amp;AT21)/COUNTIFS(AT$4:AT$200,"&lt;&gt;-",$D$4:$D$200,"&lt;&gt;是",$E$4:$E$200,"&lt;&gt;封闭期",$H$4:$H$200,"&gt;10",$BN$4:$BN$200,"&gt;-6",$BR$4:$BR$200,"&gt;=70",$C$4:$C$200,"&lt;20190630",$K$4:$K$200,"&lt;=30"))</f>
        <v>-</v>
      </c>
      <c r="AY21" s="19">
        <f>[1]!f_risk_calmar(A21,$AM$2,$L$2)</f>
        <v>1.8588614624848532</v>
      </c>
      <c r="AZ21" s="19" t="str">
        <f>IFERROR(RANK(AY21,AY:AY)&amp;"/"&amp;COUNT(AY:AY),"-")</f>
        <v>125/197</v>
      </c>
      <c r="BA21" s="26">
        <f>IFERROR(RANK(AY21,AY:AY)/COUNT(AY:AY),"-")</f>
        <v>0.63451776649746194</v>
      </c>
      <c r="BB21" s="34" t="str">
        <f>IF(OR($C21&gt;20190630,$K21&gt;30,AY21="-",$D21="是",$E21="封闭期",$H21&lt;10,$BN21&lt;-6,$BR21&lt;70),"-",COUNTIFS(AY$4:AY$200,"&lt;&gt;-",$D$4:$D$200,"&lt;&gt;是",$E$4:$E$200,"&lt;&gt;封闭期",$H$4:$H$200,"&gt;10",$BN$4:$BN$200,"&gt;-6",$BR$4:$BR$200,"&gt;=70",$K$4:$K$200,"&lt;=30",$C$4:$C$200,"&lt;20190630",AY$4:AY$200,"&gt;="&amp;AY21)&amp;"/"&amp;COUNTIFS(AY$4:AY$200,"&lt;&gt;-",$D$4:$D$200,"&lt;&gt;是",$E$4:$E$200,"&lt;&gt;封闭期",$H$4:$H$200,"&gt;10",$BN$4:$BN$200,"&gt;-6",$BR$4:$BR$200,"&gt;=70",$C$4:$C$200,"&lt;20190630",$K$4:$K$200,"&lt;=30"))</f>
        <v>-</v>
      </c>
      <c r="BC21" s="33" t="str">
        <f>IF(OR($C21&gt;20190630,$K21&gt;30,AY21="-",$D21="是",$E21="封闭期",$H21&lt;10,$BN21&lt;-6,$BR21&lt;70),"-",COUNTIFS(AY$4:AY$200,"&lt;&gt;-",$D$4:$D$200,"&lt;&gt;是",$E$4:$E$200,"&lt;&gt;封闭期",$H$4:$H$200,"&gt;10",$BN$4:$BN$200,"&gt;-6",$BR$4:$BR$200,"&gt;=70",$K$4:$K$200,"&lt;=30",$C$4:$C$200,"&lt;20190630",AY$4:AY$200,"&gt;="&amp;AY21)/COUNTIFS(AY$4:AY$200,"&lt;&gt;-",$D$4:$D$200,"&lt;&gt;是",$E$4:$E$200,"&lt;&gt;封闭期",$H$4:$H$200,"&gt;10",$BN$4:$BN$200,"&gt;-6",$BR$4:$BR$200,"&gt;=70",$C$4:$C$200,"&lt;20190630",$K$4:$K$200,"&lt;=30"))</f>
        <v>-</v>
      </c>
      <c r="BD21" s="20">
        <v>1</v>
      </c>
      <c r="BE21" s="19" t="str">
        <f>IFERROR(RANK(BD21,BD:BD)&amp;"/"&amp;COUNT(BD:BD),"-")</f>
        <v>1/197</v>
      </c>
      <c r="BF21" s="26">
        <f>IFERROR(RANK(BD21,BD:BD)/COUNT(BD:BD),"-")</f>
        <v>5.076142131979695E-3</v>
      </c>
      <c r="BG21" s="34" t="str">
        <f>IF(OR($C21&gt;20190630,$K21&gt;30,BD21="-",$D21="是",$E21="封闭期",$H21&lt;10,$BN21&lt;-6,$BR21&lt;70),"-",COUNTIFS(BD$4:BD$200,"&lt;&gt;-",$D$4:$D$200,"&lt;&gt;是",$E$4:$E$200,"&lt;&gt;封闭期",$H$4:$H$200,"&gt;10",$BN$4:$BN$200,"&gt;-6",$BR$4:$BR$200,"&gt;=70",$K$4:$K$200,"&lt;=30",$C$4:$C$200,"&lt;20190630",BD$4:BD$200,"&gt;="&amp;BD21)&amp;"/"&amp;COUNTIFS(BD$4:BD$200,"&lt;&gt;-",$D$4:$D$200,"&lt;&gt;是",$E$4:$E$200,"&lt;&gt;封闭期",$H$4:$H$200,"&gt;10",$BN$4:$BN$200,"&gt;-6",$BR$4:$BR$200,"&gt;=70",$C$4:$C$200,"&lt;20190630",$K$4:$K$200,"&lt;=30"))</f>
        <v>-</v>
      </c>
      <c r="BH21" s="33" t="str">
        <f>IF(OR($C21&gt;20190630,$K21&gt;30,BD21="-",$D21="是",$E21="封闭期",$H21&lt;10,$BN21&lt;-6,$BR21&lt;70),"-",COUNTIFS(BD$4:BD$200,"&lt;&gt;-",$D$4:$D$200,"&lt;&gt;是",$E$4:$E$200,"&lt;&gt;封闭期",$H$4:$H$200,"&gt;10",$BN$4:$BN$200,"&gt;-6",$BR$4:$BR$200,"&gt;=70",$K$4:$K$200,"&lt;=30",$C$4:$C$200,"&lt;20190630",BD$4:BD$200,"&gt;="&amp;BD21)/COUNTIFS(BD$4:BD$200,"&lt;&gt;-",$D$4:$D$200,"&lt;&gt;是",$E$4:$E$200,"&lt;&gt;封闭期",$H$4:$H$200,"&gt;10",$BN$4:$BN$200,"&gt;-6",$BR$4:$BR$200,"&gt;=70",$C$4:$C$200,"&lt;20190630",$K$4:$K$200,"&lt;=30"))</f>
        <v>-</v>
      </c>
      <c r="BI21" s="21">
        <f>[1]!f_risk_maxdownside(A21,$AM$2,$L$2)</f>
        <v>-7.4337427278603734</v>
      </c>
      <c r="BJ21" s="19" t="str">
        <f>IFERROR(RANK(BI21,BI:BI)&amp;"/"&amp;COUNT(BI:BI),"-")</f>
        <v>181/197</v>
      </c>
      <c r="BK21" s="26">
        <f>IFERROR(RANK(BI21,BI:BI)/COUNT(BI:BI),"-")</f>
        <v>0.91878172588832485</v>
      </c>
      <c r="BL21" s="34" t="str">
        <f>IF(OR($C21&gt;20190630,$K21&gt;30,BI21="-",$D21="是",$E21="封闭期",$H21&lt;10,$BN21&lt;-6,$BR21&lt;70),"-",COUNTIFS(BI$4:BI$200,"&lt;&gt;-",$D$4:$D$200,"&lt;&gt;是",$E$4:$E$200,"&lt;&gt;封闭期",$H$4:$H$200,"&gt;10",$BN$4:$BN$200,"&gt;-6",$BR$4:$BR$200,"&gt;=70",$K$4:$K$200,"&lt;=30",$C$4:$C$200,"&lt;20190630",BI$4:BI$200,"&gt;="&amp;BI21)&amp;"/"&amp;COUNTIFS(BI$4:BI$200,"&lt;&gt;-",$D$4:$D$200,"&lt;&gt;是",$E$4:$E$200,"&lt;&gt;封闭期",$H$4:$H$200,"&gt;10",$BN$4:$BN$200,"&gt;-6",$BR$4:$BR$200,"&gt;=70",$C$4:$C$200,"&lt;20190630",$K$4:$K$200,"&lt;=30"))</f>
        <v>-</v>
      </c>
      <c r="BM21" s="33" t="str">
        <f>IF(OR($C21&gt;20190630,$K21&gt;30,BI21="-",$D21="是",$E21="封闭期",$H21&lt;10,$BN21&lt;-6,$BR21&lt;70),"-",COUNTIFS(BI$4:BI$200,"&lt;&gt;-",$D$4:$D$200,"&lt;&gt;是",$E$4:$E$200,"&lt;&gt;封闭期",$H$4:$H$200,"&gt;10",$BN$4:$BN$200,"&gt;-6",$BR$4:$BR$200,"&gt;=70",$K$4:$K$200,"&lt;=30",$C$4:$C$200,"&lt;20190630",BI$4:BI$200,"&gt;="&amp;BI21)/COUNTIFS(BI$4:BI$200,"&lt;&gt;-",$D$4:$D$200,"&lt;&gt;是",$E$4:$E$200,"&lt;&gt;封闭期",$H$4:$H$200,"&gt;10",$BN$4:$BN$200,"&gt;-6",$BR$4:$BR$200,"&gt;=70",$C$4:$C$200,"&lt;20190630",$K$4:$K$200,"&lt;=30"))</f>
        <v>-</v>
      </c>
      <c r="BN21" s="21">
        <f>[1]!f_risk_maxdownside(A21,$AM$2,$E$1)</f>
        <v>-8.9442815249266925</v>
      </c>
      <c r="BO21" s="21">
        <f>IF(C21&lt;20190930,[1]!f_return_2y(A21,"0","20210930"),"-")</f>
        <v>37.941176470588225</v>
      </c>
      <c r="BP21" s="19" t="str">
        <f>IFERROR(RANK(BO21,BO:BO)&amp;"/"&amp;COUNT(BO:BO),"-")</f>
        <v>5/197</v>
      </c>
      <c r="BQ21" s="25">
        <f>IFERROR(RANK(BO21,BO:BO)/COUNT(BO:BO),"-")</f>
        <v>2.5380710659898477E-2</v>
      </c>
      <c r="BR21" s="19">
        <f>IF(C21&lt;20190930,[1]!f_absolute_profitmonthper(A21,"20190930","20210930"),"-")</f>
        <v>79.166666666666657</v>
      </c>
      <c r="BS21" s="19" t="str">
        <f>IFERROR(RANK(BR21,BR:BR)&amp;"/"&amp;COUNT(BR:BR),"-")</f>
        <v>16/198</v>
      </c>
      <c r="BT21" s="25">
        <f>IFERROR(RANK(BR21,BR:BR)/COUNT(BR:BR),"-")</f>
        <v>8.0808080808080815E-2</v>
      </c>
      <c r="BV21" s="12">
        <f>X21-3/M21</f>
        <v>1.9978527044594541</v>
      </c>
      <c r="BW21" s="76">
        <f>IFERROR(RANK(BV21,BV:BV)/COUNT(BV:BV),"-")</f>
        <v>0.34010152284263961</v>
      </c>
      <c r="BX21" s="76">
        <f>IFERROR(RANK(L21,L:L)/COUNT(L:L),"-")</f>
        <v>2.5252525252525252E-2</v>
      </c>
      <c r="BY21" s="12">
        <f>AY21-3/AN21</f>
        <v>1.5550227820856408</v>
      </c>
      <c r="BZ21" s="76">
        <f>IFERROR(RANK(BY21,BY:BY)/COUNT(BY:BY),"-")</f>
        <v>0.52284263959390864</v>
      </c>
      <c r="CA21" s="76">
        <f>IFERROR(RANK(AM21,AM:AM)/COUNT(AM:AM),"-")</f>
        <v>9.5959595959595953E-2</v>
      </c>
      <c r="CB21" s="2"/>
      <c r="CC21" s="77">
        <f>AV21+BF21+BZ21+CA21</f>
        <v>1.0045890375839615</v>
      </c>
      <c r="CD21" s="77">
        <f>BW21+BX21+AE21+U21</f>
        <v>0.52271445418653539</v>
      </c>
      <c r="CE21" s="77">
        <f>CC21+CD21</f>
        <v>1.5273034917704968</v>
      </c>
    </row>
    <row r="22" spans="1:83" s="17" customFormat="1" x14ac:dyDescent="0.35">
      <c r="A22" s="3" t="s">
        <v>77</v>
      </c>
      <c r="B22" s="3" t="s">
        <v>78</v>
      </c>
      <c r="C22" s="4">
        <v>20130527</v>
      </c>
      <c r="D22" s="4" t="str">
        <f>[1]!f_info_regulopenfundornot(A22)</f>
        <v>否</v>
      </c>
      <c r="E22" s="4" t="str">
        <f>[1]!f_dq_status(A22,$E$1)</f>
        <v>暂停大额申购|开放赎回</v>
      </c>
      <c r="F22" s="17" t="str">
        <f>[1]!f_info_fundmanager(A22)</f>
        <v>王石千</v>
      </c>
      <c r="G22" s="4">
        <v>20180328</v>
      </c>
      <c r="H22" s="11">
        <f>[1]!f_netasset_total(A22,$E$1,100000000)</f>
        <v>47.222159078800004</v>
      </c>
      <c r="I22" s="11">
        <f>[1]!f_prt_convertiblebondtonav(A22,$E$1)</f>
        <v>2.9510350227355957</v>
      </c>
      <c r="J22" s="11">
        <f>[1]!f_prt_stocktonav(A22,$E$1)+0.5*I22</f>
        <v>15.872415781021118</v>
      </c>
      <c r="K22" s="12">
        <v>11.54381778881281</v>
      </c>
      <c r="L22" s="19">
        <f>[1]!f_return($A22,"1",L$2,$E$1)</f>
        <v>9.6780309050629842</v>
      </c>
      <c r="M22" s="19">
        <f>[1]!f_risk_stdevyearly($A22,L$2,$E$1,1,1)</f>
        <v>5.1237617639809736</v>
      </c>
      <c r="N22" s="12">
        <f>IFERROR(L22/M22,"-")</f>
        <v>1.8888526342301113</v>
      </c>
      <c r="O22" s="12" t="str">
        <f>IFERROR(RANK(N22,N:N)&amp;"/"&amp;COUNT(N:N),"-")</f>
        <v>55/197</v>
      </c>
      <c r="P22" s="26">
        <f>IF(O22="-","-",RANK(N22,N:N)/COUNT(N:N))</f>
        <v>0.27918781725888325</v>
      </c>
      <c r="Q22" s="58">
        <v>0.17766497461928935</v>
      </c>
      <c r="R22" s="33">
        <f>IF(OR($C22&gt;20190630,$K22&gt;30,N22="-",$D22="是",$E22="封闭期",$H22&lt;10,$BN22&lt;-6,$BR22&lt;70),"-",COUNTIFS(N$4:N$200,"&lt;&gt;-",$D$4:$D$200,"&lt;&gt;是",$E$4:$E$200,"&lt;&gt;封闭期",$H$4:$H$200,"&gt;10",$BN$4:$BN$200,"&gt;-6",$BR$4:$BR$200,"&gt;=70",$K$4:$K$200,"&lt;=30",$C$4:$C$200,"&lt;20190630",N$4:N$200,"&gt;="&amp;N22)/COUNTIFS(N$4:N$200,"&lt;&gt;-",$D$4:$D$200,"&lt;&gt;是",$E$4:$E$200,"&lt;&gt;封闭期",$H$4:$H$200,"&gt;10",$BN$4:$BN$200,"&gt;-6",$BR$4:$BR$200,"&gt;=70",$C$4:$C$200,"&lt;20190630",$K$4:$K$200,"&lt;=30"))</f>
        <v>0.46153846153846156</v>
      </c>
      <c r="S22" s="12">
        <f>IFERROR((L22-3)/M22,"-")</f>
        <v>1.3033453178889411</v>
      </c>
      <c r="T22" s="12" t="str">
        <f>IFERROR(RANK(S22,S:S)&amp;"/"&amp;COUNT(S:S),"-")</f>
        <v>44/197</v>
      </c>
      <c r="U22" s="26">
        <f>IFERROR(RANK(S22,S:S)/COUNT(S:S),"-")</f>
        <v>0.2233502538071066</v>
      </c>
      <c r="V22" s="13" t="str">
        <f>IF(OR($C22&gt;20190630,$K22&gt;30,S22="-",$D22="是",$E22="封闭期",$H22&lt;10,$BN22&lt;-6,$BR22&lt;70),"-",COUNTIFS(S$4:S$200,"&lt;&gt;-",$D$4:$D$200,"&lt;&gt;是",$E$4:$E$200,"&lt;&gt;封闭期",$H$4:$H$200,"&gt;10",$BN$4:$BN$200,"&gt;-6",$BR$4:$BR$200,"&gt;=70",$K$4:$K$200,"&lt;=30",$C$4:$C$200,"&lt;20190630",S$4:S$200,"&gt;="&amp;S22)&amp;"/"&amp;COUNTIFS(S$4:S$200,"&lt;&gt;-",$D$4:$D$200,"&lt;&gt;是",$E$4:$E$200,"&lt;&gt;封闭期",$H$4:$H$200,"&gt;10",$BN$4:$BN$200,"&gt;-6",$BR$4:$BR$200,"&gt;=70",$C$4:$C$200,"&lt;20190630",$K$4:$K$200,"&lt;=30"))</f>
        <v>15/39</v>
      </c>
      <c r="W22" s="33">
        <f>IF(OR($C22&gt;20190630,$K22&gt;30,S22="-",$D22="是",$E22="封闭期",$H22&lt;10,$BN22&lt;-6,$BR22&lt;70),"-",COUNTIFS(S$4:S$200,"&lt;&gt;-",$D$4:$D$200,"&lt;&gt;是",$E$4:$E$200,"&lt;&gt;封闭期",$H$4:$H$200,"&gt;10",$BN$4:$BN$200,"&gt;-6",$BR$4:$BR$200,"&gt;=70",$K$4:$K$200,"&lt;=30",$C$4:$C$200,"&lt;20190630",S$4:S$200,"&gt;="&amp;S22)/COUNTIFS(S$4:S$200,"&lt;&gt;-",$D$4:$D$200,"&lt;&gt;是",$E$4:$E$200,"&lt;&gt;封闭期",$H$4:$H$200,"&gt;10",$BN$4:$BN$200,"&gt;-6",$BR$4:$BR$200,"&gt;=70",$C$4:$C$200,"&lt;20190630",$K$4:$K$200,"&lt;=30"))</f>
        <v>0.38461538461538464</v>
      </c>
      <c r="X22" s="19">
        <f>[1]!f_risk_calmar(A22,$L$2,$E$1)</f>
        <v>3.3364823986466341</v>
      </c>
      <c r="Y22" s="12" t="str">
        <f>IFERROR(RANK(X22,X:X)&amp;"/"&amp;COUNT(X:X),"-")</f>
        <v>54/197</v>
      </c>
      <c r="Z22" s="26">
        <f>IFERROR(RANK(X22,X:X)/COUNT(X:X),"-")</f>
        <v>0.27411167512690354</v>
      </c>
      <c r="AA22" s="13" t="str">
        <f>IF(OR($C22&gt;20190630,$K22&gt;30,X22="-",$D22="是",$E22="封闭期",$H22&lt;10,$BN22&lt;-6,$BR22&lt;70),"-",COUNTIFS(X$4:X$200,"&lt;&gt;-",$D$4:$D$200,"&lt;&gt;是",$E$4:$E$200,"&lt;&gt;封闭期",$H$4:$H$200,"&gt;10",$BN$4:$BN$200,"&gt;-6",$BR$4:$BR$200,"&gt;=70",$K$4:$K$200,"&lt;=30",$C$4:$C$200,"&lt;20190630",X$4:X$200,"&gt;="&amp;X22)&amp;"/"&amp;COUNTIFS(X$4:X$200,"&lt;&gt;-",$D$4:$D$200,"&lt;&gt;是",$E$4:$E$200,"&lt;&gt;封闭期",$H$4:$H$200,"&gt;10",$BN$4:$BN$200,"&gt;-6",$BR$4:$BR$200,"&gt;=70",$C$4:$C$200,"&lt;20190630",$K$4:$K$200,"&lt;=30"))</f>
        <v>18/39</v>
      </c>
      <c r="AB22" s="33">
        <f>IF(OR($C22&gt;20190630,$K22&gt;30,X22="-",$D22="是",$E22="封闭期",$H22&lt;10,$BN22&lt;-6,$BR22&lt;70),"-",COUNTIFS(X$4:X$200,"&lt;&gt;-",$D$4:$D$200,"&lt;&gt;是",$E$4:$E$200,"&lt;&gt;封闭期",$H$4:$H$200,"&gt;10",$BN$4:$BN$200,"&gt;-6",$BR$4:$BR$200,"&gt;=70",$K$4:$K$200,"&lt;=30",$C$4:$C$200,"&lt;20190630",X$4:X$200,"&gt;="&amp;X22)/COUNTIFS(X$4:X$200,"&lt;&gt;-",$D$4:$D$200,"&lt;&gt;是",$E$4:$E$200,"&lt;&gt;封闭期",$H$4:$H$200,"&gt;10",$BN$4:$BN$200,"&gt;-6",$BR$4:$BR$200,"&gt;=70",$C$4:$C$200,"&lt;20190630",$K$4:$K$200,"&lt;=30"))</f>
        <v>0.46153846153846156</v>
      </c>
      <c r="AC22" s="20">
        <v>1</v>
      </c>
      <c r="AD22" s="12" t="str">
        <f>IFERROR(RANK(AC22,AC:AC)&amp;"/"&amp;COUNT(AC:AC),"-")</f>
        <v>1/197</v>
      </c>
      <c r="AE22" s="26">
        <f>IFERROR(RANK(AC22,AC:AC)/COUNT(AC:AC),"-")</f>
        <v>5.076142131979695E-3</v>
      </c>
      <c r="AF22" s="13" t="str">
        <f>IF(OR($C22&gt;20190630,$K22&gt;30,AC22="-",$D22="是",$E22="封闭期",$H22&lt;10,$BN22&lt;-6,$BR22&lt;70),"-",COUNTIFS(AC$4:AC$200,"&lt;&gt;-",$D$4:$D$200,"&lt;&gt;是",$E$4:$E$200,"&lt;&gt;封闭期",$H$4:$H$200,"&gt;10",$BN$4:$BN$200,"&gt;-6",$BR$4:$BR$200,"&gt;=70",$K$4:$K$200,"&lt;=30",$C$4:$C$200,"&lt;20190630",AC$4:AC$200,"&gt;="&amp;AC22)&amp;"/"&amp;COUNTIFS(AC$4:AC$200,"&lt;&gt;-",$D$4:$D$200,"&lt;&gt;是",$E$4:$E$200,"&lt;&gt;封闭期",$H$4:$H$200,"&gt;10",$BN$4:$BN$200,"&gt;-6",$BR$4:$BR$200,"&gt;=70",$C$4:$C$200,"&lt;20190630",$K$4:$K$200,"&lt;=30"))</f>
        <v>28/39</v>
      </c>
      <c r="AG22" s="33">
        <f>IF(OR($C22&gt;20190630,$K22&gt;30,AC22="-",$D22="是",$E22="封闭期",$H22&lt;10,$BN22&lt;-6,$BR22&lt;70),"-",COUNTIFS(AC$4:AC$200,"&lt;&gt;-",$D$4:$D$200,"&lt;&gt;是",$E$4:$E$200,"&lt;&gt;封闭期",$H$4:$H$200,"&gt;10",$BN$4:$BN$200,"&gt;-6",$BR$4:$BR$200,"&gt;=70",$K$4:$K$200,"&lt;=30",$C$4:$C$200,"&lt;20190630",AC$4:AC$200,"&gt;="&amp;AC22)/COUNTIFS(AC$4:AC$200,"&lt;&gt;-",$D$4:$D$200,"&lt;&gt;是",$E$4:$E$200,"&lt;&gt;封闭期",$H$4:$H$200,"&gt;10",$BN$4:$BN$200,"&gt;-6",$BR$4:$BR$200,"&gt;=70",$C$4:$C$200,"&lt;20190630",$K$4:$K$200,"&lt;=30"))</f>
        <v>0.71794871794871795</v>
      </c>
      <c r="AH22" s="21">
        <f>[1]!f_risk_maxdownside(A22,$L$2,$E$1)</f>
        <v>-2.9006689527235783</v>
      </c>
      <c r="AI22" s="19" t="str">
        <f>IFERROR(RANK(AH22,AH:AH)&amp;"/"&amp;COUNT(AH:AH),"-")</f>
        <v>88/197</v>
      </c>
      <c r="AJ22" s="26">
        <f>IFERROR(RANK(AH22,AH:AH)/COUNT(AH:AH),"-")</f>
        <v>0.4467005076142132</v>
      </c>
      <c r="AK22" s="34" t="str">
        <f>IF(OR($C22&gt;20190630,$K22&gt;30,AH22="-",$D22="是",$E22="封闭期",$H22&lt;10,$BN22&lt;-6,$BR22&lt;70),"-",COUNTIFS(AH$4:AH$200,"&lt;&gt;-",$D$4:$D$200,"&lt;&gt;是",$E$4:$E$200,"&lt;&gt;封闭期",$H$4:$H$200,"&gt;10",$BN$4:$BN$200,"&gt;-6",$BR$4:$BR$200,"&gt;=70",$K$4:$K$200,"&lt;=30",$C$4:$C$200,"&lt;20190630",AH$4:AH$200,"&gt;="&amp;AH22)&amp;"/"&amp;COUNTIFS(AH$4:AH$200,"&lt;&gt;-",$D$4:$D$200,"&lt;&gt;是",$E$4:$E$200,"&lt;&gt;封闭期",$H$4:$H$200,"&gt;10",$BN$4:$BN$200,"&gt;-6",$BR$4:$BR$200,"&gt;=70",$C$4:$C$200,"&lt;20190630",$K$4:$K$200,"&lt;=30"))</f>
        <v>22/39</v>
      </c>
      <c r="AL22" s="33">
        <f>IF(OR($C22&gt;20190630,$K22&gt;30,AH22="-",$D22="是",$E22="封闭期",$H22&lt;10,$BN22&lt;-6,$BR22&lt;70),"-",COUNTIFS(AH$4:AH$200,"&lt;&gt;-",$D$4:$D$200,"&lt;&gt;是",$E$4:$E$200,"&lt;&gt;封闭期",$H$4:$H$200,"&gt;10",$BN$4:$BN$200,"&gt;-6",$BR$4:$BR$200,"&gt;=70",$K$4:$K$200,"&lt;=30",$C$4:$C$200,"&lt;20190630",AH$4:AH$200,"&gt;="&amp;AH22)/COUNTIFS(AH$4:AH$200,"&lt;&gt;-",$D$4:$D$200,"&lt;&gt;是",$E$4:$E$200,"&lt;&gt;封闭期",$H$4:$H$200,"&gt;10",$BN$4:$BN$200,"&gt;-6",$BR$4:$BR$200,"&gt;=70",$C$4:$C$200,"&lt;20190630",$K$4:$K$200,"&lt;=30"))</f>
        <v>0.5641025641025641</v>
      </c>
      <c r="AM22" s="19">
        <f>[1]!f_return($A22,"1",AM$2,$L$2)</f>
        <v>13.645672208416592</v>
      </c>
      <c r="AN22" s="19">
        <f>[1]!f_risk_stdevyearly($A22,AM$2,$L$2,1,1)</f>
        <v>6.0977762949031451</v>
      </c>
      <c r="AO22" s="12">
        <f>IFERROR(AM22/AN22,"-")</f>
        <v>2.2378112197757059</v>
      </c>
      <c r="AP22" s="12" t="str">
        <f>IFERROR(RANK(AO22,AO:AO)&amp;"/"&amp;COUNT(AO:AO),"-")</f>
        <v>29/197</v>
      </c>
      <c r="AQ22" s="26">
        <f>IF(AP22="-","-",RANK(AO22,AO:AO)/COUNT(AO:AO))</f>
        <v>0.14720812182741116</v>
      </c>
      <c r="AR22" s="60">
        <v>9.6446700507614211E-2</v>
      </c>
      <c r="AS22" s="35">
        <f>IF(OR($C22&gt;20190630,$K22&gt;30,AO22="-",$D22="是",$E22="封闭期",$H22&lt;10,$BN22&lt;-6,$BR22&lt;70),"-",COUNTIFS(AO$4:AO$200,"&lt;&gt;-",$D$4:$D$200,"&lt;&gt;是",$E$4:$E$200,"&lt;&gt;封闭期",$H$4:$H$200,"&gt;10",$BN$4:$BN$200,"&gt;-6",$BR$4:$BR$200,"&gt;=70",$K$4:$K$200,"&lt;=30",$C$4:$C$200,"&lt;20190630",AO$4:AO$200,"&gt;="&amp;AO22)/COUNTIFS(AO$4:AO$200,"&lt;&gt;-",$D$4:$D$200,"&lt;&gt;是",$E$4:$E$200,"&lt;&gt;封闭期",$H$4:$H$200,"&gt;10",$BN$4:$BN$200,"&gt;-6",$BR$4:$BR$200,"&gt;=70",$C$4:$C$200,"&lt;20190630",$K$4:$K$200,"&lt;=30"))</f>
        <v>0.25641025641025639</v>
      </c>
      <c r="AT22" s="12">
        <f>IFERROR((AM22-3)/AN22,"-")</f>
        <v>1.7458285928453667</v>
      </c>
      <c r="AU22" s="12" t="str">
        <f>IFERROR(RANK(AT22,AT:AT)&amp;"/"&amp;COUNT(AT:AT),"-")</f>
        <v>18/197</v>
      </c>
      <c r="AV22" s="26">
        <f>IFERROR(RANK(AT22,AT:AT)/COUNT(AT:AT),"-")</f>
        <v>9.1370558375634514E-2</v>
      </c>
      <c r="AW22" s="13" t="str">
        <f>IF(OR($C22&gt;20190630,$K22&gt;30,AT22="-",$D22="是",$E22="封闭期",$H22&lt;10,$BN22&lt;-6,$BR22&lt;70),"-",COUNTIFS(AT$4:AT$200,"&lt;&gt;-",$D$4:$D$200,"&lt;&gt;是",$E$4:$E$200,"&lt;&gt;封闭期",$H$4:$H$200,"&gt;10",$BN$4:$BN$200,"&gt;-6",$BR$4:$BR$200,"&gt;=70",$K$4:$K$200,"&lt;=30",$C$4:$C$200,"&lt;20190630",AT$4:AT$200,"&gt;="&amp;AT22)&amp;"/"&amp;COUNTIFS(AT$4:AT$200,"&lt;&gt;-",$D$4:$D$200,"&lt;&gt;是",$E$4:$E$200,"&lt;&gt;封闭期",$H$4:$H$200,"&gt;10",$BN$4:$BN$200,"&gt;-6",$BR$4:$BR$200,"&gt;=70",$C$4:$C$200,"&lt;20190630",$K$4:$K$200,"&lt;=30"))</f>
        <v>9/39</v>
      </c>
      <c r="AX22" s="33">
        <f>IF(OR($C22&gt;20190630,$K22&gt;30,AT22="-",$D22="是",$E22="封闭期",$H22&lt;10,$BN22&lt;-6,$BR22&lt;70),"-",COUNTIFS(AT$4:AT$200,"&lt;&gt;-",$D$4:$D$200,"&lt;&gt;是",$E$4:$E$200,"&lt;&gt;封闭期",$H$4:$H$200,"&gt;10",$BN$4:$BN$200,"&gt;-6",$BR$4:$BR$200,"&gt;=70",$K$4:$K$200,"&lt;=30",$C$4:$C$200,"&lt;20190630",AT$4:AT$200,"&gt;="&amp;AT22)/COUNTIFS(AT$4:AT$200,"&lt;&gt;-",$D$4:$D$200,"&lt;&gt;是",$E$4:$E$200,"&lt;&gt;封闭期",$H$4:$H$200,"&gt;10",$BN$4:$BN$200,"&gt;-6",$BR$4:$BR$200,"&gt;=70",$C$4:$C$200,"&lt;20190630",$K$4:$K$200,"&lt;=30"))</f>
        <v>0.23076923076923078</v>
      </c>
      <c r="AY22" s="19">
        <f>[1]!f_risk_calmar(A22,$AM$2,$L$2)</f>
        <v>4.0613221013524701</v>
      </c>
      <c r="AZ22" s="12" t="str">
        <f>IFERROR(RANK(AY22,AY:AY)&amp;"/"&amp;COUNT(AY:AY),"-")</f>
        <v>22/197</v>
      </c>
      <c r="BA22" s="26">
        <f>IFERROR(RANK(AY22,AY:AY)/COUNT(AY:AY),"-")</f>
        <v>0.1116751269035533</v>
      </c>
      <c r="BB22" s="13" t="str">
        <f>IF(OR($C22&gt;20190630,$K22&gt;30,AY22="-",$D22="是",$E22="封闭期",$H22&lt;10,$BN22&lt;-6,$BR22&lt;70),"-",COUNTIFS(AY$4:AY$200,"&lt;&gt;-",$D$4:$D$200,"&lt;&gt;是",$E$4:$E$200,"&lt;&gt;封闭期",$H$4:$H$200,"&gt;10",$BN$4:$BN$200,"&gt;-6",$BR$4:$BR$200,"&gt;=70",$K$4:$K$200,"&lt;=30",$C$4:$C$200,"&lt;20190630",AY$4:AY$200,"&gt;="&amp;AY22)&amp;"/"&amp;COUNTIFS(AY$4:AY$200,"&lt;&gt;-",$D$4:$D$200,"&lt;&gt;是",$E$4:$E$200,"&lt;&gt;封闭期",$H$4:$H$200,"&gt;10",$BN$4:$BN$200,"&gt;-6",$BR$4:$BR$200,"&gt;=70",$C$4:$C$200,"&lt;20190630",$K$4:$K$200,"&lt;=30"))</f>
        <v>8/39</v>
      </c>
      <c r="BC22" s="33">
        <f>IF(OR($C22&gt;20190630,$K22&gt;30,AY22="-",$D22="是",$E22="封闭期",$H22&lt;10,$BN22&lt;-6,$BR22&lt;70),"-",COUNTIFS(AY$4:AY$200,"&lt;&gt;-",$D$4:$D$200,"&lt;&gt;是",$E$4:$E$200,"&lt;&gt;封闭期",$H$4:$H$200,"&gt;10",$BN$4:$BN$200,"&gt;-6",$BR$4:$BR$200,"&gt;=70",$K$4:$K$200,"&lt;=30",$C$4:$C$200,"&lt;20190630",AY$4:AY$200,"&gt;="&amp;AY22)/COUNTIFS(AY$4:AY$200,"&lt;&gt;-",$D$4:$D$200,"&lt;&gt;是",$E$4:$E$200,"&lt;&gt;封闭期",$H$4:$H$200,"&gt;10",$BN$4:$BN$200,"&gt;-6",$BR$4:$BR$200,"&gt;=70",$C$4:$C$200,"&lt;20190630",$K$4:$K$200,"&lt;=30"))</f>
        <v>0.20512820512820512</v>
      </c>
      <c r="BD22" s="20">
        <v>1</v>
      </c>
      <c r="BE22" s="12" t="str">
        <f>IFERROR(RANK(BD22,BD:BD)&amp;"/"&amp;COUNT(BD:BD),"-")</f>
        <v>1/197</v>
      </c>
      <c r="BF22" s="26">
        <f>IFERROR(RANK(BD22,BD:BD)/COUNT(BD:BD),"-")</f>
        <v>5.076142131979695E-3</v>
      </c>
      <c r="BG22" s="13" t="str">
        <f>IF(OR($C22&gt;20190630,$K22&gt;30,BD22="-",$D22="是",$E22="封闭期",$H22&lt;10,$BN22&lt;-6,$BR22&lt;70),"-",COUNTIFS(BD$4:BD$200,"&lt;&gt;-",$D$4:$D$200,"&lt;&gt;是",$E$4:$E$200,"&lt;&gt;封闭期",$H$4:$H$200,"&gt;10",$BN$4:$BN$200,"&gt;-6",$BR$4:$BR$200,"&gt;=70",$K$4:$K$200,"&lt;=30",$C$4:$C$200,"&lt;20190630",BD$4:BD$200,"&gt;="&amp;BD22)&amp;"/"&amp;COUNTIFS(BD$4:BD$200,"&lt;&gt;-",$D$4:$D$200,"&lt;&gt;是",$E$4:$E$200,"&lt;&gt;封闭期",$H$4:$H$200,"&gt;10",$BN$4:$BN$200,"&gt;-6",$BR$4:$BR$200,"&gt;=70",$C$4:$C$200,"&lt;20190630",$K$4:$K$200,"&lt;=30"))</f>
        <v>35/39</v>
      </c>
      <c r="BH22" s="33">
        <f>IF(OR($C22&gt;20190630,$K22&gt;30,BD22="-",$D22="是",$E22="封闭期",$H22&lt;10,$BN22&lt;-6,$BR22&lt;70),"-",COUNTIFS(BD$4:BD$200,"&lt;&gt;-",$D$4:$D$200,"&lt;&gt;是",$E$4:$E$200,"&lt;&gt;封闭期",$H$4:$H$200,"&gt;10",$BN$4:$BN$200,"&gt;-6",$BR$4:$BR$200,"&gt;=70",$K$4:$K$200,"&lt;=30",$C$4:$C$200,"&lt;20190630",BD$4:BD$200,"&gt;="&amp;BD22)/COUNTIFS(BD$4:BD$200,"&lt;&gt;-",$D$4:$D$200,"&lt;&gt;是",$E$4:$E$200,"&lt;&gt;封闭期",$H$4:$H$200,"&gt;10",$BN$4:$BN$200,"&gt;-6",$BR$4:$BR$200,"&gt;=70",$C$4:$C$200,"&lt;20190630",$K$4:$K$200,"&lt;=30"))</f>
        <v>0.89743589743589747</v>
      </c>
      <c r="BI22" s="21">
        <f>[1]!f_risk_maxdownside(A22,$AM$2,$L$2)</f>
        <v>-3.3599088838268738</v>
      </c>
      <c r="BJ22" s="19" t="str">
        <f>IFERROR(RANK(BI22,BI:BI)&amp;"/"&amp;COUNT(BI:BI),"-")</f>
        <v>104/197</v>
      </c>
      <c r="BK22" s="26">
        <f>IFERROR(RANK(BI22,BI:BI)/COUNT(BI:BI),"-")</f>
        <v>0.52791878172588835</v>
      </c>
      <c r="BL22" s="34" t="str">
        <f>IF(OR($C22&gt;20190630,$K22&gt;30,BI22="-",$D22="是",$E22="封闭期",$H22&lt;10,$BN22&lt;-6,$BR22&lt;70),"-",COUNTIFS(BI$4:BI$200,"&lt;&gt;-",$D$4:$D$200,"&lt;&gt;是",$E$4:$E$200,"&lt;&gt;封闭期",$H$4:$H$200,"&gt;10",$BN$4:$BN$200,"&gt;-6",$BR$4:$BR$200,"&gt;=70",$K$4:$K$200,"&lt;=30",$C$4:$C$200,"&lt;20190630",BI$4:BI$200,"&gt;="&amp;BI22)&amp;"/"&amp;COUNTIFS(BI$4:BI$200,"&lt;&gt;-",$D$4:$D$200,"&lt;&gt;是",$E$4:$E$200,"&lt;&gt;封闭期",$H$4:$H$200,"&gt;10",$BN$4:$BN$200,"&gt;-6",$BR$4:$BR$200,"&gt;=70",$C$4:$C$200,"&lt;20190630",$K$4:$K$200,"&lt;=30"))</f>
        <v>25/39</v>
      </c>
      <c r="BM22" s="33">
        <f>IF(OR($C22&gt;20190630,$K22&gt;30,BI22="-",$D22="是",$E22="封闭期",$H22&lt;10,$BN22&lt;-6,$BR22&lt;70),"-",COUNTIFS(BI$4:BI$200,"&lt;&gt;-",$D$4:$D$200,"&lt;&gt;是",$E$4:$E$200,"&lt;&gt;封闭期",$H$4:$H$200,"&gt;10",$BN$4:$BN$200,"&gt;-6",$BR$4:$BR$200,"&gt;=70",$K$4:$K$200,"&lt;=30",$C$4:$C$200,"&lt;20190630",BI$4:BI$200,"&gt;="&amp;BI22)/COUNTIFS(BI$4:BI$200,"&lt;&gt;-",$D$4:$D$200,"&lt;&gt;是",$E$4:$E$200,"&lt;&gt;封闭期",$H$4:$H$200,"&gt;10",$BN$4:$BN$200,"&gt;-6",$BR$4:$BR$200,"&gt;=70",$C$4:$C$200,"&lt;20190630",$K$4:$K$200,"&lt;=30"))</f>
        <v>0.64102564102564108</v>
      </c>
      <c r="BN22" s="21">
        <f>[1]!f_risk_maxdownside(A22,$AM$2,$E$1)</f>
        <v>-3.3599088838268738</v>
      </c>
      <c r="BO22" s="14">
        <f>IF(C22&lt;20190930,[1]!f_return_2y(A22,"0","20210930"),"-")</f>
        <v>24.97408610324096</v>
      </c>
      <c r="BP22" s="12" t="str">
        <f>IFERROR(RANK(BO22,BO:BO)&amp;"/"&amp;COUNT(BO:BO),"-")</f>
        <v>20/197</v>
      </c>
      <c r="BQ22" s="25">
        <f>IFERROR(RANK(BO22,BO:BO)/COUNT(BO:BO),"-")</f>
        <v>0.10152284263959391</v>
      </c>
      <c r="BR22" s="12">
        <f>IF(C22&lt;20190930,[1]!f_absolute_profitmonthper(A22,"20190930","20210930"),"-")</f>
        <v>83.333333333333343</v>
      </c>
      <c r="BS22" s="12" t="str">
        <f>IFERROR(RANK(BR22,BR:BR)&amp;"/"&amp;COUNT(BR:BR),"-")</f>
        <v>4/198</v>
      </c>
      <c r="BT22" s="25">
        <f>IFERROR(RANK(BR22,BR:BR)/COUNT(BR:BR),"-")</f>
        <v>2.0202020202020204E-2</v>
      </c>
      <c r="BV22" s="12">
        <f>X22-3/M22</f>
        <v>2.7509750823054642</v>
      </c>
      <c r="BW22" s="76">
        <f>IFERROR(RANK(BV22,BV:BV)/COUNT(BV:BV),"-")</f>
        <v>0.23857868020304568</v>
      </c>
      <c r="BX22" s="76">
        <f>IFERROR(RANK(L22,L:L)/COUNT(L:L),"-")</f>
        <v>0.18181818181818182</v>
      </c>
      <c r="BY22" s="12">
        <f>AY22-3/AN22</f>
        <v>3.5693394744221307</v>
      </c>
      <c r="BZ22" s="76">
        <f>IFERROR(RANK(BY22,BY:BY)/COUNT(BY:BY),"-")</f>
        <v>9.1370558375634514E-2</v>
      </c>
      <c r="CA22" s="76">
        <f>IFERROR(RANK(AM22,AM:AM)/COUNT(AM:AM),"-")</f>
        <v>0.10101010101010101</v>
      </c>
      <c r="CB22" s="2"/>
      <c r="CC22" s="77">
        <f>AV22+BF22+BZ22+CA22</f>
        <v>0.28882735989334973</v>
      </c>
      <c r="CD22" s="77">
        <f>BW22+BX22+AE22+U22</f>
        <v>0.64882325796031382</v>
      </c>
      <c r="CE22" s="77">
        <f>CC22+CD22</f>
        <v>0.93765061785366355</v>
      </c>
    </row>
    <row r="23" spans="1:83" s="17" customFormat="1" hidden="1" x14ac:dyDescent="0.35">
      <c r="A23" s="15" t="s">
        <v>187</v>
      </c>
      <c r="B23" s="15" t="s">
        <v>188</v>
      </c>
      <c r="C23" s="16">
        <v>20150128</v>
      </c>
      <c r="D23" s="16" t="str">
        <f>[1]!f_info_regulopenfundornot(A23)</f>
        <v>否</v>
      </c>
      <c r="E23" s="16" t="str">
        <f>[1]!f_dq_status(A23,$E$1)</f>
        <v>开放申购|开放赎回</v>
      </c>
      <c r="F23" s="17" t="str">
        <f>[1]!f_info_fundmanager(A23)</f>
        <v>张棪</v>
      </c>
      <c r="G23" s="16">
        <v>20170906</v>
      </c>
      <c r="H23" s="18">
        <f>[1]!f_netasset_total(A23,$E$1,100000000)</f>
        <v>0.84938603459999995</v>
      </c>
      <c r="I23" s="18">
        <f>[1]!f_prt_convertiblebondtonav(A23,$E$1)</f>
        <v>19.617918014526367</v>
      </c>
      <c r="J23" s="18">
        <f>[1]!f_prt_stocktonav(A23,$E$1)+0.5*I23</f>
        <v>28.635588645935059</v>
      </c>
      <c r="K23" s="19">
        <v>10.83288354785955</v>
      </c>
      <c r="L23" s="19">
        <f>[1]!f_return($A23,"1",L$2,$E$1)</f>
        <v>4.6537242718278193</v>
      </c>
      <c r="M23" s="19">
        <f>[1]!f_risk_stdevyearly($A23,L$2,$E$1,1,1)</f>
        <v>6.9044461536530752</v>
      </c>
      <c r="N23" s="19">
        <f>IFERROR(L23/M23,"-")</f>
        <v>0.67401847566956241</v>
      </c>
      <c r="O23" s="19" t="str">
        <f>IFERROR(RANK(N23,N:N)&amp;"/"&amp;COUNT(N:N),"-")</f>
        <v>166/197</v>
      </c>
      <c r="P23" s="26">
        <f>IF(O23="-","-",RANK(N23,N:N)/COUNT(N:N))</f>
        <v>0.84263959390862941</v>
      </c>
      <c r="Q23" s="56">
        <v>0.62944162436548223</v>
      </c>
      <c r="R23" s="33" t="str">
        <f>IF(OR($C23&gt;20190630,$K23&gt;30,N23="-",$D23="是",$E23="封闭期",$H23&lt;10,$BN23&lt;-6,$BR23&lt;70),"-",COUNTIFS(N$4:N$200,"&lt;&gt;-",$D$4:$D$200,"&lt;&gt;是",$E$4:$E$200,"&lt;&gt;封闭期",$H$4:$H$200,"&gt;10",$BN$4:$BN$200,"&gt;-6",$BR$4:$BR$200,"&gt;=70",$K$4:$K$200,"&lt;=30",$C$4:$C$200,"&lt;20190630",N$4:N$200,"&gt;="&amp;N23)/COUNTIFS(N$4:N$200,"&lt;&gt;-",$D$4:$D$200,"&lt;&gt;是",$E$4:$E$200,"&lt;&gt;封闭期",$H$4:$H$200,"&gt;10",$BN$4:$BN$200,"&gt;-6",$BR$4:$BR$200,"&gt;=70",$C$4:$C$200,"&lt;20190630",$K$4:$K$200,"&lt;=30"))</f>
        <v>-</v>
      </c>
      <c r="S23" s="19">
        <f>IFERROR((L23-3)/M23,"-")</f>
        <v>0.239515847473566</v>
      </c>
      <c r="T23" s="19" t="str">
        <f>IFERROR(RANK(S23,S:S)&amp;"/"&amp;COUNT(S:S),"-")</f>
        <v>146/197</v>
      </c>
      <c r="U23" s="26">
        <f>IFERROR(RANK(S23,S:S)/COUNT(S:S),"-")</f>
        <v>0.74111675126903553</v>
      </c>
      <c r="V23" s="34" t="str">
        <f>IF(OR($C23&gt;20190630,$K23&gt;30,S23="-",$D23="是",$E23="封闭期",$H23&lt;10,$BN23&lt;-6,$BR23&lt;70),"-",COUNTIFS(S$4:S$200,"&lt;&gt;-",$D$4:$D$200,"&lt;&gt;是",$E$4:$E$200,"&lt;&gt;封闭期",$H$4:$H$200,"&gt;10",$BN$4:$BN$200,"&gt;-6",$BR$4:$BR$200,"&gt;=70",$K$4:$K$200,"&lt;=30",$C$4:$C$200,"&lt;20190630",S$4:S$200,"&gt;="&amp;S23)&amp;"/"&amp;COUNTIFS(S$4:S$200,"&lt;&gt;-",$D$4:$D$200,"&lt;&gt;是",$E$4:$E$200,"&lt;&gt;封闭期",$H$4:$H$200,"&gt;10",$BN$4:$BN$200,"&gt;-6",$BR$4:$BR$200,"&gt;=70",$C$4:$C$200,"&lt;20190630",$K$4:$K$200,"&lt;=30"))</f>
        <v>-</v>
      </c>
      <c r="W23" s="33" t="str">
        <f>IF(OR($C23&gt;20190630,$K23&gt;30,S23="-",$D23="是",$E23="封闭期",$H23&lt;10,$BN23&lt;-6,$BR23&lt;70),"-",COUNTIFS(S$4:S$200,"&lt;&gt;-",$D$4:$D$200,"&lt;&gt;是",$E$4:$E$200,"&lt;&gt;封闭期",$H$4:$H$200,"&gt;10",$BN$4:$BN$200,"&gt;-6",$BR$4:$BR$200,"&gt;=70",$K$4:$K$200,"&lt;=30",$C$4:$C$200,"&lt;20190630",S$4:S$200,"&gt;="&amp;S23)/COUNTIFS(S$4:S$200,"&lt;&gt;-",$D$4:$D$200,"&lt;&gt;是",$E$4:$E$200,"&lt;&gt;封闭期",$H$4:$H$200,"&gt;10",$BN$4:$BN$200,"&gt;-6",$BR$4:$BR$200,"&gt;=70",$C$4:$C$200,"&lt;20190630",$K$4:$K$200,"&lt;=30"))</f>
        <v>-</v>
      </c>
      <c r="X23" s="19">
        <f>[1]!f_risk_calmar(A23,$L$2,$E$1)</f>
        <v>0.85802265641113484</v>
      </c>
      <c r="Y23" s="19" t="str">
        <f>IFERROR(RANK(X23,X:X)&amp;"/"&amp;COUNT(X:X),"-")</f>
        <v>166/197</v>
      </c>
      <c r="Z23" s="26">
        <f>IFERROR(RANK(X23,X:X)/COUNT(X:X),"-")</f>
        <v>0.84263959390862941</v>
      </c>
      <c r="AA23" s="34" t="str">
        <f>IF(OR($C23&gt;20190630,$K23&gt;30,X23="-",$D23="是",$E23="封闭期",$H23&lt;10,$BN23&lt;-6,$BR23&lt;70),"-",COUNTIFS(X$4:X$200,"&lt;&gt;-",$D$4:$D$200,"&lt;&gt;是",$E$4:$E$200,"&lt;&gt;封闭期",$H$4:$H$200,"&gt;10",$BN$4:$BN$200,"&gt;-6",$BR$4:$BR$200,"&gt;=70",$K$4:$K$200,"&lt;=30",$C$4:$C$200,"&lt;20190630",X$4:X$200,"&gt;="&amp;X23)&amp;"/"&amp;COUNTIFS(X$4:X$200,"&lt;&gt;-",$D$4:$D$200,"&lt;&gt;是",$E$4:$E$200,"&lt;&gt;封闭期",$H$4:$H$200,"&gt;10",$BN$4:$BN$200,"&gt;-6",$BR$4:$BR$200,"&gt;=70",$C$4:$C$200,"&lt;20190630",$K$4:$K$200,"&lt;=30"))</f>
        <v>-</v>
      </c>
      <c r="AB23" s="33" t="str">
        <f>IF(OR($C23&gt;20190630,$K23&gt;30,X23="-",$D23="是",$E23="封闭期",$H23&lt;10,$BN23&lt;-6,$BR23&lt;70),"-",COUNTIFS(X$4:X$200,"&lt;&gt;-",$D$4:$D$200,"&lt;&gt;是",$E$4:$E$200,"&lt;&gt;封闭期",$H$4:$H$200,"&gt;10",$BN$4:$BN$200,"&gt;-6",$BR$4:$BR$200,"&gt;=70",$K$4:$K$200,"&lt;=30",$C$4:$C$200,"&lt;20190630",X$4:X$200,"&gt;="&amp;X23)/COUNTIFS(X$4:X$200,"&lt;&gt;-",$D$4:$D$200,"&lt;&gt;是",$E$4:$E$200,"&lt;&gt;封闭期",$H$4:$H$200,"&gt;10",$BN$4:$BN$200,"&gt;-6",$BR$4:$BR$200,"&gt;=70",$C$4:$C$200,"&lt;20190630",$K$4:$K$200,"&lt;=30"))</f>
        <v>-</v>
      </c>
      <c r="AC23" s="20">
        <v>0.68067226890756305</v>
      </c>
      <c r="AD23" s="19" t="str">
        <f>IFERROR(RANK(AC23,AC:AC)&amp;"/"&amp;COUNT(AC:AC),"-")</f>
        <v>170/197</v>
      </c>
      <c r="AE23" s="26">
        <f>IFERROR(RANK(AC23,AC:AC)/COUNT(AC:AC),"-")</f>
        <v>0.86294416243654826</v>
      </c>
      <c r="AF23" s="34" t="str">
        <f>IF(OR($C23&gt;20190630,$K23&gt;30,AC23="-",$D23="是",$E23="封闭期",$H23&lt;10,$BN23&lt;-6,$BR23&lt;70),"-",COUNTIFS(AC$4:AC$200,"&lt;&gt;-",$D$4:$D$200,"&lt;&gt;是",$E$4:$E$200,"&lt;&gt;封闭期",$H$4:$H$200,"&gt;10",$BN$4:$BN$200,"&gt;-6",$BR$4:$BR$200,"&gt;=70",$K$4:$K$200,"&lt;=30",$C$4:$C$200,"&lt;20190630",AC$4:AC$200,"&gt;="&amp;AC23)&amp;"/"&amp;COUNTIFS(AC$4:AC$200,"&lt;&gt;-",$D$4:$D$200,"&lt;&gt;是",$E$4:$E$200,"&lt;&gt;封闭期",$H$4:$H$200,"&gt;10",$BN$4:$BN$200,"&gt;-6",$BR$4:$BR$200,"&gt;=70",$C$4:$C$200,"&lt;20190630",$K$4:$K$200,"&lt;=30"))</f>
        <v>-</v>
      </c>
      <c r="AG23" s="33" t="str">
        <f>IF(OR($C23&gt;20190630,$K23&gt;30,AC23="-",$D23="是",$E23="封闭期",$H23&lt;10,$BN23&lt;-6,$BR23&lt;70),"-",COUNTIFS(AC$4:AC$200,"&lt;&gt;-",$D$4:$D$200,"&lt;&gt;是",$E$4:$E$200,"&lt;&gt;封闭期",$H$4:$H$200,"&gt;10",$BN$4:$BN$200,"&gt;-6",$BR$4:$BR$200,"&gt;=70",$K$4:$K$200,"&lt;=30",$C$4:$C$200,"&lt;20190630",AC$4:AC$200,"&gt;="&amp;AC23)/COUNTIFS(AC$4:AC$200,"&lt;&gt;-",$D$4:$D$200,"&lt;&gt;是",$E$4:$E$200,"&lt;&gt;封闭期",$H$4:$H$200,"&gt;10",$BN$4:$BN$200,"&gt;-6",$BR$4:$BR$200,"&gt;=70",$C$4:$C$200,"&lt;20190630",$K$4:$K$200,"&lt;=30"))</f>
        <v>-</v>
      </c>
      <c r="AH23" s="21">
        <f>[1]!f_risk_maxdownside(A23,$L$2,$E$1)</f>
        <v>-5.4237778420595868</v>
      </c>
      <c r="AI23" s="19" t="str">
        <f>IFERROR(RANK(AH23,AH:AH)&amp;"/"&amp;COUNT(AH:AH),"-")</f>
        <v>164/197</v>
      </c>
      <c r="AJ23" s="26">
        <f>IFERROR(RANK(AH23,AH:AH)/COUNT(AH:AH),"-")</f>
        <v>0.8324873096446701</v>
      </c>
      <c r="AK23" s="34" t="str">
        <f>IF(OR($C23&gt;20190630,$K23&gt;30,AH23="-",$D23="是",$E23="封闭期",$H23&lt;10,$BN23&lt;-6,$BR23&lt;70),"-",COUNTIFS(AH$4:AH$200,"&lt;&gt;-",$D$4:$D$200,"&lt;&gt;是",$E$4:$E$200,"&lt;&gt;封闭期",$H$4:$H$200,"&gt;10",$BN$4:$BN$200,"&gt;-6",$BR$4:$BR$200,"&gt;=70",$K$4:$K$200,"&lt;=30",$C$4:$C$200,"&lt;20190630",AH$4:AH$200,"&gt;="&amp;AH23)&amp;"/"&amp;COUNTIFS(AH$4:AH$200,"&lt;&gt;-",$D$4:$D$200,"&lt;&gt;是",$E$4:$E$200,"&lt;&gt;封闭期",$H$4:$H$200,"&gt;10",$BN$4:$BN$200,"&gt;-6",$BR$4:$BR$200,"&gt;=70",$C$4:$C$200,"&lt;20190630",$K$4:$K$200,"&lt;=30"))</f>
        <v>-</v>
      </c>
      <c r="AL23" s="33" t="str">
        <f>IF(OR($C23&gt;20190630,$K23&gt;30,AH23="-",$D23="是",$E23="封闭期",$H23&lt;10,$BN23&lt;-6,$BR23&lt;70),"-",COUNTIFS(AH$4:AH$200,"&lt;&gt;-",$D$4:$D$200,"&lt;&gt;是",$E$4:$E$200,"&lt;&gt;封闭期",$H$4:$H$200,"&gt;10",$BN$4:$BN$200,"&gt;-6",$BR$4:$BR$200,"&gt;=70",$K$4:$K$200,"&lt;=30",$C$4:$C$200,"&lt;20190630",AH$4:AH$200,"&gt;="&amp;AH23)/COUNTIFS(AH$4:AH$200,"&lt;&gt;-",$D$4:$D$200,"&lt;&gt;是",$E$4:$E$200,"&lt;&gt;封闭期",$H$4:$H$200,"&gt;10",$BN$4:$BN$200,"&gt;-6",$BR$4:$BR$200,"&gt;=70",$C$4:$C$200,"&lt;20190630",$K$4:$K$200,"&lt;=30"))</f>
        <v>-</v>
      </c>
      <c r="AM23" s="19">
        <f>[1]!f_return($A23,"1",AM$2,$L$2)</f>
        <v>13.481954516198913</v>
      </c>
      <c r="AN23" s="19">
        <f>[1]!f_risk_stdevyearly($A23,AM$2,$L$2,1,1)</f>
        <v>13.264497079315385</v>
      </c>
      <c r="AO23" s="19">
        <f>IFERROR(AM23/AN23,"-")</f>
        <v>1.0163939450989536</v>
      </c>
      <c r="AP23" s="19" t="str">
        <f>IFERROR(RANK(AO23,AO:AO)&amp;"/"&amp;COUNT(AO:AO),"-")</f>
        <v>158/197</v>
      </c>
      <c r="AQ23" s="26">
        <f>IF(AP23="-","-",RANK(AO23,AO:AO)/COUNT(AO:AO))</f>
        <v>0.80203045685279184</v>
      </c>
      <c r="AR23" s="57">
        <v>0.10152284263959391</v>
      </c>
      <c r="AS23" s="33" t="str">
        <f>IF(OR($C23&gt;20190630,$K23&gt;30,AO23="-",$D23="是",$E23="封闭期",$H23&lt;10,$BN23&lt;-6,$BR23&lt;70),"-",COUNTIFS(AO$4:AO$200,"&lt;&gt;-",$D$4:$D$200,"&lt;&gt;是",$E$4:$E$200,"&lt;&gt;封闭期",$H$4:$H$200,"&gt;10",$BN$4:$BN$200,"&gt;-6",$BR$4:$BR$200,"&gt;=70",$K$4:$K$200,"&lt;=30",$C$4:$C$200,"&lt;20190630",AO$4:AO$200,"&gt;="&amp;AO23)/COUNTIFS(AO$4:AO$200,"&lt;&gt;-",$D$4:$D$200,"&lt;&gt;是",$E$4:$E$200,"&lt;&gt;封闭期",$H$4:$H$200,"&gt;10",$BN$4:$BN$200,"&gt;-6",$BR$4:$BR$200,"&gt;=70",$C$4:$C$200,"&lt;20190630",$K$4:$K$200,"&lt;=30"))</f>
        <v>-</v>
      </c>
      <c r="AT23" s="19">
        <f>IFERROR((AM23-3)/AN23,"-")</f>
        <v>0.79022630511521164</v>
      </c>
      <c r="AU23" s="19" t="str">
        <f>IFERROR(RANK(AT23,AT:AT)&amp;"/"&amp;COUNT(AT:AT),"-")</f>
        <v>111/197</v>
      </c>
      <c r="AV23" s="26">
        <f>IFERROR(RANK(AT23,AT:AT)/COUNT(AT:AT),"-")</f>
        <v>0.56345177664974622</v>
      </c>
      <c r="AW23" s="34" t="str">
        <f>IF(OR($C23&gt;20190630,$K23&gt;30,AT23="-",$D23="是",$E23="封闭期",$H23&lt;10,$BN23&lt;-6,$BR23&lt;70),"-",COUNTIFS(AT$4:AT$200,"&lt;&gt;-",$D$4:$D$200,"&lt;&gt;是",$E$4:$E$200,"&lt;&gt;封闭期",$H$4:$H$200,"&gt;10",$BN$4:$BN$200,"&gt;-6",$BR$4:$BR$200,"&gt;=70",$K$4:$K$200,"&lt;=30",$C$4:$C$200,"&lt;20190630",AT$4:AT$200,"&gt;="&amp;AT23)&amp;"/"&amp;COUNTIFS(AT$4:AT$200,"&lt;&gt;-",$D$4:$D$200,"&lt;&gt;是",$E$4:$E$200,"&lt;&gt;封闭期",$H$4:$H$200,"&gt;10",$BN$4:$BN$200,"&gt;-6",$BR$4:$BR$200,"&gt;=70",$C$4:$C$200,"&lt;20190630",$K$4:$K$200,"&lt;=30"))</f>
        <v>-</v>
      </c>
      <c r="AX23" s="33" t="str">
        <f>IF(OR($C23&gt;20190630,$K23&gt;30,AT23="-",$D23="是",$E23="封闭期",$H23&lt;10,$BN23&lt;-6,$BR23&lt;70),"-",COUNTIFS(AT$4:AT$200,"&lt;&gt;-",$D$4:$D$200,"&lt;&gt;是",$E$4:$E$200,"&lt;&gt;封闭期",$H$4:$H$200,"&gt;10",$BN$4:$BN$200,"&gt;-6",$BR$4:$BR$200,"&gt;=70",$K$4:$K$200,"&lt;=30",$C$4:$C$200,"&lt;20190630",AT$4:AT$200,"&gt;="&amp;AT23)/COUNTIFS(AT$4:AT$200,"&lt;&gt;-",$D$4:$D$200,"&lt;&gt;是",$E$4:$E$200,"&lt;&gt;封闭期",$H$4:$H$200,"&gt;10",$BN$4:$BN$200,"&gt;-6",$BR$4:$BR$200,"&gt;=70",$C$4:$C$200,"&lt;20190630",$K$4:$K$200,"&lt;=30"))</f>
        <v>-</v>
      </c>
      <c r="AY23" s="19">
        <f>[1]!f_risk_calmar(A23,$AM$2,$L$2)</f>
        <v>2.1538954379913742</v>
      </c>
      <c r="AZ23" s="19" t="str">
        <f>IFERROR(RANK(AY23,AY:AY)&amp;"/"&amp;COUNT(AY:AY),"-")</f>
        <v>104/197</v>
      </c>
      <c r="BA23" s="26">
        <f>IFERROR(RANK(AY23,AY:AY)/COUNT(AY:AY),"-")</f>
        <v>0.52791878172588835</v>
      </c>
      <c r="BB23" s="34" t="str">
        <f>IF(OR($C23&gt;20190630,$K23&gt;30,AY23="-",$D23="是",$E23="封闭期",$H23&lt;10,$BN23&lt;-6,$BR23&lt;70),"-",COUNTIFS(AY$4:AY$200,"&lt;&gt;-",$D$4:$D$200,"&lt;&gt;是",$E$4:$E$200,"&lt;&gt;封闭期",$H$4:$H$200,"&gt;10",$BN$4:$BN$200,"&gt;-6",$BR$4:$BR$200,"&gt;=70",$K$4:$K$200,"&lt;=30",$C$4:$C$200,"&lt;20190630",AY$4:AY$200,"&gt;="&amp;AY23)&amp;"/"&amp;COUNTIFS(AY$4:AY$200,"&lt;&gt;-",$D$4:$D$200,"&lt;&gt;是",$E$4:$E$200,"&lt;&gt;封闭期",$H$4:$H$200,"&gt;10",$BN$4:$BN$200,"&gt;-6",$BR$4:$BR$200,"&gt;=70",$C$4:$C$200,"&lt;20190630",$K$4:$K$200,"&lt;=30"))</f>
        <v>-</v>
      </c>
      <c r="BC23" s="33" t="str">
        <f>IF(OR($C23&gt;20190630,$K23&gt;30,AY23="-",$D23="是",$E23="封闭期",$H23&lt;10,$BN23&lt;-6,$BR23&lt;70),"-",COUNTIFS(AY$4:AY$200,"&lt;&gt;-",$D$4:$D$200,"&lt;&gt;是",$E$4:$E$200,"&lt;&gt;封闭期",$H$4:$H$200,"&gt;10",$BN$4:$BN$200,"&gt;-6",$BR$4:$BR$200,"&gt;=70",$K$4:$K$200,"&lt;=30",$C$4:$C$200,"&lt;20190630",AY$4:AY$200,"&gt;="&amp;AY23)/COUNTIFS(AY$4:AY$200,"&lt;&gt;-",$D$4:$D$200,"&lt;&gt;是",$E$4:$E$200,"&lt;&gt;封闭期",$H$4:$H$200,"&gt;10",$BN$4:$BN$200,"&gt;-6",$BR$4:$BR$200,"&gt;=70",$C$4:$C$200,"&lt;20190630",$K$4:$K$200,"&lt;=30"))</f>
        <v>-</v>
      </c>
      <c r="BD23" s="20">
        <v>1</v>
      </c>
      <c r="BE23" s="19" t="str">
        <f>IFERROR(RANK(BD23,BD:BD)&amp;"/"&amp;COUNT(BD:BD),"-")</f>
        <v>1/197</v>
      </c>
      <c r="BF23" s="26">
        <f>IFERROR(RANK(BD23,BD:BD)/COUNT(BD:BD),"-")</f>
        <v>5.076142131979695E-3</v>
      </c>
      <c r="BG23" s="34" t="str">
        <f>IF(OR($C23&gt;20190630,$K23&gt;30,BD23="-",$D23="是",$E23="封闭期",$H23&lt;10,$BN23&lt;-6,$BR23&lt;70),"-",COUNTIFS(BD$4:BD$200,"&lt;&gt;-",$D$4:$D$200,"&lt;&gt;是",$E$4:$E$200,"&lt;&gt;封闭期",$H$4:$H$200,"&gt;10",$BN$4:$BN$200,"&gt;-6",$BR$4:$BR$200,"&gt;=70",$K$4:$K$200,"&lt;=30",$C$4:$C$200,"&lt;20190630",BD$4:BD$200,"&gt;="&amp;BD23)&amp;"/"&amp;COUNTIFS(BD$4:BD$200,"&lt;&gt;-",$D$4:$D$200,"&lt;&gt;是",$E$4:$E$200,"&lt;&gt;封闭期",$H$4:$H$200,"&gt;10",$BN$4:$BN$200,"&gt;-6",$BR$4:$BR$200,"&gt;=70",$C$4:$C$200,"&lt;20190630",$K$4:$K$200,"&lt;=30"))</f>
        <v>-</v>
      </c>
      <c r="BH23" s="33" t="str">
        <f>IF(OR($C23&gt;20190630,$K23&gt;30,BD23="-",$D23="是",$E23="封闭期",$H23&lt;10,$BN23&lt;-6,$BR23&lt;70),"-",COUNTIFS(BD$4:BD$200,"&lt;&gt;-",$D$4:$D$200,"&lt;&gt;是",$E$4:$E$200,"&lt;&gt;封闭期",$H$4:$H$200,"&gt;10",$BN$4:$BN$200,"&gt;-6",$BR$4:$BR$200,"&gt;=70",$K$4:$K$200,"&lt;=30",$C$4:$C$200,"&lt;20190630",BD$4:BD$200,"&gt;="&amp;BD23)/COUNTIFS(BD$4:BD$200,"&lt;&gt;-",$D$4:$D$200,"&lt;&gt;是",$E$4:$E$200,"&lt;&gt;封闭期",$H$4:$H$200,"&gt;10",$BN$4:$BN$200,"&gt;-6",$BR$4:$BR$200,"&gt;=70",$C$4:$C$200,"&lt;20190630",$K$4:$K$200,"&lt;=30"))</f>
        <v>-</v>
      </c>
      <c r="BI23" s="21">
        <f>[1]!f_risk_maxdownside(A23,$AM$2,$L$2)</f>
        <v>-6.2593356568745868</v>
      </c>
      <c r="BJ23" s="19" t="str">
        <f>IFERROR(RANK(BI23,BI:BI)&amp;"/"&amp;COUNT(BI:BI),"-")</f>
        <v>170/197</v>
      </c>
      <c r="BK23" s="26">
        <f>IFERROR(RANK(BI23,BI:BI)/COUNT(BI:BI),"-")</f>
        <v>0.86294416243654826</v>
      </c>
      <c r="BL23" s="34" t="str">
        <f>IF(OR($C23&gt;20190630,$K23&gt;30,BI23="-",$D23="是",$E23="封闭期",$H23&lt;10,$BN23&lt;-6,$BR23&lt;70),"-",COUNTIFS(BI$4:BI$200,"&lt;&gt;-",$D$4:$D$200,"&lt;&gt;是",$E$4:$E$200,"&lt;&gt;封闭期",$H$4:$H$200,"&gt;10",$BN$4:$BN$200,"&gt;-6",$BR$4:$BR$200,"&gt;=70",$K$4:$K$200,"&lt;=30",$C$4:$C$200,"&lt;20190630",BI$4:BI$200,"&gt;="&amp;BI23)&amp;"/"&amp;COUNTIFS(BI$4:BI$200,"&lt;&gt;-",$D$4:$D$200,"&lt;&gt;是",$E$4:$E$200,"&lt;&gt;封闭期",$H$4:$H$200,"&gt;10",$BN$4:$BN$200,"&gt;-6",$BR$4:$BR$200,"&gt;=70",$C$4:$C$200,"&lt;20190630",$K$4:$K$200,"&lt;=30"))</f>
        <v>-</v>
      </c>
      <c r="BM23" s="33" t="str">
        <f>IF(OR($C23&gt;20190630,$K23&gt;30,BI23="-",$D23="是",$E23="封闭期",$H23&lt;10,$BN23&lt;-6,$BR23&lt;70),"-",COUNTIFS(BI$4:BI$200,"&lt;&gt;-",$D$4:$D$200,"&lt;&gt;是",$E$4:$E$200,"&lt;&gt;封闭期",$H$4:$H$200,"&gt;10",$BN$4:$BN$200,"&gt;-6",$BR$4:$BR$200,"&gt;=70",$K$4:$K$200,"&lt;=30",$C$4:$C$200,"&lt;20190630",BI$4:BI$200,"&gt;="&amp;BI23)/COUNTIFS(BI$4:BI$200,"&lt;&gt;-",$D$4:$D$200,"&lt;&gt;是",$E$4:$E$200,"&lt;&gt;封闭期",$H$4:$H$200,"&gt;10",$BN$4:$BN$200,"&gt;-6",$BR$4:$BR$200,"&gt;=70",$C$4:$C$200,"&lt;20190630",$K$4:$K$200,"&lt;=30"))</f>
        <v>-</v>
      </c>
      <c r="BN23" s="21">
        <f>[1]!f_risk_maxdownside(A23,$AM$2,$E$1)</f>
        <v>-6.9777366811295121</v>
      </c>
      <c r="BO23" s="21">
        <f>IF(C23&lt;20190930,[1]!f_return_2y(A23,"0","20210930"),"-")</f>
        <v>19.085606450506095</v>
      </c>
      <c r="BP23" s="19" t="str">
        <f>IFERROR(RANK(BO23,BO:BO)&amp;"/"&amp;COUNT(BO:BO),"-")</f>
        <v>44/197</v>
      </c>
      <c r="BQ23" s="25">
        <f>IFERROR(RANK(BO23,BO:BO)/COUNT(BO:BO),"-")</f>
        <v>0.2233502538071066</v>
      </c>
      <c r="BR23" s="19">
        <f>IF(C23&lt;20190930,[1]!f_absolute_profitmonthper(A23,"20190930","20210930"),"-")</f>
        <v>66.666666666666657</v>
      </c>
      <c r="BS23" s="19" t="str">
        <f>IFERROR(RANK(BR23,BR:BR)&amp;"/"&amp;COUNT(BR:BR),"-")</f>
        <v>115/198</v>
      </c>
      <c r="BT23" s="25">
        <f>IFERROR(RANK(BR23,BR:BR)/COUNT(BR:BR),"-")</f>
        <v>0.58080808080808077</v>
      </c>
      <c r="BV23" s="12">
        <f>X23-3/M23</f>
        <v>0.4235200282151384</v>
      </c>
      <c r="BW23" s="76">
        <f>IFERROR(RANK(BV23,BV:BV)/COUNT(BV:BV),"-")</f>
        <v>0.76649746192893398</v>
      </c>
      <c r="BX23" s="76">
        <f>IFERROR(RANK(L23,L:L)/COUNT(L:L),"-")</f>
        <v>0.63131313131313127</v>
      </c>
      <c r="BY23" s="12">
        <f>AY23-3/AN23</f>
        <v>1.9277277980076322</v>
      </c>
      <c r="BZ23" s="76">
        <f>IFERROR(RANK(BY23,BY:BY)/COUNT(BY:BY),"-")</f>
        <v>0.3604060913705584</v>
      </c>
      <c r="CA23" s="76">
        <f>IFERROR(RANK(AM23,AM:AM)/COUNT(AM:AM),"-")</f>
        <v>0.10606060606060606</v>
      </c>
      <c r="CB23" s="2"/>
      <c r="CC23" s="77">
        <f>AV23+BF23+BZ23+CA23</f>
        <v>1.0349946162128902</v>
      </c>
      <c r="CD23" s="77">
        <f>BW23+BX23+AE23+U23</f>
        <v>3.0018715069476487</v>
      </c>
      <c r="CE23" s="77">
        <f>CC23+CD23</f>
        <v>4.0368661231605394</v>
      </c>
    </row>
    <row r="24" spans="1:83" s="17" customFormat="1" hidden="1" x14ac:dyDescent="0.35">
      <c r="A24" s="15" t="s">
        <v>195</v>
      </c>
      <c r="B24" s="15" t="s">
        <v>196</v>
      </c>
      <c r="C24" s="16">
        <v>20150507</v>
      </c>
      <c r="D24" s="16" t="str">
        <f>[1]!f_info_regulopenfundornot(A24)</f>
        <v>否</v>
      </c>
      <c r="E24" s="16" t="str">
        <f>[1]!f_dq_status(A24,$E$1)</f>
        <v>开放申购|开放赎回</v>
      </c>
      <c r="F24" s="17" t="str">
        <f>[1]!f_info_fundmanager(A24)</f>
        <v>杨超,方敬</v>
      </c>
      <c r="G24" s="16">
        <v>20210203</v>
      </c>
      <c r="H24" s="18">
        <f>[1]!f_netasset_total(A24,$E$1,100000000)</f>
        <v>7.0363700367999993</v>
      </c>
      <c r="I24" s="18">
        <f>[1]!f_prt_convertiblebondtonav(A24,$E$1)</f>
        <v>5.8831644058227539</v>
      </c>
      <c r="J24" s="18">
        <f>[1]!f_prt_stocktonav(A24,$E$1)+0.5*I24</f>
        <v>19.81878137588501</v>
      </c>
      <c r="K24" s="19">
        <v>15.737944340738711</v>
      </c>
      <c r="L24" s="19">
        <f>[1]!f_return($A24,"1",L$2,$E$1)</f>
        <v>9.4619351615034866</v>
      </c>
      <c r="M24" s="19">
        <f>[1]!f_risk_stdevyearly($A24,L$2,$E$1,1,1)</f>
        <v>5.609659304268674</v>
      </c>
      <c r="N24" s="19">
        <f>IFERROR(L24/M24,"-")</f>
        <v>1.6867218931287717</v>
      </c>
      <c r="O24" s="19" t="str">
        <f>IFERROR(RANK(N24,N:N)&amp;"/"&amp;COUNT(N:N),"-")</f>
        <v>69/197</v>
      </c>
      <c r="P24" s="26">
        <f>IF(O24="-","-",RANK(N24,N:N)/COUNT(N:N))</f>
        <v>0.35025380710659898</v>
      </c>
      <c r="Q24" s="56">
        <v>0.19289340101522842</v>
      </c>
      <c r="R24" s="33" t="str">
        <f>IF(OR($C24&gt;20190630,$K24&gt;30,N24="-",$D24="是",$E24="封闭期",$H24&lt;10,$BN24&lt;-6,$BR24&lt;70),"-",COUNTIFS(N$4:N$200,"&lt;&gt;-",$D$4:$D$200,"&lt;&gt;是",$E$4:$E$200,"&lt;&gt;封闭期",$H$4:$H$200,"&gt;10",$BN$4:$BN$200,"&gt;-6",$BR$4:$BR$200,"&gt;=70",$K$4:$K$200,"&lt;=30",$C$4:$C$200,"&lt;20190630",N$4:N$200,"&gt;="&amp;N24)/COUNTIFS(N$4:N$200,"&lt;&gt;-",$D$4:$D$200,"&lt;&gt;是",$E$4:$E$200,"&lt;&gt;封闭期",$H$4:$H$200,"&gt;10",$BN$4:$BN$200,"&gt;-6",$BR$4:$BR$200,"&gt;=70",$C$4:$C$200,"&lt;20190630",$K$4:$K$200,"&lt;=30"))</f>
        <v>-</v>
      </c>
      <c r="S24" s="19">
        <f>IFERROR((L24-3)/M24,"-")</f>
        <v>1.1519300568906694</v>
      </c>
      <c r="T24" s="19" t="str">
        <f>IFERROR(RANK(S24,S:S)&amp;"/"&amp;COUNT(S:S),"-")</f>
        <v>62/197</v>
      </c>
      <c r="U24" s="26">
        <f>IFERROR(RANK(S24,S:S)/COUNT(S:S),"-")</f>
        <v>0.31472081218274112</v>
      </c>
      <c r="V24" s="34" t="str">
        <f>IF(OR($C24&gt;20190630,$K24&gt;30,S24="-",$D24="是",$E24="封闭期",$H24&lt;10,$BN24&lt;-6,$BR24&lt;70),"-",COUNTIFS(S$4:S$200,"&lt;&gt;-",$D$4:$D$200,"&lt;&gt;是",$E$4:$E$200,"&lt;&gt;封闭期",$H$4:$H$200,"&gt;10",$BN$4:$BN$200,"&gt;-6",$BR$4:$BR$200,"&gt;=70",$K$4:$K$200,"&lt;=30",$C$4:$C$200,"&lt;20190630",S$4:S$200,"&gt;="&amp;S24)&amp;"/"&amp;COUNTIFS(S$4:S$200,"&lt;&gt;-",$D$4:$D$200,"&lt;&gt;是",$E$4:$E$200,"&lt;&gt;封闭期",$H$4:$H$200,"&gt;10",$BN$4:$BN$200,"&gt;-6",$BR$4:$BR$200,"&gt;=70",$C$4:$C$200,"&lt;20190630",$K$4:$K$200,"&lt;=30"))</f>
        <v>-</v>
      </c>
      <c r="W24" s="33" t="str">
        <f>IF(OR($C24&gt;20190630,$K24&gt;30,S24="-",$D24="是",$E24="封闭期",$H24&lt;10,$BN24&lt;-6,$BR24&lt;70),"-",COUNTIFS(S$4:S$200,"&lt;&gt;-",$D$4:$D$200,"&lt;&gt;是",$E$4:$E$200,"&lt;&gt;封闭期",$H$4:$H$200,"&gt;10",$BN$4:$BN$200,"&gt;-6",$BR$4:$BR$200,"&gt;=70",$K$4:$K$200,"&lt;=30",$C$4:$C$200,"&lt;20190630",S$4:S$200,"&gt;="&amp;S24)/COUNTIFS(S$4:S$200,"&lt;&gt;-",$D$4:$D$200,"&lt;&gt;是",$E$4:$E$200,"&lt;&gt;封闭期",$H$4:$H$200,"&gt;10",$BN$4:$BN$200,"&gt;-6",$BR$4:$BR$200,"&gt;=70",$C$4:$C$200,"&lt;20190630",$K$4:$K$200,"&lt;=30"))</f>
        <v>-</v>
      </c>
      <c r="X24" s="19">
        <f>[1]!f_risk_calmar(A24,$L$2,$E$1)</f>
        <v>1.993887791305919</v>
      </c>
      <c r="Y24" s="19" t="str">
        <f>IFERROR(RANK(X24,X:X)&amp;"/"&amp;COUNT(X:X),"-")</f>
        <v>98/197</v>
      </c>
      <c r="Z24" s="26">
        <f>IFERROR(RANK(X24,X:X)/COUNT(X:X),"-")</f>
        <v>0.49746192893401014</v>
      </c>
      <c r="AA24" s="34" t="str">
        <f>IF(OR($C24&gt;20190630,$K24&gt;30,X24="-",$D24="是",$E24="封闭期",$H24&lt;10,$BN24&lt;-6,$BR24&lt;70),"-",COUNTIFS(X$4:X$200,"&lt;&gt;-",$D$4:$D$200,"&lt;&gt;是",$E$4:$E$200,"&lt;&gt;封闭期",$H$4:$H$200,"&gt;10",$BN$4:$BN$200,"&gt;-6",$BR$4:$BR$200,"&gt;=70",$K$4:$K$200,"&lt;=30",$C$4:$C$200,"&lt;20190630",X$4:X$200,"&gt;="&amp;X24)&amp;"/"&amp;COUNTIFS(X$4:X$200,"&lt;&gt;-",$D$4:$D$200,"&lt;&gt;是",$E$4:$E$200,"&lt;&gt;封闭期",$H$4:$H$200,"&gt;10",$BN$4:$BN$200,"&gt;-6",$BR$4:$BR$200,"&gt;=70",$C$4:$C$200,"&lt;20190630",$K$4:$K$200,"&lt;=30"))</f>
        <v>-</v>
      </c>
      <c r="AB24" s="33" t="str">
        <f>IF(OR($C24&gt;20190630,$K24&gt;30,X24="-",$D24="是",$E24="封闭期",$H24&lt;10,$BN24&lt;-6,$BR24&lt;70),"-",COUNTIFS(X$4:X$200,"&lt;&gt;-",$D$4:$D$200,"&lt;&gt;是",$E$4:$E$200,"&lt;&gt;封闭期",$H$4:$H$200,"&gt;10",$BN$4:$BN$200,"&gt;-6",$BR$4:$BR$200,"&gt;=70",$K$4:$K$200,"&lt;=30",$C$4:$C$200,"&lt;20190630",X$4:X$200,"&gt;="&amp;X24)/COUNTIFS(X$4:X$200,"&lt;&gt;-",$D$4:$D$200,"&lt;&gt;是",$E$4:$E$200,"&lt;&gt;封闭期",$H$4:$H$200,"&gt;10",$BN$4:$BN$200,"&gt;-6",$BR$4:$BR$200,"&gt;=70",$C$4:$C$200,"&lt;20190630",$K$4:$K$200,"&lt;=30"))</f>
        <v>-</v>
      </c>
      <c r="AC24" s="20">
        <v>1</v>
      </c>
      <c r="AD24" s="19" t="str">
        <f>IFERROR(RANK(AC24,AC:AC)&amp;"/"&amp;COUNT(AC:AC),"-")</f>
        <v>1/197</v>
      </c>
      <c r="AE24" s="26">
        <f>IFERROR(RANK(AC24,AC:AC)/COUNT(AC:AC),"-")</f>
        <v>5.076142131979695E-3</v>
      </c>
      <c r="AF24" s="34" t="str">
        <f>IF(OR($C24&gt;20190630,$K24&gt;30,AC24="-",$D24="是",$E24="封闭期",$H24&lt;10,$BN24&lt;-6,$BR24&lt;70),"-",COUNTIFS(AC$4:AC$200,"&lt;&gt;-",$D$4:$D$200,"&lt;&gt;是",$E$4:$E$200,"&lt;&gt;封闭期",$H$4:$H$200,"&gt;10",$BN$4:$BN$200,"&gt;-6",$BR$4:$BR$200,"&gt;=70",$K$4:$K$200,"&lt;=30",$C$4:$C$200,"&lt;20190630",AC$4:AC$200,"&gt;="&amp;AC24)&amp;"/"&amp;COUNTIFS(AC$4:AC$200,"&lt;&gt;-",$D$4:$D$200,"&lt;&gt;是",$E$4:$E$200,"&lt;&gt;封闭期",$H$4:$H$200,"&gt;10",$BN$4:$BN$200,"&gt;-6",$BR$4:$BR$200,"&gt;=70",$C$4:$C$200,"&lt;20190630",$K$4:$K$200,"&lt;=30"))</f>
        <v>-</v>
      </c>
      <c r="AG24" s="33" t="str">
        <f>IF(OR($C24&gt;20190630,$K24&gt;30,AC24="-",$D24="是",$E24="封闭期",$H24&lt;10,$BN24&lt;-6,$BR24&lt;70),"-",COUNTIFS(AC$4:AC$200,"&lt;&gt;-",$D$4:$D$200,"&lt;&gt;是",$E$4:$E$200,"&lt;&gt;封闭期",$H$4:$H$200,"&gt;10",$BN$4:$BN$200,"&gt;-6",$BR$4:$BR$200,"&gt;=70",$K$4:$K$200,"&lt;=30",$C$4:$C$200,"&lt;20190630",AC$4:AC$200,"&gt;="&amp;AC24)/COUNTIFS(AC$4:AC$200,"&lt;&gt;-",$D$4:$D$200,"&lt;&gt;是",$E$4:$E$200,"&lt;&gt;封闭期",$H$4:$H$200,"&gt;10",$BN$4:$BN$200,"&gt;-6",$BR$4:$BR$200,"&gt;=70",$C$4:$C$200,"&lt;20190630",$K$4:$K$200,"&lt;=30"))</f>
        <v>-</v>
      </c>
      <c r="AH24" s="21">
        <f>[1]!f_risk_maxdownside(A24,$L$2,$E$1)</f>
        <v>-4.745470232959442</v>
      </c>
      <c r="AI24" s="19" t="str">
        <f>IFERROR(RANK(AH24,AH:AH)&amp;"/"&amp;COUNT(AH:AH),"-")</f>
        <v>149/197</v>
      </c>
      <c r="AJ24" s="26">
        <f>IFERROR(RANK(AH24,AH:AH)/COUNT(AH:AH),"-")</f>
        <v>0.75634517766497467</v>
      </c>
      <c r="AK24" s="34" t="str">
        <f>IF(OR($C24&gt;20190630,$K24&gt;30,AH24="-",$D24="是",$E24="封闭期",$H24&lt;10,$BN24&lt;-6,$BR24&lt;70),"-",COUNTIFS(AH$4:AH$200,"&lt;&gt;-",$D$4:$D$200,"&lt;&gt;是",$E$4:$E$200,"&lt;&gt;封闭期",$H$4:$H$200,"&gt;10",$BN$4:$BN$200,"&gt;-6",$BR$4:$BR$200,"&gt;=70",$K$4:$K$200,"&lt;=30",$C$4:$C$200,"&lt;20190630",AH$4:AH$200,"&gt;="&amp;AH24)&amp;"/"&amp;COUNTIFS(AH$4:AH$200,"&lt;&gt;-",$D$4:$D$200,"&lt;&gt;是",$E$4:$E$200,"&lt;&gt;封闭期",$H$4:$H$200,"&gt;10",$BN$4:$BN$200,"&gt;-6",$BR$4:$BR$200,"&gt;=70",$C$4:$C$200,"&lt;20190630",$K$4:$K$200,"&lt;=30"))</f>
        <v>-</v>
      </c>
      <c r="AL24" s="33" t="str">
        <f>IF(OR($C24&gt;20190630,$K24&gt;30,AH24="-",$D24="是",$E24="封闭期",$H24&lt;10,$BN24&lt;-6,$BR24&lt;70),"-",COUNTIFS(AH$4:AH$200,"&lt;&gt;-",$D$4:$D$200,"&lt;&gt;是",$E$4:$E$200,"&lt;&gt;封闭期",$H$4:$H$200,"&gt;10",$BN$4:$BN$200,"&gt;-6",$BR$4:$BR$200,"&gt;=70",$K$4:$K$200,"&lt;=30",$C$4:$C$200,"&lt;20190630",AH$4:AH$200,"&gt;="&amp;AH24)/COUNTIFS(AH$4:AH$200,"&lt;&gt;-",$D$4:$D$200,"&lt;&gt;是",$E$4:$E$200,"&lt;&gt;封闭期",$H$4:$H$200,"&gt;10",$BN$4:$BN$200,"&gt;-6",$BR$4:$BR$200,"&gt;=70",$C$4:$C$200,"&lt;20190630",$K$4:$K$200,"&lt;=30"))</f>
        <v>-</v>
      </c>
      <c r="AM24" s="19">
        <f>[1]!f_return($A24,"1",AM$2,$L$2)</f>
        <v>13.468465088975524</v>
      </c>
      <c r="AN24" s="19">
        <f>[1]!f_risk_stdevyearly($A24,AM$2,$L$2,1,1)</f>
        <v>12.063690992907672</v>
      </c>
      <c r="AO24" s="19">
        <f>IFERROR(AM24/AN24,"-")</f>
        <v>1.1164464587905749</v>
      </c>
      <c r="AP24" s="19" t="str">
        <f>IFERROR(RANK(AO24,AO:AO)&amp;"/"&amp;COUNT(AO:AO),"-")</f>
        <v>149/197</v>
      </c>
      <c r="AQ24" s="26">
        <f>IF(AP24="-","-",RANK(AO24,AO:AO)/COUNT(AO:AO))</f>
        <v>0.75634517766497467</v>
      </c>
      <c r="AR24" s="57">
        <v>0.1065989847715736</v>
      </c>
      <c r="AS24" s="33" t="str">
        <f>IF(OR($C24&gt;20190630,$K24&gt;30,AO24="-",$D24="是",$E24="封闭期",$H24&lt;10,$BN24&lt;-6,$BR24&lt;70),"-",COUNTIFS(AO$4:AO$200,"&lt;&gt;-",$D$4:$D$200,"&lt;&gt;是",$E$4:$E$200,"&lt;&gt;封闭期",$H$4:$H$200,"&gt;10",$BN$4:$BN$200,"&gt;-6",$BR$4:$BR$200,"&gt;=70",$K$4:$K$200,"&lt;=30",$C$4:$C$200,"&lt;20190630",AO$4:AO$200,"&gt;="&amp;AO24)/COUNTIFS(AO$4:AO$200,"&lt;&gt;-",$D$4:$D$200,"&lt;&gt;是",$E$4:$E$200,"&lt;&gt;封闭期",$H$4:$H$200,"&gt;10",$BN$4:$BN$200,"&gt;-6",$BR$4:$BR$200,"&gt;=70",$C$4:$C$200,"&lt;20190630",$K$4:$K$200,"&lt;=30"))</f>
        <v>-</v>
      </c>
      <c r="AT24" s="19">
        <f>IFERROR((AM24-3)/AN24,"-")</f>
        <v>0.86776634904939187</v>
      </c>
      <c r="AU24" s="19" t="str">
        <f>IFERROR(RANK(AT24,AT:AT)&amp;"/"&amp;COUNT(AT:AT),"-")</f>
        <v>98/197</v>
      </c>
      <c r="AV24" s="26">
        <f>IFERROR(RANK(AT24,AT:AT)/COUNT(AT:AT),"-")</f>
        <v>0.49746192893401014</v>
      </c>
      <c r="AW24" s="34" t="str">
        <f>IF(OR($C24&gt;20190630,$K24&gt;30,AT24="-",$D24="是",$E24="封闭期",$H24&lt;10,$BN24&lt;-6,$BR24&lt;70),"-",COUNTIFS(AT$4:AT$200,"&lt;&gt;-",$D$4:$D$200,"&lt;&gt;是",$E$4:$E$200,"&lt;&gt;封闭期",$H$4:$H$200,"&gt;10",$BN$4:$BN$200,"&gt;-6",$BR$4:$BR$200,"&gt;=70",$K$4:$K$200,"&lt;=30",$C$4:$C$200,"&lt;20190630",AT$4:AT$200,"&gt;="&amp;AT24)&amp;"/"&amp;COUNTIFS(AT$4:AT$200,"&lt;&gt;-",$D$4:$D$200,"&lt;&gt;是",$E$4:$E$200,"&lt;&gt;封闭期",$H$4:$H$200,"&gt;10",$BN$4:$BN$200,"&gt;-6",$BR$4:$BR$200,"&gt;=70",$C$4:$C$200,"&lt;20190630",$K$4:$K$200,"&lt;=30"))</f>
        <v>-</v>
      </c>
      <c r="AX24" s="33" t="str">
        <f>IF(OR($C24&gt;20190630,$K24&gt;30,AT24="-",$D24="是",$E24="封闭期",$H24&lt;10,$BN24&lt;-6,$BR24&lt;70),"-",COUNTIFS(AT$4:AT$200,"&lt;&gt;-",$D$4:$D$200,"&lt;&gt;是",$E$4:$E$200,"&lt;&gt;封闭期",$H$4:$H$200,"&gt;10",$BN$4:$BN$200,"&gt;-6",$BR$4:$BR$200,"&gt;=70",$K$4:$K$200,"&lt;=30",$C$4:$C$200,"&lt;20190630",AT$4:AT$200,"&gt;="&amp;AT24)/COUNTIFS(AT$4:AT$200,"&lt;&gt;-",$D$4:$D$200,"&lt;&gt;是",$E$4:$E$200,"&lt;&gt;封闭期",$H$4:$H$200,"&gt;10",$BN$4:$BN$200,"&gt;-6",$BR$4:$BR$200,"&gt;=70",$C$4:$C$200,"&lt;20190630",$K$4:$K$200,"&lt;=30"))</f>
        <v>-</v>
      </c>
      <c r="AY24" s="19">
        <f>[1]!f_risk_calmar(A24,$AM$2,$L$2)</f>
        <v>1.272769950908188</v>
      </c>
      <c r="AZ24" s="19" t="str">
        <f>IFERROR(RANK(AY24,AY:AY)&amp;"/"&amp;COUNT(AY:AY),"-")</f>
        <v>153/197</v>
      </c>
      <c r="BA24" s="26">
        <f>IFERROR(RANK(AY24,AY:AY)/COUNT(AY:AY),"-")</f>
        <v>0.7766497461928934</v>
      </c>
      <c r="BB24" s="34" t="str">
        <f>IF(OR($C24&gt;20190630,$K24&gt;30,AY24="-",$D24="是",$E24="封闭期",$H24&lt;10,$BN24&lt;-6,$BR24&lt;70),"-",COUNTIFS(AY$4:AY$200,"&lt;&gt;-",$D$4:$D$200,"&lt;&gt;是",$E$4:$E$200,"&lt;&gt;封闭期",$H$4:$H$200,"&gt;10",$BN$4:$BN$200,"&gt;-6",$BR$4:$BR$200,"&gt;=70",$K$4:$K$200,"&lt;=30",$C$4:$C$200,"&lt;20190630",AY$4:AY$200,"&gt;="&amp;AY24)&amp;"/"&amp;COUNTIFS(AY$4:AY$200,"&lt;&gt;-",$D$4:$D$200,"&lt;&gt;是",$E$4:$E$200,"&lt;&gt;封闭期",$H$4:$H$200,"&gt;10",$BN$4:$BN$200,"&gt;-6",$BR$4:$BR$200,"&gt;=70",$C$4:$C$200,"&lt;20190630",$K$4:$K$200,"&lt;=30"))</f>
        <v>-</v>
      </c>
      <c r="BC24" s="33" t="str">
        <f>IF(OR($C24&gt;20190630,$K24&gt;30,AY24="-",$D24="是",$E24="封闭期",$H24&lt;10,$BN24&lt;-6,$BR24&lt;70),"-",COUNTIFS(AY$4:AY$200,"&lt;&gt;-",$D$4:$D$200,"&lt;&gt;是",$E$4:$E$200,"&lt;&gt;封闭期",$H$4:$H$200,"&gt;10",$BN$4:$BN$200,"&gt;-6",$BR$4:$BR$200,"&gt;=70",$K$4:$K$200,"&lt;=30",$C$4:$C$200,"&lt;20190630",AY$4:AY$200,"&gt;="&amp;AY24)/COUNTIFS(AY$4:AY$200,"&lt;&gt;-",$D$4:$D$200,"&lt;&gt;是",$E$4:$E$200,"&lt;&gt;封闭期",$H$4:$H$200,"&gt;10",$BN$4:$BN$200,"&gt;-6",$BR$4:$BR$200,"&gt;=70",$C$4:$C$200,"&lt;20190630",$K$4:$K$200,"&lt;=30"))</f>
        <v>-</v>
      </c>
      <c r="BD24" s="20">
        <v>0.96666666666666667</v>
      </c>
      <c r="BE24" s="19" t="str">
        <f>IFERROR(RANK(BD24,BD:BD)&amp;"/"&amp;COUNT(BD:BD),"-")</f>
        <v>158/197</v>
      </c>
      <c r="BF24" s="26">
        <f>IFERROR(RANK(BD24,BD:BD)/COUNT(BD:BD),"-")</f>
        <v>0.80203045685279184</v>
      </c>
      <c r="BG24" s="34" t="str">
        <f>IF(OR($C24&gt;20190630,$K24&gt;30,BD24="-",$D24="是",$E24="封闭期",$H24&lt;10,$BN24&lt;-6,$BR24&lt;70),"-",COUNTIFS(BD$4:BD$200,"&lt;&gt;-",$D$4:$D$200,"&lt;&gt;是",$E$4:$E$200,"&lt;&gt;封闭期",$H$4:$H$200,"&gt;10",$BN$4:$BN$200,"&gt;-6",$BR$4:$BR$200,"&gt;=70",$K$4:$K$200,"&lt;=30",$C$4:$C$200,"&lt;20190630",BD$4:BD$200,"&gt;="&amp;BD24)&amp;"/"&amp;COUNTIFS(BD$4:BD$200,"&lt;&gt;-",$D$4:$D$200,"&lt;&gt;是",$E$4:$E$200,"&lt;&gt;封闭期",$H$4:$H$200,"&gt;10",$BN$4:$BN$200,"&gt;-6",$BR$4:$BR$200,"&gt;=70",$C$4:$C$200,"&lt;20190630",$K$4:$K$200,"&lt;=30"))</f>
        <v>-</v>
      </c>
      <c r="BH24" s="33" t="str">
        <f>IF(OR($C24&gt;20190630,$K24&gt;30,BD24="-",$D24="是",$E24="封闭期",$H24&lt;10,$BN24&lt;-6,$BR24&lt;70),"-",COUNTIFS(BD$4:BD$200,"&lt;&gt;-",$D$4:$D$200,"&lt;&gt;是",$E$4:$E$200,"&lt;&gt;封闭期",$H$4:$H$200,"&gt;10",$BN$4:$BN$200,"&gt;-6",$BR$4:$BR$200,"&gt;=70",$K$4:$K$200,"&lt;=30",$C$4:$C$200,"&lt;20190630",BD$4:BD$200,"&gt;="&amp;BD24)/COUNTIFS(BD$4:BD$200,"&lt;&gt;-",$D$4:$D$200,"&lt;&gt;是",$E$4:$E$200,"&lt;&gt;封闭期",$H$4:$H$200,"&gt;10",$BN$4:$BN$200,"&gt;-6",$BR$4:$BR$200,"&gt;=70",$C$4:$C$200,"&lt;20190630",$K$4:$K$200,"&lt;=30"))</f>
        <v>-</v>
      </c>
      <c r="BI24" s="21">
        <f>[1]!f_risk_maxdownside(A24,$AM$2,$L$2)</f>
        <v>-10.582010582010573</v>
      </c>
      <c r="BJ24" s="19" t="str">
        <f>IFERROR(RANK(BI24,BI:BI)&amp;"/"&amp;COUNT(BI:BI),"-")</f>
        <v>192/197</v>
      </c>
      <c r="BK24" s="26">
        <f>IFERROR(RANK(BI24,BI:BI)/COUNT(BI:BI),"-")</f>
        <v>0.97461928934010156</v>
      </c>
      <c r="BL24" s="34" t="str">
        <f>IF(OR($C24&gt;20190630,$K24&gt;30,BI24="-",$D24="是",$E24="封闭期",$H24&lt;10,$BN24&lt;-6,$BR24&lt;70),"-",COUNTIFS(BI$4:BI$200,"&lt;&gt;-",$D$4:$D$200,"&lt;&gt;是",$E$4:$E$200,"&lt;&gt;封闭期",$H$4:$H$200,"&gt;10",$BN$4:$BN$200,"&gt;-6",$BR$4:$BR$200,"&gt;=70",$K$4:$K$200,"&lt;=30",$C$4:$C$200,"&lt;20190630",BI$4:BI$200,"&gt;="&amp;BI24)&amp;"/"&amp;COUNTIFS(BI$4:BI$200,"&lt;&gt;-",$D$4:$D$200,"&lt;&gt;是",$E$4:$E$200,"&lt;&gt;封闭期",$H$4:$H$200,"&gt;10",$BN$4:$BN$200,"&gt;-6",$BR$4:$BR$200,"&gt;=70",$C$4:$C$200,"&lt;20190630",$K$4:$K$200,"&lt;=30"))</f>
        <v>-</v>
      </c>
      <c r="BM24" s="33" t="str">
        <f>IF(OR($C24&gt;20190630,$K24&gt;30,BI24="-",$D24="是",$E24="封闭期",$H24&lt;10,$BN24&lt;-6,$BR24&lt;70),"-",COUNTIFS(BI$4:BI$200,"&lt;&gt;-",$D$4:$D$200,"&lt;&gt;是",$E$4:$E$200,"&lt;&gt;封闭期",$H$4:$H$200,"&gt;10",$BN$4:$BN$200,"&gt;-6",$BR$4:$BR$200,"&gt;=70",$K$4:$K$200,"&lt;=30",$C$4:$C$200,"&lt;20190630",BI$4:BI$200,"&gt;="&amp;BI24)/COUNTIFS(BI$4:BI$200,"&lt;&gt;-",$D$4:$D$200,"&lt;&gt;是",$E$4:$E$200,"&lt;&gt;封闭期",$H$4:$H$200,"&gt;10",$BN$4:$BN$200,"&gt;-6",$BR$4:$BR$200,"&gt;=70",$C$4:$C$200,"&lt;20190630",$K$4:$K$200,"&lt;=30"))</f>
        <v>-</v>
      </c>
      <c r="BN24" s="21">
        <f>[1]!f_risk_maxdownside(A24,$AM$2,$E$1)</f>
        <v>-10.582010582010573</v>
      </c>
      <c r="BO24" s="21">
        <f>IF(C24&lt;20190930,[1]!f_return_2y(A24,"0","20210930"),"-")</f>
        <v>24.740124740124738</v>
      </c>
      <c r="BP24" s="19" t="str">
        <f>IFERROR(RANK(BO24,BO:BO)&amp;"/"&amp;COUNT(BO:BO),"-")</f>
        <v>23/197</v>
      </c>
      <c r="BQ24" s="25">
        <f>IFERROR(RANK(BO24,BO:BO)/COUNT(BO:BO),"-")</f>
        <v>0.116751269035533</v>
      </c>
      <c r="BR24" s="19">
        <f>IF(C24&lt;20190930,[1]!f_absolute_profitmonthper(A24,"20190930","20210930"),"-")</f>
        <v>83.333333333333343</v>
      </c>
      <c r="BS24" s="19" t="str">
        <f>IFERROR(RANK(BR24,BR:BR)&amp;"/"&amp;COUNT(BR:BR),"-")</f>
        <v>4/198</v>
      </c>
      <c r="BT24" s="25">
        <f>IFERROR(RANK(BR24,BR:BR)/COUNT(BR:BR),"-")</f>
        <v>2.0202020202020204E-2</v>
      </c>
      <c r="BV24" s="12">
        <f>X24-3/M24</f>
        <v>1.4590959550678166</v>
      </c>
      <c r="BW24" s="76">
        <f>IFERROR(RANK(BV24,BV:BV)/COUNT(BV:BV),"-")</f>
        <v>0.4720812182741117</v>
      </c>
      <c r="BX24" s="76">
        <f>IFERROR(RANK(L24,L:L)/COUNT(L:L),"-")</f>
        <v>0.19696969696969696</v>
      </c>
      <c r="BY24" s="12">
        <f>AY24-3/AN24</f>
        <v>1.024089841167005</v>
      </c>
      <c r="BZ24" s="76">
        <f>IFERROR(RANK(BY24,BY:BY)/COUNT(BY:BY),"-")</f>
        <v>0.67005076142131981</v>
      </c>
      <c r="CA24" s="76">
        <f>IFERROR(RANK(AM24,AM:AM)/COUNT(AM:AM),"-")</f>
        <v>0.1111111111111111</v>
      </c>
      <c r="CB24" s="2"/>
      <c r="CC24" s="77">
        <f>AV24+BF24+BZ24+CA24</f>
        <v>2.0806542583192327</v>
      </c>
      <c r="CD24" s="77">
        <f>BW24+BX24+AE24+U24</f>
        <v>0.98884786955852944</v>
      </c>
      <c r="CE24" s="77">
        <f>CC24+CD24</f>
        <v>3.0695021278777621</v>
      </c>
    </row>
    <row r="25" spans="1:83" s="17" customFormat="1" hidden="1" x14ac:dyDescent="0.35">
      <c r="A25" s="15" t="s">
        <v>347</v>
      </c>
      <c r="B25" s="15" t="s">
        <v>348</v>
      </c>
      <c r="C25" s="16">
        <v>20170915</v>
      </c>
      <c r="D25" s="16" t="str">
        <f>[1]!f_info_regulopenfundornot(A25)</f>
        <v>是</v>
      </c>
      <c r="E25" s="16" t="str">
        <f>[1]!f_dq_status(A25,$E$1)</f>
        <v>暂停申购|暂停赎回</v>
      </c>
      <c r="F25" s="17" t="str">
        <f>[1]!f_info_fundmanager(A25)</f>
        <v>梁钧</v>
      </c>
      <c r="G25" s="16">
        <v>20180922</v>
      </c>
      <c r="H25" s="18">
        <f>[1]!f_netasset_total(A25,$E$1,100000000)</f>
        <v>2.9167186845999997</v>
      </c>
      <c r="I25" s="18">
        <f>[1]!f_prt_convertiblebondtonav(A25,$E$1)</f>
        <v>21.250814437866211</v>
      </c>
      <c r="J25" s="18">
        <f>[1]!f_prt_stocktonav(A25,$E$1)+0.5*I25</f>
        <v>29.970667839050293</v>
      </c>
      <c r="K25" s="19">
        <v>13.783297035899549</v>
      </c>
      <c r="L25" s="19">
        <f>[1]!f_return($A25,"1",L$2,$E$1)</f>
        <v>3.4749959566414468</v>
      </c>
      <c r="M25" s="19">
        <f>[1]!f_risk_stdevyearly($A25,L$2,$E$1,1,1)</f>
        <v>16.995343762878505</v>
      </c>
      <c r="N25" s="19">
        <f>IFERROR(L25/M25,"-")</f>
        <v>0.20446752976139188</v>
      </c>
      <c r="O25" s="19" t="str">
        <f>IFERROR(RANK(N25,N:N)&amp;"/"&amp;COUNT(N:N),"-")</f>
        <v>184/197</v>
      </c>
      <c r="P25" s="26">
        <f>IF(O25="-","-",RANK(N25,N:N)/COUNT(N:N))</f>
        <v>0.93401015228426398</v>
      </c>
      <c r="Q25" s="56">
        <v>0.79187817258883253</v>
      </c>
      <c r="R25" s="33" t="str">
        <f>IF(OR($C25&gt;20190630,$K25&gt;30,N25="-",$D25="是",$E25="封闭期",$H25&lt;10,$BN25&lt;-6,$BR25&lt;70),"-",COUNTIFS(N$4:N$200,"&lt;&gt;-",$D$4:$D$200,"&lt;&gt;是",$E$4:$E$200,"&lt;&gt;封闭期",$H$4:$H$200,"&gt;10",$BN$4:$BN$200,"&gt;-6",$BR$4:$BR$200,"&gt;=70",$K$4:$K$200,"&lt;=30",$C$4:$C$200,"&lt;20190630",N$4:N$200,"&gt;="&amp;N25)/COUNTIFS(N$4:N$200,"&lt;&gt;-",$D$4:$D$200,"&lt;&gt;是",$E$4:$E$200,"&lt;&gt;封闭期",$H$4:$H$200,"&gt;10",$BN$4:$BN$200,"&gt;-6",$BR$4:$BR$200,"&gt;=70",$C$4:$C$200,"&lt;20190630",$K$4:$K$200,"&lt;=30"))</f>
        <v>-</v>
      </c>
      <c r="S25" s="19">
        <f>IFERROR((L25-3)/M25,"-")</f>
        <v>2.7948593642391651E-2</v>
      </c>
      <c r="T25" s="19" t="str">
        <f>IFERROR(RANK(S25,S:S)&amp;"/"&amp;COUNT(S:S),"-")</f>
        <v>161/197</v>
      </c>
      <c r="U25" s="26">
        <f>IFERROR(RANK(S25,S:S)/COUNT(S:S),"-")</f>
        <v>0.81725888324873097</v>
      </c>
      <c r="V25" s="34" t="str">
        <f>IF(OR($C25&gt;20190630,$K25&gt;30,S25="-",$D25="是",$E25="封闭期",$H25&lt;10,$BN25&lt;-6,$BR25&lt;70),"-",COUNTIFS(S$4:S$200,"&lt;&gt;-",$D$4:$D$200,"&lt;&gt;是",$E$4:$E$200,"&lt;&gt;封闭期",$H$4:$H$200,"&gt;10",$BN$4:$BN$200,"&gt;-6",$BR$4:$BR$200,"&gt;=70",$K$4:$K$200,"&lt;=30",$C$4:$C$200,"&lt;20190630",S$4:S$200,"&gt;="&amp;S25)&amp;"/"&amp;COUNTIFS(S$4:S$200,"&lt;&gt;-",$D$4:$D$200,"&lt;&gt;是",$E$4:$E$200,"&lt;&gt;封闭期",$H$4:$H$200,"&gt;10",$BN$4:$BN$200,"&gt;-6",$BR$4:$BR$200,"&gt;=70",$C$4:$C$200,"&lt;20190630",$K$4:$K$200,"&lt;=30"))</f>
        <v>-</v>
      </c>
      <c r="W25" s="33" t="str">
        <f>IF(OR($C25&gt;20190630,$K25&gt;30,S25="-",$D25="是",$E25="封闭期",$H25&lt;10,$BN25&lt;-6,$BR25&lt;70),"-",COUNTIFS(S$4:S$200,"&lt;&gt;-",$D$4:$D$200,"&lt;&gt;是",$E$4:$E$200,"&lt;&gt;封闭期",$H$4:$H$200,"&gt;10",$BN$4:$BN$200,"&gt;-6",$BR$4:$BR$200,"&gt;=70",$K$4:$K$200,"&lt;=30",$C$4:$C$200,"&lt;20190630",S$4:S$200,"&gt;="&amp;S25)/COUNTIFS(S$4:S$200,"&lt;&gt;-",$D$4:$D$200,"&lt;&gt;是",$E$4:$E$200,"&lt;&gt;封闭期",$H$4:$H$200,"&gt;10",$BN$4:$BN$200,"&gt;-6",$BR$4:$BR$200,"&gt;=70",$C$4:$C$200,"&lt;20190630",$K$4:$K$200,"&lt;=30"))</f>
        <v>-</v>
      </c>
      <c r="X25" s="19">
        <f>[1]!f_risk_calmar(A25,$L$2,$E$1)</f>
        <v>0.55999480983577365</v>
      </c>
      <c r="Y25" s="19" t="str">
        <f>IFERROR(RANK(X25,X:X)&amp;"/"&amp;COUNT(X:X),"-")</f>
        <v>174/197</v>
      </c>
      <c r="Z25" s="26">
        <f>IFERROR(RANK(X25,X:X)/COUNT(X:X),"-")</f>
        <v>0.88324873096446699</v>
      </c>
      <c r="AA25" s="34" t="str">
        <f>IF(OR($C25&gt;20190630,$K25&gt;30,X25="-",$D25="是",$E25="封闭期",$H25&lt;10,$BN25&lt;-6,$BR25&lt;70),"-",COUNTIFS(X$4:X$200,"&lt;&gt;-",$D$4:$D$200,"&lt;&gt;是",$E$4:$E$200,"&lt;&gt;封闭期",$H$4:$H$200,"&gt;10",$BN$4:$BN$200,"&gt;-6",$BR$4:$BR$200,"&gt;=70",$K$4:$K$200,"&lt;=30",$C$4:$C$200,"&lt;20190630",X$4:X$200,"&gt;="&amp;X25)&amp;"/"&amp;COUNTIFS(X$4:X$200,"&lt;&gt;-",$D$4:$D$200,"&lt;&gt;是",$E$4:$E$200,"&lt;&gt;封闭期",$H$4:$H$200,"&gt;10",$BN$4:$BN$200,"&gt;-6",$BR$4:$BR$200,"&gt;=70",$C$4:$C$200,"&lt;20190630",$K$4:$K$200,"&lt;=30"))</f>
        <v>-</v>
      </c>
      <c r="AB25" s="33" t="str">
        <f>IF(OR($C25&gt;20190630,$K25&gt;30,X25="-",$D25="是",$E25="封闭期",$H25&lt;10,$BN25&lt;-6,$BR25&lt;70),"-",COUNTIFS(X$4:X$200,"&lt;&gt;-",$D$4:$D$200,"&lt;&gt;是",$E$4:$E$200,"&lt;&gt;封闭期",$H$4:$H$200,"&gt;10",$BN$4:$BN$200,"&gt;-6",$BR$4:$BR$200,"&gt;=70",$K$4:$K$200,"&lt;=30",$C$4:$C$200,"&lt;20190630",X$4:X$200,"&gt;="&amp;X25)/COUNTIFS(X$4:X$200,"&lt;&gt;-",$D$4:$D$200,"&lt;&gt;是",$E$4:$E$200,"&lt;&gt;封闭期",$H$4:$H$200,"&gt;10",$BN$4:$BN$200,"&gt;-6",$BR$4:$BR$200,"&gt;=70",$C$4:$C$200,"&lt;20190630",$K$4:$K$200,"&lt;=30"))</f>
        <v>-</v>
      </c>
      <c r="AC25" s="20">
        <v>0.40336134453781508</v>
      </c>
      <c r="AD25" s="19" t="str">
        <f>IFERROR(RANK(AC25,AC:AC)&amp;"/"&amp;COUNT(AC:AC),"-")</f>
        <v>187/197</v>
      </c>
      <c r="AE25" s="26">
        <f>IFERROR(RANK(AC25,AC:AC)/COUNT(AC:AC),"-")</f>
        <v>0.949238578680203</v>
      </c>
      <c r="AF25" s="34" t="str">
        <f>IF(OR($C25&gt;20190630,$K25&gt;30,AC25="-",$D25="是",$E25="封闭期",$H25&lt;10,$BN25&lt;-6,$BR25&lt;70),"-",COUNTIFS(AC$4:AC$200,"&lt;&gt;-",$D$4:$D$200,"&lt;&gt;是",$E$4:$E$200,"&lt;&gt;封闭期",$H$4:$H$200,"&gt;10",$BN$4:$BN$200,"&gt;-6",$BR$4:$BR$200,"&gt;=70",$K$4:$K$200,"&lt;=30",$C$4:$C$200,"&lt;20190630",AC$4:AC$200,"&gt;="&amp;AC25)&amp;"/"&amp;COUNTIFS(AC$4:AC$200,"&lt;&gt;-",$D$4:$D$200,"&lt;&gt;是",$E$4:$E$200,"&lt;&gt;封闭期",$H$4:$H$200,"&gt;10",$BN$4:$BN$200,"&gt;-6",$BR$4:$BR$200,"&gt;=70",$C$4:$C$200,"&lt;20190630",$K$4:$K$200,"&lt;=30"))</f>
        <v>-</v>
      </c>
      <c r="AG25" s="33" t="str">
        <f>IF(OR($C25&gt;20190630,$K25&gt;30,AC25="-",$D25="是",$E25="封闭期",$H25&lt;10,$BN25&lt;-6,$BR25&lt;70),"-",COUNTIFS(AC$4:AC$200,"&lt;&gt;-",$D$4:$D$200,"&lt;&gt;是",$E$4:$E$200,"&lt;&gt;封闭期",$H$4:$H$200,"&gt;10",$BN$4:$BN$200,"&gt;-6",$BR$4:$BR$200,"&gt;=70",$K$4:$K$200,"&lt;=30",$C$4:$C$200,"&lt;20190630",AC$4:AC$200,"&gt;="&amp;AC25)/COUNTIFS(AC$4:AC$200,"&lt;&gt;-",$D$4:$D$200,"&lt;&gt;是",$E$4:$E$200,"&lt;&gt;封闭期",$H$4:$H$200,"&gt;10",$BN$4:$BN$200,"&gt;-6",$BR$4:$BR$200,"&gt;=70",$C$4:$C$200,"&lt;20190630",$K$4:$K$200,"&lt;=30"))</f>
        <v>-</v>
      </c>
      <c r="AH25" s="21">
        <f>[1]!f_risk_maxdownside(A25,$L$2,$E$1)</f>
        <v>-6.2054074352234405</v>
      </c>
      <c r="AI25" s="19" t="str">
        <f>IFERROR(RANK(AH25,AH:AH)&amp;"/"&amp;COUNT(AH:AH),"-")</f>
        <v>180/197</v>
      </c>
      <c r="AJ25" s="26">
        <f>IFERROR(RANK(AH25,AH:AH)/COUNT(AH:AH),"-")</f>
        <v>0.91370558375634514</v>
      </c>
      <c r="AK25" s="34" t="str">
        <f>IF(OR($C25&gt;20190630,$K25&gt;30,AH25="-",$D25="是",$E25="封闭期",$H25&lt;10,$BN25&lt;-6,$BR25&lt;70),"-",COUNTIFS(AH$4:AH$200,"&lt;&gt;-",$D$4:$D$200,"&lt;&gt;是",$E$4:$E$200,"&lt;&gt;封闭期",$H$4:$H$200,"&gt;10",$BN$4:$BN$200,"&gt;-6",$BR$4:$BR$200,"&gt;=70",$K$4:$K$200,"&lt;=30",$C$4:$C$200,"&lt;20190630",AH$4:AH$200,"&gt;="&amp;AH25)&amp;"/"&amp;COUNTIFS(AH$4:AH$200,"&lt;&gt;-",$D$4:$D$200,"&lt;&gt;是",$E$4:$E$200,"&lt;&gt;封闭期",$H$4:$H$200,"&gt;10",$BN$4:$BN$200,"&gt;-6",$BR$4:$BR$200,"&gt;=70",$C$4:$C$200,"&lt;20190630",$K$4:$K$200,"&lt;=30"))</f>
        <v>-</v>
      </c>
      <c r="AL25" s="33" t="str">
        <f>IF(OR($C25&gt;20190630,$K25&gt;30,AH25="-",$D25="是",$E25="封闭期",$H25&lt;10,$BN25&lt;-6,$BR25&lt;70),"-",COUNTIFS(AH$4:AH$200,"&lt;&gt;-",$D$4:$D$200,"&lt;&gt;是",$E$4:$E$200,"&lt;&gt;封闭期",$H$4:$H$200,"&gt;10",$BN$4:$BN$200,"&gt;-6",$BR$4:$BR$200,"&gt;=70",$K$4:$K$200,"&lt;=30",$C$4:$C$200,"&lt;20190630",AH$4:AH$200,"&gt;="&amp;AH25)/COUNTIFS(AH$4:AH$200,"&lt;&gt;-",$D$4:$D$200,"&lt;&gt;是",$E$4:$E$200,"&lt;&gt;封闭期",$H$4:$H$200,"&gt;10",$BN$4:$BN$200,"&gt;-6",$BR$4:$BR$200,"&gt;=70",$C$4:$C$200,"&lt;20190630",$K$4:$K$200,"&lt;=30"))</f>
        <v>-</v>
      </c>
      <c r="AM25" s="19">
        <f>[1]!f_return($A25,"1",AM$2,$L$2)</f>
        <v>13.366800715115158</v>
      </c>
      <c r="AN25" s="19">
        <f>[1]!f_risk_stdevyearly($A25,AM$2,$L$2,1,1)</f>
        <v>23.450240633394888</v>
      </c>
      <c r="AO25" s="19">
        <f>IFERROR(AM25/AN25,"-")</f>
        <v>0.57000697451606697</v>
      </c>
      <c r="AP25" s="19" t="str">
        <f>IFERROR(RANK(AO25,AO:AO)&amp;"/"&amp;COUNT(AO:AO),"-")</f>
        <v>183/197</v>
      </c>
      <c r="AQ25" s="26">
        <f>IF(AP25="-","-",RANK(AO25,AO:AO)/COUNT(AO:AO))</f>
        <v>0.92893401015228427</v>
      </c>
      <c r="AR25" s="57">
        <v>0.1116751269035533</v>
      </c>
      <c r="AS25" s="33" t="str">
        <f>IF(OR($C25&gt;20190630,$K25&gt;30,AO25="-",$D25="是",$E25="封闭期",$H25&lt;10,$BN25&lt;-6,$BR25&lt;70),"-",COUNTIFS(AO$4:AO$200,"&lt;&gt;-",$D$4:$D$200,"&lt;&gt;是",$E$4:$E$200,"&lt;&gt;封闭期",$H$4:$H$200,"&gt;10",$BN$4:$BN$200,"&gt;-6",$BR$4:$BR$200,"&gt;=70",$K$4:$K$200,"&lt;=30",$C$4:$C$200,"&lt;20190630",AO$4:AO$200,"&gt;="&amp;AO25)/COUNTIFS(AO$4:AO$200,"&lt;&gt;-",$D$4:$D$200,"&lt;&gt;是",$E$4:$E$200,"&lt;&gt;封闭期",$H$4:$H$200,"&gt;10",$BN$4:$BN$200,"&gt;-6",$BR$4:$BR$200,"&gt;=70",$C$4:$C$200,"&lt;20190630",$K$4:$K$200,"&lt;=30"))</f>
        <v>-</v>
      </c>
      <c r="AT25" s="19">
        <f>IFERROR((AM25-3)/AN25,"-")</f>
        <v>0.44207651755829158</v>
      </c>
      <c r="AU25" s="19" t="str">
        <f>IFERROR(RANK(AT25,AT:AT)&amp;"/"&amp;COUNT(AT:AT),"-")</f>
        <v>142/197</v>
      </c>
      <c r="AV25" s="26">
        <f>IFERROR(RANK(AT25,AT:AT)/COUNT(AT:AT),"-")</f>
        <v>0.7208121827411168</v>
      </c>
      <c r="AW25" s="34" t="str">
        <f>IF(OR($C25&gt;20190630,$K25&gt;30,AT25="-",$D25="是",$E25="封闭期",$H25&lt;10,$BN25&lt;-6,$BR25&lt;70),"-",COUNTIFS(AT$4:AT$200,"&lt;&gt;-",$D$4:$D$200,"&lt;&gt;是",$E$4:$E$200,"&lt;&gt;封闭期",$H$4:$H$200,"&gt;10",$BN$4:$BN$200,"&gt;-6",$BR$4:$BR$200,"&gt;=70",$K$4:$K$200,"&lt;=30",$C$4:$C$200,"&lt;20190630",AT$4:AT$200,"&gt;="&amp;AT25)&amp;"/"&amp;COUNTIFS(AT$4:AT$200,"&lt;&gt;-",$D$4:$D$200,"&lt;&gt;是",$E$4:$E$200,"&lt;&gt;封闭期",$H$4:$H$200,"&gt;10",$BN$4:$BN$200,"&gt;-6",$BR$4:$BR$200,"&gt;=70",$C$4:$C$200,"&lt;20190630",$K$4:$K$200,"&lt;=30"))</f>
        <v>-</v>
      </c>
      <c r="AX25" s="33" t="str">
        <f>IF(OR($C25&gt;20190630,$K25&gt;30,AT25="-",$D25="是",$E25="封闭期",$H25&lt;10,$BN25&lt;-6,$BR25&lt;70),"-",COUNTIFS(AT$4:AT$200,"&lt;&gt;-",$D$4:$D$200,"&lt;&gt;是",$E$4:$E$200,"&lt;&gt;封闭期",$H$4:$H$200,"&gt;10",$BN$4:$BN$200,"&gt;-6",$BR$4:$BR$200,"&gt;=70",$K$4:$K$200,"&lt;=30",$C$4:$C$200,"&lt;20190630",AT$4:AT$200,"&gt;="&amp;AT25)/COUNTIFS(AT$4:AT$200,"&lt;&gt;-",$D$4:$D$200,"&lt;&gt;是",$E$4:$E$200,"&lt;&gt;封闭期",$H$4:$H$200,"&gt;10",$BN$4:$BN$200,"&gt;-6",$BR$4:$BR$200,"&gt;=70",$C$4:$C$200,"&lt;20190630",$K$4:$K$200,"&lt;=30"))</f>
        <v>-</v>
      </c>
      <c r="AY25" s="19">
        <f>[1]!f_risk_calmar(A25,$AM$2,$L$2)</f>
        <v>1.7121106044282912</v>
      </c>
      <c r="AZ25" s="19" t="str">
        <f>IFERROR(RANK(AY25,AY:AY)&amp;"/"&amp;COUNT(AY:AY),"-")</f>
        <v>129/197</v>
      </c>
      <c r="BA25" s="26">
        <f>IFERROR(RANK(AY25,AY:AY)/COUNT(AY:AY),"-")</f>
        <v>0.65482233502538068</v>
      </c>
      <c r="BB25" s="34" t="str">
        <f>IF(OR($C25&gt;20190630,$K25&gt;30,AY25="-",$D25="是",$E25="封闭期",$H25&lt;10,$BN25&lt;-6,$BR25&lt;70),"-",COUNTIFS(AY$4:AY$200,"&lt;&gt;-",$D$4:$D$200,"&lt;&gt;是",$E$4:$E$200,"&lt;&gt;封闭期",$H$4:$H$200,"&gt;10",$BN$4:$BN$200,"&gt;-6",$BR$4:$BR$200,"&gt;=70",$K$4:$K$200,"&lt;=30",$C$4:$C$200,"&lt;20190630",AY$4:AY$200,"&gt;="&amp;AY25)&amp;"/"&amp;COUNTIFS(AY$4:AY$200,"&lt;&gt;-",$D$4:$D$200,"&lt;&gt;是",$E$4:$E$200,"&lt;&gt;封闭期",$H$4:$H$200,"&gt;10",$BN$4:$BN$200,"&gt;-6",$BR$4:$BR$200,"&gt;=70",$C$4:$C$200,"&lt;20190630",$K$4:$K$200,"&lt;=30"))</f>
        <v>-</v>
      </c>
      <c r="BC25" s="33" t="str">
        <f>IF(OR($C25&gt;20190630,$K25&gt;30,AY25="-",$D25="是",$E25="封闭期",$H25&lt;10,$BN25&lt;-6,$BR25&lt;70),"-",COUNTIFS(AY$4:AY$200,"&lt;&gt;-",$D$4:$D$200,"&lt;&gt;是",$E$4:$E$200,"&lt;&gt;封闭期",$H$4:$H$200,"&gt;10",$BN$4:$BN$200,"&gt;-6",$BR$4:$BR$200,"&gt;=70",$K$4:$K$200,"&lt;=30",$C$4:$C$200,"&lt;20190630",AY$4:AY$200,"&gt;="&amp;AY25)/COUNTIFS(AY$4:AY$200,"&lt;&gt;-",$D$4:$D$200,"&lt;&gt;是",$E$4:$E$200,"&lt;&gt;封闭期",$H$4:$H$200,"&gt;10",$BN$4:$BN$200,"&gt;-6",$BR$4:$BR$200,"&gt;=70",$C$4:$C$200,"&lt;20190630",$K$4:$K$200,"&lt;=30"))</f>
        <v>-</v>
      </c>
      <c r="BD25" s="20">
        <v>1</v>
      </c>
      <c r="BE25" s="19" t="str">
        <f>IFERROR(RANK(BD25,BD:BD)&amp;"/"&amp;COUNT(BD:BD),"-")</f>
        <v>1/197</v>
      </c>
      <c r="BF25" s="26">
        <f>IFERROR(RANK(BD25,BD:BD)/COUNT(BD:BD),"-")</f>
        <v>5.076142131979695E-3</v>
      </c>
      <c r="BG25" s="34" t="str">
        <f>IF(OR($C25&gt;20190630,$K25&gt;30,BD25="-",$D25="是",$E25="封闭期",$H25&lt;10,$BN25&lt;-6,$BR25&lt;70),"-",COUNTIFS(BD$4:BD$200,"&lt;&gt;-",$D$4:$D$200,"&lt;&gt;是",$E$4:$E$200,"&lt;&gt;封闭期",$H$4:$H$200,"&gt;10",$BN$4:$BN$200,"&gt;-6",$BR$4:$BR$200,"&gt;=70",$K$4:$K$200,"&lt;=30",$C$4:$C$200,"&lt;20190630",BD$4:BD$200,"&gt;="&amp;BD25)&amp;"/"&amp;COUNTIFS(BD$4:BD$200,"&lt;&gt;-",$D$4:$D$200,"&lt;&gt;是",$E$4:$E$200,"&lt;&gt;封闭期",$H$4:$H$200,"&gt;10",$BN$4:$BN$200,"&gt;-6",$BR$4:$BR$200,"&gt;=70",$C$4:$C$200,"&lt;20190630",$K$4:$K$200,"&lt;=30"))</f>
        <v>-</v>
      </c>
      <c r="BH25" s="33" t="str">
        <f>IF(OR($C25&gt;20190630,$K25&gt;30,BD25="-",$D25="是",$E25="封闭期",$H25&lt;10,$BN25&lt;-6,$BR25&lt;70),"-",COUNTIFS(BD$4:BD$200,"&lt;&gt;-",$D$4:$D$200,"&lt;&gt;是",$E$4:$E$200,"&lt;&gt;封闭期",$H$4:$H$200,"&gt;10",$BN$4:$BN$200,"&gt;-6",$BR$4:$BR$200,"&gt;=70",$K$4:$K$200,"&lt;=30",$C$4:$C$200,"&lt;20190630",BD$4:BD$200,"&gt;="&amp;BD25)/COUNTIFS(BD$4:BD$200,"&lt;&gt;-",$D$4:$D$200,"&lt;&gt;是",$E$4:$E$200,"&lt;&gt;封闭期",$H$4:$H$200,"&gt;10",$BN$4:$BN$200,"&gt;-6",$BR$4:$BR$200,"&gt;=70",$C$4:$C$200,"&lt;20190630",$K$4:$K$200,"&lt;=30"))</f>
        <v>-</v>
      </c>
      <c r="BI25" s="21">
        <f>[1]!f_risk_maxdownside(A25,$AM$2,$L$2)</f>
        <v>-7.807206310469998</v>
      </c>
      <c r="BJ25" s="19" t="str">
        <f>IFERROR(RANK(BI25,BI:BI)&amp;"/"&amp;COUNT(BI:BI),"-")</f>
        <v>184/197</v>
      </c>
      <c r="BK25" s="26">
        <f>IFERROR(RANK(BI25,BI:BI)/COUNT(BI:BI),"-")</f>
        <v>0.93401015228426398</v>
      </c>
      <c r="BL25" s="34" t="str">
        <f>IF(OR($C25&gt;20190630,$K25&gt;30,BI25="-",$D25="是",$E25="封闭期",$H25&lt;10,$BN25&lt;-6,$BR25&lt;70),"-",COUNTIFS(BI$4:BI$200,"&lt;&gt;-",$D$4:$D$200,"&lt;&gt;是",$E$4:$E$200,"&lt;&gt;封闭期",$H$4:$H$200,"&gt;10",$BN$4:$BN$200,"&gt;-6",$BR$4:$BR$200,"&gt;=70",$K$4:$K$200,"&lt;=30",$C$4:$C$200,"&lt;20190630",BI$4:BI$200,"&gt;="&amp;BI25)&amp;"/"&amp;COUNTIFS(BI$4:BI$200,"&lt;&gt;-",$D$4:$D$200,"&lt;&gt;是",$E$4:$E$200,"&lt;&gt;封闭期",$H$4:$H$200,"&gt;10",$BN$4:$BN$200,"&gt;-6",$BR$4:$BR$200,"&gt;=70",$C$4:$C$200,"&lt;20190630",$K$4:$K$200,"&lt;=30"))</f>
        <v>-</v>
      </c>
      <c r="BM25" s="33" t="str">
        <f>IF(OR($C25&gt;20190630,$K25&gt;30,BI25="-",$D25="是",$E25="封闭期",$H25&lt;10,$BN25&lt;-6,$BR25&lt;70),"-",COUNTIFS(BI$4:BI$200,"&lt;&gt;-",$D$4:$D$200,"&lt;&gt;是",$E$4:$E$200,"&lt;&gt;封闭期",$H$4:$H$200,"&gt;10",$BN$4:$BN$200,"&gt;-6",$BR$4:$BR$200,"&gt;=70",$K$4:$K$200,"&lt;=30",$C$4:$C$200,"&lt;20190630",BI$4:BI$200,"&gt;="&amp;BI25)/COUNTIFS(BI$4:BI$200,"&lt;&gt;-",$D$4:$D$200,"&lt;&gt;是",$E$4:$E$200,"&lt;&gt;封闭期",$H$4:$H$200,"&gt;10",$BN$4:$BN$200,"&gt;-6",$BR$4:$BR$200,"&gt;=70",$C$4:$C$200,"&lt;20190630",$K$4:$K$200,"&lt;=30"))</f>
        <v>-</v>
      </c>
      <c r="BN25" s="21">
        <f>[1]!f_risk_maxdownside(A25,$AM$2,$E$1)</f>
        <v>-7.807206310469998</v>
      </c>
      <c r="BO25" s="21">
        <f>IF(C25&lt;20190930,[1]!f_return_2y(A25,"0","20210930"),"-")</f>
        <v>16.519461911062518</v>
      </c>
      <c r="BP25" s="19" t="str">
        <f>IFERROR(RANK(BO25,BO:BO)&amp;"/"&amp;COUNT(BO:BO),"-")</f>
        <v>71/197</v>
      </c>
      <c r="BQ25" s="25">
        <f>IFERROR(RANK(BO25,BO:BO)/COUNT(BO:BO),"-")</f>
        <v>0.3604060913705584</v>
      </c>
      <c r="BR25" s="19">
        <f>IF(C25&lt;20190930,[1]!f_absolute_profitmonthper(A25,"20190930","20210930"),"-")</f>
        <v>58.333333333333336</v>
      </c>
      <c r="BS25" s="19" t="str">
        <f>IFERROR(RANK(BR25,BR:BR)&amp;"/"&amp;COUNT(BR:BR),"-")</f>
        <v>165/198</v>
      </c>
      <c r="BT25" s="25">
        <f>IFERROR(RANK(BR25,BR:BR)/COUNT(BR:BR),"-")</f>
        <v>0.83333333333333337</v>
      </c>
      <c r="BV25" s="12">
        <f>X25-3/M25</f>
        <v>0.38347587371677339</v>
      </c>
      <c r="BW25" s="76">
        <f>IFERROR(RANK(BV25,BV:BV)/COUNT(BV:BV),"-")</f>
        <v>0.78172588832487311</v>
      </c>
      <c r="BX25" s="76">
        <f>IFERROR(RANK(L25,L:L)/COUNT(L:L),"-")</f>
        <v>0.79292929292929293</v>
      </c>
      <c r="BY25" s="12">
        <f>AY25-3/AN25</f>
        <v>1.5841801474705157</v>
      </c>
      <c r="BZ25" s="76">
        <f>IFERROR(RANK(BY25,BY:BY)/COUNT(BY:BY),"-")</f>
        <v>0.49746192893401014</v>
      </c>
      <c r="CA25" s="76">
        <f>IFERROR(RANK(AM25,AM:AM)/COUNT(AM:AM),"-")</f>
        <v>0.11616161616161616</v>
      </c>
      <c r="CB25" s="2"/>
      <c r="CC25" s="77">
        <f>AV25+BF25+BZ25+CA25</f>
        <v>1.3395118699687227</v>
      </c>
      <c r="CD25" s="77">
        <f>BW25+BX25+AE25+U25</f>
        <v>3.3411526431830998</v>
      </c>
      <c r="CE25" s="77">
        <f>CC25+CD25</f>
        <v>4.6806645131518225</v>
      </c>
    </row>
    <row r="26" spans="1:83" s="17" customFormat="1" hidden="1" x14ac:dyDescent="0.35">
      <c r="A26" s="15" t="s">
        <v>127</v>
      </c>
      <c r="B26" s="15" t="s">
        <v>128</v>
      </c>
      <c r="C26" s="16">
        <v>20121105</v>
      </c>
      <c r="D26" s="16" t="str">
        <f>[1]!f_info_regulopenfundornot(A26)</f>
        <v>否</v>
      </c>
      <c r="E26" s="16" t="str">
        <f>[1]!f_dq_status(A26,$E$1)</f>
        <v>开放申购|开放赎回</v>
      </c>
      <c r="F26" s="17" t="str">
        <f>[1]!f_info_fundmanager(A26)</f>
        <v>戴钢</v>
      </c>
      <c r="G26" s="16">
        <v>20121105</v>
      </c>
      <c r="H26" s="18">
        <f>[1]!f_netasset_total(A26,$E$1,100000000)</f>
        <v>3.0896911002999996</v>
      </c>
      <c r="I26" s="18">
        <f>[1]!f_prt_convertiblebondtonav(A26,$E$1)</f>
        <v>21.482606887817383</v>
      </c>
      <c r="J26" s="18">
        <f>[1]!f_prt_stocktonav(A26,$E$1)+0.5*I26</f>
        <v>30.488812446594238</v>
      </c>
      <c r="K26" s="19">
        <v>26.020724205145871</v>
      </c>
      <c r="L26" s="19">
        <f>[1]!f_return($A26,"1",L$2,$E$1)</f>
        <v>7.8395649844861026</v>
      </c>
      <c r="M26" s="19">
        <f>[1]!f_risk_stdevyearly($A26,L$2,$E$1,1,1)</f>
        <v>6.8895007119602507</v>
      </c>
      <c r="N26" s="19">
        <f>IFERROR(L26/M26,"-")</f>
        <v>1.1379003083454988</v>
      </c>
      <c r="O26" s="19" t="str">
        <f>IFERROR(RANK(N26,N:N)&amp;"/"&amp;COUNT(N:N),"-")</f>
        <v>128/197</v>
      </c>
      <c r="P26" s="26">
        <f>IF(O26="-","-",RANK(N26,N:N)/COUNT(N:N))</f>
        <v>0.64974619289340096</v>
      </c>
      <c r="Q26" s="56">
        <v>0.28426395939086296</v>
      </c>
      <c r="R26" s="33" t="str">
        <f>IF(OR($C26&gt;20190630,$K26&gt;30,N26="-",$D26="是",$E26="封闭期",$H26&lt;10,$BN26&lt;-6,$BR26&lt;70),"-",COUNTIFS(N$4:N$200,"&lt;&gt;-",$D$4:$D$200,"&lt;&gt;是",$E$4:$E$200,"&lt;&gt;封闭期",$H$4:$H$200,"&gt;10",$BN$4:$BN$200,"&gt;-6",$BR$4:$BR$200,"&gt;=70",$K$4:$K$200,"&lt;=30",$C$4:$C$200,"&lt;20190630",N$4:N$200,"&gt;="&amp;N26)/COUNTIFS(N$4:N$200,"&lt;&gt;-",$D$4:$D$200,"&lt;&gt;是",$E$4:$E$200,"&lt;&gt;封闭期",$H$4:$H$200,"&gt;10",$BN$4:$BN$200,"&gt;-6",$BR$4:$BR$200,"&gt;=70",$C$4:$C$200,"&lt;20190630",$K$4:$K$200,"&lt;=30"))</f>
        <v>-</v>
      </c>
      <c r="S26" s="19">
        <f>IFERROR((L26-3)/M26,"-")</f>
        <v>0.70245511058363974</v>
      </c>
      <c r="T26" s="19" t="str">
        <f>IFERROR(RANK(S26,S:S)&amp;"/"&amp;COUNT(S:S),"-")</f>
        <v>105/197</v>
      </c>
      <c r="U26" s="26">
        <f>IFERROR(RANK(S26,S:S)/COUNT(S:S),"-")</f>
        <v>0.53299492385786806</v>
      </c>
      <c r="V26" s="34" t="str">
        <f>IF(OR($C26&gt;20190630,$K26&gt;30,S26="-",$D26="是",$E26="封闭期",$H26&lt;10,$BN26&lt;-6,$BR26&lt;70),"-",COUNTIFS(S$4:S$200,"&lt;&gt;-",$D$4:$D$200,"&lt;&gt;是",$E$4:$E$200,"&lt;&gt;封闭期",$H$4:$H$200,"&gt;10",$BN$4:$BN$200,"&gt;-6",$BR$4:$BR$200,"&gt;=70",$K$4:$K$200,"&lt;=30",$C$4:$C$200,"&lt;20190630",S$4:S$200,"&gt;="&amp;S26)&amp;"/"&amp;COUNTIFS(S$4:S$200,"&lt;&gt;-",$D$4:$D$200,"&lt;&gt;是",$E$4:$E$200,"&lt;&gt;封闭期",$H$4:$H$200,"&gt;10",$BN$4:$BN$200,"&gt;-6",$BR$4:$BR$200,"&gt;=70",$C$4:$C$200,"&lt;20190630",$K$4:$K$200,"&lt;=30"))</f>
        <v>-</v>
      </c>
      <c r="W26" s="33" t="str">
        <f>IF(OR($C26&gt;20190630,$K26&gt;30,S26="-",$D26="是",$E26="封闭期",$H26&lt;10,$BN26&lt;-6,$BR26&lt;70),"-",COUNTIFS(S$4:S$200,"&lt;&gt;-",$D$4:$D$200,"&lt;&gt;是",$E$4:$E$200,"&lt;&gt;封闭期",$H$4:$H$200,"&gt;10",$BN$4:$BN$200,"&gt;-6",$BR$4:$BR$200,"&gt;=70",$K$4:$K$200,"&lt;=30",$C$4:$C$200,"&lt;20190630",S$4:S$200,"&gt;="&amp;S26)/COUNTIFS(S$4:S$200,"&lt;&gt;-",$D$4:$D$200,"&lt;&gt;是",$E$4:$E$200,"&lt;&gt;封闭期",$H$4:$H$200,"&gt;10",$BN$4:$BN$200,"&gt;-6",$BR$4:$BR$200,"&gt;=70",$C$4:$C$200,"&lt;20190630",$K$4:$K$200,"&lt;=30"))</f>
        <v>-</v>
      </c>
      <c r="X26" s="19">
        <f>[1]!f_risk_calmar(A26,$L$2,$E$1)</f>
        <v>2.0340107696112164</v>
      </c>
      <c r="Y26" s="19" t="str">
        <f>IFERROR(RANK(X26,X:X)&amp;"/"&amp;COUNT(X:X),"-")</f>
        <v>96/197</v>
      </c>
      <c r="Z26" s="26">
        <f>IFERROR(RANK(X26,X:X)/COUNT(X:X),"-")</f>
        <v>0.48730964467005078</v>
      </c>
      <c r="AA26" s="34" t="str">
        <f>IF(OR($C26&gt;20190630,$K26&gt;30,X26="-",$D26="是",$E26="封闭期",$H26&lt;10,$BN26&lt;-6,$BR26&lt;70),"-",COUNTIFS(X$4:X$200,"&lt;&gt;-",$D$4:$D$200,"&lt;&gt;是",$E$4:$E$200,"&lt;&gt;封闭期",$H$4:$H$200,"&gt;10",$BN$4:$BN$200,"&gt;-6",$BR$4:$BR$200,"&gt;=70",$K$4:$K$200,"&lt;=30",$C$4:$C$200,"&lt;20190630",X$4:X$200,"&gt;="&amp;X26)&amp;"/"&amp;COUNTIFS(X$4:X$200,"&lt;&gt;-",$D$4:$D$200,"&lt;&gt;是",$E$4:$E$200,"&lt;&gt;封闭期",$H$4:$H$200,"&gt;10",$BN$4:$BN$200,"&gt;-6",$BR$4:$BR$200,"&gt;=70",$C$4:$C$200,"&lt;20190630",$K$4:$K$200,"&lt;=30"))</f>
        <v>-</v>
      </c>
      <c r="AB26" s="33" t="str">
        <f>IF(OR($C26&gt;20190630,$K26&gt;30,X26="-",$D26="是",$E26="封闭期",$H26&lt;10,$BN26&lt;-6,$BR26&lt;70),"-",COUNTIFS(X$4:X$200,"&lt;&gt;-",$D$4:$D$200,"&lt;&gt;是",$E$4:$E$200,"&lt;&gt;封闭期",$H$4:$H$200,"&gt;10",$BN$4:$BN$200,"&gt;-6",$BR$4:$BR$200,"&gt;=70",$K$4:$K$200,"&lt;=30",$C$4:$C$200,"&lt;20190630",X$4:X$200,"&gt;="&amp;X26)/COUNTIFS(X$4:X$200,"&lt;&gt;-",$D$4:$D$200,"&lt;&gt;是",$E$4:$E$200,"&lt;&gt;封闭期",$H$4:$H$200,"&gt;10",$BN$4:$BN$200,"&gt;-6",$BR$4:$BR$200,"&gt;=70",$C$4:$C$200,"&lt;20190630",$K$4:$K$200,"&lt;=30"))</f>
        <v>-</v>
      </c>
      <c r="AC26" s="20">
        <v>0.83193277310924374</v>
      </c>
      <c r="AD26" s="19" t="str">
        <f>IFERROR(RANK(AC26,AC:AC)&amp;"/"&amp;COUNT(AC:AC),"-")</f>
        <v>143/197</v>
      </c>
      <c r="AE26" s="26">
        <f>IFERROR(RANK(AC26,AC:AC)/COUNT(AC:AC),"-")</f>
        <v>0.7258883248730964</v>
      </c>
      <c r="AF26" s="34" t="str">
        <f>IF(OR($C26&gt;20190630,$K26&gt;30,AC26="-",$D26="是",$E26="封闭期",$H26&lt;10,$BN26&lt;-6,$BR26&lt;70),"-",COUNTIFS(AC$4:AC$200,"&lt;&gt;-",$D$4:$D$200,"&lt;&gt;是",$E$4:$E$200,"&lt;&gt;封闭期",$H$4:$H$200,"&gt;10",$BN$4:$BN$200,"&gt;-6",$BR$4:$BR$200,"&gt;=70",$K$4:$K$200,"&lt;=30",$C$4:$C$200,"&lt;20190630",AC$4:AC$200,"&gt;="&amp;AC26)&amp;"/"&amp;COUNTIFS(AC$4:AC$200,"&lt;&gt;-",$D$4:$D$200,"&lt;&gt;是",$E$4:$E$200,"&lt;&gt;封闭期",$H$4:$H$200,"&gt;10",$BN$4:$BN$200,"&gt;-6",$BR$4:$BR$200,"&gt;=70",$C$4:$C$200,"&lt;20190630",$K$4:$K$200,"&lt;=30"))</f>
        <v>-</v>
      </c>
      <c r="AG26" s="33" t="str">
        <f>IF(OR($C26&gt;20190630,$K26&gt;30,AC26="-",$D26="是",$E26="封闭期",$H26&lt;10,$BN26&lt;-6,$BR26&lt;70),"-",COUNTIFS(AC$4:AC$200,"&lt;&gt;-",$D$4:$D$200,"&lt;&gt;是",$E$4:$E$200,"&lt;&gt;封闭期",$H$4:$H$200,"&gt;10",$BN$4:$BN$200,"&gt;-6",$BR$4:$BR$200,"&gt;=70",$K$4:$K$200,"&lt;=30",$C$4:$C$200,"&lt;20190630",AC$4:AC$200,"&gt;="&amp;AC26)/COUNTIFS(AC$4:AC$200,"&lt;&gt;-",$D$4:$D$200,"&lt;&gt;是",$E$4:$E$200,"&lt;&gt;封闭期",$H$4:$H$200,"&gt;10",$BN$4:$BN$200,"&gt;-6",$BR$4:$BR$200,"&gt;=70",$C$4:$C$200,"&lt;20190630",$K$4:$K$200,"&lt;=30"))</f>
        <v>-</v>
      </c>
      <c r="AH26" s="21">
        <f>[1]!f_risk_maxdownside(A26,$L$2,$E$1)</f>
        <v>-3.8542396636299854</v>
      </c>
      <c r="AI26" s="19" t="str">
        <f>IFERROR(RANK(AH26,AH:AH)&amp;"/"&amp;COUNT(AH:AH),"-")</f>
        <v>120/197</v>
      </c>
      <c r="AJ26" s="26">
        <f>IFERROR(RANK(AH26,AH:AH)/COUNT(AH:AH),"-")</f>
        <v>0.6091370558375635</v>
      </c>
      <c r="AK26" s="34" t="str">
        <f>IF(OR($C26&gt;20190630,$K26&gt;30,AH26="-",$D26="是",$E26="封闭期",$H26&lt;10,$BN26&lt;-6,$BR26&lt;70),"-",COUNTIFS(AH$4:AH$200,"&lt;&gt;-",$D$4:$D$200,"&lt;&gt;是",$E$4:$E$200,"&lt;&gt;封闭期",$H$4:$H$200,"&gt;10",$BN$4:$BN$200,"&gt;-6",$BR$4:$BR$200,"&gt;=70",$K$4:$K$200,"&lt;=30",$C$4:$C$200,"&lt;20190630",AH$4:AH$200,"&gt;="&amp;AH26)&amp;"/"&amp;COUNTIFS(AH$4:AH$200,"&lt;&gt;-",$D$4:$D$200,"&lt;&gt;是",$E$4:$E$200,"&lt;&gt;封闭期",$H$4:$H$200,"&gt;10",$BN$4:$BN$200,"&gt;-6",$BR$4:$BR$200,"&gt;=70",$C$4:$C$200,"&lt;20190630",$K$4:$K$200,"&lt;=30"))</f>
        <v>-</v>
      </c>
      <c r="AL26" s="33" t="str">
        <f>IF(OR($C26&gt;20190630,$K26&gt;30,AH26="-",$D26="是",$E26="封闭期",$H26&lt;10,$BN26&lt;-6,$BR26&lt;70),"-",COUNTIFS(AH$4:AH$200,"&lt;&gt;-",$D$4:$D$200,"&lt;&gt;是",$E$4:$E$200,"&lt;&gt;封闭期",$H$4:$H$200,"&gt;10",$BN$4:$BN$200,"&gt;-6",$BR$4:$BR$200,"&gt;=70",$K$4:$K$200,"&lt;=30",$C$4:$C$200,"&lt;20190630",AH$4:AH$200,"&gt;="&amp;AH26)/COUNTIFS(AH$4:AH$200,"&lt;&gt;-",$D$4:$D$200,"&lt;&gt;是",$E$4:$E$200,"&lt;&gt;封闭期",$H$4:$H$200,"&gt;10",$BN$4:$BN$200,"&gt;-6",$BR$4:$BR$200,"&gt;=70",$C$4:$C$200,"&lt;20190630",$K$4:$K$200,"&lt;=30"))</f>
        <v>-</v>
      </c>
      <c r="AM26" s="19">
        <f>[1]!f_return($A26,"1",AM$2,$L$2)</f>
        <v>13.278179297740378</v>
      </c>
      <c r="AN26" s="19">
        <f>[1]!f_risk_stdevyearly($A26,AM$2,$L$2,1,1)</f>
        <v>15.144311703890805</v>
      </c>
      <c r="AO26" s="19">
        <f>IFERROR(AM26/AN26,"-")</f>
        <v>0.87677667743255772</v>
      </c>
      <c r="AP26" s="19" t="str">
        <f>IFERROR(RANK(AO26,AO:AO)&amp;"/"&amp;COUNT(AO:AO),"-")</f>
        <v>171/197</v>
      </c>
      <c r="AQ26" s="26">
        <f>IF(AP26="-","-",RANK(AO26,AO:AO)/COUNT(AO:AO))</f>
        <v>0.86802030456852797</v>
      </c>
      <c r="AR26" s="57">
        <v>0.116751269035533</v>
      </c>
      <c r="AS26" s="33" t="str">
        <f>IF(OR($C26&gt;20190630,$K26&gt;30,AO26="-",$D26="是",$E26="封闭期",$H26&lt;10,$BN26&lt;-6,$BR26&lt;70),"-",COUNTIFS(AO$4:AO$200,"&lt;&gt;-",$D$4:$D$200,"&lt;&gt;是",$E$4:$E$200,"&lt;&gt;封闭期",$H$4:$H$200,"&gt;10",$BN$4:$BN$200,"&gt;-6",$BR$4:$BR$200,"&gt;=70",$K$4:$K$200,"&lt;=30",$C$4:$C$200,"&lt;20190630",AO$4:AO$200,"&gt;="&amp;AO26)/COUNTIFS(AO$4:AO$200,"&lt;&gt;-",$D$4:$D$200,"&lt;&gt;是",$E$4:$E$200,"&lt;&gt;封闭期",$H$4:$H$200,"&gt;10",$BN$4:$BN$200,"&gt;-6",$BR$4:$BR$200,"&gt;=70",$C$4:$C$200,"&lt;20190630",$K$4:$K$200,"&lt;=30"))</f>
        <v>-</v>
      </c>
      <c r="AT26" s="19">
        <f>IFERROR((AM26-3)/AN26,"-")</f>
        <v>0.67868249800350822</v>
      </c>
      <c r="AU26" s="19" t="str">
        <f>IFERROR(RANK(AT26,AT:AT)&amp;"/"&amp;COUNT(AT:AT),"-")</f>
        <v>122/197</v>
      </c>
      <c r="AV26" s="26">
        <f>IFERROR(RANK(AT26,AT:AT)/COUNT(AT:AT),"-")</f>
        <v>0.61928934010152281</v>
      </c>
      <c r="AW26" s="34" t="str">
        <f>IF(OR($C26&gt;20190630,$K26&gt;30,AT26="-",$D26="是",$E26="封闭期",$H26&lt;10,$BN26&lt;-6,$BR26&lt;70),"-",COUNTIFS(AT$4:AT$200,"&lt;&gt;-",$D$4:$D$200,"&lt;&gt;是",$E$4:$E$200,"&lt;&gt;封闭期",$H$4:$H$200,"&gt;10",$BN$4:$BN$200,"&gt;-6",$BR$4:$BR$200,"&gt;=70",$K$4:$K$200,"&lt;=30",$C$4:$C$200,"&lt;20190630",AT$4:AT$200,"&gt;="&amp;AT26)&amp;"/"&amp;COUNTIFS(AT$4:AT$200,"&lt;&gt;-",$D$4:$D$200,"&lt;&gt;是",$E$4:$E$200,"&lt;&gt;封闭期",$H$4:$H$200,"&gt;10",$BN$4:$BN$200,"&gt;-6",$BR$4:$BR$200,"&gt;=70",$C$4:$C$200,"&lt;20190630",$K$4:$K$200,"&lt;=30"))</f>
        <v>-</v>
      </c>
      <c r="AX26" s="33" t="str">
        <f>IF(OR($C26&gt;20190630,$K26&gt;30,AT26="-",$D26="是",$E26="封闭期",$H26&lt;10,$BN26&lt;-6,$BR26&lt;70),"-",COUNTIFS(AT$4:AT$200,"&lt;&gt;-",$D$4:$D$200,"&lt;&gt;是",$E$4:$E$200,"&lt;&gt;封闭期",$H$4:$H$200,"&gt;10",$BN$4:$BN$200,"&gt;-6",$BR$4:$BR$200,"&gt;=70",$K$4:$K$200,"&lt;=30",$C$4:$C$200,"&lt;20190630",AT$4:AT$200,"&gt;="&amp;AT26)/COUNTIFS(AT$4:AT$200,"&lt;&gt;-",$D$4:$D$200,"&lt;&gt;是",$E$4:$E$200,"&lt;&gt;封闭期",$H$4:$H$200,"&gt;10",$BN$4:$BN$200,"&gt;-6",$BR$4:$BR$200,"&gt;=70",$C$4:$C$200,"&lt;20190630",$K$4:$K$200,"&lt;=30"))</f>
        <v>-</v>
      </c>
      <c r="AY26" s="19">
        <f>[1]!f_risk_calmar(A26,$AM$2,$L$2)</f>
        <v>1.0345306727580144</v>
      </c>
      <c r="AZ26" s="19" t="str">
        <f>IFERROR(RANK(AY26,AY:AY)&amp;"/"&amp;COUNT(AY:AY),"-")</f>
        <v>167/197</v>
      </c>
      <c r="BA26" s="26">
        <f>IFERROR(RANK(AY26,AY:AY)/COUNT(AY:AY),"-")</f>
        <v>0.84771573604060912</v>
      </c>
      <c r="BB26" s="34" t="str">
        <f>IF(OR($C26&gt;20190630,$K26&gt;30,AY26="-",$D26="是",$E26="封闭期",$H26&lt;10,$BN26&lt;-6,$BR26&lt;70),"-",COUNTIFS(AY$4:AY$200,"&lt;&gt;-",$D$4:$D$200,"&lt;&gt;是",$E$4:$E$200,"&lt;&gt;封闭期",$H$4:$H$200,"&gt;10",$BN$4:$BN$200,"&gt;-6",$BR$4:$BR$200,"&gt;=70",$K$4:$K$200,"&lt;=30",$C$4:$C$200,"&lt;20190630",AY$4:AY$200,"&gt;="&amp;AY26)&amp;"/"&amp;COUNTIFS(AY$4:AY$200,"&lt;&gt;-",$D$4:$D$200,"&lt;&gt;是",$E$4:$E$200,"&lt;&gt;封闭期",$H$4:$H$200,"&gt;10",$BN$4:$BN$200,"&gt;-6",$BR$4:$BR$200,"&gt;=70",$C$4:$C$200,"&lt;20190630",$K$4:$K$200,"&lt;=30"))</f>
        <v>-</v>
      </c>
      <c r="BC26" s="33" t="str">
        <f>IF(OR($C26&gt;20190630,$K26&gt;30,AY26="-",$D26="是",$E26="封闭期",$H26&lt;10,$BN26&lt;-6,$BR26&lt;70),"-",COUNTIFS(AY$4:AY$200,"&lt;&gt;-",$D$4:$D$200,"&lt;&gt;是",$E$4:$E$200,"&lt;&gt;封闭期",$H$4:$H$200,"&gt;10",$BN$4:$BN$200,"&gt;-6",$BR$4:$BR$200,"&gt;=70",$K$4:$K$200,"&lt;=30",$C$4:$C$200,"&lt;20190630",AY$4:AY$200,"&gt;="&amp;AY26)/COUNTIFS(AY$4:AY$200,"&lt;&gt;-",$D$4:$D$200,"&lt;&gt;是",$E$4:$E$200,"&lt;&gt;封闭期",$H$4:$H$200,"&gt;10",$BN$4:$BN$200,"&gt;-6",$BR$4:$BR$200,"&gt;=70",$C$4:$C$200,"&lt;20190630",$K$4:$K$200,"&lt;=30"))</f>
        <v>-</v>
      </c>
      <c r="BD26" s="20">
        <v>0.97499999999999998</v>
      </c>
      <c r="BE26" s="19" t="str">
        <f>IFERROR(RANK(BD26,BD:BD)&amp;"/"&amp;COUNT(BD:BD),"-")</f>
        <v>154/197</v>
      </c>
      <c r="BF26" s="26">
        <f>IFERROR(RANK(BD26,BD:BD)/COUNT(BD:BD),"-")</f>
        <v>0.78172588832487311</v>
      </c>
      <c r="BG26" s="34" t="str">
        <f>IF(OR($C26&gt;20190630,$K26&gt;30,BD26="-",$D26="是",$E26="封闭期",$H26&lt;10,$BN26&lt;-6,$BR26&lt;70),"-",COUNTIFS(BD$4:BD$200,"&lt;&gt;-",$D$4:$D$200,"&lt;&gt;是",$E$4:$E$200,"&lt;&gt;封闭期",$H$4:$H$200,"&gt;10",$BN$4:$BN$200,"&gt;-6",$BR$4:$BR$200,"&gt;=70",$K$4:$K$200,"&lt;=30",$C$4:$C$200,"&lt;20190630",BD$4:BD$200,"&gt;="&amp;BD26)&amp;"/"&amp;COUNTIFS(BD$4:BD$200,"&lt;&gt;-",$D$4:$D$200,"&lt;&gt;是",$E$4:$E$200,"&lt;&gt;封闭期",$H$4:$H$200,"&gt;10",$BN$4:$BN$200,"&gt;-6",$BR$4:$BR$200,"&gt;=70",$C$4:$C$200,"&lt;20190630",$K$4:$K$200,"&lt;=30"))</f>
        <v>-</v>
      </c>
      <c r="BH26" s="33" t="str">
        <f>IF(OR($C26&gt;20190630,$K26&gt;30,BD26="-",$D26="是",$E26="封闭期",$H26&lt;10,$BN26&lt;-6,$BR26&lt;70),"-",COUNTIFS(BD$4:BD$200,"&lt;&gt;-",$D$4:$D$200,"&lt;&gt;是",$E$4:$E$200,"&lt;&gt;封闭期",$H$4:$H$200,"&gt;10",$BN$4:$BN$200,"&gt;-6",$BR$4:$BR$200,"&gt;=70",$K$4:$K$200,"&lt;=30",$C$4:$C$200,"&lt;20190630",BD$4:BD$200,"&gt;="&amp;BD26)/COUNTIFS(BD$4:BD$200,"&lt;&gt;-",$D$4:$D$200,"&lt;&gt;是",$E$4:$E$200,"&lt;&gt;封闭期",$H$4:$H$200,"&gt;10",$BN$4:$BN$200,"&gt;-6",$BR$4:$BR$200,"&gt;=70",$C$4:$C$200,"&lt;20190630",$K$4:$K$200,"&lt;=30"))</f>
        <v>-</v>
      </c>
      <c r="BI26" s="21">
        <f>[1]!f_risk_maxdownside(A26,$AM$2,$L$2)</f>
        <v>-12.834978843441464</v>
      </c>
      <c r="BJ26" s="19" t="str">
        <f>IFERROR(RANK(BI26,BI:BI)&amp;"/"&amp;COUNT(BI:BI),"-")</f>
        <v>195/197</v>
      </c>
      <c r="BK26" s="26">
        <f>IFERROR(RANK(BI26,BI:BI)/COUNT(BI:BI),"-")</f>
        <v>0.98984771573604058</v>
      </c>
      <c r="BL26" s="34" t="str">
        <f>IF(OR($C26&gt;20190630,$K26&gt;30,BI26="-",$D26="是",$E26="封闭期",$H26&lt;10,$BN26&lt;-6,$BR26&lt;70),"-",COUNTIFS(BI$4:BI$200,"&lt;&gt;-",$D$4:$D$200,"&lt;&gt;是",$E$4:$E$200,"&lt;&gt;封闭期",$H$4:$H$200,"&gt;10",$BN$4:$BN$200,"&gt;-6",$BR$4:$BR$200,"&gt;=70",$K$4:$K$200,"&lt;=30",$C$4:$C$200,"&lt;20190630",BI$4:BI$200,"&gt;="&amp;BI26)&amp;"/"&amp;COUNTIFS(BI$4:BI$200,"&lt;&gt;-",$D$4:$D$200,"&lt;&gt;是",$E$4:$E$200,"&lt;&gt;封闭期",$H$4:$H$200,"&gt;10",$BN$4:$BN$200,"&gt;-6",$BR$4:$BR$200,"&gt;=70",$C$4:$C$200,"&lt;20190630",$K$4:$K$200,"&lt;=30"))</f>
        <v>-</v>
      </c>
      <c r="BM26" s="33" t="str">
        <f>IF(OR($C26&gt;20190630,$K26&gt;30,BI26="-",$D26="是",$E26="封闭期",$H26&lt;10,$BN26&lt;-6,$BR26&lt;70),"-",COUNTIFS(BI$4:BI$200,"&lt;&gt;-",$D$4:$D$200,"&lt;&gt;是",$E$4:$E$200,"&lt;&gt;封闭期",$H$4:$H$200,"&gt;10",$BN$4:$BN$200,"&gt;-6",$BR$4:$BR$200,"&gt;=70",$K$4:$K$200,"&lt;=30",$C$4:$C$200,"&lt;20190630",BI$4:BI$200,"&gt;="&amp;BI26)/COUNTIFS(BI$4:BI$200,"&lt;&gt;-",$D$4:$D$200,"&lt;&gt;是",$E$4:$E$200,"&lt;&gt;封闭期",$H$4:$H$200,"&gt;10",$BN$4:$BN$200,"&gt;-6",$BR$4:$BR$200,"&gt;=70",$C$4:$C$200,"&lt;20190630",$K$4:$K$200,"&lt;=30"))</f>
        <v>-</v>
      </c>
      <c r="BN26" s="21">
        <f>[1]!f_risk_maxdownside(A26,$AM$2,$E$1)</f>
        <v>-12.834978843441464</v>
      </c>
      <c r="BO26" s="21">
        <f>IF(C26&lt;20190930,[1]!f_return_2y(A26,"0","20210930"),"-")</f>
        <v>23.569023569023571</v>
      </c>
      <c r="BP26" s="19" t="str">
        <f>IFERROR(RANK(BO26,BO:BO)&amp;"/"&amp;COUNT(BO:BO),"-")</f>
        <v>25/197</v>
      </c>
      <c r="BQ26" s="25">
        <f>IFERROR(RANK(BO26,BO:BO)/COUNT(BO:BO),"-")</f>
        <v>0.12690355329949238</v>
      </c>
      <c r="BR26" s="19">
        <f>IF(C26&lt;20190930,[1]!f_absolute_profitmonthper(A26,"20190930","20210930"),"-")</f>
        <v>70.833333333333343</v>
      </c>
      <c r="BS26" s="19" t="str">
        <f>IFERROR(RANK(BR26,BR:BR)&amp;"/"&amp;COUNT(BR:BR),"-")</f>
        <v>55/198</v>
      </c>
      <c r="BT26" s="25">
        <f>IFERROR(RANK(BR26,BR:BR)/COUNT(BR:BR),"-")</f>
        <v>0.27777777777777779</v>
      </c>
      <c r="BV26" s="12">
        <f>X26-3/M26</f>
        <v>1.5985655718493574</v>
      </c>
      <c r="BW26" s="76">
        <f>IFERROR(RANK(BV26,BV:BV)/COUNT(BV:BV),"-")</f>
        <v>0.41624365482233505</v>
      </c>
      <c r="BX26" s="76">
        <f>IFERROR(RANK(L26,L:L)/COUNT(L:L),"-")</f>
        <v>0.2878787878787879</v>
      </c>
      <c r="BY26" s="12">
        <f>AY26-3/AN26</f>
        <v>0.83643649332896486</v>
      </c>
      <c r="BZ26" s="76">
        <f>IFERROR(RANK(BY26,BY:BY)/COUNT(BY:BY),"-")</f>
        <v>0.7258883248730964</v>
      </c>
      <c r="CA26" s="76">
        <f>IFERROR(RANK(AM26,AM:AM)/COUNT(AM:AM),"-")</f>
        <v>0.12121212121212122</v>
      </c>
      <c r="CB26" s="2"/>
      <c r="CC26" s="77">
        <f>AV26+BF26+BZ26+CA26</f>
        <v>2.2481156745116135</v>
      </c>
      <c r="CD26" s="77">
        <f>BW26+BX26+AE26+U26</f>
        <v>1.9630056914320875</v>
      </c>
      <c r="CE26" s="77">
        <f>CC26+CD26</f>
        <v>4.2111213659437006</v>
      </c>
    </row>
    <row r="27" spans="1:83" s="17" customFormat="1" hidden="1" x14ac:dyDescent="0.35">
      <c r="A27" s="15" t="s">
        <v>273</v>
      </c>
      <c r="B27" s="15" t="s">
        <v>274</v>
      </c>
      <c r="C27" s="16">
        <v>20160905</v>
      </c>
      <c r="D27" s="16" t="str">
        <f>[1]!f_info_regulopenfundornot(A27)</f>
        <v>否</v>
      </c>
      <c r="E27" s="16" t="str">
        <f>[1]!f_dq_status(A27,$E$1)</f>
        <v>开放申购|开放赎回</v>
      </c>
      <c r="F27" s="17" t="str">
        <f>[1]!f_info_fundmanager(A27)</f>
        <v>韩阅川</v>
      </c>
      <c r="G27" s="16">
        <v>20190928</v>
      </c>
      <c r="H27" s="18">
        <f>[1]!f_netasset_total(A27,$E$1,100000000)</f>
        <v>7.1200484166999995</v>
      </c>
      <c r="I27" s="18">
        <f>[1]!f_prt_convertiblebondtonav(A27,$E$1)</f>
        <v>18.340921401977539</v>
      </c>
      <c r="J27" s="18">
        <f>[1]!f_prt_stocktonav(A27,$E$1)+0.5*I27</f>
        <v>28.64400577545166</v>
      </c>
      <c r="K27" s="19">
        <v>14.557007752489151</v>
      </c>
      <c r="L27" s="19">
        <f>[1]!f_return($A27,"1",L$2,$E$1)</f>
        <v>12.27559801138085</v>
      </c>
      <c r="M27" s="19">
        <f>[1]!f_risk_stdevyearly($A27,L$2,$E$1,1,1)</f>
        <v>8.792862817699385</v>
      </c>
      <c r="N27" s="19">
        <f>IFERROR(L27/M27,"-")</f>
        <v>1.3960866063633992</v>
      </c>
      <c r="O27" s="19" t="str">
        <f>IFERROR(RANK(N27,N:N)&amp;"/"&amp;COUNT(N:N),"-")</f>
        <v>98/197</v>
      </c>
      <c r="P27" s="26">
        <f>IF(O27="-","-",RANK(N27,N:N)/COUNT(N:N))</f>
        <v>0.49746192893401014</v>
      </c>
      <c r="Q27" s="56">
        <v>7.6142131979695438E-2</v>
      </c>
      <c r="R27" s="33" t="str">
        <f>IF(OR($C27&gt;20190630,$K27&gt;30,N27="-",$D27="是",$E27="封闭期",$H27&lt;10,$BN27&lt;-6,$BR27&lt;70),"-",COUNTIFS(N$4:N$200,"&lt;&gt;-",$D$4:$D$200,"&lt;&gt;是",$E$4:$E$200,"&lt;&gt;封闭期",$H$4:$H$200,"&gt;10",$BN$4:$BN$200,"&gt;-6",$BR$4:$BR$200,"&gt;=70",$K$4:$K$200,"&lt;=30",$C$4:$C$200,"&lt;20190630",N$4:N$200,"&gt;="&amp;N27)/COUNTIFS(N$4:N$200,"&lt;&gt;-",$D$4:$D$200,"&lt;&gt;是",$E$4:$E$200,"&lt;&gt;封闭期",$H$4:$H$200,"&gt;10",$BN$4:$BN$200,"&gt;-6",$BR$4:$BR$200,"&gt;=70",$C$4:$C$200,"&lt;20190630",$K$4:$K$200,"&lt;=30"))</f>
        <v>-</v>
      </c>
      <c r="S27" s="19">
        <f>IFERROR((L27-3)/M27,"-")</f>
        <v>1.0549007989422687</v>
      </c>
      <c r="T27" s="19" t="str">
        <f>IFERROR(RANK(S27,S:S)&amp;"/"&amp;COUNT(S:S),"-")</f>
        <v>70/197</v>
      </c>
      <c r="U27" s="26">
        <f>IFERROR(RANK(S27,S:S)/COUNT(S:S),"-")</f>
        <v>0.35532994923857869</v>
      </c>
      <c r="V27" s="34" t="str">
        <f>IF(OR($C27&gt;20190630,$K27&gt;30,S27="-",$D27="是",$E27="封闭期",$H27&lt;10,$BN27&lt;-6,$BR27&lt;70),"-",COUNTIFS(S$4:S$200,"&lt;&gt;-",$D$4:$D$200,"&lt;&gt;是",$E$4:$E$200,"&lt;&gt;封闭期",$H$4:$H$200,"&gt;10",$BN$4:$BN$200,"&gt;-6",$BR$4:$BR$200,"&gt;=70",$K$4:$K$200,"&lt;=30",$C$4:$C$200,"&lt;20190630",S$4:S$200,"&gt;="&amp;S27)&amp;"/"&amp;COUNTIFS(S$4:S$200,"&lt;&gt;-",$D$4:$D$200,"&lt;&gt;是",$E$4:$E$200,"&lt;&gt;封闭期",$H$4:$H$200,"&gt;10",$BN$4:$BN$200,"&gt;-6",$BR$4:$BR$200,"&gt;=70",$C$4:$C$200,"&lt;20190630",$K$4:$K$200,"&lt;=30"))</f>
        <v>-</v>
      </c>
      <c r="W27" s="33" t="str">
        <f>IF(OR($C27&gt;20190630,$K27&gt;30,S27="-",$D27="是",$E27="封闭期",$H27&lt;10,$BN27&lt;-6,$BR27&lt;70),"-",COUNTIFS(S$4:S$200,"&lt;&gt;-",$D$4:$D$200,"&lt;&gt;是",$E$4:$E$200,"&lt;&gt;封闭期",$H$4:$H$200,"&gt;10",$BN$4:$BN$200,"&gt;-6",$BR$4:$BR$200,"&gt;=70",$K$4:$K$200,"&lt;=30",$C$4:$C$200,"&lt;20190630",S$4:S$200,"&gt;="&amp;S27)/COUNTIFS(S$4:S$200,"&lt;&gt;-",$D$4:$D$200,"&lt;&gt;是",$E$4:$E$200,"&lt;&gt;封闭期",$H$4:$H$200,"&gt;10",$BN$4:$BN$200,"&gt;-6",$BR$4:$BR$200,"&gt;=70",$C$4:$C$200,"&lt;20190630",$K$4:$K$200,"&lt;=30"))</f>
        <v>-</v>
      </c>
      <c r="X27" s="19">
        <f>[1]!f_risk_calmar(A27,$L$2,$E$1)</f>
        <v>1.6281967909803252</v>
      </c>
      <c r="Y27" s="19" t="str">
        <f>IFERROR(RANK(X27,X:X)&amp;"/"&amp;COUNT(X:X),"-")</f>
        <v>123/197</v>
      </c>
      <c r="Z27" s="26">
        <f>IFERROR(RANK(X27,X:X)/COUNT(X:X),"-")</f>
        <v>0.62436548223350252</v>
      </c>
      <c r="AA27" s="34" t="str">
        <f>IF(OR($C27&gt;20190630,$K27&gt;30,X27="-",$D27="是",$E27="封闭期",$H27&lt;10,$BN27&lt;-6,$BR27&lt;70),"-",COUNTIFS(X$4:X$200,"&lt;&gt;-",$D$4:$D$200,"&lt;&gt;是",$E$4:$E$200,"&lt;&gt;封闭期",$H$4:$H$200,"&gt;10",$BN$4:$BN$200,"&gt;-6",$BR$4:$BR$200,"&gt;=70",$K$4:$K$200,"&lt;=30",$C$4:$C$200,"&lt;20190630",X$4:X$200,"&gt;="&amp;X27)&amp;"/"&amp;COUNTIFS(X$4:X$200,"&lt;&gt;-",$D$4:$D$200,"&lt;&gt;是",$E$4:$E$200,"&lt;&gt;封闭期",$H$4:$H$200,"&gt;10",$BN$4:$BN$200,"&gt;-6",$BR$4:$BR$200,"&gt;=70",$C$4:$C$200,"&lt;20190630",$K$4:$K$200,"&lt;=30"))</f>
        <v>-</v>
      </c>
      <c r="AB27" s="33" t="str">
        <f>IF(OR($C27&gt;20190630,$K27&gt;30,X27="-",$D27="是",$E27="封闭期",$H27&lt;10,$BN27&lt;-6,$BR27&lt;70),"-",COUNTIFS(X$4:X$200,"&lt;&gt;-",$D$4:$D$200,"&lt;&gt;是",$E$4:$E$200,"&lt;&gt;封闭期",$H$4:$H$200,"&gt;10",$BN$4:$BN$200,"&gt;-6",$BR$4:$BR$200,"&gt;=70",$K$4:$K$200,"&lt;=30",$C$4:$C$200,"&lt;20190630",X$4:X$200,"&gt;="&amp;X27)/COUNTIFS(X$4:X$200,"&lt;&gt;-",$D$4:$D$200,"&lt;&gt;是",$E$4:$E$200,"&lt;&gt;封闭期",$H$4:$H$200,"&gt;10",$BN$4:$BN$200,"&gt;-6",$BR$4:$BR$200,"&gt;=70",$C$4:$C$200,"&lt;20190630",$K$4:$K$200,"&lt;=30"))</f>
        <v>-</v>
      </c>
      <c r="AC27" s="20">
        <v>0.86554621848739499</v>
      </c>
      <c r="AD27" s="19" t="str">
        <f>IFERROR(RANK(AC27,AC:AC)&amp;"/"&amp;COUNT(AC:AC),"-")</f>
        <v>136/197</v>
      </c>
      <c r="AE27" s="26">
        <f>IFERROR(RANK(AC27,AC:AC)/COUNT(AC:AC),"-")</f>
        <v>0.69035532994923854</v>
      </c>
      <c r="AF27" s="34" t="str">
        <f>IF(OR($C27&gt;20190630,$K27&gt;30,AC27="-",$D27="是",$E27="封闭期",$H27&lt;10,$BN27&lt;-6,$BR27&lt;70),"-",COUNTIFS(AC$4:AC$200,"&lt;&gt;-",$D$4:$D$200,"&lt;&gt;是",$E$4:$E$200,"&lt;&gt;封闭期",$H$4:$H$200,"&gt;10",$BN$4:$BN$200,"&gt;-6",$BR$4:$BR$200,"&gt;=70",$K$4:$K$200,"&lt;=30",$C$4:$C$200,"&lt;20190630",AC$4:AC$200,"&gt;="&amp;AC27)&amp;"/"&amp;COUNTIFS(AC$4:AC$200,"&lt;&gt;-",$D$4:$D$200,"&lt;&gt;是",$E$4:$E$200,"&lt;&gt;封闭期",$H$4:$H$200,"&gt;10",$BN$4:$BN$200,"&gt;-6",$BR$4:$BR$200,"&gt;=70",$C$4:$C$200,"&lt;20190630",$K$4:$K$200,"&lt;=30"))</f>
        <v>-</v>
      </c>
      <c r="AG27" s="33" t="str">
        <f>IF(OR($C27&gt;20190630,$K27&gt;30,AC27="-",$D27="是",$E27="封闭期",$H27&lt;10,$BN27&lt;-6,$BR27&lt;70),"-",COUNTIFS(AC$4:AC$200,"&lt;&gt;-",$D$4:$D$200,"&lt;&gt;是",$E$4:$E$200,"&lt;&gt;封闭期",$H$4:$H$200,"&gt;10",$BN$4:$BN$200,"&gt;-6",$BR$4:$BR$200,"&gt;=70",$K$4:$K$200,"&lt;=30",$C$4:$C$200,"&lt;20190630",AC$4:AC$200,"&gt;="&amp;AC27)/COUNTIFS(AC$4:AC$200,"&lt;&gt;-",$D$4:$D$200,"&lt;&gt;是",$E$4:$E$200,"&lt;&gt;封闭期",$H$4:$H$200,"&gt;10",$BN$4:$BN$200,"&gt;-6",$BR$4:$BR$200,"&gt;=70",$C$4:$C$200,"&lt;20190630",$K$4:$K$200,"&lt;=30"))</f>
        <v>-</v>
      </c>
      <c r="AH27" s="21">
        <f>[1]!f_risk_maxdownside(A27,$L$2,$E$1)</f>
        <v>-7.5393822659420699</v>
      </c>
      <c r="AI27" s="19" t="str">
        <f>IFERROR(RANK(AH27,AH:AH)&amp;"/"&amp;COUNT(AH:AH),"-")</f>
        <v>188/197</v>
      </c>
      <c r="AJ27" s="26">
        <f>IFERROR(RANK(AH27,AH:AH)/COUNT(AH:AH),"-")</f>
        <v>0.95431472081218272</v>
      </c>
      <c r="AK27" s="34" t="str">
        <f>IF(OR($C27&gt;20190630,$K27&gt;30,AH27="-",$D27="是",$E27="封闭期",$H27&lt;10,$BN27&lt;-6,$BR27&lt;70),"-",COUNTIFS(AH$4:AH$200,"&lt;&gt;-",$D$4:$D$200,"&lt;&gt;是",$E$4:$E$200,"&lt;&gt;封闭期",$H$4:$H$200,"&gt;10",$BN$4:$BN$200,"&gt;-6",$BR$4:$BR$200,"&gt;=70",$K$4:$K$200,"&lt;=30",$C$4:$C$200,"&lt;20190630",AH$4:AH$200,"&gt;="&amp;AH27)&amp;"/"&amp;COUNTIFS(AH$4:AH$200,"&lt;&gt;-",$D$4:$D$200,"&lt;&gt;是",$E$4:$E$200,"&lt;&gt;封闭期",$H$4:$H$200,"&gt;10",$BN$4:$BN$200,"&gt;-6",$BR$4:$BR$200,"&gt;=70",$C$4:$C$200,"&lt;20190630",$K$4:$K$200,"&lt;=30"))</f>
        <v>-</v>
      </c>
      <c r="AL27" s="33" t="str">
        <f>IF(OR($C27&gt;20190630,$K27&gt;30,AH27="-",$D27="是",$E27="封闭期",$H27&lt;10,$BN27&lt;-6,$BR27&lt;70),"-",COUNTIFS(AH$4:AH$200,"&lt;&gt;-",$D$4:$D$200,"&lt;&gt;是",$E$4:$E$200,"&lt;&gt;封闭期",$H$4:$H$200,"&gt;10",$BN$4:$BN$200,"&gt;-6",$BR$4:$BR$200,"&gt;=70",$K$4:$K$200,"&lt;=30",$C$4:$C$200,"&lt;20190630",AH$4:AH$200,"&gt;="&amp;AH27)/COUNTIFS(AH$4:AH$200,"&lt;&gt;-",$D$4:$D$200,"&lt;&gt;是",$E$4:$E$200,"&lt;&gt;封闭期",$H$4:$H$200,"&gt;10",$BN$4:$BN$200,"&gt;-6",$BR$4:$BR$200,"&gt;=70",$C$4:$C$200,"&lt;20190630",$K$4:$K$200,"&lt;=30"))</f>
        <v>-</v>
      </c>
      <c r="AM27" s="19">
        <f>[1]!f_return($A27,"1",AM$2,$L$2)</f>
        <v>13.257242321917474</v>
      </c>
      <c r="AN27" s="19">
        <f>[1]!f_risk_stdevyearly($A27,AM$2,$L$2,1,1)</f>
        <v>11.919472897954659</v>
      </c>
      <c r="AO27" s="19">
        <f>IFERROR(AM27/AN27,"-")</f>
        <v>1.1122339415019242</v>
      </c>
      <c r="AP27" s="19" t="str">
        <f>IFERROR(RANK(AO27,AO:AO)&amp;"/"&amp;COUNT(AO:AO),"-")</f>
        <v>150/197</v>
      </c>
      <c r="AQ27" s="26">
        <f>IF(AP27="-","-",RANK(AO27,AO:AO)/COUNT(AO:AO))</f>
        <v>0.76142131979695427</v>
      </c>
      <c r="AR27" s="57">
        <v>0.12182741116751269</v>
      </c>
      <c r="AS27" s="33" t="str">
        <f>IF(OR($C27&gt;20190630,$K27&gt;30,AO27="-",$D27="是",$E27="封闭期",$H27&lt;10,$BN27&lt;-6,$BR27&lt;70),"-",COUNTIFS(AO$4:AO$200,"&lt;&gt;-",$D$4:$D$200,"&lt;&gt;是",$E$4:$E$200,"&lt;&gt;封闭期",$H$4:$H$200,"&gt;10",$BN$4:$BN$200,"&gt;-6",$BR$4:$BR$200,"&gt;=70",$K$4:$K$200,"&lt;=30",$C$4:$C$200,"&lt;20190630",AO$4:AO$200,"&gt;="&amp;AO27)/COUNTIFS(AO$4:AO$200,"&lt;&gt;-",$D$4:$D$200,"&lt;&gt;是",$E$4:$E$200,"&lt;&gt;封闭期",$H$4:$H$200,"&gt;10",$BN$4:$BN$200,"&gt;-6",$BR$4:$BR$200,"&gt;=70",$C$4:$C$200,"&lt;20190630",$K$4:$K$200,"&lt;=30"))</f>
        <v>-</v>
      </c>
      <c r="AT27" s="19">
        <f>IFERROR((AM27-3)/AN27,"-")</f>
        <v>0.8605449594736343</v>
      </c>
      <c r="AU27" s="19" t="str">
        <f>IFERROR(RANK(AT27,AT:AT)&amp;"/"&amp;COUNT(AT:AT),"-")</f>
        <v>101/197</v>
      </c>
      <c r="AV27" s="26">
        <f>IFERROR(RANK(AT27,AT:AT)/COUNT(AT:AT),"-")</f>
        <v>0.51269035532994922</v>
      </c>
      <c r="AW27" s="34" t="str">
        <f>IF(OR($C27&gt;20190630,$K27&gt;30,AT27="-",$D27="是",$E27="封闭期",$H27&lt;10,$BN27&lt;-6,$BR27&lt;70),"-",COUNTIFS(AT$4:AT$200,"&lt;&gt;-",$D$4:$D$200,"&lt;&gt;是",$E$4:$E$200,"&lt;&gt;封闭期",$H$4:$H$200,"&gt;10",$BN$4:$BN$200,"&gt;-6",$BR$4:$BR$200,"&gt;=70",$K$4:$K$200,"&lt;=30",$C$4:$C$200,"&lt;20190630",AT$4:AT$200,"&gt;="&amp;AT27)&amp;"/"&amp;COUNTIFS(AT$4:AT$200,"&lt;&gt;-",$D$4:$D$200,"&lt;&gt;是",$E$4:$E$200,"&lt;&gt;封闭期",$H$4:$H$200,"&gt;10",$BN$4:$BN$200,"&gt;-6",$BR$4:$BR$200,"&gt;=70",$C$4:$C$200,"&lt;20190630",$K$4:$K$200,"&lt;=30"))</f>
        <v>-</v>
      </c>
      <c r="AX27" s="33" t="str">
        <f>IF(OR($C27&gt;20190630,$K27&gt;30,AT27="-",$D27="是",$E27="封闭期",$H27&lt;10,$BN27&lt;-6,$BR27&lt;70),"-",COUNTIFS(AT$4:AT$200,"&lt;&gt;-",$D$4:$D$200,"&lt;&gt;是",$E$4:$E$200,"&lt;&gt;封闭期",$H$4:$H$200,"&gt;10",$BN$4:$BN$200,"&gt;-6",$BR$4:$BR$200,"&gt;=70",$K$4:$K$200,"&lt;=30",$C$4:$C$200,"&lt;20190630",AT$4:AT$200,"&gt;="&amp;AT27)/COUNTIFS(AT$4:AT$200,"&lt;&gt;-",$D$4:$D$200,"&lt;&gt;是",$E$4:$E$200,"&lt;&gt;封闭期",$H$4:$H$200,"&gt;10",$BN$4:$BN$200,"&gt;-6",$BR$4:$BR$200,"&gt;=70",$C$4:$C$200,"&lt;20190630",$K$4:$K$200,"&lt;=30"))</f>
        <v>-</v>
      </c>
      <c r="AY27" s="19">
        <f>[1]!f_risk_calmar(A27,$AM$2,$L$2)</f>
        <v>1.3159040526940311</v>
      </c>
      <c r="AZ27" s="19" t="str">
        <f>IFERROR(RANK(AY27,AY:AY)&amp;"/"&amp;COUNT(AY:AY),"-")</f>
        <v>150/197</v>
      </c>
      <c r="BA27" s="26">
        <f>IFERROR(RANK(AY27,AY:AY)/COUNT(AY:AY),"-")</f>
        <v>0.76142131979695427</v>
      </c>
      <c r="BB27" s="34" t="str">
        <f>IF(OR($C27&gt;20190630,$K27&gt;30,AY27="-",$D27="是",$E27="封闭期",$H27&lt;10,$BN27&lt;-6,$BR27&lt;70),"-",COUNTIFS(AY$4:AY$200,"&lt;&gt;-",$D$4:$D$200,"&lt;&gt;是",$E$4:$E$200,"&lt;&gt;封闭期",$H$4:$H$200,"&gt;10",$BN$4:$BN$200,"&gt;-6",$BR$4:$BR$200,"&gt;=70",$K$4:$K$200,"&lt;=30",$C$4:$C$200,"&lt;20190630",AY$4:AY$200,"&gt;="&amp;AY27)&amp;"/"&amp;COUNTIFS(AY$4:AY$200,"&lt;&gt;-",$D$4:$D$200,"&lt;&gt;是",$E$4:$E$200,"&lt;&gt;封闭期",$H$4:$H$200,"&gt;10",$BN$4:$BN$200,"&gt;-6",$BR$4:$BR$200,"&gt;=70",$C$4:$C$200,"&lt;20190630",$K$4:$K$200,"&lt;=30"))</f>
        <v>-</v>
      </c>
      <c r="BC27" s="33" t="str">
        <f>IF(OR($C27&gt;20190630,$K27&gt;30,AY27="-",$D27="是",$E27="封闭期",$H27&lt;10,$BN27&lt;-6,$BR27&lt;70),"-",COUNTIFS(AY$4:AY$200,"&lt;&gt;-",$D$4:$D$200,"&lt;&gt;是",$E$4:$E$200,"&lt;&gt;封闭期",$H$4:$H$200,"&gt;10",$BN$4:$BN$200,"&gt;-6",$BR$4:$BR$200,"&gt;=70",$K$4:$K$200,"&lt;=30",$C$4:$C$200,"&lt;20190630",AY$4:AY$200,"&gt;="&amp;AY27)/COUNTIFS(AY$4:AY$200,"&lt;&gt;-",$D$4:$D$200,"&lt;&gt;是",$E$4:$E$200,"&lt;&gt;封闭期",$H$4:$H$200,"&gt;10",$BN$4:$BN$200,"&gt;-6",$BR$4:$BR$200,"&gt;=70",$C$4:$C$200,"&lt;20190630",$K$4:$K$200,"&lt;=30"))</f>
        <v>-</v>
      </c>
      <c r="BD27" s="20">
        <v>1</v>
      </c>
      <c r="BE27" s="19" t="str">
        <f>IFERROR(RANK(BD27,BD:BD)&amp;"/"&amp;COUNT(BD:BD),"-")</f>
        <v>1/197</v>
      </c>
      <c r="BF27" s="26">
        <f>IFERROR(RANK(BD27,BD:BD)/COUNT(BD:BD),"-")</f>
        <v>5.076142131979695E-3</v>
      </c>
      <c r="BG27" s="34" t="str">
        <f>IF(OR($C27&gt;20190630,$K27&gt;30,BD27="-",$D27="是",$E27="封闭期",$H27&lt;10,$BN27&lt;-6,$BR27&lt;70),"-",COUNTIFS(BD$4:BD$200,"&lt;&gt;-",$D$4:$D$200,"&lt;&gt;是",$E$4:$E$200,"&lt;&gt;封闭期",$H$4:$H$200,"&gt;10",$BN$4:$BN$200,"&gt;-6",$BR$4:$BR$200,"&gt;=70",$K$4:$K$200,"&lt;=30",$C$4:$C$200,"&lt;20190630",BD$4:BD$200,"&gt;="&amp;BD27)&amp;"/"&amp;COUNTIFS(BD$4:BD$200,"&lt;&gt;-",$D$4:$D$200,"&lt;&gt;是",$E$4:$E$200,"&lt;&gt;封闭期",$H$4:$H$200,"&gt;10",$BN$4:$BN$200,"&gt;-6",$BR$4:$BR$200,"&gt;=70",$C$4:$C$200,"&lt;20190630",$K$4:$K$200,"&lt;=30"))</f>
        <v>-</v>
      </c>
      <c r="BH27" s="33" t="str">
        <f>IF(OR($C27&gt;20190630,$K27&gt;30,BD27="-",$D27="是",$E27="封闭期",$H27&lt;10,$BN27&lt;-6,$BR27&lt;70),"-",COUNTIFS(BD$4:BD$200,"&lt;&gt;-",$D$4:$D$200,"&lt;&gt;是",$E$4:$E$200,"&lt;&gt;封闭期",$H$4:$H$200,"&gt;10",$BN$4:$BN$200,"&gt;-6",$BR$4:$BR$200,"&gt;=70",$K$4:$K$200,"&lt;=30",$C$4:$C$200,"&lt;20190630",BD$4:BD$200,"&gt;="&amp;BD27)/COUNTIFS(BD$4:BD$200,"&lt;&gt;-",$D$4:$D$200,"&lt;&gt;是",$E$4:$E$200,"&lt;&gt;封闭期",$H$4:$H$200,"&gt;10",$BN$4:$BN$200,"&gt;-6",$BR$4:$BR$200,"&gt;=70",$C$4:$C$200,"&lt;20190630",$K$4:$K$200,"&lt;=30"))</f>
        <v>-</v>
      </c>
      <c r="BI27" s="21">
        <f>[1]!f_risk_maxdownside(A27,$AM$2,$L$2)</f>
        <v>-10.07462686567164</v>
      </c>
      <c r="BJ27" s="19" t="str">
        <f>IFERROR(RANK(BI27,BI:BI)&amp;"/"&amp;COUNT(BI:BI),"-")</f>
        <v>190/197</v>
      </c>
      <c r="BK27" s="26">
        <f>IFERROR(RANK(BI27,BI:BI)/COUNT(BI:BI),"-")</f>
        <v>0.96446700507614214</v>
      </c>
      <c r="BL27" s="34" t="str">
        <f>IF(OR($C27&gt;20190630,$K27&gt;30,BI27="-",$D27="是",$E27="封闭期",$H27&lt;10,$BN27&lt;-6,$BR27&lt;70),"-",COUNTIFS(BI$4:BI$200,"&lt;&gt;-",$D$4:$D$200,"&lt;&gt;是",$E$4:$E$200,"&lt;&gt;封闭期",$H$4:$H$200,"&gt;10",$BN$4:$BN$200,"&gt;-6",$BR$4:$BR$200,"&gt;=70",$K$4:$K$200,"&lt;=30",$C$4:$C$200,"&lt;20190630",BI$4:BI$200,"&gt;="&amp;BI27)&amp;"/"&amp;COUNTIFS(BI$4:BI$200,"&lt;&gt;-",$D$4:$D$200,"&lt;&gt;是",$E$4:$E$200,"&lt;&gt;封闭期",$H$4:$H$200,"&gt;10",$BN$4:$BN$200,"&gt;-6",$BR$4:$BR$200,"&gt;=70",$C$4:$C$200,"&lt;20190630",$K$4:$K$200,"&lt;=30"))</f>
        <v>-</v>
      </c>
      <c r="BM27" s="33" t="str">
        <f>IF(OR($C27&gt;20190630,$K27&gt;30,BI27="-",$D27="是",$E27="封闭期",$H27&lt;10,$BN27&lt;-6,$BR27&lt;70),"-",COUNTIFS(BI$4:BI$200,"&lt;&gt;-",$D$4:$D$200,"&lt;&gt;是",$E$4:$E$200,"&lt;&gt;封闭期",$H$4:$H$200,"&gt;10",$BN$4:$BN$200,"&gt;-6",$BR$4:$BR$200,"&gt;=70",$K$4:$K$200,"&lt;=30",$C$4:$C$200,"&lt;20190630",BI$4:BI$200,"&gt;="&amp;BI27)/COUNTIFS(BI$4:BI$200,"&lt;&gt;-",$D$4:$D$200,"&lt;&gt;是",$E$4:$E$200,"&lt;&gt;封闭期",$H$4:$H$200,"&gt;10",$BN$4:$BN$200,"&gt;-6",$BR$4:$BR$200,"&gt;=70",$C$4:$C$200,"&lt;20190630",$K$4:$K$200,"&lt;=30"))</f>
        <v>-</v>
      </c>
      <c r="BN27" s="21">
        <f>[1]!f_risk_maxdownside(A27,$AM$2,$E$1)</f>
        <v>-10.07462686567164</v>
      </c>
      <c r="BO27" s="21">
        <f>IF(C27&lt;20190930,[1]!f_return_2y(A27,"0","20210930"),"-")</f>
        <v>27.550287356321867</v>
      </c>
      <c r="BP27" s="19" t="str">
        <f>IFERROR(RANK(BO27,BO:BO)&amp;"/"&amp;COUNT(BO:BO),"-")</f>
        <v>16/197</v>
      </c>
      <c r="BQ27" s="25">
        <f>IFERROR(RANK(BO27,BO:BO)/COUNT(BO:BO),"-")</f>
        <v>8.1218274111675121E-2</v>
      </c>
      <c r="BR27" s="19">
        <f>IF(C27&lt;20190930,[1]!f_absolute_profitmonthper(A27,"20190930","20210930"),"-")</f>
        <v>70.833333333333343</v>
      </c>
      <c r="BS27" s="19" t="str">
        <f>IFERROR(RANK(BR27,BR:BR)&amp;"/"&amp;COUNT(BR:BR),"-")</f>
        <v>55/198</v>
      </c>
      <c r="BT27" s="25">
        <f>IFERROR(RANK(BR27,BR:BR)/COUNT(BR:BR),"-")</f>
        <v>0.27777777777777779</v>
      </c>
      <c r="BV27" s="12">
        <f>X27-3/M27</f>
        <v>1.287010983559195</v>
      </c>
      <c r="BW27" s="76">
        <f>IFERROR(RANK(BV27,BV:BV)/COUNT(BV:BV),"-")</f>
        <v>0.51776649746192893</v>
      </c>
      <c r="BX27" s="76">
        <f>IFERROR(RANK(L27,L:L)/COUNT(L:L),"-")</f>
        <v>8.0808080808080815E-2</v>
      </c>
      <c r="BY27" s="12">
        <f>AY27-3/AN27</f>
        <v>1.0642150706657412</v>
      </c>
      <c r="BZ27" s="76">
        <f>IFERROR(RANK(BY27,BY:BY)/COUNT(BY:BY),"-")</f>
        <v>0.65482233502538068</v>
      </c>
      <c r="CA27" s="76">
        <f>IFERROR(RANK(AM27,AM:AM)/COUNT(AM:AM),"-")</f>
        <v>0.12626262626262627</v>
      </c>
      <c r="CB27" s="2"/>
      <c r="CC27" s="77">
        <f>AV27+BF27+BZ27+CA27</f>
        <v>1.2988514587499358</v>
      </c>
      <c r="CD27" s="77">
        <f>BW27+BX27+AE27+U27</f>
        <v>1.6442598574578269</v>
      </c>
      <c r="CE27" s="77">
        <f>CC27+CD27</f>
        <v>2.9431113162077627</v>
      </c>
    </row>
    <row r="28" spans="1:83" s="17" customFormat="1" x14ac:dyDescent="0.35">
      <c r="A28" s="15" t="s">
        <v>79</v>
      </c>
      <c r="B28" s="15" t="s">
        <v>80</v>
      </c>
      <c r="C28" s="16">
        <v>20101103</v>
      </c>
      <c r="D28" s="16" t="str">
        <f>[1]!f_info_regulopenfundornot(A28)</f>
        <v>否</v>
      </c>
      <c r="E28" s="16" t="str">
        <f>[1]!f_dq_status(A28,$E$1)</f>
        <v>开放申购|开放赎回</v>
      </c>
      <c r="F28" s="17" t="str">
        <f>[1]!f_info_fundmanager(A28)</f>
        <v>刘文良</v>
      </c>
      <c r="G28" s="16">
        <v>20160624</v>
      </c>
      <c r="H28" s="18">
        <f>[1]!f_netasset_total(A28,$E$1,100000000)</f>
        <v>38.942273102800002</v>
      </c>
      <c r="I28" s="18">
        <f>[1]!f_prt_convertiblebondtonav(A28,$E$1)</f>
        <v>24.236295700073242</v>
      </c>
      <c r="J28" s="18">
        <f>[1]!f_prt_stocktonav(A28,$E$1)+0.5*I28</f>
        <v>31.677865028381348</v>
      </c>
      <c r="K28" s="19">
        <v>0</v>
      </c>
      <c r="L28" s="19">
        <f>[1]!f_return($A28,"1",L$2,$E$1)</f>
        <v>15.893211793329298</v>
      </c>
      <c r="M28" s="19">
        <f>[1]!f_risk_stdevyearly($A28,L$2,$E$1,1,1)</f>
        <v>9.3242286251686455</v>
      </c>
      <c r="N28" s="19">
        <f>IFERROR(L28/M28,"-")</f>
        <v>1.7045068747487775</v>
      </c>
      <c r="O28" s="19" t="str">
        <f>IFERROR(RANK(N28,N:N)&amp;"/"&amp;COUNT(N:N),"-")</f>
        <v>66/197</v>
      </c>
      <c r="P28" s="26">
        <f>IF(O28="-","-",RANK(N28,N:N)/COUNT(N:N))</f>
        <v>0.3350253807106599</v>
      </c>
      <c r="Q28" s="56">
        <v>3.553299492385787E-2</v>
      </c>
      <c r="R28" s="33" t="str">
        <f>IF(OR($C28&gt;20190630,$K28&gt;30,N28="-",$D28="是",$E28="封闭期",$H28&lt;10,$BN28&lt;-6,$BR28&lt;70),"-",COUNTIFS(N$4:N$200,"&lt;&gt;-",$D$4:$D$200,"&lt;&gt;是",$E$4:$E$200,"&lt;&gt;封闭期",$H$4:$H$200,"&gt;10",$BN$4:$BN$200,"&gt;-6",$BR$4:$BR$200,"&gt;=70",$K$4:$K$200,"&lt;=30",$C$4:$C$200,"&lt;20190630",N$4:N$200,"&gt;="&amp;N28)/COUNTIFS(N$4:N$200,"&lt;&gt;-",$D$4:$D$200,"&lt;&gt;是",$E$4:$E$200,"&lt;&gt;封闭期",$H$4:$H$200,"&gt;10",$BN$4:$BN$200,"&gt;-6",$BR$4:$BR$200,"&gt;=70",$C$4:$C$200,"&lt;20190630",$K$4:$K$200,"&lt;=30"))</f>
        <v>-</v>
      </c>
      <c r="S28" s="19">
        <f>IFERROR((L28-3)/M28,"-")</f>
        <v>1.3827644421466663</v>
      </c>
      <c r="T28" s="19" t="str">
        <f>IFERROR(RANK(S28,S:S)&amp;"/"&amp;COUNT(S:S),"-")</f>
        <v>38/197</v>
      </c>
      <c r="U28" s="26">
        <f>IFERROR(RANK(S28,S:S)/COUNT(S:S),"-")</f>
        <v>0.19289340101522842</v>
      </c>
      <c r="V28" s="34" t="str">
        <f>IF(OR($C28&gt;20190630,$K28&gt;30,S28="-",$D28="是",$E28="封闭期",$H28&lt;10,$BN28&lt;-6,$BR28&lt;70),"-",COUNTIFS(S$4:S$200,"&lt;&gt;-",$D$4:$D$200,"&lt;&gt;是",$E$4:$E$200,"&lt;&gt;封闭期",$H$4:$H$200,"&gt;10",$BN$4:$BN$200,"&gt;-6",$BR$4:$BR$200,"&gt;=70",$K$4:$K$200,"&lt;=30",$C$4:$C$200,"&lt;20190630",S$4:S$200,"&gt;="&amp;S28)&amp;"/"&amp;COUNTIFS(S$4:S$200,"&lt;&gt;-",$D$4:$D$200,"&lt;&gt;是",$E$4:$E$200,"&lt;&gt;封闭期",$H$4:$H$200,"&gt;10",$BN$4:$BN$200,"&gt;-6",$BR$4:$BR$200,"&gt;=70",$C$4:$C$200,"&lt;20190630",$K$4:$K$200,"&lt;=30"))</f>
        <v>-</v>
      </c>
      <c r="W28" s="33" t="str">
        <f>IF(OR($C28&gt;20190630,$K28&gt;30,S28="-",$D28="是",$E28="封闭期",$H28&lt;10,$BN28&lt;-6,$BR28&lt;70),"-",COUNTIFS(S$4:S$200,"&lt;&gt;-",$D$4:$D$200,"&lt;&gt;是",$E$4:$E$200,"&lt;&gt;封闭期",$H$4:$H$200,"&gt;10",$BN$4:$BN$200,"&gt;-6",$BR$4:$BR$200,"&gt;=70",$K$4:$K$200,"&lt;=30",$C$4:$C$200,"&lt;20190630",S$4:S$200,"&gt;="&amp;S28)/COUNTIFS(S$4:S$200,"&lt;&gt;-",$D$4:$D$200,"&lt;&gt;是",$E$4:$E$200,"&lt;&gt;封闭期",$H$4:$H$200,"&gt;10",$BN$4:$BN$200,"&gt;-6",$BR$4:$BR$200,"&gt;=70",$C$4:$C$200,"&lt;20190630",$K$4:$K$200,"&lt;=30"))</f>
        <v>-</v>
      </c>
      <c r="X28" s="19">
        <f>[1]!f_risk_calmar(A28,$L$2,$E$1)</f>
        <v>2.4296011732209859</v>
      </c>
      <c r="Y28" s="19" t="str">
        <f>IFERROR(RANK(X28,X:X)&amp;"/"&amp;COUNT(X:X),"-")</f>
        <v>74/197</v>
      </c>
      <c r="Z28" s="26">
        <f>IFERROR(RANK(X28,X:X)/COUNT(X:X),"-")</f>
        <v>0.37563451776649748</v>
      </c>
      <c r="AA28" s="34" t="str">
        <f>IF(OR($C28&gt;20190630,$K28&gt;30,X28="-",$D28="是",$E28="封闭期",$H28&lt;10,$BN28&lt;-6,$BR28&lt;70),"-",COUNTIFS(X$4:X$200,"&lt;&gt;-",$D$4:$D$200,"&lt;&gt;是",$E$4:$E$200,"&lt;&gt;封闭期",$H$4:$H$200,"&gt;10",$BN$4:$BN$200,"&gt;-6",$BR$4:$BR$200,"&gt;=70",$K$4:$K$200,"&lt;=30",$C$4:$C$200,"&lt;20190630",X$4:X$200,"&gt;="&amp;X28)&amp;"/"&amp;COUNTIFS(X$4:X$200,"&lt;&gt;-",$D$4:$D$200,"&lt;&gt;是",$E$4:$E$200,"&lt;&gt;封闭期",$H$4:$H$200,"&gt;10",$BN$4:$BN$200,"&gt;-6",$BR$4:$BR$200,"&gt;=70",$C$4:$C$200,"&lt;20190630",$K$4:$K$200,"&lt;=30"))</f>
        <v>-</v>
      </c>
      <c r="AB28" s="33" t="str">
        <f>IF(OR($C28&gt;20190630,$K28&gt;30,X28="-",$D28="是",$E28="封闭期",$H28&lt;10,$BN28&lt;-6,$BR28&lt;70),"-",COUNTIFS(X$4:X$200,"&lt;&gt;-",$D$4:$D$200,"&lt;&gt;是",$E$4:$E$200,"&lt;&gt;封闭期",$H$4:$H$200,"&gt;10",$BN$4:$BN$200,"&gt;-6",$BR$4:$BR$200,"&gt;=70",$K$4:$K$200,"&lt;=30",$C$4:$C$200,"&lt;20190630",X$4:X$200,"&gt;="&amp;X28)/COUNTIFS(X$4:X$200,"&lt;&gt;-",$D$4:$D$200,"&lt;&gt;是",$E$4:$E$200,"&lt;&gt;封闭期",$H$4:$H$200,"&gt;10",$BN$4:$BN$200,"&gt;-6",$BR$4:$BR$200,"&gt;=70",$C$4:$C$200,"&lt;20190630",$K$4:$K$200,"&lt;=30"))</f>
        <v>-</v>
      </c>
      <c r="AC28" s="20">
        <v>1</v>
      </c>
      <c r="AD28" s="19" t="str">
        <f>IFERROR(RANK(AC28,AC:AC)&amp;"/"&amp;COUNT(AC:AC),"-")</f>
        <v>1/197</v>
      </c>
      <c r="AE28" s="26">
        <f>IFERROR(RANK(AC28,AC:AC)/COUNT(AC:AC),"-")</f>
        <v>5.076142131979695E-3</v>
      </c>
      <c r="AF28" s="34" t="str">
        <f>IF(OR($C28&gt;20190630,$K28&gt;30,AC28="-",$D28="是",$E28="封闭期",$H28&lt;10,$BN28&lt;-6,$BR28&lt;70),"-",COUNTIFS(AC$4:AC$200,"&lt;&gt;-",$D$4:$D$200,"&lt;&gt;是",$E$4:$E$200,"&lt;&gt;封闭期",$H$4:$H$200,"&gt;10",$BN$4:$BN$200,"&gt;-6",$BR$4:$BR$200,"&gt;=70",$K$4:$K$200,"&lt;=30",$C$4:$C$200,"&lt;20190630",AC$4:AC$200,"&gt;="&amp;AC28)&amp;"/"&amp;COUNTIFS(AC$4:AC$200,"&lt;&gt;-",$D$4:$D$200,"&lt;&gt;是",$E$4:$E$200,"&lt;&gt;封闭期",$H$4:$H$200,"&gt;10",$BN$4:$BN$200,"&gt;-6",$BR$4:$BR$200,"&gt;=70",$C$4:$C$200,"&lt;20190630",$K$4:$K$200,"&lt;=30"))</f>
        <v>-</v>
      </c>
      <c r="AG28" s="33" t="str">
        <f>IF(OR($C28&gt;20190630,$K28&gt;30,AC28="-",$D28="是",$E28="封闭期",$H28&lt;10,$BN28&lt;-6,$BR28&lt;70),"-",COUNTIFS(AC$4:AC$200,"&lt;&gt;-",$D$4:$D$200,"&lt;&gt;是",$E$4:$E$200,"&lt;&gt;封闭期",$H$4:$H$200,"&gt;10",$BN$4:$BN$200,"&gt;-6",$BR$4:$BR$200,"&gt;=70",$K$4:$K$200,"&lt;=30",$C$4:$C$200,"&lt;20190630",AC$4:AC$200,"&gt;="&amp;AC28)/COUNTIFS(AC$4:AC$200,"&lt;&gt;-",$D$4:$D$200,"&lt;&gt;是",$E$4:$E$200,"&lt;&gt;封闭期",$H$4:$H$200,"&gt;10",$BN$4:$BN$200,"&gt;-6",$BR$4:$BR$200,"&gt;=70",$C$4:$C$200,"&lt;20190630",$K$4:$K$200,"&lt;=30"))</f>
        <v>-</v>
      </c>
      <c r="AH28" s="21">
        <f>[1]!f_risk_maxdownside(A28,$L$2,$E$1)</f>
        <v>-6.5414900060569412</v>
      </c>
      <c r="AI28" s="19" t="str">
        <f>IFERROR(RANK(AH28,AH:AH)&amp;"/"&amp;COUNT(AH:AH),"-")</f>
        <v>185/197</v>
      </c>
      <c r="AJ28" s="26">
        <f>IFERROR(RANK(AH28,AH:AH)/COUNT(AH:AH),"-")</f>
        <v>0.93908629441624369</v>
      </c>
      <c r="AK28" s="34" t="str">
        <f>IF(OR($C28&gt;20190630,$K28&gt;30,AH28="-",$D28="是",$E28="封闭期",$H28&lt;10,$BN28&lt;-6,$BR28&lt;70),"-",COUNTIFS(AH$4:AH$200,"&lt;&gt;-",$D$4:$D$200,"&lt;&gt;是",$E$4:$E$200,"&lt;&gt;封闭期",$H$4:$H$200,"&gt;10",$BN$4:$BN$200,"&gt;-6",$BR$4:$BR$200,"&gt;=70",$K$4:$K$200,"&lt;=30",$C$4:$C$200,"&lt;20190630",AH$4:AH$200,"&gt;="&amp;AH28)&amp;"/"&amp;COUNTIFS(AH$4:AH$200,"&lt;&gt;-",$D$4:$D$200,"&lt;&gt;是",$E$4:$E$200,"&lt;&gt;封闭期",$H$4:$H$200,"&gt;10",$BN$4:$BN$200,"&gt;-6",$BR$4:$BR$200,"&gt;=70",$C$4:$C$200,"&lt;20190630",$K$4:$K$200,"&lt;=30"))</f>
        <v>-</v>
      </c>
      <c r="AL28" s="33" t="str">
        <f>IF(OR($C28&gt;20190630,$K28&gt;30,AH28="-",$D28="是",$E28="封闭期",$H28&lt;10,$BN28&lt;-6,$BR28&lt;70),"-",COUNTIFS(AH$4:AH$200,"&lt;&gt;-",$D$4:$D$200,"&lt;&gt;是",$E$4:$E$200,"&lt;&gt;封闭期",$H$4:$H$200,"&gt;10",$BN$4:$BN$200,"&gt;-6",$BR$4:$BR$200,"&gt;=70",$K$4:$K$200,"&lt;=30",$C$4:$C$200,"&lt;20190630",AH$4:AH$200,"&gt;="&amp;AH28)/COUNTIFS(AH$4:AH$200,"&lt;&gt;-",$D$4:$D$200,"&lt;&gt;是",$E$4:$E$200,"&lt;&gt;封闭期",$H$4:$H$200,"&gt;10",$BN$4:$BN$200,"&gt;-6",$BR$4:$BR$200,"&gt;=70",$C$4:$C$200,"&lt;20190630",$K$4:$K$200,"&lt;=30"))</f>
        <v>-</v>
      </c>
      <c r="AM28" s="19">
        <f>[1]!f_return($A28,"1",AM$2,$L$2)</f>
        <v>13.251252926638891</v>
      </c>
      <c r="AN28" s="19">
        <f>[1]!f_risk_stdevyearly($A28,AM$2,$L$2,1,1)</f>
        <v>9.06281422603419</v>
      </c>
      <c r="AO28" s="19">
        <f>IFERROR(AM28/AN28,"-")</f>
        <v>1.4621565218199917</v>
      </c>
      <c r="AP28" s="19" t="str">
        <f>IFERROR(RANK(AO28,AO:AO)&amp;"/"&amp;COUNT(AO:AO),"-")</f>
        <v>110/197</v>
      </c>
      <c r="AQ28" s="26">
        <f>IF(AP28="-","-",RANK(AO28,AO:AO)/COUNT(AO:AO))</f>
        <v>0.55837563451776651</v>
      </c>
      <c r="AR28" s="57">
        <v>0.12690355329949238</v>
      </c>
      <c r="AS28" s="33" t="str">
        <f>IF(OR($C28&gt;20190630,$K28&gt;30,AO28="-",$D28="是",$E28="封闭期",$H28&lt;10,$BN28&lt;-6,$BR28&lt;70),"-",COUNTIFS(AO$4:AO$200,"&lt;&gt;-",$D$4:$D$200,"&lt;&gt;是",$E$4:$E$200,"&lt;&gt;封闭期",$H$4:$H$200,"&gt;10",$BN$4:$BN$200,"&gt;-6",$BR$4:$BR$200,"&gt;=70",$K$4:$K$200,"&lt;=30",$C$4:$C$200,"&lt;20190630",AO$4:AO$200,"&gt;="&amp;AO28)/COUNTIFS(AO$4:AO$200,"&lt;&gt;-",$D$4:$D$200,"&lt;&gt;是",$E$4:$E$200,"&lt;&gt;封闭期",$H$4:$H$200,"&gt;10",$BN$4:$BN$200,"&gt;-6",$BR$4:$BR$200,"&gt;=70",$C$4:$C$200,"&lt;20190630",$K$4:$K$200,"&lt;=30"))</f>
        <v>-</v>
      </c>
      <c r="AT28" s="19">
        <f>IFERROR((AM28-3)/AN28,"-")</f>
        <v>1.131133516694047</v>
      </c>
      <c r="AU28" s="19" t="str">
        <f>IFERROR(RANK(AT28,AT:AT)&amp;"/"&amp;COUNT(AT:AT),"-")</f>
        <v>64/197</v>
      </c>
      <c r="AV28" s="26">
        <f>IFERROR(RANK(AT28,AT:AT)/COUNT(AT:AT),"-")</f>
        <v>0.32487309644670048</v>
      </c>
      <c r="AW28" s="34" t="str">
        <f>IF(OR($C28&gt;20190630,$K28&gt;30,AT28="-",$D28="是",$E28="封闭期",$H28&lt;10,$BN28&lt;-6,$BR28&lt;70),"-",COUNTIFS(AT$4:AT$200,"&lt;&gt;-",$D$4:$D$200,"&lt;&gt;是",$E$4:$E$200,"&lt;&gt;封闭期",$H$4:$H$200,"&gt;10",$BN$4:$BN$200,"&gt;-6",$BR$4:$BR$200,"&gt;=70",$K$4:$K$200,"&lt;=30",$C$4:$C$200,"&lt;20190630",AT$4:AT$200,"&gt;="&amp;AT28)&amp;"/"&amp;COUNTIFS(AT$4:AT$200,"&lt;&gt;-",$D$4:$D$200,"&lt;&gt;是",$E$4:$E$200,"&lt;&gt;封闭期",$H$4:$H$200,"&gt;10",$BN$4:$BN$200,"&gt;-6",$BR$4:$BR$200,"&gt;=70",$C$4:$C$200,"&lt;20190630",$K$4:$K$200,"&lt;=30"))</f>
        <v>-</v>
      </c>
      <c r="AX28" s="33" t="str">
        <f>IF(OR($C28&gt;20190630,$K28&gt;30,AT28="-",$D28="是",$E28="封闭期",$H28&lt;10,$BN28&lt;-6,$BR28&lt;70),"-",COUNTIFS(AT$4:AT$200,"&lt;&gt;-",$D$4:$D$200,"&lt;&gt;是",$E$4:$E$200,"&lt;&gt;封闭期",$H$4:$H$200,"&gt;10",$BN$4:$BN$200,"&gt;-6",$BR$4:$BR$200,"&gt;=70",$K$4:$K$200,"&lt;=30",$C$4:$C$200,"&lt;20190630",AT$4:AT$200,"&gt;="&amp;AT28)/COUNTIFS(AT$4:AT$200,"&lt;&gt;-",$D$4:$D$200,"&lt;&gt;是",$E$4:$E$200,"&lt;&gt;封闭期",$H$4:$H$200,"&gt;10",$BN$4:$BN$200,"&gt;-6",$BR$4:$BR$200,"&gt;=70",$C$4:$C$200,"&lt;20190630",$K$4:$K$200,"&lt;=30"))</f>
        <v>-</v>
      </c>
      <c r="AY28" s="19">
        <f>[1]!f_risk_calmar(A28,$AM$2,$L$2)</f>
        <v>2.0969766229268765</v>
      </c>
      <c r="AZ28" s="19" t="str">
        <f>IFERROR(RANK(AY28,AY:AY)&amp;"/"&amp;COUNT(AY:AY),"-")</f>
        <v>106/197</v>
      </c>
      <c r="BA28" s="26">
        <f>IFERROR(RANK(AY28,AY:AY)/COUNT(AY:AY),"-")</f>
        <v>0.53807106598984766</v>
      </c>
      <c r="BB28" s="34" t="str">
        <f>IF(OR($C28&gt;20190630,$K28&gt;30,AY28="-",$D28="是",$E28="封闭期",$H28&lt;10,$BN28&lt;-6,$BR28&lt;70),"-",COUNTIFS(AY$4:AY$200,"&lt;&gt;-",$D$4:$D$200,"&lt;&gt;是",$E$4:$E$200,"&lt;&gt;封闭期",$H$4:$H$200,"&gt;10",$BN$4:$BN$200,"&gt;-6",$BR$4:$BR$200,"&gt;=70",$K$4:$K$200,"&lt;=30",$C$4:$C$200,"&lt;20190630",AY$4:AY$200,"&gt;="&amp;AY28)&amp;"/"&amp;COUNTIFS(AY$4:AY$200,"&lt;&gt;-",$D$4:$D$200,"&lt;&gt;是",$E$4:$E$200,"&lt;&gt;封闭期",$H$4:$H$200,"&gt;10",$BN$4:$BN$200,"&gt;-6",$BR$4:$BR$200,"&gt;=70",$C$4:$C$200,"&lt;20190630",$K$4:$K$200,"&lt;=30"))</f>
        <v>-</v>
      </c>
      <c r="BC28" s="33" t="str">
        <f>IF(OR($C28&gt;20190630,$K28&gt;30,AY28="-",$D28="是",$E28="封闭期",$H28&lt;10,$BN28&lt;-6,$BR28&lt;70),"-",COUNTIFS(AY$4:AY$200,"&lt;&gt;-",$D$4:$D$200,"&lt;&gt;是",$E$4:$E$200,"&lt;&gt;封闭期",$H$4:$H$200,"&gt;10",$BN$4:$BN$200,"&gt;-6",$BR$4:$BR$200,"&gt;=70",$K$4:$K$200,"&lt;=30",$C$4:$C$200,"&lt;20190630",AY$4:AY$200,"&gt;="&amp;AY28)/COUNTIFS(AY$4:AY$200,"&lt;&gt;-",$D$4:$D$200,"&lt;&gt;是",$E$4:$E$200,"&lt;&gt;封闭期",$H$4:$H$200,"&gt;10",$BN$4:$BN$200,"&gt;-6",$BR$4:$BR$200,"&gt;=70",$C$4:$C$200,"&lt;20190630",$K$4:$K$200,"&lt;=30"))</f>
        <v>-</v>
      </c>
      <c r="BD28" s="20">
        <v>1</v>
      </c>
      <c r="BE28" s="19" t="str">
        <f>IFERROR(RANK(BD28,BD:BD)&amp;"/"&amp;COUNT(BD:BD),"-")</f>
        <v>1/197</v>
      </c>
      <c r="BF28" s="26">
        <f>IFERROR(RANK(BD28,BD:BD)/COUNT(BD:BD),"-")</f>
        <v>5.076142131979695E-3</v>
      </c>
      <c r="BG28" s="34" t="str">
        <f>IF(OR($C28&gt;20190630,$K28&gt;30,BD28="-",$D28="是",$E28="封闭期",$H28&lt;10,$BN28&lt;-6,$BR28&lt;70),"-",COUNTIFS(BD$4:BD$200,"&lt;&gt;-",$D$4:$D$200,"&lt;&gt;是",$E$4:$E$200,"&lt;&gt;封闭期",$H$4:$H$200,"&gt;10",$BN$4:$BN$200,"&gt;-6",$BR$4:$BR$200,"&gt;=70",$K$4:$K$200,"&lt;=30",$C$4:$C$200,"&lt;20190630",BD$4:BD$200,"&gt;="&amp;BD28)&amp;"/"&amp;COUNTIFS(BD$4:BD$200,"&lt;&gt;-",$D$4:$D$200,"&lt;&gt;是",$E$4:$E$200,"&lt;&gt;封闭期",$H$4:$H$200,"&gt;10",$BN$4:$BN$200,"&gt;-6",$BR$4:$BR$200,"&gt;=70",$C$4:$C$200,"&lt;20190630",$K$4:$K$200,"&lt;=30"))</f>
        <v>-</v>
      </c>
      <c r="BH28" s="33" t="str">
        <f>IF(OR($C28&gt;20190630,$K28&gt;30,BD28="-",$D28="是",$E28="封闭期",$H28&lt;10,$BN28&lt;-6,$BR28&lt;70),"-",COUNTIFS(BD$4:BD$200,"&lt;&gt;-",$D$4:$D$200,"&lt;&gt;是",$E$4:$E$200,"&lt;&gt;封闭期",$H$4:$H$200,"&gt;10",$BN$4:$BN$200,"&gt;-6",$BR$4:$BR$200,"&gt;=70",$K$4:$K$200,"&lt;=30",$C$4:$C$200,"&lt;20190630",BD$4:BD$200,"&gt;="&amp;BD28)/COUNTIFS(BD$4:BD$200,"&lt;&gt;-",$D$4:$D$200,"&lt;&gt;是",$E$4:$E$200,"&lt;&gt;封闭期",$H$4:$H$200,"&gt;10",$BN$4:$BN$200,"&gt;-6",$BR$4:$BR$200,"&gt;=70",$C$4:$C$200,"&lt;20190630",$K$4:$K$200,"&lt;=30"))</f>
        <v>-</v>
      </c>
      <c r="BI28" s="21">
        <f>[1]!f_risk_maxdownside(A28,$AM$2,$L$2)</f>
        <v>-6.3192182410423445</v>
      </c>
      <c r="BJ28" s="19" t="str">
        <f>IFERROR(RANK(BI28,BI:BI)&amp;"/"&amp;COUNT(BI:BI),"-")</f>
        <v>173/197</v>
      </c>
      <c r="BK28" s="26">
        <f>IFERROR(RANK(BI28,BI:BI)/COUNT(BI:BI),"-")</f>
        <v>0.87817258883248728</v>
      </c>
      <c r="BL28" s="34" t="str">
        <f>IF(OR($C28&gt;20190630,$K28&gt;30,BI28="-",$D28="是",$E28="封闭期",$H28&lt;10,$BN28&lt;-6,$BR28&lt;70),"-",COUNTIFS(BI$4:BI$200,"&lt;&gt;-",$D$4:$D$200,"&lt;&gt;是",$E$4:$E$200,"&lt;&gt;封闭期",$H$4:$H$200,"&gt;10",$BN$4:$BN$200,"&gt;-6",$BR$4:$BR$200,"&gt;=70",$K$4:$K$200,"&lt;=30",$C$4:$C$200,"&lt;20190630",BI$4:BI$200,"&gt;="&amp;BI28)&amp;"/"&amp;COUNTIFS(BI$4:BI$200,"&lt;&gt;-",$D$4:$D$200,"&lt;&gt;是",$E$4:$E$200,"&lt;&gt;封闭期",$H$4:$H$200,"&gt;10",$BN$4:$BN$200,"&gt;-6",$BR$4:$BR$200,"&gt;=70",$C$4:$C$200,"&lt;20190630",$K$4:$K$200,"&lt;=30"))</f>
        <v>-</v>
      </c>
      <c r="BM28" s="33" t="str">
        <f>IF(OR($C28&gt;20190630,$K28&gt;30,BI28="-",$D28="是",$E28="封闭期",$H28&lt;10,$BN28&lt;-6,$BR28&lt;70),"-",COUNTIFS(BI$4:BI$200,"&lt;&gt;-",$D$4:$D$200,"&lt;&gt;是",$E$4:$E$200,"&lt;&gt;封闭期",$H$4:$H$200,"&gt;10",$BN$4:$BN$200,"&gt;-6",$BR$4:$BR$200,"&gt;=70",$K$4:$K$200,"&lt;=30",$C$4:$C$200,"&lt;20190630",BI$4:BI$200,"&gt;="&amp;BI28)/COUNTIFS(BI$4:BI$200,"&lt;&gt;-",$D$4:$D$200,"&lt;&gt;是",$E$4:$E$200,"&lt;&gt;封闭期",$H$4:$H$200,"&gt;10",$BN$4:$BN$200,"&gt;-6",$BR$4:$BR$200,"&gt;=70",$C$4:$C$200,"&lt;20190630",$K$4:$K$200,"&lt;=30"))</f>
        <v>-</v>
      </c>
      <c r="BN28" s="21">
        <f>[1]!f_risk_maxdownside(A28,$AM$2,$E$1)</f>
        <v>-6.5414900060569412</v>
      </c>
      <c r="BO28" s="21">
        <f>IF(C28&lt;20190930,[1]!f_return_2y(A28,"0","20210930"),"-")</f>
        <v>31.703651357517042</v>
      </c>
      <c r="BP28" s="19" t="str">
        <f>IFERROR(RANK(BO28,BO:BO)&amp;"/"&amp;COUNT(BO:BO),"-")</f>
        <v>10/197</v>
      </c>
      <c r="BQ28" s="25">
        <f>IFERROR(RANK(BO28,BO:BO)/COUNT(BO:BO),"-")</f>
        <v>5.0761421319796954E-2</v>
      </c>
      <c r="BR28" s="19">
        <f>IF(C28&lt;20190930,[1]!f_absolute_profitmonthper(A28,"20190930","20210930"),"-")</f>
        <v>70.833333333333343</v>
      </c>
      <c r="BS28" s="19" t="str">
        <f>IFERROR(RANK(BR28,BR:BR)&amp;"/"&amp;COUNT(BR:BR),"-")</f>
        <v>55/198</v>
      </c>
      <c r="BT28" s="25">
        <f>IFERROR(RANK(BR28,BR:BR)/COUNT(BR:BR),"-")</f>
        <v>0.27777777777777779</v>
      </c>
      <c r="BV28" s="12">
        <f>X28-3/M28</f>
        <v>2.1078587406188745</v>
      </c>
      <c r="BW28" s="76">
        <f>IFERROR(RANK(BV28,BV:BV)/COUNT(BV:BV),"-")</f>
        <v>0.30456852791878175</v>
      </c>
      <c r="BX28" s="76">
        <f>IFERROR(RANK(L28,L:L)/COUNT(L:L),"-")</f>
        <v>4.0404040404040407E-2</v>
      </c>
      <c r="BY28" s="12">
        <f>AY28-3/AN28</f>
        <v>1.7659536178009319</v>
      </c>
      <c r="BZ28" s="76">
        <f>IFERROR(RANK(BY28,BY:BY)/COUNT(BY:BY),"-")</f>
        <v>0.43654822335025378</v>
      </c>
      <c r="CA28" s="76">
        <f>IFERROR(RANK(AM28,AM:AM)/COUNT(AM:AM),"-")</f>
        <v>0.13131313131313133</v>
      </c>
      <c r="CB28" s="2"/>
      <c r="CC28" s="77">
        <f>AV28+BF28+BZ28+CA28</f>
        <v>0.89781059324206525</v>
      </c>
      <c r="CD28" s="77">
        <f>BW28+BX28+AE28+U28</f>
        <v>0.54294211147003024</v>
      </c>
      <c r="CE28" s="77">
        <f>CC28+CD28</f>
        <v>1.4407527047120956</v>
      </c>
    </row>
    <row r="29" spans="1:83" s="17" customFormat="1" x14ac:dyDescent="0.35">
      <c r="A29" s="3" t="s">
        <v>97</v>
      </c>
      <c r="B29" s="3" t="s">
        <v>98</v>
      </c>
      <c r="C29" s="4">
        <v>20160715</v>
      </c>
      <c r="D29" s="4" t="str">
        <f>[1]!f_info_regulopenfundornot(A29)</f>
        <v>否</v>
      </c>
      <c r="E29" s="4" t="str">
        <f>[1]!f_dq_status(A29,$E$1)</f>
        <v>开放申购|开放赎回</v>
      </c>
      <c r="F29" s="17" t="str">
        <f>[1]!f_info_fundmanager(A29)</f>
        <v>毛静平</v>
      </c>
      <c r="G29" s="4">
        <v>20180912</v>
      </c>
      <c r="H29" s="11">
        <f>[1]!f_netasset_total(A29,$E$1,100000000)</f>
        <v>81.245127781199997</v>
      </c>
      <c r="I29" s="11">
        <f>[1]!f_prt_convertiblebondtonav(A29,$E$1)</f>
        <v>0</v>
      </c>
      <c r="J29" s="11">
        <f>[1]!f_prt_stocktonav(A29,$E$1)+0.5*I29</f>
        <v>19.548446655273438</v>
      </c>
      <c r="K29" s="12">
        <v>7.8118161338760572</v>
      </c>
      <c r="L29" s="19">
        <f>[1]!f_return($A29,"1",L$2,$E$1)</f>
        <v>6.6674265443084746</v>
      </c>
      <c r="M29" s="19">
        <f>[1]!f_risk_stdevyearly($A29,L$2,$E$1,1,1)</f>
        <v>5.0093979452291899</v>
      </c>
      <c r="N29" s="12">
        <f>IFERROR(L29/M29,"-")</f>
        <v>1.3309836066544374</v>
      </c>
      <c r="O29" s="12" t="str">
        <f>IFERROR(RANK(N29,N:N)&amp;"/"&amp;COUNT(N:N),"-")</f>
        <v>105/197</v>
      </c>
      <c r="P29" s="26">
        <f>IF(O29="-","-",RANK(N29,N:N)/COUNT(N:N))</f>
        <v>0.53299492385786806</v>
      </c>
      <c r="Q29" s="58">
        <v>0.40609137055837563</v>
      </c>
      <c r="R29" s="33">
        <f>IF(OR($C29&gt;20190630,$K29&gt;30,N29="-",$D29="是",$E29="封闭期",$H29&lt;10,$BN29&lt;-6,$BR29&lt;70),"-",COUNTIFS(N$4:N$200,"&lt;&gt;-",$D$4:$D$200,"&lt;&gt;是",$E$4:$E$200,"&lt;&gt;封闭期",$H$4:$H$200,"&gt;10",$BN$4:$BN$200,"&gt;-6",$BR$4:$BR$200,"&gt;=70",$K$4:$K$200,"&lt;=30",$C$4:$C$200,"&lt;20190630",N$4:N$200,"&gt;="&amp;N29)/COUNTIFS(N$4:N$200,"&lt;&gt;-",$D$4:$D$200,"&lt;&gt;是",$E$4:$E$200,"&lt;&gt;封闭期",$H$4:$H$200,"&gt;10",$BN$4:$BN$200,"&gt;-6",$BR$4:$BR$200,"&gt;=70",$C$4:$C$200,"&lt;20190630",$K$4:$K$200,"&lt;=30"))</f>
        <v>0.79487179487179482</v>
      </c>
      <c r="S29" s="12">
        <f>IFERROR((L29-3)/M29,"-")</f>
        <v>0.73210924434566604</v>
      </c>
      <c r="T29" s="12" t="str">
        <f>IFERROR(RANK(S29,S:S)&amp;"/"&amp;COUNT(S:S),"-")</f>
        <v>100/197</v>
      </c>
      <c r="U29" s="26">
        <f>IFERROR(RANK(S29,S:S)/COUNT(S:S),"-")</f>
        <v>0.50761421319796951</v>
      </c>
      <c r="V29" s="13" t="str">
        <f>IF(OR($C29&gt;20190630,$K29&gt;30,S29="-",$D29="是",$E29="封闭期",$H29&lt;10,$BN29&lt;-6,$BR29&lt;70),"-",COUNTIFS(S$4:S$200,"&lt;&gt;-",$D$4:$D$200,"&lt;&gt;是",$E$4:$E$200,"&lt;&gt;封闭期",$H$4:$H$200,"&gt;10",$BN$4:$BN$200,"&gt;-6",$BR$4:$BR$200,"&gt;=70",$K$4:$K$200,"&lt;=30",$C$4:$C$200,"&lt;20190630",S$4:S$200,"&gt;="&amp;S29)&amp;"/"&amp;COUNTIFS(S$4:S$200,"&lt;&gt;-",$D$4:$D$200,"&lt;&gt;是",$E$4:$E$200,"&lt;&gt;封闭期",$H$4:$H$200,"&gt;10",$BN$4:$BN$200,"&gt;-6",$BR$4:$BR$200,"&gt;=70",$C$4:$C$200,"&lt;20190630",$K$4:$K$200,"&lt;=30"))</f>
        <v>31/39</v>
      </c>
      <c r="W29" s="33">
        <f>IF(OR($C29&gt;20190630,$K29&gt;30,S29="-",$D29="是",$E29="封闭期",$H29&lt;10,$BN29&lt;-6,$BR29&lt;70),"-",COUNTIFS(S$4:S$200,"&lt;&gt;-",$D$4:$D$200,"&lt;&gt;是",$E$4:$E$200,"&lt;&gt;封闭期",$H$4:$H$200,"&gt;10",$BN$4:$BN$200,"&gt;-6",$BR$4:$BR$200,"&gt;=70",$K$4:$K$200,"&lt;=30",$C$4:$C$200,"&lt;20190630",S$4:S$200,"&gt;="&amp;S29)/COUNTIFS(S$4:S$200,"&lt;&gt;-",$D$4:$D$200,"&lt;&gt;是",$E$4:$E$200,"&lt;&gt;封闭期",$H$4:$H$200,"&gt;10",$BN$4:$BN$200,"&gt;-6",$BR$4:$BR$200,"&gt;=70",$C$4:$C$200,"&lt;20190630",$K$4:$K$200,"&lt;=30"))</f>
        <v>0.79487179487179482</v>
      </c>
      <c r="X29" s="19">
        <f>[1]!f_risk_calmar(A29,$L$2,$E$1)</f>
        <v>1.4731238647896652</v>
      </c>
      <c r="Y29" s="12" t="str">
        <f>IFERROR(RANK(X29,X:X)&amp;"/"&amp;COUNT(X:X),"-")</f>
        <v>130/197</v>
      </c>
      <c r="Z29" s="26">
        <f>IFERROR(RANK(X29,X:X)/COUNT(X:X),"-")</f>
        <v>0.65989847715736039</v>
      </c>
      <c r="AA29" s="13" t="str">
        <f>IF(OR($C29&gt;20190630,$K29&gt;30,X29="-",$D29="是",$E29="封闭期",$H29&lt;10,$BN29&lt;-6,$BR29&lt;70),"-",COUNTIFS(X$4:X$200,"&lt;&gt;-",$D$4:$D$200,"&lt;&gt;是",$E$4:$E$200,"&lt;&gt;封闭期",$H$4:$H$200,"&gt;10",$BN$4:$BN$200,"&gt;-6",$BR$4:$BR$200,"&gt;=70",$K$4:$K$200,"&lt;=30",$C$4:$C$200,"&lt;20190630",X$4:X$200,"&gt;="&amp;X29)&amp;"/"&amp;COUNTIFS(X$4:X$200,"&lt;&gt;-",$D$4:$D$200,"&lt;&gt;是",$E$4:$E$200,"&lt;&gt;封闭期",$H$4:$H$200,"&gt;10",$BN$4:$BN$200,"&gt;-6",$BR$4:$BR$200,"&gt;=70",$C$4:$C$200,"&lt;20190630",$K$4:$K$200,"&lt;=30"))</f>
        <v>34/39</v>
      </c>
      <c r="AB29" s="33">
        <f>IF(OR($C29&gt;20190630,$K29&gt;30,X29="-",$D29="是",$E29="封闭期",$H29&lt;10,$BN29&lt;-6,$BR29&lt;70),"-",COUNTIFS(X$4:X$200,"&lt;&gt;-",$D$4:$D$200,"&lt;&gt;是",$E$4:$E$200,"&lt;&gt;封闭期",$H$4:$H$200,"&gt;10",$BN$4:$BN$200,"&gt;-6",$BR$4:$BR$200,"&gt;=70",$K$4:$K$200,"&lt;=30",$C$4:$C$200,"&lt;20190630",X$4:X$200,"&gt;="&amp;X29)/COUNTIFS(X$4:X$200,"&lt;&gt;-",$D$4:$D$200,"&lt;&gt;是",$E$4:$E$200,"&lt;&gt;封闭期",$H$4:$H$200,"&gt;10",$BN$4:$BN$200,"&gt;-6",$BR$4:$BR$200,"&gt;=70",$C$4:$C$200,"&lt;20190630",$K$4:$K$200,"&lt;=30"))</f>
        <v>0.87179487179487181</v>
      </c>
      <c r="AC29" s="20">
        <v>0.9327731092436975</v>
      </c>
      <c r="AD29" s="12" t="str">
        <f>IFERROR(RANK(AC29,AC:AC)&amp;"/"&amp;COUNT(AC:AC),"-")</f>
        <v>121/197</v>
      </c>
      <c r="AE29" s="26">
        <f>IFERROR(RANK(AC29,AC:AC)/COUNT(AC:AC),"-")</f>
        <v>0.6142131979695431</v>
      </c>
      <c r="AF29" s="13" t="str">
        <f>IF(OR($C29&gt;20190630,$K29&gt;30,AC29="-",$D29="是",$E29="封闭期",$H29&lt;10,$BN29&lt;-6,$BR29&lt;70),"-",COUNTIFS(AC$4:AC$200,"&lt;&gt;-",$D$4:$D$200,"&lt;&gt;是",$E$4:$E$200,"&lt;&gt;封闭期",$H$4:$H$200,"&gt;10",$BN$4:$BN$200,"&gt;-6",$BR$4:$BR$200,"&gt;=70",$K$4:$K$200,"&lt;=30",$C$4:$C$200,"&lt;20190630",AC$4:AC$200,"&gt;="&amp;AC29)&amp;"/"&amp;COUNTIFS(AC$4:AC$200,"&lt;&gt;-",$D$4:$D$200,"&lt;&gt;是",$E$4:$E$200,"&lt;&gt;封闭期",$H$4:$H$200,"&gt;10",$BN$4:$BN$200,"&gt;-6",$BR$4:$BR$200,"&gt;=70",$C$4:$C$200,"&lt;20190630",$K$4:$K$200,"&lt;=30"))</f>
        <v>36/39</v>
      </c>
      <c r="AG29" s="33">
        <f>IF(OR($C29&gt;20190630,$K29&gt;30,AC29="-",$D29="是",$E29="封闭期",$H29&lt;10,$BN29&lt;-6,$BR29&lt;70),"-",COUNTIFS(AC$4:AC$200,"&lt;&gt;-",$D$4:$D$200,"&lt;&gt;是",$E$4:$E$200,"&lt;&gt;封闭期",$H$4:$H$200,"&gt;10",$BN$4:$BN$200,"&gt;-6",$BR$4:$BR$200,"&gt;=70",$K$4:$K$200,"&lt;=30",$C$4:$C$200,"&lt;20190630",AC$4:AC$200,"&gt;="&amp;AC29)/COUNTIFS(AC$4:AC$200,"&lt;&gt;-",$D$4:$D$200,"&lt;&gt;是",$E$4:$E$200,"&lt;&gt;封闭期",$H$4:$H$200,"&gt;10",$BN$4:$BN$200,"&gt;-6",$BR$4:$BR$200,"&gt;=70",$C$4:$C$200,"&lt;20190630",$K$4:$K$200,"&lt;=30"))</f>
        <v>0.92307692307692313</v>
      </c>
      <c r="AH29" s="21">
        <f>[1]!f_risk_maxdownside(A29,$L$2,$E$1)</f>
        <v>-4.5260461144321082</v>
      </c>
      <c r="AI29" s="19" t="str">
        <f>IFERROR(RANK(AH29,AH:AH)&amp;"/"&amp;COUNT(AH:AH),"-")</f>
        <v>143/197</v>
      </c>
      <c r="AJ29" s="26">
        <f>IFERROR(RANK(AH29,AH:AH)/COUNT(AH:AH),"-")</f>
        <v>0.7258883248730964</v>
      </c>
      <c r="AK29" s="34" t="str">
        <f>IF(OR($C29&gt;20190630,$K29&gt;30,AH29="-",$D29="是",$E29="封闭期",$H29&lt;10,$BN29&lt;-6,$BR29&lt;70),"-",COUNTIFS(AH$4:AH$200,"&lt;&gt;-",$D$4:$D$200,"&lt;&gt;是",$E$4:$E$200,"&lt;&gt;封闭期",$H$4:$H$200,"&gt;10",$BN$4:$BN$200,"&gt;-6",$BR$4:$BR$200,"&gt;=70",$K$4:$K$200,"&lt;=30",$C$4:$C$200,"&lt;20190630",AH$4:AH$200,"&gt;="&amp;AH29)&amp;"/"&amp;COUNTIFS(AH$4:AH$200,"&lt;&gt;-",$D$4:$D$200,"&lt;&gt;是",$E$4:$E$200,"&lt;&gt;封闭期",$H$4:$H$200,"&gt;10",$BN$4:$BN$200,"&gt;-6",$BR$4:$BR$200,"&gt;=70",$C$4:$C$200,"&lt;20190630",$K$4:$K$200,"&lt;=30"))</f>
        <v>37/39</v>
      </c>
      <c r="AL29" s="33">
        <f>IF(OR($C29&gt;20190630,$K29&gt;30,AH29="-",$D29="是",$E29="封闭期",$H29&lt;10,$BN29&lt;-6,$BR29&lt;70),"-",COUNTIFS(AH$4:AH$200,"&lt;&gt;-",$D$4:$D$200,"&lt;&gt;是",$E$4:$E$200,"&lt;&gt;封闭期",$H$4:$H$200,"&gt;10",$BN$4:$BN$200,"&gt;-6",$BR$4:$BR$200,"&gt;=70",$K$4:$K$200,"&lt;=30",$C$4:$C$200,"&lt;20190630",AH$4:AH$200,"&gt;="&amp;AH29)/COUNTIFS(AH$4:AH$200,"&lt;&gt;-",$D$4:$D$200,"&lt;&gt;是",$E$4:$E$200,"&lt;&gt;封闭期",$H$4:$H$200,"&gt;10",$BN$4:$BN$200,"&gt;-6",$BR$4:$BR$200,"&gt;=70",$C$4:$C$200,"&lt;20190630",$K$4:$K$200,"&lt;=30"))</f>
        <v>0.94871794871794868</v>
      </c>
      <c r="AM29" s="19">
        <f>[1]!f_return($A29,"1",AM$2,$L$2)</f>
        <v>12.924244509397065</v>
      </c>
      <c r="AN29" s="19">
        <f>[1]!f_risk_stdevyearly($A29,AM$2,$L$2,1,1)</f>
        <v>4.3005245932352931</v>
      </c>
      <c r="AO29" s="12">
        <f>IFERROR(AM29/AN29,"-")</f>
        <v>3.0052716195895837</v>
      </c>
      <c r="AP29" s="12" t="str">
        <f>IFERROR(RANK(AO29,AO:AO)&amp;"/"&amp;COUNT(AO:AO),"-")</f>
        <v>9/197</v>
      </c>
      <c r="AQ29" s="26">
        <f>IF(AP29="-","-",RANK(AO29,AO:AO)/COUNT(AO:AO))</f>
        <v>4.5685279187817257E-2</v>
      </c>
      <c r="AR29" s="60">
        <v>0.13197969543147209</v>
      </c>
      <c r="AS29" s="35">
        <f>IF(OR($C29&gt;20190630,$K29&gt;30,AO29="-",$D29="是",$E29="封闭期",$H29&lt;10,$BN29&lt;-6,$BR29&lt;70),"-",COUNTIFS(AO$4:AO$200,"&lt;&gt;-",$D$4:$D$200,"&lt;&gt;是",$E$4:$E$200,"&lt;&gt;封闭期",$H$4:$H$200,"&gt;10",$BN$4:$BN$200,"&gt;-6",$BR$4:$BR$200,"&gt;=70",$K$4:$K$200,"&lt;=30",$C$4:$C$200,"&lt;20190630",AO$4:AO$200,"&gt;="&amp;AO29)/COUNTIFS(AO$4:AO$200,"&lt;&gt;-",$D$4:$D$200,"&lt;&gt;是",$E$4:$E$200,"&lt;&gt;封闭期",$H$4:$H$200,"&gt;10",$BN$4:$BN$200,"&gt;-6",$BR$4:$BR$200,"&gt;=70",$C$4:$C$200,"&lt;20190630",$K$4:$K$200,"&lt;=30"))</f>
        <v>7.6923076923076927E-2</v>
      </c>
      <c r="AT29" s="12">
        <f>IFERROR((AM29-3)/AN29,"-")</f>
        <v>2.3076823057837781</v>
      </c>
      <c r="AU29" s="12" t="str">
        <f>IFERROR(RANK(AT29,AT:AT)&amp;"/"&amp;COUNT(AT:AT),"-")</f>
        <v>4/197</v>
      </c>
      <c r="AV29" s="26">
        <f>IFERROR(RANK(AT29,AT:AT)/COUNT(AT:AT),"-")</f>
        <v>2.030456852791878E-2</v>
      </c>
      <c r="AW29" s="13" t="str">
        <f>IF(OR($C29&gt;20190630,$K29&gt;30,AT29="-",$D29="是",$E29="封闭期",$H29&lt;10,$BN29&lt;-6,$BR29&lt;70),"-",COUNTIFS(AT$4:AT$200,"&lt;&gt;-",$D$4:$D$200,"&lt;&gt;是",$E$4:$E$200,"&lt;&gt;封闭期",$H$4:$H$200,"&gt;10",$BN$4:$BN$200,"&gt;-6",$BR$4:$BR$200,"&gt;=70",$K$4:$K$200,"&lt;=30",$C$4:$C$200,"&lt;20190630",AT$4:AT$200,"&gt;="&amp;AT29)&amp;"/"&amp;COUNTIFS(AT$4:AT$200,"&lt;&gt;-",$D$4:$D$200,"&lt;&gt;是",$E$4:$E$200,"&lt;&gt;封闭期",$H$4:$H$200,"&gt;10",$BN$4:$BN$200,"&gt;-6",$BR$4:$BR$200,"&gt;=70",$C$4:$C$200,"&lt;20190630",$K$4:$K$200,"&lt;=30"))</f>
        <v>3/39</v>
      </c>
      <c r="AX29" s="33">
        <f>IF(OR($C29&gt;20190630,$K29&gt;30,AT29="-",$D29="是",$E29="封闭期",$H29&lt;10,$BN29&lt;-6,$BR29&lt;70),"-",COUNTIFS(AT$4:AT$200,"&lt;&gt;-",$D$4:$D$200,"&lt;&gt;是",$E$4:$E$200,"&lt;&gt;封闭期",$H$4:$H$200,"&gt;10",$BN$4:$BN$200,"&gt;-6",$BR$4:$BR$200,"&gt;=70",$K$4:$K$200,"&lt;=30",$C$4:$C$200,"&lt;20190630",AT$4:AT$200,"&gt;="&amp;AT29)/COUNTIFS(AT$4:AT$200,"&lt;&gt;-",$D$4:$D$200,"&lt;&gt;是",$E$4:$E$200,"&lt;&gt;封闭期",$H$4:$H$200,"&gt;10",$BN$4:$BN$200,"&gt;-6",$BR$4:$BR$200,"&gt;=70",$C$4:$C$200,"&lt;20190630",$K$4:$K$200,"&lt;=30"))</f>
        <v>7.6923076923076927E-2</v>
      </c>
      <c r="AY29" s="19">
        <f>[1]!f_risk_calmar(A29,$AM$2,$L$2)</f>
        <v>3.984975390397425</v>
      </c>
      <c r="AZ29" s="12" t="str">
        <f>IFERROR(RANK(AY29,AY:AY)&amp;"/"&amp;COUNT(AY:AY),"-")</f>
        <v>23/197</v>
      </c>
      <c r="BA29" s="26">
        <f>IFERROR(RANK(AY29,AY:AY)/COUNT(AY:AY),"-")</f>
        <v>0.116751269035533</v>
      </c>
      <c r="BB29" s="13" t="str">
        <f>IF(OR($C29&gt;20190630,$K29&gt;30,AY29="-",$D29="是",$E29="封闭期",$H29&lt;10,$BN29&lt;-6,$BR29&lt;70),"-",COUNTIFS(AY$4:AY$200,"&lt;&gt;-",$D$4:$D$200,"&lt;&gt;是",$E$4:$E$200,"&lt;&gt;封闭期",$H$4:$H$200,"&gt;10",$BN$4:$BN$200,"&gt;-6",$BR$4:$BR$200,"&gt;=70",$K$4:$K$200,"&lt;=30",$C$4:$C$200,"&lt;20190630",AY$4:AY$200,"&gt;="&amp;AY29)&amp;"/"&amp;COUNTIFS(AY$4:AY$200,"&lt;&gt;-",$D$4:$D$200,"&lt;&gt;是",$E$4:$E$200,"&lt;&gt;封闭期",$H$4:$H$200,"&gt;10",$BN$4:$BN$200,"&gt;-6",$BR$4:$BR$200,"&gt;=70",$C$4:$C$200,"&lt;20190630",$K$4:$K$200,"&lt;=30"))</f>
        <v>9/39</v>
      </c>
      <c r="BC29" s="33">
        <f>IF(OR($C29&gt;20190630,$K29&gt;30,AY29="-",$D29="是",$E29="封闭期",$H29&lt;10,$BN29&lt;-6,$BR29&lt;70),"-",COUNTIFS(AY$4:AY$200,"&lt;&gt;-",$D$4:$D$200,"&lt;&gt;是",$E$4:$E$200,"&lt;&gt;封闭期",$H$4:$H$200,"&gt;10",$BN$4:$BN$200,"&gt;-6",$BR$4:$BR$200,"&gt;=70",$K$4:$K$200,"&lt;=30",$C$4:$C$200,"&lt;20190630",AY$4:AY$200,"&gt;="&amp;AY29)/COUNTIFS(AY$4:AY$200,"&lt;&gt;-",$D$4:$D$200,"&lt;&gt;是",$E$4:$E$200,"&lt;&gt;封闭期",$H$4:$H$200,"&gt;10",$BN$4:$BN$200,"&gt;-6",$BR$4:$BR$200,"&gt;=70",$C$4:$C$200,"&lt;20190630",$K$4:$K$200,"&lt;=30"))</f>
        <v>0.23076923076923078</v>
      </c>
      <c r="BD29" s="20">
        <v>1</v>
      </c>
      <c r="BE29" s="12" t="str">
        <f>IFERROR(RANK(BD29,BD:BD)&amp;"/"&amp;COUNT(BD:BD),"-")</f>
        <v>1/197</v>
      </c>
      <c r="BF29" s="26">
        <f>IFERROR(RANK(BD29,BD:BD)/COUNT(BD:BD),"-")</f>
        <v>5.076142131979695E-3</v>
      </c>
      <c r="BG29" s="13" t="str">
        <f>IF(OR($C29&gt;20190630,$K29&gt;30,BD29="-",$D29="是",$E29="封闭期",$H29&lt;10,$BN29&lt;-6,$BR29&lt;70),"-",COUNTIFS(BD$4:BD$200,"&lt;&gt;-",$D$4:$D$200,"&lt;&gt;是",$E$4:$E$200,"&lt;&gt;封闭期",$H$4:$H$200,"&gt;10",$BN$4:$BN$200,"&gt;-6",$BR$4:$BR$200,"&gt;=70",$K$4:$K$200,"&lt;=30",$C$4:$C$200,"&lt;20190630",BD$4:BD$200,"&gt;="&amp;BD29)&amp;"/"&amp;COUNTIFS(BD$4:BD$200,"&lt;&gt;-",$D$4:$D$200,"&lt;&gt;是",$E$4:$E$200,"&lt;&gt;封闭期",$H$4:$H$200,"&gt;10",$BN$4:$BN$200,"&gt;-6",$BR$4:$BR$200,"&gt;=70",$C$4:$C$200,"&lt;20190630",$K$4:$K$200,"&lt;=30"))</f>
        <v>35/39</v>
      </c>
      <c r="BH29" s="33">
        <f>IF(OR($C29&gt;20190630,$K29&gt;30,BD29="-",$D29="是",$E29="封闭期",$H29&lt;10,$BN29&lt;-6,$BR29&lt;70),"-",COUNTIFS(BD$4:BD$200,"&lt;&gt;-",$D$4:$D$200,"&lt;&gt;是",$E$4:$E$200,"&lt;&gt;封闭期",$H$4:$H$200,"&gt;10",$BN$4:$BN$200,"&gt;-6",$BR$4:$BR$200,"&gt;=70",$K$4:$K$200,"&lt;=30",$C$4:$C$200,"&lt;20190630",BD$4:BD$200,"&gt;="&amp;BD29)/COUNTIFS(BD$4:BD$200,"&lt;&gt;-",$D$4:$D$200,"&lt;&gt;是",$E$4:$E$200,"&lt;&gt;封闭期",$H$4:$H$200,"&gt;10",$BN$4:$BN$200,"&gt;-6",$BR$4:$BR$200,"&gt;=70",$C$4:$C$200,"&lt;20190630",$K$4:$K$200,"&lt;=30"))</f>
        <v>0.89743589743589747</v>
      </c>
      <c r="BI29" s="21">
        <f>[1]!f_risk_maxdownside(A29,$AM$2,$L$2)</f>
        <v>-3.2432432432432461</v>
      </c>
      <c r="BJ29" s="19" t="str">
        <f>IFERROR(RANK(BI29,BI:BI)&amp;"/"&amp;COUNT(BI:BI),"-")</f>
        <v>98/197</v>
      </c>
      <c r="BK29" s="26">
        <f>IFERROR(RANK(BI29,BI:BI)/COUNT(BI:BI),"-")</f>
        <v>0.49746192893401014</v>
      </c>
      <c r="BL29" s="34" t="str">
        <f>IF(OR($C29&gt;20190630,$K29&gt;30,BI29="-",$D29="是",$E29="封闭期",$H29&lt;10,$BN29&lt;-6,$BR29&lt;70),"-",COUNTIFS(BI$4:BI$200,"&lt;&gt;-",$D$4:$D$200,"&lt;&gt;是",$E$4:$E$200,"&lt;&gt;封闭期",$H$4:$H$200,"&gt;10",$BN$4:$BN$200,"&gt;-6",$BR$4:$BR$200,"&gt;=70",$K$4:$K$200,"&lt;=30",$C$4:$C$200,"&lt;20190630",BI$4:BI$200,"&gt;="&amp;BI29)&amp;"/"&amp;COUNTIFS(BI$4:BI$200,"&lt;&gt;-",$D$4:$D$200,"&lt;&gt;是",$E$4:$E$200,"&lt;&gt;封闭期",$H$4:$H$200,"&gt;10",$BN$4:$BN$200,"&gt;-6",$BR$4:$BR$200,"&gt;=70",$C$4:$C$200,"&lt;20190630",$K$4:$K$200,"&lt;=30"))</f>
        <v>21/39</v>
      </c>
      <c r="BM29" s="33">
        <f>IF(OR($C29&gt;20190630,$K29&gt;30,BI29="-",$D29="是",$E29="封闭期",$H29&lt;10,$BN29&lt;-6,$BR29&lt;70),"-",COUNTIFS(BI$4:BI$200,"&lt;&gt;-",$D$4:$D$200,"&lt;&gt;是",$E$4:$E$200,"&lt;&gt;封闭期",$H$4:$H$200,"&gt;10",$BN$4:$BN$200,"&gt;-6",$BR$4:$BR$200,"&gt;=70",$K$4:$K$200,"&lt;=30",$C$4:$C$200,"&lt;20190630",BI$4:BI$200,"&gt;="&amp;BI29)/COUNTIFS(BI$4:BI$200,"&lt;&gt;-",$D$4:$D$200,"&lt;&gt;是",$E$4:$E$200,"&lt;&gt;封闭期",$H$4:$H$200,"&gt;10",$BN$4:$BN$200,"&gt;-6",$BR$4:$BR$200,"&gt;=70",$C$4:$C$200,"&lt;20190630",$K$4:$K$200,"&lt;=30"))</f>
        <v>0.53846153846153844</v>
      </c>
      <c r="BN29" s="21">
        <f>[1]!f_risk_maxdownside(A29,$AM$2,$E$1)</f>
        <v>-4.5260461144321082</v>
      </c>
      <c r="BO29" s="14">
        <f>IF(C29&lt;20190930,[1]!f_return_2y(A29,"0","20210930"),"-")</f>
        <v>20.761205425577405</v>
      </c>
      <c r="BP29" s="12" t="str">
        <f>IFERROR(RANK(BO29,BO:BO)&amp;"/"&amp;COUNT(BO:BO),"-")</f>
        <v>35/197</v>
      </c>
      <c r="BQ29" s="25">
        <f>IFERROR(RANK(BO29,BO:BO)/COUNT(BO:BO),"-")</f>
        <v>0.17766497461928935</v>
      </c>
      <c r="BR29" s="12">
        <f>IF(C29&lt;20190930,[1]!f_absolute_profitmonthper(A29,"20190930","20210930"),"-")</f>
        <v>75</v>
      </c>
      <c r="BS29" s="12" t="str">
        <f>IFERROR(RANK(BR29,BR:BR)&amp;"/"&amp;COUNT(BR:BR),"-")</f>
        <v>26/198</v>
      </c>
      <c r="BT29" s="25">
        <f>IFERROR(RANK(BR29,BR:BR)/COUNT(BR:BR),"-")</f>
        <v>0.13131313131313133</v>
      </c>
      <c r="BV29" s="12">
        <f>X29-3/M29</f>
        <v>0.87424950248089395</v>
      </c>
      <c r="BW29" s="76">
        <f>IFERROR(RANK(BV29,BV:BV)/COUNT(BV:BV),"-")</f>
        <v>0.64467005076142136</v>
      </c>
      <c r="BX29" s="76">
        <f>IFERROR(RANK(L29,L:L)/COUNT(L:L),"-")</f>
        <v>0.40909090909090912</v>
      </c>
      <c r="BY29" s="12">
        <f>AY29-3/AN29</f>
        <v>3.287386076591619</v>
      </c>
      <c r="BZ29" s="76">
        <f>IFERROR(RANK(BY29,BY:BY)/COUNT(BY:BY),"-")</f>
        <v>0.1116751269035533</v>
      </c>
      <c r="CA29" s="76">
        <f>IFERROR(RANK(AM29,AM:AM)/COUNT(AM:AM),"-")</f>
        <v>0.13636363636363635</v>
      </c>
      <c r="CB29" s="2"/>
      <c r="CC29" s="77">
        <f>AV29+BF29+BZ29+CA29</f>
        <v>0.2734194739270881</v>
      </c>
      <c r="CD29" s="77">
        <f>BW29+BX29+AE29+U29</f>
        <v>2.1755883710198431</v>
      </c>
      <c r="CE29" s="77">
        <f>CC29+CD29</f>
        <v>2.449007844946931</v>
      </c>
    </row>
    <row r="30" spans="1:83" s="17" customFormat="1" hidden="1" x14ac:dyDescent="0.35">
      <c r="A30" s="15" t="s">
        <v>247</v>
      </c>
      <c r="B30" s="15" t="s">
        <v>248</v>
      </c>
      <c r="C30" s="16">
        <v>20160628</v>
      </c>
      <c r="D30" s="16" t="str">
        <f>[1]!f_info_regulopenfundornot(A30)</f>
        <v>否</v>
      </c>
      <c r="E30" s="16" t="str">
        <f>[1]!f_dq_status(A30,$E$1)</f>
        <v>开放申购|开放赎回</v>
      </c>
      <c r="F30" s="17" t="str">
        <f>[1]!f_info_fundmanager(A30)</f>
        <v>朱垚,程放</v>
      </c>
      <c r="G30" s="16">
        <v>20190515</v>
      </c>
      <c r="H30" s="18">
        <f>[1]!f_netasset_total(A30,$E$1,100000000)</f>
        <v>6.4256224820000005</v>
      </c>
      <c r="I30" s="18">
        <f>[1]!f_prt_convertiblebondtonav(A30,$E$1)</f>
        <v>6.9609427452087402</v>
      </c>
      <c r="J30" s="18">
        <f>[1]!f_prt_stocktonav(A30,$E$1)+0.5*I30</f>
        <v>15.76898455619812</v>
      </c>
      <c r="K30" s="19">
        <v>12.64811311708181</v>
      </c>
      <c r="L30" s="19">
        <f>[1]!f_return($A30,"1",L$2,$E$1)</f>
        <v>3.6043054048280787</v>
      </c>
      <c r="M30" s="19">
        <f>[1]!f_risk_stdevyearly($A30,L$2,$E$1,1,1)</f>
        <v>5.5435451867136223</v>
      </c>
      <c r="N30" s="19">
        <f>IFERROR(L30/M30,"-")</f>
        <v>0.65018057640562277</v>
      </c>
      <c r="O30" s="19" t="str">
        <f>IFERROR(RANK(N30,N:N)&amp;"/"&amp;COUNT(N:N),"-")</f>
        <v>167/197</v>
      </c>
      <c r="P30" s="26">
        <f>IF(O30="-","-",RANK(N30,N:N)/COUNT(N:N))</f>
        <v>0.84771573604060912</v>
      </c>
      <c r="Q30" s="56">
        <v>0.78172588832487311</v>
      </c>
      <c r="R30" s="33" t="str">
        <f>IF(OR($C30&gt;20190630,$K30&gt;30,N30="-",$D30="是",$E30="封闭期",$H30&lt;10,$BN30&lt;-6,$BR30&lt;70),"-",COUNTIFS(N$4:N$200,"&lt;&gt;-",$D$4:$D$200,"&lt;&gt;是",$E$4:$E$200,"&lt;&gt;封闭期",$H$4:$H$200,"&gt;10",$BN$4:$BN$200,"&gt;-6",$BR$4:$BR$200,"&gt;=70",$K$4:$K$200,"&lt;=30",$C$4:$C$200,"&lt;20190630",N$4:N$200,"&gt;="&amp;N30)/COUNTIFS(N$4:N$200,"&lt;&gt;-",$D$4:$D$200,"&lt;&gt;是",$E$4:$E$200,"&lt;&gt;封闭期",$H$4:$H$200,"&gt;10",$BN$4:$BN$200,"&gt;-6",$BR$4:$BR$200,"&gt;=70",$C$4:$C$200,"&lt;20190630",$K$4:$K$200,"&lt;=30"))</f>
        <v>-</v>
      </c>
      <c r="S30" s="19">
        <f>IFERROR((L30-3)/M30,"-")</f>
        <v>0.10901063930649203</v>
      </c>
      <c r="T30" s="19" t="str">
        <f>IFERROR(RANK(S30,S:S)&amp;"/"&amp;COUNT(S:S),"-")</f>
        <v>157/197</v>
      </c>
      <c r="U30" s="26">
        <f>IFERROR(RANK(S30,S:S)/COUNT(S:S),"-")</f>
        <v>0.79695431472081213</v>
      </c>
      <c r="V30" s="34" t="str">
        <f>IF(OR($C30&gt;20190630,$K30&gt;30,S30="-",$D30="是",$E30="封闭期",$H30&lt;10,$BN30&lt;-6,$BR30&lt;70),"-",COUNTIFS(S$4:S$200,"&lt;&gt;-",$D$4:$D$200,"&lt;&gt;是",$E$4:$E$200,"&lt;&gt;封闭期",$H$4:$H$200,"&gt;10",$BN$4:$BN$200,"&gt;-6",$BR$4:$BR$200,"&gt;=70",$K$4:$K$200,"&lt;=30",$C$4:$C$200,"&lt;20190630",S$4:S$200,"&gt;="&amp;S30)&amp;"/"&amp;COUNTIFS(S$4:S$200,"&lt;&gt;-",$D$4:$D$200,"&lt;&gt;是",$E$4:$E$200,"&lt;&gt;封闭期",$H$4:$H$200,"&gt;10",$BN$4:$BN$200,"&gt;-6",$BR$4:$BR$200,"&gt;=70",$C$4:$C$200,"&lt;20190630",$K$4:$K$200,"&lt;=30"))</f>
        <v>-</v>
      </c>
      <c r="W30" s="33" t="str">
        <f>IF(OR($C30&gt;20190630,$K30&gt;30,S30="-",$D30="是",$E30="封闭期",$H30&lt;10,$BN30&lt;-6,$BR30&lt;70),"-",COUNTIFS(S$4:S$200,"&lt;&gt;-",$D$4:$D$200,"&lt;&gt;是",$E$4:$E$200,"&lt;&gt;封闭期",$H$4:$H$200,"&gt;10",$BN$4:$BN$200,"&gt;-6",$BR$4:$BR$200,"&gt;=70",$K$4:$K$200,"&lt;=30",$C$4:$C$200,"&lt;20190630",S$4:S$200,"&gt;="&amp;S30)/COUNTIFS(S$4:S$200,"&lt;&gt;-",$D$4:$D$200,"&lt;&gt;是",$E$4:$E$200,"&lt;&gt;封闭期",$H$4:$H$200,"&gt;10",$BN$4:$BN$200,"&gt;-6",$BR$4:$BR$200,"&gt;=70",$C$4:$C$200,"&lt;20190630",$K$4:$K$200,"&lt;=30"))</f>
        <v>-</v>
      </c>
      <c r="X30" s="19">
        <f>[1]!f_risk_calmar(A30,$L$2,$E$1)</f>
        <v>0.75204768454959692</v>
      </c>
      <c r="Y30" s="19" t="str">
        <f>IFERROR(RANK(X30,X:X)&amp;"/"&amp;COUNT(X:X),"-")</f>
        <v>169/197</v>
      </c>
      <c r="Z30" s="26">
        <f>IFERROR(RANK(X30,X:X)/COUNT(X:X),"-")</f>
        <v>0.85786802030456855</v>
      </c>
      <c r="AA30" s="34" t="str">
        <f>IF(OR($C30&gt;20190630,$K30&gt;30,X30="-",$D30="是",$E30="封闭期",$H30&lt;10,$BN30&lt;-6,$BR30&lt;70),"-",COUNTIFS(X$4:X$200,"&lt;&gt;-",$D$4:$D$200,"&lt;&gt;是",$E$4:$E$200,"&lt;&gt;封闭期",$H$4:$H$200,"&gt;10",$BN$4:$BN$200,"&gt;-6",$BR$4:$BR$200,"&gt;=70",$K$4:$K$200,"&lt;=30",$C$4:$C$200,"&lt;20190630",X$4:X$200,"&gt;="&amp;X30)&amp;"/"&amp;COUNTIFS(X$4:X$200,"&lt;&gt;-",$D$4:$D$200,"&lt;&gt;是",$E$4:$E$200,"&lt;&gt;封闭期",$H$4:$H$200,"&gt;10",$BN$4:$BN$200,"&gt;-6",$BR$4:$BR$200,"&gt;=70",$C$4:$C$200,"&lt;20190630",$K$4:$K$200,"&lt;=30"))</f>
        <v>-</v>
      </c>
      <c r="AB30" s="33" t="str">
        <f>IF(OR($C30&gt;20190630,$K30&gt;30,X30="-",$D30="是",$E30="封闭期",$H30&lt;10,$BN30&lt;-6,$BR30&lt;70),"-",COUNTIFS(X$4:X$200,"&lt;&gt;-",$D$4:$D$200,"&lt;&gt;是",$E$4:$E$200,"&lt;&gt;封闭期",$H$4:$H$200,"&gt;10",$BN$4:$BN$200,"&gt;-6",$BR$4:$BR$200,"&gt;=70",$K$4:$K$200,"&lt;=30",$C$4:$C$200,"&lt;20190630",X$4:X$200,"&gt;="&amp;X30)/COUNTIFS(X$4:X$200,"&lt;&gt;-",$D$4:$D$200,"&lt;&gt;是",$E$4:$E$200,"&lt;&gt;封闭期",$H$4:$H$200,"&gt;10",$BN$4:$BN$200,"&gt;-6",$BR$4:$BR$200,"&gt;=70",$C$4:$C$200,"&lt;20190630",$K$4:$K$200,"&lt;=30"))</f>
        <v>-</v>
      </c>
      <c r="AC30" s="20">
        <v>0.73109243697478987</v>
      </c>
      <c r="AD30" s="19" t="str">
        <f>IFERROR(RANK(AC30,AC:AC)&amp;"/"&amp;COUNT(AC:AC),"-")</f>
        <v>162/197</v>
      </c>
      <c r="AE30" s="26">
        <f>IFERROR(RANK(AC30,AC:AC)/COUNT(AC:AC),"-")</f>
        <v>0.82233502538071068</v>
      </c>
      <c r="AF30" s="34" t="str">
        <f>IF(OR($C30&gt;20190630,$K30&gt;30,AC30="-",$D30="是",$E30="封闭期",$H30&lt;10,$BN30&lt;-6,$BR30&lt;70),"-",COUNTIFS(AC$4:AC$200,"&lt;&gt;-",$D$4:$D$200,"&lt;&gt;是",$E$4:$E$200,"&lt;&gt;封闭期",$H$4:$H$200,"&gt;10",$BN$4:$BN$200,"&gt;-6",$BR$4:$BR$200,"&gt;=70",$K$4:$K$200,"&lt;=30",$C$4:$C$200,"&lt;20190630",AC$4:AC$200,"&gt;="&amp;AC30)&amp;"/"&amp;COUNTIFS(AC$4:AC$200,"&lt;&gt;-",$D$4:$D$200,"&lt;&gt;是",$E$4:$E$200,"&lt;&gt;封闭期",$H$4:$H$200,"&gt;10",$BN$4:$BN$200,"&gt;-6",$BR$4:$BR$200,"&gt;=70",$C$4:$C$200,"&lt;20190630",$K$4:$K$200,"&lt;=30"))</f>
        <v>-</v>
      </c>
      <c r="AG30" s="33" t="str">
        <f>IF(OR($C30&gt;20190630,$K30&gt;30,AC30="-",$D30="是",$E30="封闭期",$H30&lt;10,$BN30&lt;-6,$BR30&lt;70),"-",COUNTIFS(AC$4:AC$200,"&lt;&gt;-",$D$4:$D$200,"&lt;&gt;是",$E$4:$E$200,"&lt;&gt;封闭期",$H$4:$H$200,"&gt;10",$BN$4:$BN$200,"&gt;-6",$BR$4:$BR$200,"&gt;=70",$K$4:$K$200,"&lt;=30",$C$4:$C$200,"&lt;20190630",AC$4:AC$200,"&gt;="&amp;AC30)/COUNTIFS(AC$4:AC$200,"&lt;&gt;-",$D$4:$D$200,"&lt;&gt;是",$E$4:$E$200,"&lt;&gt;封闭期",$H$4:$H$200,"&gt;10",$BN$4:$BN$200,"&gt;-6",$BR$4:$BR$200,"&gt;=70",$C$4:$C$200,"&lt;20190630",$K$4:$K$200,"&lt;=30"))</f>
        <v>-</v>
      </c>
      <c r="AH30" s="21">
        <f>[1]!f_risk_maxdownside(A30,$L$2,$E$1)</f>
        <v>-4.7926554111880622</v>
      </c>
      <c r="AI30" s="19" t="str">
        <f>IFERROR(RANK(AH30,AH:AH)&amp;"/"&amp;COUNT(AH:AH),"-")</f>
        <v>151/197</v>
      </c>
      <c r="AJ30" s="26">
        <f>IFERROR(RANK(AH30,AH:AH)/COUNT(AH:AH),"-")</f>
        <v>0.76649746192893398</v>
      </c>
      <c r="AK30" s="34" t="str">
        <f>IF(OR($C30&gt;20190630,$K30&gt;30,AH30="-",$D30="是",$E30="封闭期",$H30&lt;10,$BN30&lt;-6,$BR30&lt;70),"-",COUNTIFS(AH$4:AH$200,"&lt;&gt;-",$D$4:$D$200,"&lt;&gt;是",$E$4:$E$200,"&lt;&gt;封闭期",$H$4:$H$200,"&gt;10",$BN$4:$BN$200,"&gt;-6",$BR$4:$BR$200,"&gt;=70",$K$4:$K$200,"&lt;=30",$C$4:$C$200,"&lt;20190630",AH$4:AH$200,"&gt;="&amp;AH30)&amp;"/"&amp;COUNTIFS(AH$4:AH$200,"&lt;&gt;-",$D$4:$D$200,"&lt;&gt;是",$E$4:$E$200,"&lt;&gt;封闭期",$H$4:$H$200,"&gt;10",$BN$4:$BN$200,"&gt;-6",$BR$4:$BR$200,"&gt;=70",$C$4:$C$200,"&lt;20190630",$K$4:$K$200,"&lt;=30"))</f>
        <v>-</v>
      </c>
      <c r="AL30" s="33" t="str">
        <f>IF(OR($C30&gt;20190630,$K30&gt;30,AH30="-",$D30="是",$E30="封闭期",$H30&lt;10,$BN30&lt;-6,$BR30&lt;70),"-",COUNTIFS(AH$4:AH$200,"&lt;&gt;-",$D$4:$D$200,"&lt;&gt;是",$E$4:$E$200,"&lt;&gt;封闭期",$H$4:$H$200,"&gt;10",$BN$4:$BN$200,"&gt;-6",$BR$4:$BR$200,"&gt;=70",$K$4:$K$200,"&lt;=30",$C$4:$C$200,"&lt;20190630",AH$4:AH$200,"&gt;="&amp;AH30)/COUNTIFS(AH$4:AH$200,"&lt;&gt;-",$D$4:$D$200,"&lt;&gt;是",$E$4:$E$200,"&lt;&gt;封闭期",$H$4:$H$200,"&gt;10",$BN$4:$BN$200,"&gt;-6",$BR$4:$BR$200,"&gt;=70",$C$4:$C$200,"&lt;20190630",$K$4:$K$200,"&lt;=30"))</f>
        <v>-</v>
      </c>
      <c r="AM30" s="19">
        <f>[1]!f_return($A30,"1",AM$2,$L$2)</f>
        <v>12.770530239563627</v>
      </c>
      <c r="AN30" s="19">
        <f>[1]!f_risk_stdevyearly($A30,AM$2,$L$2,1,1)</f>
        <v>5.5848149608396724</v>
      </c>
      <c r="AO30" s="19">
        <f>IFERROR(AM30/AN30,"-")</f>
        <v>2.2866523473221014</v>
      </c>
      <c r="AP30" s="19" t="str">
        <f>IFERROR(RANK(AO30,AO:AO)&amp;"/"&amp;COUNT(AO:AO),"-")</f>
        <v>27/197</v>
      </c>
      <c r="AQ30" s="26">
        <f>IF(AP30="-","-",RANK(AO30,AO:AO)/COUNT(AO:AO))</f>
        <v>0.13705583756345177</v>
      </c>
      <c r="AR30" s="57">
        <v>0.13705583756345177</v>
      </c>
      <c r="AS30" s="33" t="str">
        <f>IF(OR($C30&gt;20190630,$K30&gt;30,AO30="-",$D30="是",$E30="封闭期",$H30&lt;10,$BN30&lt;-6,$BR30&lt;70),"-",COUNTIFS(AO$4:AO$200,"&lt;&gt;-",$D$4:$D$200,"&lt;&gt;是",$E$4:$E$200,"&lt;&gt;封闭期",$H$4:$H$200,"&gt;10",$BN$4:$BN$200,"&gt;-6",$BR$4:$BR$200,"&gt;=70",$K$4:$K$200,"&lt;=30",$C$4:$C$200,"&lt;20190630",AO$4:AO$200,"&gt;="&amp;AO30)/COUNTIFS(AO$4:AO$200,"&lt;&gt;-",$D$4:$D$200,"&lt;&gt;是",$E$4:$E$200,"&lt;&gt;封闭期",$H$4:$H$200,"&gt;10",$BN$4:$BN$200,"&gt;-6",$BR$4:$BR$200,"&gt;=70",$C$4:$C$200,"&lt;20190630",$K$4:$K$200,"&lt;=30"))</f>
        <v>-</v>
      </c>
      <c r="AT30" s="19">
        <f>IFERROR((AM30-3)/AN30,"-")</f>
        <v>1.7494814614403331</v>
      </c>
      <c r="AU30" s="19" t="str">
        <f>IFERROR(RANK(AT30,AT:AT)&amp;"/"&amp;COUNT(AT:AT),"-")</f>
        <v>17/197</v>
      </c>
      <c r="AV30" s="26">
        <f>IFERROR(RANK(AT30,AT:AT)/COUNT(AT:AT),"-")</f>
        <v>8.6294416243654817E-2</v>
      </c>
      <c r="AW30" s="34" t="str">
        <f>IF(OR($C30&gt;20190630,$K30&gt;30,AT30="-",$D30="是",$E30="封闭期",$H30&lt;10,$BN30&lt;-6,$BR30&lt;70),"-",COUNTIFS(AT$4:AT$200,"&lt;&gt;-",$D$4:$D$200,"&lt;&gt;是",$E$4:$E$200,"&lt;&gt;封闭期",$H$4:$H$200,"&gt;10",$BN$4:$BN$200,"&gt;-6",$BR$4:$BR$200,"&gt;=70",$K$4:$K$200,"&lt;=30",$C$4:$C$200,"&lt;20190630",AT$4:AT$200,"&gt;="&amp;AT30)&amp;"/"&amp;COUNTIFS(AT$4:AT$200,"&lt;&gt;-",$D$4:$D$200,"&lt;&gt;是",$E$4:$E$200,"&lt;&gt;封闭期",$H$4:$H$200,"&gt;10",$BN$4:$BN$200,"&gt;-6",$BR$4:$BR$200,"&gt;=70",$C$4:$C$200,"&lt;20190630",$K$4:$K$200,"&lt;=30"))</f>
        <v>-</v>
      </c>
      <c r="AX30" s="33" t="str">
        <f>IF(OR($C30&gt;20190630,$K30&gt;30,AT30="-",$D30="是",$E30="封闭期",$H30&lt;10,$BN30&lt;-6,$BR30&lt;70),"-",COUNTIFS(AT$4:AT$200,"&lt;&gt;-",$D$4:$D$200,"&lt;&gt;是",$E$4:$E$200,"&lt;&gt;封闭期",$H$4:$H$200,"&gt;10",$BN$4:$BN$200,"&gt;-6",$BR$4:$BR$200,"&gt;=70",$K$4:$K$200,"&lt;=30",$C$4:$C$200,"&lt;20190630",AT$4:AT$200,"&gt;="&amp;AT30)/COUNTIFS(AT$4:AT$200,"&lt;&gt;-",$D$4:$D$200,"&lt;&gt;是",$E$4:$E$200,"&lt;&gt;封闭期",$H$4:$H$200,"&gt;10",$BN$4:$BN$200,"&gt;-6",$BR$4:$BR$200,"&gt;=70",$C$4:$C$200,"&lt;20190630",$K$4:$K$200,"&lt;=30"))</f>
        <v>-</v>
      </c>
      <c r="AY30" s="19">
        <f>[1]!f_risk_calmar(A30,$AM$2,$L$2)</f>
        <v>4.1587029310394614</v>
      </c>
      <c r="AZ30" s="19" t="str">
        <f>IFERROR(RANK(AY30,AY:AY)&amp;"/"&amp;COUNT(AY:AY),"-")</f>
        <v>19/197</v>
      </c>
      <c r="BA30" s="26">
        <f>IFERROR(RANK(AY30,AY:AY)/COUNT(AY:AY),"-")</f>
        <v>9.6446700507614211E-2</v>
      </c>
      <c r="BB30" s="34" t="str">
        <f>IF(OR($C30&gt;20190630,$K30&gt;30,AY30="-",$D30="是",$E30="封闭期",$H30&lt;10,$BN30&lt;-6,$BR30&lt;70),"-",COUNTIFS(AY$4:AY$200,"&lt;&gt;-",$D$4:$D$200,"&lt;&gt;是",$E$4:$E$200,"&lt;&gt;封闭期",$H$4:$H$200,"&gt;10",$BN$4:$BN$200,"&gt;-6",$BR$4:$BR$200,"&gt;=70",$K$4:$K$200,"&lt;=30",$C$4:$C$200,"&lt;20190630",AY$4:AY$200,"&gt;="&amp;AY30)&amp;"/"&amp;COUNTIFS(AY$4:AY$200,"&lt;&gt;-",$D$4:$D$200,"&lt;&gt;是",$E$4:$E$200,"&lt;&gt;封闭期",$H$4:$H$200,"&gt;10",$BN$4:$BN$200,"&gt;-6",$BR$4:$BR$200,"&gt;=70",$C$4:$C$200,"&lt;20190630",$K$4:$K$200,"&lt;=30"))</f>
        <v>-</v>
      </c>
      <c r="BC30" s="33" t="str">
        <f>IF(OR($C30&gt;20190630,$K30&gt;30,AY30="-",$D30="是",$E30="封闭期",$H30&lt;10,$BN30&lt;-6,$BR30&lt;70),"-",COUNTIFS(AY$4:AY$200,"&lt;&gt;-",$D$4:$D$200,"&lt;&gt;是",$E$4:$E$200,"&lt;&gt;封闭期",$H$4:$H$200,"&gt;10",$BN$4:$BN$200,"&gt;-6",$BR$4:$BR$200,"&gt;=70",$K$4:$K$200,"&lt;=30",$C$4:$C$200,"&lt;20190630",AY$4:AY$200,"&gt;="&amp;AY30)/COUNTIFS(AY$4:AY$200,"&lt;&gt;-",$D$4:$D$200,"&lt;&gt;是",$E$4:$E$200,"&lt;&gt;封闭期",$H$4:$H$200,"&gt;10",$BN$4:$BN$200,"&gt;-6",$BR$4:$BR$200,"&gt;=70",$C$4:$C$200,"&lt;20190630",$K$4:$K$200,"&lt;=30"))</f>
        <v>-</v>
      </c>
      <c r="BD30" s="20">
        <v>1</v>
      </c>
      <c r="BE30" s="19" t="str">
        <f>IFERROR(RANK(BD30,BD:BD)&amp;"/"&amp;COUNT(BD:BD),"-")</f>
        <v>1/197</v>
      </c>
      <c r="BF30" s="26">
        <f>IFERROR(RANK(BD30,BD:BD)/COUNT(BD:BD),"-")</f>
        <v>5.076142131979695E-3</v>
      </c>
      <c r="BG30" s="34" t="str">
        <f>IF(OR($C30&gt;20190630,$K30&gt;30,BD30="-",$D30="是",$E30="封闭期",$H30&lt;10,$BN30&lt;-6,$BR30&lt;70),"-",COUNTIFS(BD$4:BD$200,"&lt;&gt;-",$D$4:$D$200,"&lt;&gt;是",$E$4:$E$200,"&lt;&gt;封闭期",$H$4:$H$200,"&gt;10",$BN$4:$BN$200,"&gt;-6",$BR$4:$BR$200,"&gt;=70",$K$4:$K$200,"&lt;=30",$C$4:$C$200,"&lt;20190630",BD$4:BD$200,"&gt;="&amp;BD30)&amp;"/"&amp;COUNTIFS(BD$4:BD$200,"&lt;&gt;-",$D$4:$D$200,"&lt;&gt;是",$E$4:$E$200,"&lt;&gt;封闭期",$H$4:$H$200,"&gt;10",$BN$4:$BN$200,"&gt;-6",$BR$4:$BR$200,"&gt;=70",$C$4:$C$200,"&lt;20190630",$K$4:$K$200,"&lt;=30"))</f>
        <v>-</v>
      </c>
      <c r="BH30" s="33" t="str">
        <f>IF(OR($C30&gt;20190630,$K30&gt;30,BD30="-",$D30="是",$E30="封闭期",$H30&lt;10,$BN30&lt;-6,$BR30&lt;70),"-",COUNTIFS(BD$4:BD$200,"&lt;&gt;-",$D$4:$D$200,"&lt;&gt;是",$E$4:$E$200,"&lt;&gt;封闭期",$H$4:$H$200,"&gt;10",$BN$4:$BN$200,"&gt;-6",$BR$4:$BR$200,"&gt;=70",$K$4:$K$200,"&lt;=30",$C$4:$C$200,"&lt;20190630",BD$4:BD$200,"&gt;="&amp;BD30)/COUNTIFS(BD$4:BD$200,"&lt;&gt;-",$D$4:$D$200,"&lt;&gt;是",$E$4:$E$200,"&lt;&gt;封闭期",$H$4:$H$200,"&gt;10",$BN$4:$BN$200,"&gt;-6",$BR$4:$BR$200,"&gt;=70",$C$4:$C$200,"&lt;20190630",$K$4:$K$200,"&lt;=30"))</f>
        <v>-</v>
      </c>
      <c r="BI30" s="21">
        <f>[1]!f_risk_maxdownside(A30,$AM$2,$L$2)</f>
        <v>-3.0707964601769842</v>
      </c>
      <c r="BJ30" s="19" t="str">
        <f>IFERROR(RANK(BI30,BI:BI)&amp;"/"&amp;COUNT(BI:BI),"-")</f>
        <v>90/197</v>
      </c>
      <c r="BK30" s="26">
        <f>IFERROR(RANK(BI30,BI:BI)/COUNT(BI:BI),"-")</f>
        <v>0.45685279187817257</v>
      </c>
      <c r="BL30" s="34" t="str">
        <f>IF(OR($C30&gt;20190630,$K30&gt;30,BI30="-",$D30="是",$E30="封闭期",$H30&lt;10,$BN30&lt;-6,$BR30&lt;70),"-",COUNTIFS(BI$4:BI$200,"&lt;&gt;-",$D$4:$D$200,"&lt;&gt;是",$E$4:$E$200,"&lt;&gt;封闭期",$H$4:$H$200,"&gt;10",$BN$4:$BN$200,"&gt;-6",$BR$4:$BR$200,"&gt;=70",$K$4:$K$200,"&lt;=30",$C$4:$C$200,"&lt;20190630",BI$4:BI$200,"&gt;="&amp;BI30)&amp;"/"&amp;COUNTIFS(BI$4:BI$200,"&lt;&gt;-",$D$4:$D$200,"&lt;&gt;是",$E$4:$E$200,"&lt;&gt;封闭期",$H$4:$H$200,"&gt;10",$BN$4:$BN$200,"&gt;-6",$BR$4:$BR$200,"&gt;=70",$C$4:$C$200,"&lt;20190630",$K$4:$K$200,"&lt;=30"))</f>
        <v>-</v>
      </c>
      <c r="BM30" s="33" t="str">
        <f>IF(OR($C30&gt;20190630,$K30&gt;30,BI30="-",$D30="是",$E30="封闭期",$H30&lt;10,$BN30&lt;-6,$BR30&lt;70),"-",COUNTIFS(BI$4:BI$200,"&lt;&gt;-",$D$4:$D$200,"&lt;&gt;是",$E$4:$E$200,"&lt;&gt;封闭期",$H$4:$H$200,"&gt;10",$BN$4:$BN$200,"&gt;-6",$BR$4:$BR$200,"&gt;=70",$K$4:$K$200,"&lt;=30",$C$4:$C$200,"&lt;20190630",BI$4:BI$200,"&gt;="&amp;BI30)/COUNTIFS(BI$4:BI$200,"&lt;&gt;-",$D$4:$D$200,"&lt;&gt;是",$E$4:$E$200,"&lt;&gt;封闭期",$H$4:$H$200,"&gt;10",$BN$4:$BN$200,"&gt;-6",$BR$4:$BR$200,"&gt;=70",$C$4:$C$200,"&lt;20190630",$K$4:$K$200,"&lt;=30"))</f>
        <v>-</v>
      </c>
      <c r="BN30" s="21">
        <f>[1]!f_risk_maxdownside(A30,$AM$2,$E$1)</f>
        <v>-4.7926554111880622</v>
      </c>
      <c r="BO30" s="21">
        <f>IF(C30&lt;20190930,[1]!f_return_2y(A30,"0","20210930"),"-")</f>
        <v>16.799317794201247</v>
      </c>
      <c r="BP30" s="19" t="str">
        <f>IFERROR(RANK(BO30,BO:BO)&amp;"/"&amp;COUNT(BO:BO),"-")</f>
        <v>70/197</v>
      </c>
      <c r="BQ30" s="25">
        <f>IFERROR(RANK(BO30,BO:BO)/COUNT(BO:BO),"-")</f>
        <v>0.35532994923857869</v>
      </c>
      <c r="BR30" s="19">
        <f>IF(C30&lt;20190930,[1]!f_absolute_profitmonthper(A30,"20190930","20210930"),"-")</f>
        <v>75</v>
      </c>
      <c r="BS30" s="19" t="str">
        <f>IFERROR(RANK(BR30,BR:BR)&amp;"/"&amp;COUNT(BR:BR),"-")</f>
        <v>26/198</v>
      </c>
      <c r="BT30" s="25">
        <f>IFERROR(RANK(BR30,BR:BR)/COUNT(BR:BR),"-")</f>
        <v>0.13131313131313133</v>
      </c>
      <c r="BV30" s="12">
        <f>X30-3/M30</f>
        <v>0.21087774745046617</v>
      </c>
      <c r="BW30" s="76">
        <f>IFERROR(RANK(BV30,BV:BV)/COUNT(BV:BV),"-")</f>
        <v>0.82741116751269039</v>
      </c>
      <c r="BX30" s="76">
        <f>IFERROR(RANK(L30,L:L)/COUNT(L:L),"-")</f>
        <v>0.78282828282828287</v>
      </c>
      <c r="BY30" s="12">
        <f>AY30-3/AN30</f>
        <v>3.6215320451576929</v>
      </c>
      <c r="BZ30" s="76">
        <f>IFERROR(RANK(BY30,BY:BY)/COUNT(BY:BY),"-")</f>
        <v>8.6294416243654817E-2</v>
      </c>
      <c r="CA30" s="76">
        <f>IFERROR(RANK(AM30,AM:AM)/COUNT(AM:AM),"-")</f>
        <v>0.14141414141414141</v>
      </c>
      <c r="CB30" s="2"/>
      <c r="CC30" s="77">
        <f>AV30+BF30+BZ30+CA30</f>
        <v>0.31907911603343075</v>
      </c>
      <c r="CD30" s="77">
        <f>BW30+BX30+AE30+U30</f>
        <v>3.2295287904424961</v>
      </c>
      <c r="CE30" s="77">
        <f>CC30+CD30</f>
        <v>3.5486079064759268</v>
      </c>
    </row>
    <row r="31" spans="1:83" s="17" customFormat="1" hidden="1" x14ac:dyDescent="0.35">
      <c r="A31" s="15" t="s">
        <v>123</v>
      </c>
      <c r="B31" s="15" t="s">
        <v>124</v>
      </c>
      <c r="C31" s="16">
        <v>20120918</v>
      </c>
      <c r="D31" s="16" t="str">
        <f>[1]!f_info_regulopenfundornot(A31)</f>
        <v>否</v>
      </c>
      <c r="E31" s="16" t="str">
        <f>[1]!f_dq_status(A31,$E$1)</f>
        <v>开放申购|开放赎回</v>
      </c>
      <c r="F31" s="17" t="str">
        <f>[1]!f_info_fundmanager(A31)</f>
        <v>刘通</v>
      </c>
      <c r="G31" s="16">
        <v>20200610</v>
      </c>
      <c r="H31" s="18">
        <f>[1]!f_netasset_total(A31,$E$1,100000000)</f>
        <v>5.8990333584000005</v>
      </c>
      <c r="I31" s="18">
        <f>[1]!f_prt_convertiblebondtonav(A31,$E$1)</f>
        <v>2.0747716426849365</v>
      </c>
      <c r="J31" s="18">
        <f>[1]!f_prt_stocktonav(A31,$E$1)+0.5*I31</f>
        <v>12.416290163993835</v>
      </c>
      <c r="K31" s="19">
        <v>0</v>
      </c>
      <c r="L31" s="19">
        <f>[1]!f_return($A31,"1",L$2,$E$1)</f>
        <v>11.283360605118077</v>
      </c>
      <c r="M31" s="19">
        <f>[1]!f_risk_stdevyearly($A31,L$2,$E$1,1,1)</f>
        <v>7.873967646981674</v>
      </c>
      <c r="N31" s="19">
        <f>IFERROR(L31/M31,"-")</f>
        <v>1.4329955507809744</v>
      </c>
      <c r="O31" s="19" t="str">
        <f>IFERROR(RANK(N31,N:N)&amp;"/"&amp;COUNT(N:N),"-")</f>
        <v>93/197</v>
      </c>
      <c r="P31" s="26">
        <f>IF(O31="-","-",RANK(N31,N:N)/COUNT(N:N))</f>
        <v>0.4720812182741117</v>
      </c>
      <c r="Q31" s="56">
        <v>0.116751269035533</v>
      </c>
      <c r="R31" s="33" t="str">
        <f>IF(OR($C31&gt;20190630,$K31&gt;30,N31="-",$D31="是",$E31="封闭期",$H31&lt;10,$BN31&lt;-6,$BR31&lt;70),"-",COUNTIFS(N$4:N$200,"&lt;&gt;-",$D$4:$D$200,"&lt;&gt;是",$E$4:$E$200,"&lt;&gt;封闭期",$H$4:$H$200,"&gt;10",$BN$4:$BN$200,"&gt;-6",$BR$4:$BR$200,"&gt;=70",$K$4:$K$200,"&lt;=30",$C$4:$C$200,"&lt;20190630",N$4:N$200,"&gt;="&amp;N31)/COUNTIFS(N$4:N$200,"&lt;&gt;-",$D$4:$D$200,"&lt;&gt;是",$E$4:$E$200,"&lt;&gt;封闭期",$H$4:$H$200,"&gt;10",$BN$4:$BN$200,"&gt;-6",$BR$4:$BR$200,"&gt;=70",$C$4:$C$200,"&lt;20190630",$K$4:$K$200,"&lt;=30"))</f>
        <v>-</v>
      </c>
      <c r="S31" s="19">
        <f>IFERROR((L31-3)/M31,"-")</f>
        <v>1.0519932233012583</v>
      </c>
      <c r="T31" s="19" t="str">
        <f>IFERROR(RANK(S31,S:S)&amp;"/"&amp;COUNT(S:S),"-")</f>
        <v>71/197</v>
      </c>
      <c r="U31" s="26">
        <f>IFERROR(RANK(S31,S:S)/COUNT(S:S),"-")</f>
        <v>0.3604060913705584</v>
      </c>
      <c r="V31" s="34" t="str">
        <f>IF(OR($C31&gt;20190630,$K31&gt;30,S31="-",$D31="是",$E31="封闭期",$H31&lt;10,$BN31&lt;-6,$BR31&lt;70),"-",COUNTIFS(S$4:S$200,"&lt;&gt;-",$D$4:$D$200,"&lt;&gt;是",$E$4:$E$200,"&lt;&gt;封闭期",$H$4:$H$200,"&gt;10",$BN$4:$BN$200,"&gt;-6",$BR$4:$BR$200,"&gt;=70",$K$4:$K$200,"&lt;=30",$C$4:$C$200,"&lt;20190630",S$4:S$200,"&gt;="&amp;S31)&amp;"/"&amp;COUNTIFS(S$4:S$200,"&lt;&gt;-",$D$4:$D$200,"&lt;&gt;是",$E$4:$E$200,"&lt;&gt;封闭期",$H$4:$H$200,"&gt;10",$BN$4:$BN$200,"&gt;-6",$BR$4:$BR$200,"&gt;=70",$C$4:$C$200,"&lt;20190630",$K$4:$K$200,"&lt;=30"))</f>
        <v>-</v>
      </c>
      <c r="W31" s="33" t="str">
        <f>IF(OR($C31&gt;20190630,$K31&gt;30,S31="-",$D31="是",$E31="封闭期",$H31&lt;10,$BN31&lt;-6,$BR31&lt;70),"-",COUNTIFS(S$4:S$200,"&lt;&gt;-",$D$4:$D$200,"&lt;&gt;是",$E$4:$E$200,"&lt;&gt;封闭期",$H$4:$H$200,"&gt;10",$BN$4:$BN$200,"&gt;-6",$BR$4:$BR$200,"&gt;=70",$K$4:$K$200,"&lt;=30",$C$4:$C$200,"&lt;20190630",S$4:S$200,"&gt;="&amp;S31)/COUNTIFS(S$4:S$200,"&lt;&gt;-",$D$4:$D$200,"&lt;&gt;是",$E$4:$E$200,"&lt;&gt;封闭期",$H$4:$H$200,"&gt;10",$BN$4:$BN$200,"&gt;-6",$BR$4:$BR$200,"&gt;=70",$C$4:$C$200,"&lt;20190630",$K$4:$K$200,"&lt;=30"))</f>
        <v>-</v>
      </c>
      <c r="X31" s="19">
        <f>[1]!f_risk_calmar(A31,$L$2,$E$1)</f>
        <v>1.3926309936046621</v>
      </c>
      <c r="Y31" s="19" t="str">
        <f>IFERROR(RANK(X31,X:X)&amp;"/"&amp;COUNT(X:X),"-")</f>
        <v>135/197</v>
      </c>
      <c r="Z31" s="26">
        <f>IFERROR(RANK(X31,X:X)/COUNT(X:X),"-")</f>
        <v>0.68527918781725883</v>
      </c>
      <c r="AA31" s="34" t="str">
        <f>IF(OR($C31&gt;20190630,$K31&gt;30,X31="-",$D31="是",$E31="封闭期",$H31&lt;10,$BN31&lt;-6,$BR31&lt;70),"-",COUNTIFS(X$4:X$200,"&lt;&gt;-",$D$4:$D$200,"&lt;&gt;是",$E$4:$E$200,"&lt;&gt;封闭期",$H$4:$H$200,"&gt;10",$BN$4:$BN$200,"&gt;-6",$BR$4:$BR$200,"&gt;=70",$K$4:$K$200,"&lt;=30",$C$4:$C$200,"&lt;20190630",X$4:X$200,"&gt;="&amp;X31)&amp;"/"&amp;COUNTIFS(X$4:X$200,"&lt;&gt;-",$D$4:$D$200,"&lt;&gt;是",$E$4:$E$200,"&lt;&gt;封闭期",$H$4:$H$200,"&gt;10",$BN$4:$BN$200,"&gt;-6",$BR$4:$BR$200,"&gt;=70",$C$4:$C$200,"&lt;20190630",$K$4:$K$200,"&lt;=30"))</f>
        <v>-</v>
      </c>
      <c r="AB31" s="33" t="str">
        <f>IF(OR($C31&gt;20190630,$K31&gt;30,X31="-",$D31="是",$E31="封闭期",$H31&lt;10,$BN31&lt;-6,$BR31&lt;70),"-",COUNTIFS(X$4:X$200,"&lt;&gt;-",$D$4:$D$200,"&lt;&gt;是",$E$4:$E$200,"&lt;&gt;封闭期",$H$4:$H$200,"&gt;10",$BN$4:$BN$200,"&gt;-6",$BR$4:$BR$200,"&gt;=70",$K$4:$K$200,"&lt;=30",$C$4:$C$200,"&lt;20190630",X$4:X$200,"&gt;="&amp;X31)/COUNTIFS(X$4:X$200,"&lt;&gt;-",$D$4:$D$200,"&lt;&gt;是",$E$4:$E$200,"&lt;&gt;封闭期",$H$4:$H$200,"&gt;10",$BN$4:$BN$200,"&gt;-6",$BR$4:$BR$200,"&gt;=70",$C$4:$C$200,"&lt;20190630",$K$4:$K$200,"&lt;=30"))</f>
        <v>-</v>
      </c>
      <c r="AC31" s="20">
        <v>0.94117647058823528</v>
      </c>
      <c r="AD31" s="19" t="str">
        <f>IFERROR(RANK(AC31,AC:AC)&amp;"/"&amp;COUNT(AC:AC),"-")</f>
        <v>115/197</v>
      </c>
      <c r="AE31" s="26">
        <f>IFERROR(RANK(AC31,AC:AC)/COUNT(AC:AC),"-")</f>
        <v>0.58375634517766495</v>
      </c>
      <c r="AF31" s="34" t="str">
        <f>IF(OR($C31&gt;20190630,$K31&gt;30,AC31="-",$D31="是",$E31="封闭期",$H31&lt;10,$BN31&lt;-6,$BR31&lt;70),"-",COUNTIFS(AC$4:AC$200,"&lt;&gt;-",$D$4:$D$200,"&lt;&gt;是",$E$4:$E$200,"&lt;&gt;封闭期",$H$4:$H$200,"&gt;10",$BN$4:$BN$200,"&gt;-6",$BR$4:$BR$200,"&gt;=70",$K$4:$K$200,"&lt;=30",$C$4:$C$200,"&lt;20190630",AC$4:AC$200,"&gt;="&amp;AC31)&amp;"/"&amp;COUNTIFS(AC$4:AC$200,"&lt;&gt;-",$D$4:$D$200,"&lt;&gt;是",$E$4:$E$200,"&lt;&gt;封闭期",$H$4:$H$200,"&gt;10",$BN$4:$BN$200,"&gt;-6",$BR$4:$BR$200,"&gt;=70",$C$4:$C$200,"&lt;20190630",$K$4:$K$200,"&lt;=30"))</f>
        <v>-</v>
      </c>
      <c r="AG31" s="33" t="str">
        <f>IF(OR($C31&gt;20190630,$K31&gt;30,AC31="-",$D31="是",$E31="封闭期",$H31&lt;10,$BN31&lt;-6,$BR31&lt;70),"-",COUNTIFS(AC$4:AC$200,"&lt;&gt;-",$D$4:$D$200,"&lt;&gt;是",$E$4:$E$200,"&lt;&gt;封闭期",$H$4:$H$200,"&gt;10",$BN$4:$BN$200,"&gt;-6",$BR$4:$BR$200,"&gt;=70",$K$4:$K$200,"&lt;=30",$C$4:$C$200,"&lt;20190630",AC$4:AC$200,"&gt;="&amp;AC31)/COUNTIFS(AC$4:AC$200,"&lt;&gt;-",$D$4:$D$200,"&lt;&gt;是",$E$4:$E$200,"&lt;&gt;封闭期",$H$4:$H$200,"&gt;10",$BN$4:$BN$200,"&gt;-6",$BR$4:$BR$200,"&gt;=70",$C$4:$C$200,"&lt;20190630",$K$4:$K$200,"&lt;=30"))</f>
        <v>-</v>
      </c>
      <c r="AH31" s="21">
        <f>[1]!f_risk_maxdownside(A31,$L$2,$E$1)</f>
        <v>-8.1021897810219059</v>
      </c>
      <c r="AI31" s="19" t="str">
        <f>IFERROR(RANK(AH31,AH:AH)&amp;"/"&amp;COUNT(AH:AH),"-")</f>
        <v>190/197</v>
      </c>
      <c r="AJ31" s="26">
        <f>IFERROR(RANK(AH31,AH:AH)/COUNT(AH:AH),"-")</f>
        <v>0.96446700507614214</v>
      </c>
      <c r="AK31" s="34" t="str">
        <f>IF(OR($C31&gt;20190630,$K31&gt;30,AH31="-",$D31="是",$E31="封闭期",$H31&lt;10,$BN31&lt;-6,$BR31&lt;70),"-",COUNTIFS(AH$4:AH$200,"&lt;&gt;-",$D$4:$D$200,"&lt;&gt;是",$E$4:$E$200,"&lt;&gt;封闭期",$H$4:$H$200,"&gt;10",$BN$4:$BN$200,"&gt;-6",$BR$4:$BR$200,"&gt;=70",$K$4:$K$200,"&lt;=30",$C$4:$C$200,"&lt;20190630",AH$4:AH$200,"&gt;="&amp;AH31)&amp;"/"&amp;COUNTIFS(AH$4:AH$200,"&lt;&gt;-",$D$4:$D$200,"&lt;&gt;是",$E$4:$E$200,"&lt;&gt;封闭期",$H$4:$H$200,"&gt;10",$BN$4:$BN$200,"&gt;-6",$BR$4:$BR$200,"&gt;=70",$C$4:$C$200,"&lt;20190630",$K$4:$K$200,"&lt;=30"))</f>
        <v>-</v>
      </c>
      <c r="AL31" s="33" t="str">
        <f>IF(OR($C31&gt;20190630,$K31&gt;30,AH31="-",$D31="是",$E31="封闭期",$H31&lt;10,$BN31&lt;-6,$BR31&lt;70),"-",COUNTIFS(AH$4:AH$200,"&lt;&gt;-",$D$4:$D$200,"&lt;&gt;是",$E$4:$E$200,"&lt;&gt;封闭期",$H$4:$H$200,"&gt;10",$BN$4:$BN$200,"&gt;-6",$BR$4:$BR$200,"&gt;=70",$K$4:$K$200,"&lt;=30",$C$4:$C$200,"&lt;20190630",AH$4:AH$200,"&gt;="&amp;AH31)/COUNTIFS(AH$4:AH$200,"&lt;&gt;-",$D$4:$D$200,"&lt;&gt;是",$E$4:$E$200,"&lt;&gt;封闭期",$H$4:$H$200,"&gt;10",$BN$4:$BN$200,"&gt;-6",$BR$4:$BR$200,"&gt;=70",$C$4:$C$200,"&lt;20190630",$K$4:$K$200,"&lt;=30"))</f>
        <v>-</v>
      </c>
      <c r="AM31" s="19">
        <f>[1]!f_return($A31,"1",AM$2,$L$2)</f>
        <v>12.338181526519399</v>
      </c>
      <c r="AN31" s="19">
        <f>[1]!f_risk_stdevyearly($A31,AM$2,$L$2,1,1)</f>
        <v>7.6639722027305348</v>
      </c>
      <c r="AO31" s="19">
        <f>IFERROR(AM31/AN31,"-")</f>
        <v>1.6098938253094823</v>
      </c>
      <c r="AP31" s="19" t="str">
        <f>IFERROR(RANK(AO31,AO:AO)&amp;"/"&amp;COUNT(AO:AO),"-")</f>
        <v>97/197</v>
      </c>
      <c r="AQ31" s="26">
        <f>IF(AP31="-","-",RANK(AO31,AO:AO)/COUNT(AO:AO))</f>
        <v>0.49238578680203043</v>
      </c>
      <c r="AR31" s="57">
        <v>0.14213197969543148</v>
      </c>
      <c r="AS31" s="33" t="str">
        <f>IF(OR($C31&gt;20190630,$K31&gt;30,AO31="-",$D31="是",$E31="封闭期",$H31&lt;10,$BN31&lt;-6,$BR31&lt;70),"-",COUNTIFS(AO$4:AO$200,"&lt;&gt;-",$D$4:$D$200,"&lt;&gt;是",$E$4:$E$200,"&lt;&gt;封闭期",$H$4:$H$200,"&gt;10",$BN$4:$BN$200,"&gt;-6",$BR$4:$BR$200,"&gt;=70",$K$4:$K$200,"&lt;=30",$C$4:$C$200,"&lt;20190630",AO$4:AO$200,"&gt;="&amp;AO31)/COUNTIFS(AO$4:AO$200,"&lt;&gt;-",$D$4:$D$200,"&lt;&gt;是",$E$4:$E$200,"&lt;&gt;封闭期",$H$4:$H$200,"&gt;10",$BN$4:$BN$200,"&gt;-6",$BR$4:$BR$200,"&gt;=70",$C$4:$C$200,"&lt;20190630",$K$4:$K$200,"&lt;=30"))</f>
        <v>-</v>
      </c>
      <c r="AT31" s="19">
        <f>IFERROR((AM31-3)/AN31,"-")</f>
        <v>1.2184519045087838</v>
      </c>
      <c r="AU31" s="19" t="str">
        <f>IFERROR(RANK(AT31,AT:AT)&amp;"/"&amp;COUNT(AT:AT),"-")</f>
        <v>53/197</v>
      </c>
      <c r="AV31" s="26">
        <f>IFERROR(RANK(AT31,AT:AT)/COUNT(AT:AT),"-")</f>
        <v>0.26903553299492383</v>
      </c>
      <c r="AW31" s="34" t="str">
        <f>IF(OR($C31&gt;20190630,$K31&gt;30,AT31="-",$D31="是",$E31="封闭期",$H31&lt;10,$BN31&lt;-6,$BR31&lt;70),"-",COUNTIFS(AT$4:AT$200,"&lt;&gt;-",$D$4:$D$200,"&lt;&gt;是",$E$4:$E$200,"&lt;&gt;封闭期",$H$4:$H$200,"&gt;10",$BN$4:$BN$200,"&gt;-6",$BR$4:$BR$200,"&gt;=70",$K$4:$K$200,"&lt;=30",$C$4:$C$200,"&lt;20190630",AT$4:AT$200,"&gt;="&amp;AT31)&amp;"/"&amp;COUNTIFS(AT$4:AT$200,"&lt;&gt;-",$D$4:$D$200,"&lt;&gt;是",$E$4:$E$200,"&lt;&gt;封闭期",$H$4:$H$200,"&gt;10",$BN$4:$BN$200,"&gt;-6",$BR$4:$BR$200,"&gt;=70",$C$4:$C$200,"&lt;20190630",$K$4:$K$200,"&lt;=30"))</f>
        <v>-</v>
      </c>
      <c r="AX31" s="33" t="str">
        <f>IF(OR($C31&gt;20190630,$K31&gt;30,AT31="-",$D31="是",$E31="封闭期",$H31&lt;10,$BN31&lt;-6,$BR31&lt;70),"-",COUNTIFS(AT$4:AT$200,"&lt;&gt;-",$D$4:$D$200,"&lt;&gt;是",$E$4:$E$200,"&lt;&gt;封闭期",$H$4:$H$200,"&gt;10",$BN$4:$BN$200,"&gt;-6",$BR$4:$BR$200,"&gt;=70",$K$4:$K$200,"&lt;=30",$C$4:$C$200,"&lt;20190630",AT$4:AT$200,"&gt;="&amp;AT31)/COUNTIFS(AT$4:AT$200,"&lt;&gt;-",$D$4:$D$200,"&lt;&gt;是",$E$4:$E$200,"&lt;&gt;封闭期",$H$4:$H$200,"&gt;10",$BN$4:$BN$200,"&gt;-6",$BR$4:$BR$200,"&gt;=70",$C$4:$C$200,"&lt;20190630",$K$4:$K$200,"&lt;=30"))</f>
        <v>-</v>
      </c>
      <c r="AY31" s="19">
        <f>[1]!f_risk_calmar(A31,$AM$2,$L$2)</f>
        <v>2.1215262780664546</v>
      </c>
      <c r="AZ31" s="19" t="str">
        <f>IFERROR(RANK(AY31,AY:AY)&amp;"/"&amp;COUNT(AY:AY),"-")</f>
        <v>105/197</v>
      </c>
      <c r="BA31" s="26">
        <f>IFERROR(RANK(AY31,AY:AY)/COUNT(AY:AY),"-")</f>
        <v>0.53299492385786806</v>
      </c>
      <c r="BB31" s="34" t="str">
        <f>IF(OR($C31&gt;20190630,$K31&gt;30,AY31="-",$D31="是",$E31="封闭期",$H31&lt;10,$BN31&lt;-6,$BR31&lt;70),"-",COUNTIFS(AY$4:AY$200,"&lt;&gt;-",$D$4:$D$200,"&lt;&gt;是",$E$4:$E$200,"&lt;&gt;封闭期",$H$4:$H$200,"&gt;10",$BN$4:$BN$200,"&gt;-6",$BR$4:$BR$200,"&gt;=70",$K$4:$K$200,"&lt;=30",$C$4:$C$200,"&lt;20190630",AY$4:AY$200,"&gt;="&amp;AY31)&amp;"/"&amp;COUNTIFS(AY$4:AY$200,"&lt;&gt;-",$D$4:$D$200,"&lt;&gt;是",$E$4:$E$200,"&lt;&gt;封闭期",$H$4:$H$200,"&gt;10",$BN$4:$BN$200,"&gt;-6",$BR$4:$BR$200,"&gt;=70",$C$4:$C$200,"&lt;20190630",$K$4:$K$200,"&lt;=30"))</f>
        <v>-</v>
      </c>
      <c r="BC31" s="33" t="str">
        <f>IF(OR($C31&gt;20190630,$K31&gt;30,AY31="-",$D31="是",$E31="封闭期",$H31&lt;10,$BN31&lt;-6,$BR31&lt;70),"-",COUNTIFS(AY$4:AY$200,"&lt;&gt;-",$D$4:$D$200,"&lt;&gt;是",$E$4:$E$200,"&lt;&gt;封闭期",$H$4:$H$200,"&gt;10",$BN$4:$BN$200,"&gt;-6",$BR$4:$BR$200,"&gt;=70",$K$4:$K$200,"&lt;=30",$C$4:$C$200,"&lt;20190630",AY$4:AY$200,"&gt;="&amp;AY31)/COUNTIFS(AY$4:AY$200,"&lt;&gt;-",$D$4:$D$200,"&lt;&gt;是",$E$4:$E$200,"&lt;&gt;封闭期",$H$4:$H$200,"&gt;10",$BN$4:$BN$200,"&gt;-6",$BR$4:$BR$200,"&gt;=70",$C$4:$C$200,"&lt;20190630",$K$4:$K$200,"&lt;=30"))</f>
        <v>-</v>
      </c>
      <c r="BD31" s="20">
        <v>1</v>
      </c>
      <c r="BE31" s="19" t="str">
        <f>IFERROR(RANK(BD31,BD:BD)&amp;"/"&amp;COUNT(BD:BD),"-")</f>
        <v>1/197</v>
      </c>
      <c r="BF31" s="26">
        <f>IFERROR(RANK(BD31,BD:BD)/COUNT(BD:BD),"-")</f>
        <v>5.076142131979695E-3</v>
      </c>
      <c r="BG31" s="34" t="str">
        <f>IF(OR($C31&gt;20190630,$K31&gt;30,BD31="-",$D31="是",$E31="封闭期",$H31&lt;10,$BN31&lt;-6,$BR31&lt;70),"-",COUNTIFS(BD$4:BD$200,"&lt;&gt;-",$D$4:$D$200,"&lt;&gt;是",$E$4:$E$200,"&lt;&gt;封闭期",$H$4:$H$200,"&gt;10",$BN$4:$BN$200,"&gt;-6",$BR$4:$BR$200,"&gt;=70",$K$4:$K$200,"&lt;=30",$C$4:$C$200,"&lt;20190630",BD$4:BD$200,"&gt;="&amp;BD31)&amp;"/"&amp;COUNTIFS(BD$4:BD$200,"&lt;&gt;-",$D$4:$D$200,"&lt;&gt;是",$E$4:$E$200,"&lt;&gt;封闭期",$H$4:$H$200,"&gt;10",$BN$4:$BN$200,"&gt;-6",$BR$4:$BR$200,"&gt;=70",$C$4:$C$200,"&lt;20190630",$K$4:$K$200,"&lt;=30"))</f>
        <v>-</v>
      </c>
      <c r="BH31" s="33" t="str">
        <f>IF(OR($C31&gt;20190630,$K31&gt;30,BD31="-",$D31="是",$E31="封闭期",$H31&lt;10,$BN31&lt;-6,$BR31&lt;70),"-",COUNTIFS(BD$4:BD$200,"&lt;&gt;-",$D$4:$D$200,"&lt;&gt;是",$E$4:$E$200,"&lt;&gt;封闭期",$H$4:$H$200,"&gt;10",$BN$4:$BN$200,"&gt;-6",$BR$4:$BR$200,"&gt;=70",$K$4:$K$200,"&lt;=30",$C$4:$C$200,"&lt;20190630",BD$4:BD$200,"&gt;="&amp;BD31)/COUNTIFS(BD$4:BD$200,"&lt;&gt;-",$D$4:$D$200,"&lt;&gt;是",$E$4:$E$200,"&lt;&gt;封闭期",$H$4:$H$200,"&gt;10",$BN$4:$BN$200,"&gt;-6",$BR$4:$BR$200,"&gt;=70",$C$4:$C$200,"&lt;20190630",$K$4:$K$200,"&lt;=30"))</f>
        <v>-</v>
      </c>
      <c r="BI31" s="21">
        <f>[1]!f_risk_maxdownside(A31,$AM$2,$L$2)</f>
        <v>-5.8157099697885144</v>
      </c>
      <c r="BJ31" s="19" t="str">
        <f>IFERROR(RANK(BI31,BI:BI)&amp;"/"&amp;COUNT(BI:BI),"-")</f>
        <v>166/197</v>
      </c>
      <c r="BK31" s="26">
        <f>IFERROR(RANK(BI31,BI:BI)/COUNT(BI:BI),"-")</f>
        <v>0.84263959390862941</v>
      </c>
      <c r="BL31" s="34" t="str">
        <f>IF(OR($C31&gt;20190630,$K31&gt;30,BI31="-",$D31="是",$E31="封闭期",$H31&lt;10,$BN31&lt;-6,$BR31&lt;70),"-",COUNTIFS(BI$4:BI$200,"&lt;&gt;-",$D$4:$D$200,"&lt;&gt;是",$E$4:$E$200,"&lt;&gt;封闭期",$H$4:$H$200,"&gt;10",$BN$4:$BN$200,"&gt;-6",$BR$4:$BR$200,"&gt;=70",$K$4:$K$200,"&lt;=30",$C$4:$C$200,"&lt;20190630",BI$4:BI$200,"&gt;="&amp;BI31)&amp;"/"&amp;COUNTIFS(BI$4:BI$200,"&lt;&gt;-",$D$4:$D$200,"&lt;&gt;是",$E$4:$E$200,"&lt;&gt;封闭期",$H$4:$H$200,"&gt;10",$BN$4:$BN$200,"&gt;-6",$BR$4:$BR$200,"&gt;=70",$C$4:$C$200,"&lt;20190630",$K$4:$K$200,"&lt;=30"))</f>
        <v>-</v>
      </c>
      <c r="BM31" s="33" t="str">
        <f>IF(OR($C31&gt;20190630,$K31&gt;30,BI31="-",$D31="是",$E31="封闭期",$H31&lt;10,$BN31&lt;-6,$BR31&lt;70),"-",COUNTIFS(BI$4:BI$200,"&lt;&gt;-",$D$4:$D$200,"&lt;&gt;是",$E$4:$E$200,"&lt;&gt;封闭期",$H$4:$H$200,"&gt;10",$BN$4:$BN$200,"&gt;-6",$BR$4:$BR$200,"&gt;=70",$K$4:$K$200,"&lt;=30",$C$4:$C$200,"&lt;20190630",BI$4:BI$200,"&gt;="&amp;BI31)/COUNTIFS(BI$4:BI$200,"&lt;&gt;-",$D$4:$D$200,"&lt;&gt;是",$E$4:$E$200,"&lt;&gt;封闭期",$H$4:$H$200,"&gt;10",$BN$4:$BN$200,"&gt;-6",$BR$4:$BR$200,"&gt;=70",$C$4:$C$200,"&lt;20190630",$K$4:$K$200,"&lt;=30"))</f>
        <v>-</v>
      </c>
      <c r="BN31" s="21">
        <f>[1]!f_risk_maxdownside(A31,$AM$2,$E$1)</f>
        <v>-8.1021897810219059</v>
      </c>
      <c r="BO31" s="21">
        <f>IF(C31&lt;20190930,[1]!f_return_2y(A31,"0","20210930"),"-")</f>
        <v>24.933634259102817</v>
      </c>
      <c r="BP31" s="19" t="str">
        <f>IFERROR(RANK(BO31,BO:BO)&amp;"/"&amp;COUNT(BO:BO),"-")</f>
        <v>21/197</v>
      </c>
      <c r="BQ31" s="25">
        <f>IFERROR(RANK(BO31,BO:BO)/COUNT(BO:BO),"-")</f>
        <v>0.1065989847715736</v>
      </c>
      <c r="BR31" s="19">
        <f>IF(C31&lt;20190930,[1]!f_absolute_profitmonthper(A31,"20190930","20210930"),"-")</f>
        <v>70.833333333333343</v>
      </c>
      <c r="BS31" s="19" t="str">
        <f>IFERROR(RANK(BR31,BR:BR)&amp;"/"&amp;COUNT(BR:BR),"-")</f>
        <v>55/198</v>
      </c>
      <c r="BT31" s="25">
        <f>IFERROR(RANK(BR31,BR:BR)/COUNT(BR:BR),"-")</f>
        <v>0.27777777777777779</v>
      </c>
      <c r="BV31" s="12">
        <f>X31-3/M31</f>
        <v>1.0116286661249463</v>
      </c>
      <c r="BW31" s="76">
        <f>IFERROR(RANK(BV31,BV:BV)/COUNT(BV:BV),"-")</f>
        <v>0.59390862944162437</v>
      </c>
      <c r="BX31" s="76">
        <f>IFERROR(RANK(L31,L:L)/COUNT(L:L),"-")</f>
        <v>0.12121212121212122</v>
      </c>
      <c r="BY31" s="12">
        <f>AY31-3/AN31</f>
        <v>1.7300843572657563</v>
      </c>
      <c r="BZ31" s="76">
        <f>IFERROR(RANK(BY31,BY:BY)/COUNT(BY:BY),"-")</f>
        <v>0.45177664974619292</v>
      </c>
      <c r="CA31" s="76">
        <f>IFERROR(RANK(AM31,AM:AM)/COUNT(AM:AM),"-")</f>
        <v>0.14646464646464646</v>
      </c>
      <c r="CB31" s="2"/>
      <c r="CC31" s="77">
        <f>AV31+BF31+BZ31+CA31</f>
        <v>0.87235297133774292</v>
      </c>
      <c r="CD31" s="77">
        <f>BW31+BX31+AE31+U31</f>
        <v>1.6592831872019689</v>
      </c>
      <c r="CE31" s="77">
        <f>CC31+CD31</f>
        <v>2.5316361585397118</v>
      </c>
    </row>
    <row r="32" spans="1:83" s="2" customFormat="1" x14ac:dyDescent="0.35">
      <c r="A32" s="3" t="s">
        <v>267</v>
      </c>
      <c r="B32" s="3" t="s">
        <v>268</v>
      </c>
      <c r="C32" s="4">
        <v>20020920</v>
      </c>
      <c r="D32" s="4" t="str">
        <f>[1]!f_info_regulopenfundornot(A32)</f>
        <v>否</v>
      </c>
      <c r="E32" s="4" t="str">
        <f>[1]!f_dq_status(A32,$E$1)</f>
        <v>开放申购|开放赎回</v>
      </c>
      <c r="F32" s="17" t="str">
        <f>[1]!f_info_fundmanager(A32)</f>
        <v>林乐峰</v>
      </c>
      <c r="G32" s="4">
        <v>20160330</v>
      </c>
      <c r="H32" s="11">
        <f>[1]!f_netasset_total(A32,$E$1,100000000)</f>
        <v>173.1128148658</v>
      </c>
      <c r="I32" s="11">
        <f>[1]!f_prt_convertiblebondtonav(A32,$E$1)</f>
        <v>1.4902511835098267</v>
      </c>
      <c r="J32" s="11">
        <f>[1]!f_prt_stocktonav(A32,$E$1)+0.5*I32</f>
        <v>27.282933056354523</v>
      </c>
      <c r="K32" s="12">
        <v>1.158435325284624</v>
      </c>
      <c r="L32" s="19">
        <f>[1]!f_return($A32,"1",L$2,$E$1)</f>
        <v>6.4238205587705322</v>
      </c>
      <c r="M32" s="19">
        <f>[1]!f_risk_stdevyearly($A32,L$2,$E$1,1,1)</f>
        <v>4.606635589001681</v>
      </c>
      <c r="N32" s="12">
        <f>IFERROR(L32/M32,"-")</f>
        <v>1.3944711785120081</v>
      </c>
      <c r="O32" s="12" t="str">
        <f>IFERROR(RANK(N32,N:N)&amp;"/"&amp;COUNT(N:N),"-")</f>
        <v>99/197</v>
      </c>
      <c r="P32" s="26">
        <f>IF(O32="-","-",RANK(N32,N:N)/COUNT(N:N))</f>
        <v>0.5025380710659898</v>
      </c>
      <c r="Q32" s="58">
        <v>0.43147208121827413</v>
      </c>
      <c r="R32" s="33">
        <f>IF(OR($C32&gt;20190630,$K32&gt;30,N32="-",$D32="是",$E32="封闭期",$H32&lt;10,$BN32&lt;-6,$BR32&lt;70),"-",COUNTIFS(N$4:N$200,"&lt;&gt;-",$D$4:$D$200,"&lt;&gt;是",$E$4:$E$200,"&lt;&gt;封闭期",$H$4:$H$200,"&gt;10",$BN$4:$BN$200,"&gt;-6",$BR$4:$BR$200,"&gt;=70",$K$4:$K$200,"&lt;=30",$C$4:$C$200,"&lt;20190630",N$4:N$200,"&gt;="&amp;N32)/COUNTIFS(N$4:N$200,"&lt;&gt;-",$D$4:$D$200,"&lt;&gt;是",$E$4:$E$200,"&lt;&gt;封闭期",$H$4:$H$200,"&gt;10",$BN$4:$BN$200,"&gt;-6",$BR$4:$BR$200,"&gt;=70",$C$4:$C$200,"&lt;20190630",$K$4:$K$200,"&lt;=30"))</f>
        <v>0.76923076923076927</v>
      </c>
      <c r="S32" s="12">
        <f>IFERROR((L32-3)/M32,"-")</f>
        <v>0.74323668382732211</v>
      </c>
      <c r="T32" s="12" t="str">
        <f>IFERROR(RANK(S32,S:S)&amp;"/"&amp;COUNT(S:S),"-")</f>
        <v>97/197</v>
      </c>
      <c r="U32" s="26">
        <f>IFERROR(RANK(S32,S:S)/COUNT(S:S),"-")</f>
        <v>0.49238578680203043</v>
      </c>
      <c r="V32" s="13" t="str">
        <f>IF(OR($C32&gt;20190630,$K32&gt;30,S32="-",$D32="是",$E32="封闭期",$H32&lt;10,$BN32&lt;-6,$BR32&lt;70),"-",COUNTIFS(S$4:S$200,"&lt;&gt;-",$D$4:$D$200,"&lt;&gt;是",$E$4:$E$200,"&lt;&gt;封闭期",$H$4:$H$200,"&gt;10",$BN$4:$BN$200,"&gt;-6",$BR$4:$BR$200,"&gt;=70",$K$4:$K$200,"&lt;=30",$C$4:$C$200,"&lt;20190630",S$4:S$200,"&gt;="&amp;S32)&amp;"/"&amp;COUNTIFS(S$4:S$200,"&lt;&gt;-",$D$4:$D$200,"&lt;&gt;是",$E$4:$E$200,"&lt;&gt;封闭期",$H$4:$H$200,"&gt;10",$BN$4:$BN$200,"&gt;-6",$BR$4:$BR$200,"&gt;=70",$C$4:$C$200,"&lt;20190630",$K$4:$K$200,"&lt;=30"))</f>
        <v>30/39</v>
      </c>
      <c r="W32" s="33">
        <f>IF(OR($C32&gt;20190630,$K32&gt;30,S32="-",$D32="是",$E32="封闭期",$H32&lt;10,$BN32&lt;-6,$BR32&lt;70),"-",COUNTIFS(S$4:S$200,"&lt;&gt;-",$D$4:$D$200,"&lt;&gt;是",$E$4:$E$200,"&lt;&gt;封闭期",$H$4:$H$200,"&gt;10",$BN$4:$BN$200,"&gt;-6",$BR$4:$BR$200,"&gt;=70",$K$4:$K$200,"&lt;=30",$C$4:$C$200,"&lt;20190630",S$4:S$200,"&gt;="&amp;S32)/COUNTIFS(S$4:S$200,"&lt;&gt;-",$D$4:$D$200,"&lt;&gt;是",$E$4:$E$200,"&lt;&gt;封闭期",$H$4:$H$200,"&gt;10",$BN$4:$BN$200,"&gt;-6",$BR$4:$BR$200,"&gt;=70",$C$4:$C$200,"&lt;20190630",$K$4:$K$200,"&lt;=30"))</f>
        <v>0.76923076923076927</v>
      </c>
      <c r="X32" s="19">
        <f>[1]!f_risk_calmar(A32,$L$2,$E$1)</f>
        <v>2.133057004921985</v>
      </c>
      <c r="Y32" s="12" t="str">
        <f>IFERROR(RANK(X32,X:X)&amp;"/"&amp;COUNT(X:X),"-")</f>
        <v>92/197</v>
      </c>
      <c r="Z32" s="26">
        <f>IFERROR(RANK(X32,X:X)/COUNT(X:X),"-")</f>
        <v>0.46700507614213199</v>
      </c>
      <c r="AA32" s="13" t="str">
        <f>IF(OR($C32&gt;20190630,$K32&gt;30,X32="-",$D32="是",$E32="封闭期",$H32&lt;10,$BN32&lt;-6,$BR32&lt;70),"-",COUNTIFS(X$4:X$200,"&lt;&gt;-",$D$4:$D$200,"&lt;&gt;是",$E$4:$E$200,"&lt;&gt;封闭期",$H$4:$H$200,"&gt;10",$BN$4:$BN$200,"&gt;-6",$BR$4:$BR$200,"&gt;=70",$K$4:$K$200,"&lt;=30",$C$4:$C$200,"&lt;20190630",X$4:X$200,"&gt;="&amp;X32)&amp;"/"&amp;COUNTIFS(X$4:X$200,"&lt;&gt;-",$D$4:$D$200,"&lt;&gt;是",$E$4:$E$200,"&lt;&gt;封闭期",$H$4:$H$200,"&gt;10",$BN$4:$BN$200,"&gt;-6",$BR$4:$BR$200,"&gt;=70",$C$4:$C$200,"&lt;20190630",$K$4:$K$200,"&lt;=30"))</f>
        <v>27/39</v>
      </c>
      <c r="AB32" s="33">
        <f>IF(OR($C32&gt;20190630,$K32&gt;30,X32="-",$D32="是",$E32="封闭期",$H32&lt;10,$BN32&lt;-6,$BR32&lt;70),"-",COUNTIFS(X$4:X$200,"&lt;&gt;-",$D$4:$D$200,"&lt;&gt;是",$E$4:$E$200,"&lt;&gt;封闭期",$H$4:$H$200,"&gt;10",$BN$4:$BN$200,"&gt;-6",$BR$4:$BR$200,"&gt;=70",$K$4:$K$200,"&lt;=30",$C$4:$C$200,"&lt;20190630",X$4:X$200,"&gt;="&amp;X32)/COUNTIFS(X$4:X$200,"&lt;&gt;-",$D$4:$D$200,"&lt;&gt;是",$E$4:$E$200,"&lt;&gt;封闭期",$H$4:$H$200,"&gt;10",$BN$4:$BN$200,"&gt;-6",$BR$4:$BR$200,"&gt;=70",$C$4:$C$200,"&lt;20190630",$K$4:$K$200,"&lt;=30"))</f>
        <v>0.69230769230769229</v>
      </c>
      <c r="AC32" s="20">
        <v>0.84033613445378152</v>
      </c>
      <c r="AD32" s="12" t="str">
        <f>IFERROR(RANK(AC32,AC:AC)&amp;"/"&amp;COUNT(AC:AC),"-")</f>
        <v>142/197</v>
      </c>
      <c r="AE32" s="26">
        <f>IFERROR(RANK(AC32,AC:AC)/COUNT(AC:AC),"-")</f>
        <v>0.7208121827411168</v>
      </c>
      <c r="AF32" s="13" t="str">
        <f>IF(OR($C32&gt;20190630,$K32&gt;30,AC32="-",$D32="是",$E32="封闭期",$H32&lt;10,$BN32&lt;-6,$BR32&lt;70),"-",COUNTIFS(AC$4:AC$200,"&lt;&gt;-",$D$4:$D$200,"&lt;&gt;是",$E$4:$E$200,"&lt;&gt;封闭期",$H$4:$H$200,"&gt;10",$BN$4:$BN$200,"&gt;-6",$BR$4:$BR$200,"&gt;=70",$K$4:$K$200,"&lt;=30",$C$4:$C$200,"&lt;20190630",AC$4:AC$200,"&gt;="&amp;AC32)&amp;"/"&amp;COUNTIFS(AC$4:AC$200,"&lt;&gt;-",$D$4:$D$200,"&lt;&gt;是",$E$4:$E$200,"&lt;&gt;封闭期",$H$4:$H$200,"&gt;10",$BN$4:$BN$200,"&gt;-6",$BR$4:$BR$200,"&gt;=70",$C$4:$C$200,"&lt;20190630",$K$4:$K$200,"&lt;=30"))</f>
        <v>38/39</v>
      </c>
      <c r="AG32" s="33">
        <f>IF(OR($C32&gt;20190630,$K32&gt;30,AC32="-",$D32="是",$E32="封闭期",$H32&lt;10,$BN32&lt;-6,$BR32&lt;70),"-",COUNTIFS(AC$4:AC$200,"&lt;&gt;-",$D$4:$D$200,"&lt;&gt;是",$E$4:$E$200,"&lt;&gt;封闭期",$H$4:$H$200,"&gt;10",$BN$4:$BN$200,"&gt;-6",$BR$4:$BR$200,"&gt;=70",$K$4:$K$200,"&lt;=30",$C$4:$C$200,"&lt;20190630",AC$4:AC$200,"&gt;="&amp;AC32)/COUNTIFS(AC$4:AC$200,"&lt;&gt;-",$D$4:$D$200,"&lt;&gt;是",$E$4:$E$200,"&lt;&gt;封闭期",$H$4:$H$200,"&gt;10",$BN$4:$BN$200,"&gt;-6",$BR$4:$BR$200,"&gt;=70",$C$4:$C$200,"&lt;20190630",$K$4:$K$200,"&lt;=30"))</f>
        <v>0.97435897435897434</v>
      </c>
      <c r="AH32" s="21">
        <f>[1]!f_risk_maxdownside(A32,$L$2,$E$1)</f>
        <v>-3.0115559705847987</v>
      </c>
      <c r="AI32" s="19" t="str">
        <f>IFERROR(RANK(AH32,AH:AH)&amp;"/"&amp;COUNT(AH:AH),"-")</f>
        <v>94/197</v>
      </c>
      <c r="AJ32" s="26">
        <f>IFERROR(RANK(AH32,AH:AH)/COUNT(AH:AH),"-")</f>
        <v>0.47715736040609136</v>
      </c>
      <c r="AK32" s="34" t="str">
        <f>IF(OR($C32&gt;20190630,$K32&gt;30,AH32="-",$D32="是",$E32="封闭期",$H32&lt;10,$BN32&lt;-6,$BR32&lt;70),"-",COUNTIFS(AH$4:AH$200,"&lt;&gt;-",$D$4:$D$200,"&lt;&gt;是",$E$4:$E$200,"&lt;&gt;封闭期",$H$4:$H$200,"&gt;10",$BN$4:$BN$200,"&gt;-6",$BR$4:$BR$200,"&gt;=70",$K$4:$K$200,"&lt;=30",$C$4:$C$200,"&lt;20190630",AH$4:AH$200,"&gt;="&amp;AH32)&amp;"/"&amp;COUNTIFS(AH$4:AH$200,"&lt;&gt;-",$D$4:$D$200,"&lt;&gt;是",$E$4:$E$200,"&lt;&gt;封闭期",$H$4:$H$200,"&gt;10",$BN$4:$BN$200,"&gt;-6",$BR$4:$BR$200,"&gt;=70",$C$4:$C$200,"&lt;20190630",$K$4:$K$200,"&lt;=30"))</f>
        <v>25/39</v>
      </c>
      <c r="AL32" s="33">
        <f>IF(OR($C32&gt;20190630,$K32&gt;30,AH32="-",$D32="是",$E32="封闭期",$H32&lt;10,$BN32&lt;-6,$BR32&lt;70),"-",COUNTIFS(AH$4:AH$200,"&lt;&gt;-",$D$4:$D$200,"&lt;&gt;是",$E$4:$E$200,"&lt;&gt;封闭期",$H$4:$H$200,"&gt;10",$BN$4:$BN$200,"&gt;-6",$BR$4:$BR$200,"&gt;=70",$K$4:$K$200,"&lt;=30",$C$4:$C$200,"&lt;20190630",AH$4:AH$200,"&gt;="&amp;AH32)/COUNTIFS(AH$4:AH$200,"&lt;&gt;-",$D$4:$D$200,"&lt;&gt;是",$E$4:$E$200,"&lt;&gt;封闭期",$H$4:$H$200,"&gt;10",$BN$4:$BN$200,"&gt;-6",$BR$4:$BR$200,"&gt;=70",$C$4:$C$200,"&lt;20190630",$K$4:$K$200,"&lt;=30"))</f>
        <v>0.64102564102564108</v>
      </c>
      <c r="AM32" s="19">
        <f>[1]!f_return($A32,"1",AM$2,$L$2)</f>
        <v>12.332140782173063</v>
      </c>
      <c r="AN32" s="19">
        <f>[1]!f_risk_stdevyearly($A32,AM$2,$L$2,1,1)</f>
        <v>5.6091988135423367</v>
      </c>
      <c r="AO32" s="12">
        <f>IFERROR(AM32/AN32,"-")</f>
        <v>2.1985565482898326</v>
      </c>
      <c r="AP32" s="12" t="str">
        <f>IFERROR(RANK(AO32,AO:AO)&amp;"/"&amp;COUNT(AO:AO),"-")</f>
        <v>33/197</v>
      </c>
      <c r="AQ32" s="26">
        <f>IF(AP32="-","-",RANK(AO32,AO:AO)/COUNT(AO:AO))</f>
        <v>0.16751269035532995</v>
      </c>
      <c r="AR32" s="60">
        <v>0.14720812182741116</v>
      </c>
      <c r="AS32" s="35">
        <f>IF(OR($C32&gt;20190630,$K32&gt;30,AO32="-",$D32="是",$E32="封闭期",$H32&lt;10,$BN32&lt;-6,$BR32&lt;70),"-",COUNTIFS(AO$4:AO$200,"&lt;&gt;-",$D$4:$D$200,"&lt;&gt;是",$E$4:$E$200,"&lt;&gt;封闭期",$H$4:$H$200,"&gt;10",$BN$4:$BN$200,"&gt;-6",$BR$4:$BR$200,"&gt;=70",$K$4:$K$200,"&lt;=30",$C$4:$C$200,"&lt;20190630",AO$4:AO$200,"&gt;="&amp;AO32)/COUNTIFS(AO$4:AO$200,"&lt;&gt;-",$D$4:$D$200,"&lt;&gt;是",$E$4:$E$200,"&lt;&gt;封闭期",$H$4:$H$200,"&gt;10",$BN$4:$BN$200,"&gt;-6",$BR$4:$BR$200,"&gt;=70",$C$4:$C$200,"&lt;20190630",$K$4:$K$200,"&lt;=30"))</f>
        <v>0.28205128205128205</v>
      </c>
      <c r="AT32" s="12">
        <f>IFERROR((AM32-3)/AN32,"-")</f>
        <v>1.663720807977495</v>
      </c>
      <c r="AU32" s="12" t="str">
        <f>IFERROR(RANK(AT32,AT:AT)&amp;"/"&amp;COUNT(AT:AT),"-")</f>
        <v>22/197</v>
      </c>
      <c r="AV32" s="26">
        <f>IFERROR(RANK(AT32,AT:AT)/COUNT(AT:AT),"-")</f>
        <v>0.1116751269035533</v>
      </c>
      <c r="AW32" s="13" t="str">
        <f>IF(OR($C32&gt;20190630,$K32&gt;30,AT32="-",$D32="是",$E32="封闭期",$H32&lt;10,$BN32&lt;-6,$BR32&lt;70),"-",COUNTIFS(AT$4:AT$200,"&lt;&gt;-",$D$4:$D$200,"&lt;&gt;是",$E$4:$E$200,"&lt;&gt;封闭期",$H$4:$H$200,"&gt;10",$BN$4:$BN$200,"&gt;-6",$BR$4:$BR$200,"&gt;=70",$K$4:$K$200,"&lt;=30",$C$4:$C$200,"&lt;20190630",AT$4:AT$200,"&gt;="&amp;AT32)&amp;"/"&amp;COUNTIFS(AT$4:AT$200,"&lt;&gt;-",$D$4:$D$200,"&lt;&gt;是",$E$4:$E$200,"&lt;&gt;封闭期",$H$4:$H$200,"&gt;10",$BN$4:$BN$200,"&gt;-6",$BR$4:$BR$200,"&gt;=70",$C$4:$C$200,"&lt;20190630",$K$4:$K$200,"&lt;=30"))</f>
        <v>10/39</v>
      </c>
      <c r="AX32" s="33">
        <f>IF(OR($C32&gt;20190630,$K32&gt;30,AT32="-",$D32="是",$E32="封闭期",$H32&lt;10,$BN32&lt;-6,$BR32&lt;70),"-",COUNTIFS(AT$4:AT$200,"&lt;&gt;-",$D$4:$D$200,"&lt;&gt;是",$E$4:$E$200,"&lt;&gt;封闭期",$H$4:$H$200,"&gt;10",$BN$4:$BN$200,"&gt;-6",$BR$4:$BR$200,"&gt;=70",$K$4:$K$200,"&lt;=30",$C$4:$C$200,"&lt;20190630",AT$4:AT$200,"&gt;="&amp;AT32)/COUNTIFS(AT$4:AT$200,"&lt;&gt;-",$D$4:$D$200,"&lt;&gt;是",$E$4:$E$200,"&lt;&gt;封闭期",$H$4:$H$200,"&gt;10",$BN$4:$BN$200,"&gt;-6",$BR$4:$BR$200,"&gt;=70",$C$4:$C$200,"&lt;20190630",$K$4:$K$200,"&lt;=30"))</f>
        <v>0.25641025641025639</v>
      </c>
      <c r="AY32" s="19">
        <f>[1]!f_risk_calmar(A32,$AM$2,$L$2)</f>
        <v>2.6561892641224998</v>
      </c>
      <c r="AZ32" s="12" t="str">
        <f>IFERROR(RANK(AY32,AY:AY)&amp;"/"&amp;COUNT(AY:AY),"-")</f>
        <v>71/197</v>
      </c>
      <c r="BA32" s="26">
        <f>IFERROR(RANK(AY32,AY:AY)/COUNT(AY:AY),"-")</f>
        <v>0.3604060913705584</v>
      </c>
      <c r="BB32" s="13" t="str">
        <f>IF(OR($C32&gt;20190630,$K32&gt;30,AY32="-",$D32="是",$E32="封闭期",$H32&lt;10,$BN32&lt;-6,$BR32&lt;70),"-",COUNTIFS(AY$4:AY$200,"&lt;&gt;-",$D$4:$D$200,"&lt;&gt;是",$E$4:$E$200,"&lt;&gt;封闭期",$H$4:$H$200,"&gt;10",$BN$4:$BN$200,"&gt;-6",$BR$4:$BR$200,"&gt;=70",$K$4:$K$200,"&lt;=30",$C$4:$C$200,"&lt;20190630",AY$4:AY$200,"&gt;="&amp;AY32)&amp;"/"&amp;COUNTIFS(AY$4:AY$200,"&lt;&gt;-",$D$4:$D$200,"&lt;&gt;是",$E$4:$E$200,"&lt;&gt;封闭期",$H$4:$H$200,"&gt;10",$BN$4:$BN$200,"&gt;-6",$BR$4:$BR$200,"&gt;=70",$C$4:$C$200,"&lt;20190630",$K$4:$K$200,"&lt;=30"))</f>
        <v>23/39</v>
      </c>
      <c r="BC32" s="33">
        <f>IF(OR($C32&gt;20190630,$K32&gt;30,AY32="-",$D32="是",$E32="封闭期",$H32&lt;10,$BN32&lt;-6,$BR32&lt;70),"-",COUNTIFS(AY$4:AY$200,"&lt;&gt;-",$D$4:$D$200,"&lt;&gt;是",$E$4:$E$200,"&lt;&gt;封闭期",$H$4:$H$200,"&gt;10",$BN$4:$BN$200,"&gt;-6",$BR$4:$BR$200,"&gt;=70",$K$4:$K$200,"&lt;=30",$C$4:$C$200,"&lt;20190630",AY$4:AY$200,"&gt;="&amp;AY32)/COUNTIFS(AY$4:AY$200,"&lt;&gt;-",$D$4:$D$200,"&lt;&gt;是",$E$4:$E$200,"&lt;&gt;封闭期",$H$4:$H$200,"&gt;10",$BN$4:$BN$200,"&gt;-6",$BR$4:$BR$200,"&gt;=70",$C$4:$C$200,"&lt;20190630",$K$4:$K$200,"&lt;=30"))</f>
        <v>0.58974358974358976</v>
      </c>
      <c r="BD32" s="20">
        <v>1</v>
      </c>
      <c r="BE32" s="12" t="str">
        <f>IFERROR(RANK(BD32,BD:BD)&amp;"/"&amp;COUNT(BD:BD),"-")</f>
        <v>1/197</v>
      </c>
      <c r="BF32" s="26">
        <f>IFERROR(RANK(BD32,BD:BD)/COUNT(BD:BD),"-")</f>
        <v>5.076142131979695E-3</v>
      </c>
      <c r="BG32" s="13" t="str">
        <f>IF(OR($C32&gt;20190630,$K32&gt;30,BD32="-",$D32="是",$E32="封闭期",$H32&lt;10,$BN32&lt;-6,$BR32&lt;70),"-",COUNTIFS(BD$4:BD$200,"&lt;&gt;-",$D$4:$D$200,"&lt;&gt;是",$E$4:$E$200,"&lt;&gt;封闭期",$H$4:$H$200,"&gt;10",$BN$4:$BN$200,"&gt;-6",$BR$4:$BR$200,"&gt;=70",$K$4:$K$200,"&lt;=30",$C$4:$C$200,"&lt;20190630",BD$4:BD$200,"&gt;="&amp;BD32)&amp;"/"&amp;COUNTIFS(BD$4:BD$200,"&lt;&gt;-",$D$4:$D$200,"&lt;&gt;是",$E$4:$E$200,"&lt;&gt;封闭期",$H$4:$H$200,"&gt;10",$BN$4:$BN$200,"&gt;-6",$BR$4:$BR$200,"&gt;=70",$C$4:$C$200,"&lt;20190630",$K$4:$K$200,"&lt;=30"))</f>
        <v>35/39</v>
      </c>
      <c r="BH32" s="33">
        <f>IF(OR($C32&gt;20190630,$K32&gt;30,BD32="-",$D32="是",$E32="封闭期",$H32&lt;10,$BN32&lt;-6,$BR32&lt;70),"-",COUNTIFS(BD$4:BD$200,"&lt;&gt;-",$D$4:$D$200,"&lt;&gt;是",$E$4:$E$200,"&lt;&gt;封闭期",$H$4:$H$200,"&gt;10",$BN$4:$BN$200,"&gt;-6",$BR$4:$BR$200,"&gt;=70",$K$4:$K$200,"&lt;=30",$C$4:$C$200,"&lt;20190630",BD$4:BD$200,"&gt;="&amp;BD32)/COUNTIFS(BD$4:BD$200,"&lt;&gt;-",$D$4:$D$200,"&lt;&gt;是",$E$4:$E$200,"&lt;&gt;封闭期",$H$4:$H$200,"&gt;10",$BN$4:$BN$200,"&gt;-6",$BR$4:$BR$200,"&gt;=70",$C$4:$C$200,"&lt;20190630",$K$4:$K$200,"&lt;=30"))</f>
        <v>0.89743589743589747</v>
      </c>
      <c r="BI32" s="21">
        <f>[1]!f_risk_maxdownside(A32,$AM$2,$L$2)</f>
        <v>-4.6427944532209819</v>
      </c>
      <c r="BJ32" s="19" t="str">
        <f>IFERROR(RANK(BI32,BI:BI)&amp;"/"&amp;COUNT(BI:BI),"-")</f>
        <v>149/197</v>
      </c>
      <c r="BK32" s="26">
        <f>IFERROR(RANK(BI32,BI:BI)/COUNT(BI:BI),"-")</f>
        <v>0.75634517766497467</v>
      </c>
      <c r="BL32" s="34" t="str">
        <f>IF(OR($C32&gt;20190630,$K32&gt;30,BI32="-",$D32="是",$E32="封闭期",$H32&lt;10,$BN32&lt;-6,$BR32&lt;70),"-",COUNTIFS(BI$4:BI$200,"&lt;&gt;-",$D$4:$D$200,"&lt;&gt;是",$E$4:$E$200,"&lt;&gt;封闭期",$H$4:$H$200,"&gt;10",$BN$4:$BN$200,"&gt;-6",$BR$4:$BR$200,"&gt;=70",$K$4:$K$200,"&lt;=30",$C$4:$C$200,"&lt;20190630",BI$4:BI$200,"&gt;="&amp;BI32)&amp;"/"&amp;COUNTIFS(BI$4:BI$200,"&lt;&gt;-",$D$4:$D$200,"&lt;&gt;是",$E$4:$E$200,"&lt;&gt;封闭期",$H$4:$H$200,"&gt;10",$BN$4:$BN$200,"&gt;-6",$BR$4:$BR$200,"&gt;=70",$C$4:$C$200,"&lt;20190630",$K$4:$K$200,"&lt;=30"))</f>
        <v>34/39</v>
      </c>
      <c r="BM32" s="33">
        <f>IF(OR($C32&gt;20190630,$K32&gt;30,BI32="-",$D32="是",$E32="封闭期",$H32&lt;10,$BN32&lt;-6,$BR32&lt;70),"-",COUNTIFS(BI$4:BI$200,"&lt;&gt;-",$D$4:$D$200,"&lt;&gt;是",$E$4:$E$200,"&lt;&gt;封闭期",$H$4:$H$200,"&gt;10",$BN$4:$BN$200,"&gt;-6",$BR$4:$BR$200,"&gt;=70",$K$4:$K$200,"&lt;=30",$C$4:$C$200,"&lt;20190630",BI$4:BI$200,"&gt;="&amp;BI32)/COUNTIFS(BI$4:BI$200,"&lt;&gt;-",$D$4:$D$200,"&lt;&gt;是",$E$4:$E$200,"&lt;&gt;封闭期",$H$4:$H$200,"&gt;10",$BN$4:$BN$200,"&gt;-6",$BR$4:$BR$200,"&gt;=70",$C$4:$C$200,"&lt;20190630",$K$4:$K$200,"&lt;=30"))</f>
        <v>0.87179487179487181</v>
      </c>
      <c r="BN32" s="21">
        <f>[1]!f_risk_maxdownside(A32,$AM$2,$E$1)</f>
        <v>-4.6427944532209819</v>
      </c>
      <c r="BO32" s="14">
        <f>IF(C32&lt;20190930,[1]!f_return_2y(A32,"0","20210930"),"-")</f>
        <v>19.789201881991286</v>
      </c>
      <c r="BP32" s="12" t="str">
        <f>IFERROR(RANK(BO32,BO:BO)&amp;"/"&amp;COUNT(BO:BO),"-")</f>
        <v>39/197</v>
      </c>
      <c r="BQ32" s="25">
        <f>IFERROR(RANK(BO32,BO:BO)/COUNT(BO:BO),"-")</f>
        <v>0.19796954314720813</v>
      </c>
      <c r="BR32" s="12">
        <f>IF(C32&lt;20190930,[1]!f_absolute_profitmonthper(A32,"20190930","20210930"),"-")</f>
        <v>75</v>
      </c>
      <c r="BS32" s="12" t="str">
        <f>IFERROR(RANK(BR32,BR:BR)&amp;"/"&amp;COUNT(BR:BR),"-")</f>
        <v>26/198</v>
      </c>
      <c r="BT32" s="25">
        <f>IFERROR(RANK(BR32,BR:BR)/COUNT(BR:BR),"-")</f>
        <v>0.13131313131313133</v>
      </c>
      <c r="BU32" s="17"/>
      <c r="BV32" s="12">
        <f>X32-3/M32</f>
        <v>1.4818225102372993</v>
      </c>
      <c r="BW32" s="76">
        <f>IFERROR(RANK(BV32,BV:BV)/COUNT(BV:BV),"-")</f>
        <v>0.45685279187817257</v>
      </c>
      <c r="BX32" s="76">
        <f>IFERROR(RANK(L32,L:L)/COUNT(L:L),"-")</f>
        <v>0.43434343434343436</v>
      </c>
      <c r="BY32" s="12">
        <f>AY32-3/AN32</f>
        <v>2.1213535238101624</v>
      </c>
      <c r="BZ32" s="76">
        <f>IFERROR(RANK(BY32,BY:BY)/COUNT(BY:BY),"-")</f>
        <v>0.29949238578680204</v>
      </c>
      <c r="CA32" s="76">
        <f>IFERROR(RANK(AM32,AM:AM)/COUNT(AM:AM),"-")</f>
        <v>0.15151515151515152</v>
      </c>
      <c r="CC32" s="77">
        <f>AV32+BF32+BZ32+CA32</f>
        <v>0.56775880633748654</v>
      </c>
      <c r="CD32" s="77">
        <f>BW32+BX32+AE32+U32</f>
        <v>2.1043941957647538</v>
      </c>
      <c r="CE32" s="77">
        <f>CC32+CD32</f>
        <v>2.6721530021022404</v>
      </c>
    </row>
    <row r="33" spans="1:83" s="17" customFormat="1" x14ac:dyDescent="0.35">
      <c r="A33" s="15" t="s">
        <v>69</v>
      </c>
      <c r="B33" s="15" t="s">
        <v>70</v>
      </c>
      <c r="C33" s="16">
        <v>20100727</v>
      </c>
      <c r="D33" s="16" t="str">
        <f>[1]!f_info_regulopenfundornot(A33)</f>
        <v>否</v>
      </c>
      <c r="E33" s="16" t="str">
        <f>[1]!f_dq_status(A33,$E$1)</f>
        <v>开放申购|开放赎回</v>
      </c>
      <c r="F33" s="17" t="str">
        <f>[1]!f_info_fundmanager(A33)</f>
        <v>王申,王衍胜</v>
      </c>
      <c r="G33" s="16">
        <v>20150522</v>
      </c>
      <c r="H33" s="18">
        <f>[1]!f_netasset_total(A33,$E$1,100000000)</f>
        <v>21.595035079200002</v>
      </c>
      <c r="I33" s="18">
        <f>[1]!f_prt_convertiblebondtonav(A33,$E$1)</f>
        <v>0.13666696846485138</v>
      </c>
      <c r="J33" s="18">
        <f>[1]!f_prt_stocktonav(A33,$E$1)+0.5*I33</f>
        <v>18.754465915262699</v>
      </c>
      <c r="K33" s="19">
        <v>10.177293030271001</v>
      </c>
      <c r="L33" s="19">
        <f>[1]!f_return($A33,"1",L$2,$E$1)</f>
        <v>-0.96187873628171827</v>
      </c>
      <c r="M33" s="19">
        <f>[1]!f_risk_stdevyearly($A33,L$2,$E$1,1,1)</f>
        <v>6.5439830408313124</v>
      </c>
      <c r="N33" s="19">
        <f>IFERROR(L33/M33,"-")</f>
        <v>-0.14698674038121076</v>
      </c>
      <c r="O33" s="19" t="str">
        <f>IFERROR(RANK(N33,N:N)&amp;"/"&amp;COUNT(N:N),"-")</f>
        <v>189/197</v>
      </c>
      <c r="P33" s="26">
        <f>IF(O33="-","-",RANK(N33,N:N)/COUNT(N:N))</f>
        <v>0.95939086294416243</v>
      </c>
      <c r="Q33" s="56">
        <v>0.96954314720812185</v>
      </c>
      <c r="R33" s="33" t="str">
        <f>IF(OR($C33&gt;20190630,$K33&gt;30,N33="-",$D33="是",$E33="封闭期",$H33&lt;10,$BN33&lt;-6,$BR33&lt;70),"-",COUNTIFS(N$4:N$200,"&lt;&gt;-",$D$4:$D$200,"&lt;&gt;是",$E$4:$E$200,"&lt;&gt;封闭期",$H$4:$H$200,"&gt;10",$BN$4:$BN$200,"&gt;-6",$BR$4:$BR$200,"&gt;=70",$K$4:$K$200,"&lt;=30",$C$4:$C$200,"&lt;20190630",N$4:N$200,"&gt;="&amp;N33)/COUNTIFS(N$4:N$200,"&lt;&gt;-",$D$4:$D$200,"&lt;&gt;是",$E$4:$E$200,"&lt;&gt;封闭期",$H$4:$H$200,"&gt;10",$BN$4:$BN$200,"&gt;-6",$BR$4:$BR$200,"&gt;=70",$C$4:$C$200,"&lt;20190630",$K$4:$K$200,"&lt;=30"))</f>
        <v>-</v>
      </c>
      <c r="S33" s="19">
        <f>IFERROR((L33-3)/M33,"-")</f>
        <v>-0.60542313627060107</v>
      </c>
      <c r="T33" s="19" t="str">
        <f>IFERROR(RANK(S33,S:S)&amp;"/"&amp;COUNT(S:S),"-")</f>
        <v>184/197</v>
      </c>
      <c r="U33" s="26">
        <f>IFERROR(RANK(S33,S:S)/COUNT(S:S),"-")</f>
        <v>0.93401015228426398</v>
      </c>
      <c r="V33" s="34" t="str">
        <f>IF(OR($C33&gt;20190630,$K33&gt;30,S33="-",$D33="是",$E33="封闭期",$H33&lt;10,$BN33&lt;-6,$BR33&lt;70),"-",COUNTIFS(S$4:S$200,"&lt;&gt;-",$D$4:$D$200,"&lt;&gt;是",$E$4:$E$200,"&lt;&gt;封闭期",$H$4:$H$200,"&gt;10",$BN$4:$BN$200,"&gt;-6",$BR$4:$BR$200,"&gt;=70",$K$4:$K$200,"&lt;=30",$C$4:$C$200,"&lt;20190630",S$4:S$200,"&gt;="&amp;S33)&amp;"/"&amp;COUNTIFS(S$4:S$200,"&lt;&gt;-",$D$4:$D$200,"&lt;&gt;是",$E$4:$E$200,"&lt;&gt;封闭期",$H$4:$H$200,"&gt;10",$BN$4:$BN$200,"&gt;-6",$BR$4:$BR$200,"&gt;=70",$C$4:$C$200,"&lt;20190630",$K$4:$K$200,"&lt;=30"))</f>
        <v>-</v>
      </c>
      <c r="W33" s="33" t="str">
        <f>IF(OR($C33&gt;20190630,$K33&gt;30,S33="-",$D33="是",$E33="封闭期",$H33&lt;10,$BN33&lt;-6,$BR33&lt;70),"-",COUNTIFS(S$4:S$200,"&lt;&gt;-",$D$4:$D$200,"&lt;&gt;是",$E$4:$E$200,"&lt;&gt;封闭期",$H$4:$H$200,"&gt;10",$BN$4:$BN$200,"&gt;-6",$BR$4:$BR$200,"&gt;=70",$K$4:$K$200,"&lt;=30",$C$4:$C$200,"&lt;20190630",S$4:S$200,"&gt;="&amp;S33)/COUNTIFS(S$4:S$200,"&lt;&gt;-",$D$4:$D$200,"&lt;&gt;是",$E$4:$E$200,"&lt;&gt;封闭期",$H$4:$H$200,"&gt;10",$BN$4:$BN$200,"&gt;-6",$BR$4:$BR$200,"&gt;=70",$C$4:$C$200,"&lt;20190630",$K$4:$K$200,"&lt;=30"))</f>
        <v>-</v>
      </c>
      <c r="X33" s="19">
        <f>[1]!f_risk_calmar(A33,$L$2,$E$1)</f>
        <v>-0.14843307656726312</v>
      </c>
      <c r="Y33" s="19" t="str">
        <f>IFERROR(RANK(X33,X:X)&amp;"/"&amp;COUNT(X:X),"-")</f>
        <v>189/197</v>
      </c>
      <c r="Z33" s="26">
        <f>IFERROR(RANK(X33,X:X)/COUNT(X:X),"-")</f>
        <v>0.95939086294416243</v>
      </c>
      <c r="AA33" s="34" t="str">
        <f>IF(OR($C33&gt;20190630,$K33&gt;30,X33="-",$D33="是",$E33="封闭期",$H33&lt;10,$BN33&lt;-6,$BR33&lt;70),"-",COUNTIFS(X$4:X$200,"&lt;&gt;-",$D$4:$D$200,"&lt;&gt;是",$E$4:$E$200,"&lt;&gt;封闭期",$H$4:$H$200,"&gt;10",$BN$4:$BN$200,"&gt;-6",$BR$4:$BR$200,"&gt;=70",$K$4:$K$200,"&lt;=30",$C$4:$C$200,"&lt;20190630",X$4:X$200,"&gt;="&amp;X33)&amp;"/"&amp;COUNTIFS(X$4:X$200,"&lt;&gt;-",$D$4:$D$200,"&lt;&gt;是",$E$4:$E$200,"&lt;&gt;封闭期",$H$4:$H$200,"&gt;10",$BN$4:$BN$200,"&gt;-6",$BR$4:$BR$200,"&gt;=70",$C$4:$C$200,"&lt;20190630",$K$4:$K$200,"&lt;=30"))</f>
        <v>-</v>
      </c>
      <c r="AB33" s="33" t="str">
        <f>IF(OR($C33&gt;20190630,$K33&gt;30,X33="-",$D33="是",$E33="封闭期",$H33&lt;10,$BN33&lt;-6,$BR33&lt;70),"-",COUNTIFS(X$4:X$200,"&lt;&gt;-",$D$4:$D$200,"&lt;&gt;是",$E$4:$E$200,"&lt;&gt;封闭期",$H$4:$H$200,"&gt;10",$BN$4:$BN$200,"&gt;-6",$BR$4:$BR$200,"&gt;=70",$K$4:$K$200,"&lt;=30",$C$4:$C$200,"&lt;20190630",X$4:X$200,"&gt;="&amp;X33)/COUNTIFS(X$4:X$200,"&lt;&gt;-",$D$4:$D$200,"&lt;&gt;是",$E$4:$E$200,"&lt;&gt;封闭期",$H$4:$H$200,"&gt;10",$BN$4:$BN$200,"&gt;-6",$BR$4:$BR$200,"&gt;=70",$C$4:$C$200,"&lt;20190630",$K$4:$K$200,"&lt;=30"))</f>
        <v>-</v>
      </c>
      <c r="AC33" s="20">
        <v>0.48739495798319332</v>
      </c>
      <c r="AD33" s="19" t="str">
        <f>IFERROR(RANK(AC33,AC:AC)&amp;"/"&amp;COUNT(AC:AC),"-")</f>
        <v>185/197</v>
      </c>
      <c r="AE33" s="26">
        <f>IFERROR(RANK(AC33,AC:AC)/COUNT(AC:AC),"-")</f>
        <v>0.93908629441624369</v>
      </c>
      <c r="AF33" s="34" t="str">
        <f>IF(OR($C33&gt;20190630,$K33&gt;30,AC33="-",$D33="是",$E33="封闭期",$H33&lt;10,$BN33&lt;-6,$BR33&lt;70),"-",COUNTIFS(AC$4:AC$200,"&lt;&gt;-",$D$4:$D$200,"&lt;&gt;是",$E$4:$E$200,"&lt;&gt;封闭期",$H$4:$H$200,"&gt;10",$BN$4:$BN$200,"&gt;-6",$BR$4:$BR$200,"&gt;=70",$K$4:$K$200,"&lt;=30",$C$4:$C$200,"&lt;20190630",AC$4:AC$200,"&gt;="&amp;AC33)&amp;"/"&amp;COUNTIFS(AC$4:AC$200,"&lt;&gt;-",$D$4:$D$200,"&lt;&gt;是",$E$4:$E$200,"&lt;&gt;封闭期",$H$4:$H$200,"&gt;10",$BN$4:$BN$200,"&gt;-6",$BR$4:$BR$200,"&gt;=70",$C$4:$C$200,"&lt;20190630",$K$4:$K$200,"&lt;=30"))</f>
        <v>-</v>
      </c>
      <c r="AG33" s="33" t="str">
        <f>IF(OR($C33&gt;20190630,$K33&gt;30,AC33="-",$D33="是",$E33="封闭期",$H33&lt;10,$BN33&lt;-6,$BR33&lt;70),"-",COUNTIFS(AC$4:AC$200,"&lt;&gt;-",$D$4:$D$200,"&lt;&gt;是",$E$4:$E$200,"&lt;&gt;封闭期",$H$4:$H$200,"&gt;10",$BN$4:$BN$200,"&gt;-6",$BR$4:$BR$200,"&gt;=70",$K$4:$K$200,"&lt;=30",$C$4:$C$200,"&lt;20190630",AC$4:AC$200,"&gt;="&amp;AC33)/COUNTIFS(AC$4:AC$200,"&lt;&gt;-",$D$4:$D$200,"&lt;&gt;是",$E$4:$E$200,"&lt;&gt;封闭期",$H$4:$H$200,"&gt;10",$BN$4:$BN$200,"&gt;-6",$BR$4:$BR$200,"&gt;=70",$C$4:$C$200,"&lt;20190630",$K$4:$K$200,"&lt;=30"))</f>
        <v>-</v>
      </c>
      <c r="AH33" s="21">
        <f>[1]!f_risk_maxdownside(A33,$L$2,$E$1)</f>
        <v>-6.4802182810368318</v>
      </c>
      <c r="AI33" s="19" t="str">
        <f>IFERROR(RANK(AH33,AH:AH)&amp;"/"&amp;COUNT(AH:AH),"-")</f>
        <v>184/197</v>
      </c>
      <c r="AJ33" s="26">
        <f>IFERROR(RANK(AH33,AH:AH)/COUNT(AH:AH),"-")</f>
        <v>0.93401015228426398</v>
      </c>
      <c r="AK33" s="34" t="str">
        <f>IF(OR($C33&gt;20190630,$K33&gt;30,AH33="-",$D33="是",$E33="封闭期",$H33&lt;10,$BN33&lt;-6,$BR33&lt;70),"-",COUNTIFS(AH$4:AH$200,"&lt;&gt;-",$D$4:$D$200,"&lt;&gt;是",$E$4:$E$200,"&lt;&gt;封闭期",$H$4:$H$200,"&gt;10",$BN$4:$BN$200,"&gt;-6",$BR$4:$BR$200,"&gt;=70",$K$4:$K$200,"&lt;=30",$C$4:$C$200,"&lt;20190630",AH$4:AH$200,"&gt;="&amp;AH33)&amp;"/"&amp;COUNTIFS(AH$4:AH$200,"&lt;&gt;-",$D$4:$D$200,"&lt;&gt;是",$E$4:$E$200,"&lt;&gt;封闭期",$H$4:$H$200,"&gt;10",$BN$4:$BN$200,"&gt;-6",$BR$4:$BR$200,"&gt;=70",$C$4:$C$200,"&lt;20190630",$K$4:$K$200,"&lt;=30"))</f>
        <v>-</v>
      </c>
      <c r="AL33" s="33" t="str">
        <f>IF(OR($C33&gt;20190630,$K33&gt;30,AH33="-",$D33="是",$E33="封闭期",$H33&lt;10,$BN33&lt;-6,$BR33&lt;70),"-",COUNTIFS(AH$4:AH$200,"&lt;&gt;-",$D$4:$D$200,"&lt;&gt;是",$E$4:$E$200,"&lt;&gt;封闭期",$H$4:$H$200,"&gt;10",$BN$4:$BN$200,"&gt;-6",$BR$4:$BR$200,"&gt;=70",$K$4:$K$200,"&lt;=30",$C$4:$C$200,"&lt;20190630",AH$4:AH$200,"&gt;="&amp;AH33)/COUNTIFS(AH$4:AH$200,"&lt;&gt;-",$D$4:$D$200,"&lt;&gt;是",$E$4:$E$200,"&lt;&gt;封闭期",$H$4:$H$200,"&gt;10",$BN$4:$BN$200,"&gt;-6",$BR$4:$BR$200,"&gt;=70",$C$4:$C$200,"&lt;20190630",$K$4:$K$200,"&lt;=30"))</f>
        <v>-</v>
      </c>
      <c r="AM33" s="19">
        <f>[1]!f_return($A33,"1",AM$2,$L$2)</f>
        <v>12.146658888173722</v>
      </c>
      <c r="AN33" s="19">
        <f>[1]!f_risk_stdevyearly($A33,AM$2,$L$2,1,1)</f>
        <v>6.1275900750004757</v>
      </c>
      <c r="AO33" s="19">
        <f>IFERROR(AM33/AN33,"-")</f>
        <v>1.9822897320971293</v>
      </c>
      <c r="AP33" s="19" t="str">
        <f>IFERROR(RANK(AO33,AO:AO)&amp;"/"&amp;COUNT(AO:AO),"-")</f>
        <v>51/197</v>
      </c>
      <c r="AQ33" s="26">
        <f>IF(AP33="-","-",RANK(AO33,AO:AO)/COUNT(AO:AO))</f>
        <v>0.25888324873096447</v>
      </c>
      <c r="AR33" s="57">
        <v>0.15228426395939088</v>
      </c>
      <c r="AS33" s="33" t="str">
        <f>IF(OR($C33&gt;20190630,$K33&gt;30,AO33="-",$D33="是",$E33="封闭期",$H33&lt;10,$BN33&lt;-6,$BR33&lt;70),"-",COUNTIFS(AO$4:AO$200,"&lt;&gt;-",$D$4:$D$200,"&lt;&gt;是",$E$4:$E$200,"&lt;&gt;封闭期",$H$4:$H$200,"&gt;10",$BN$4:$BN$200,"&gt;-6",$BR$4:$BR$200,"&gt;=70",$K$4:$K$200,"&lt;=30",$C$4:$C$200,"&lt;20190630",AO$4:AO$200,"&gt;="&amp;AO33)/COUNTIFS(AO$4:AO$200,"&lt;&gt;-",$D$4:$D$200,"&lt;&gt;是",$E$4:$E$200,"&lt;&gt;封闭期",$H$4:$H$200,"&gt;10",$BN$4:$BN$200,"&gt;-6",$BR$4:$BR$200,"&gt;=70",$C$4:$C$200,"&lt;20190630",$K$4:$K$200,"&lt;=30"))</f>
        <v>-</v>
      </c>
      <c r="AT33" s="19">
        <f>IFERROR((AM33-3)/AN33,"-")</f>
        <v>1.4927008458823858</v>
      </c>
      <c r="AU33" s="19" t="str">
        <f>IFERROR(RANK(AT33,AT:AT)&amp;"/"&amp;COUNT(AT:AT),"-")</f>
        <v>31/197</v>
      </c>
      <c r="AV33" s="26">
        <f>IFERROR(RANK(AT33,AT:AT)/COUNT(AT:AT),"-")</f>
        <v>0.15736040609137056</v>
      </c>
      <c r="AW33" s="34" t="str">
        <f>IF(OR($C33&gt;20190630,$K33&gt;30,AT33="-",$D33="是",$E33="封闭期",$H33&lt;10,$BN33&lt;-6,$BR33&lt;70),"-",COUNTIFS(AT$4:AT$200,"&lt;&gt;-",$D$4:$D$200,"&lt;&gt;是",$E$4:$E$200,"&lt;&gt;封闭期",$H$4:$H$200,"&gt;10",$BN$4:$BN$200,"&gt;-6",$BR$4:$BR$200,"&gt;=70",$K$4:$K$200,"&lt;=30",$C$4:$C$200,"&lt;20190630",AT$4:AT$200,"&gt;="&amp;AT33)&amp;"/"&amp;COUNTIFS(AT$4:AT$200,"&lt;&gt;-",$D$4:$D$200,"&lt;&gt;是",$E$4:$E$200,"&lt;&gt;封闭期",$H$4:$H$200,"&gt;10",$BN$4:$BN$200,"&gt;-6",$BR$4:$BR$200,"&gt;=70",$C$4:$C$200,"&lt;20190630",$K$4:$K$200,"&lt;=30"))</f>
        <v>-</v>
      </c>
      <c r="AX33" s="33" t="str">
        <f>IF(OR($C33&gt;20190630,$K33&gt;30,AT33="-",$D33="是",$E33="封闭期",$H33&lt;10,$BN33&lt;-6,$BR33&lt;70),"-",COUNTIFS(AT$4:AT$200,"&lt;&gt;-",$D$4:$D$200,"&lt;&gt;是",$E$4:$E$200,"&lt;&gt;封闭期",$H$4:$H$200,"&gt;10",$BN$4:$BN$200,"&gt;-6",$BR$4:$BR$200,"&gt;=70",$K$4:$K$200,"&lt;=30",$C$4:$C$200,"&lt;20190630",AT$4:AT$200,"&gt;="&amp;AT33)/COUNTIFS(AT$4:AT$200,"&lt;&gt;-",$D$4:$D$200,"&lt;&gt;是",$E$4:$E$200,"&lt;&gt;封闭期",$H$4:$H$200,"&gt;10",$BN$4:$BN$200,"&gt;-6",$BR$4:$BR$200,"&gt;=70",$C$4:$C$200,"&lt;20190630",$K$4:$K$200,"&lt;=30"))</f>
        <v>-</v>
      </c>
      <c r="AY33" s="19">
        <f>[1]!f_risk_calmar(A33,$AM$2,$L$2)</f>
        <v>3.1057750226140661</v>
      </c>
      <c r="AZ33" s="19" t="str">
        <f>IFERROR(RANK(AY33,AY:AY)&amp;"/"&amp;COUNT(AY:AY),"-")</f>
        <v>45/197</v>
      </c>
      <c r="BA33" s="26">
        <f>IFERROR(RANK(AY33,AY:AY)/COUNT(AY:AY),"-")</f>
        <v>0.22842639593908629</v>
      </c>
      <c r="BB33" s="34" t="str">
        <f>IF(OR($C33&gt;20190630,$K33&gt;30,AY33="-",$D33="是",$E33="封闭期",$H33&lt;10,$BN33&lt;-6,$BR33&lt;70),"-",COUNTIFS(AY$4:AY$200,"&lt;&gt;-",$D$4:$D$200,"&lt;&gt;是",$E$4:$E$200,"&lt;&gt;封闭期",$H$4:$H$200,"&gt;10",$BN$4:$BN$200,"&gt;-6",$BR$4:$BR$200,"&gt;=70",$K$4:$K$200,"&lt;=30",$C$4:$C$200,"&lt;20190630",AY$4:AY$200,"&gt;="&amp;AY33)&amp;"/"&amp;COUNTIFS(AY$4:AY$200,"&lt;&gt;-",$D$4:$D$200,"&lt;&gt;是",$E$4:$E$200,"&lt;&gt;封闭期",$H$4:$H$200,"&gt;10",$BN$4:$BN$200,"&gt;-6",$BR$4:$BR$200,"&gt;=70",$C$4:$C$200,"&lt;20190630",$K$4:$K$200,"&lt;=30"))</f>
        <v>-</v>
      </c>
      <c r="BC33" s="33" t="str">
        <f>IF(OR($C33&gt;20190630,$K33&gt;30,AY33="-",$D33="是",$E33="封闭期",$H33&lt;10,$BN33&lt;-6,$BR33&lt;70),"-",COUNTIFS(AY$4:AY$200,"&lt;&gt;-",$D$4:$D$200,"&lt;&gt;是",$E$4:$E$200,"&lt;&gt;封闭期",$H$4:$H$200,"&gt;10",$BN$4:$BN$200,"&gt;-6",$BR$4:$BR$200,"&gt;=70",$K$4:$K$200,"&lt;=30",$C$4:$C$200,"&lt;20190630",AY$4:AY$200,"&gt;="&amp;AY33)/COUNTIFS(AY$4:AY$200,"&lt;&gt;-",$D$4:$D$200,"&lt;&gt;是",$E$4:$E$200,"&lt;&gt;封闭期",$H$4:$H$200,"&gt;10",$BN$4:$BN$200,"&gt;-6",$BR$4:$BR$200,"&gt;=70",$C$4:$C$200,"&lt;20190630",$K$4:$K$200,"&lt;=30"))</f>
        <v>-</v>
      </c>
      <c r="BD33" s="20">
        <v>1</v>
      </c>
      <c r="BE33" s="19" t="str">
        <f>IFERROR(RANK(BD33,BD:BD)&amp;"/"&amp;COUNT(BD:BD),"-")</f>
        <v>1/197</v>
      </c>
      <c r="BF33" s="26">
        <f>IFERROR(RANK(BD33,BD:BD)/COUNT(BD:BD),"-")</f>
        <v>5.076142131979695E-3</v>
      </c>
      <c r="BG33" s="34" t="str">
        <f>IF(OR($C33&gt;20190630,$K33&gt;30,BD33="-",$D33="是",$E33="封闭期",$H33&lt;10,$BN33&lt;-6,$BR33&lt;70),"-",COUNTIFS(BD$4:BD$200,"&lt;&gt;-",$D$4:$D$200,"&lt;&gt;是",$E$4:$E$200,"&lt;&gt;封闭期",$H$4:$H$200,"&gt;10",$BN$4:$BN$200,"&gt;-6",$BR$4:$BR$200,"&gt;=70",$K$4:$K$200,"&lt;=30",$C$4:$C$200,"&lt;20190630",BD$4:BD$200,"&gt;="&amp;BD33)&amp;"/"&amp;COUNTIFS(BD$4:BD$200,"&lt;&gt;-",$D$4:$D$200,"&lt;&gt;是",$E$4:$E$200,"&lt;&gt;封闭期",$H$4:$H$200,"&gt;10",$BN$4:$BN$200,"&gt;-6",$BR$4:$BR$200,"&gt;=70",$C$4:$C$200,"&lt;20190630",$K$4:$K$200,"&lt;=30"))</f>
        <v>-</v>
      </c>
      <c r="BH33" s="33" t="str">
        <f>IF(OR($C33&gt;20190630,$K33&gt;30,BD33="-",$D33="是",$E33="封闭期",$H33&lt;10,$BN33&lt;-6,$BR33&lt;70),"-",COUNTIFS(BD$4:BD$200,"&lt;&gt;-",$D$4:$D$200,"&lt;&gt;是",$E$4:$E$200,"&lt;&gt;封闭期",$H$4:$H$200,"&gt;10",$BN$4:$BN$200,"&gt;-6",$BR$4:$BR$200,"&gt;=70",$K$4:$K$200,"&lt;=30",$C$4:$C$200,"&lt;20190630",BD$4:BD$200,"&gt;="&amp;BD33)/COUNTIFS(BD$4:BD$200,"&lt;&gt;-",$D$4:$D$200,"&lt;&gt;是",$E$4:$E$200,"&lt;&gt;封闭期",$H$4:$H$200,"&gt;10",$BN$4:$BN$200,"&gt;-6",$BR$4:$BR$200,"&gt;=70",$C$4:$C$200,"&lt;20190630",$K$4:$K$200,"&lt;=30"))</f>
        <v>-</v>
      </c>
      <c r="BI33" s="21">
        <f>[1]!f_risk_maxdownside(A33,$AM$2,$L$2)</f>
        <v>-3.9109912339851753</v>
      </c>
      <c r="BJ33" s="19" t="str">
        <f>IFERROR(RANK(BI33,BI:BI)&amp;"/"&amp;COUNT(BI:BI),"-")</f>
        <v>126/197</v>
      </c>
      <c r="BK33" s="26">
        <f>IFERROR(RANK(BI33,BI:BI)/COUNT(BI:BI),"-")</f>
        <v>0.63959390862944165</v>
      </c>
      <c r="BL33" s="34" t="str">
        <f>IF(OR($C33&gt;20190630,$K33&gt;30,BI33="-",$D33="是",$E33="封闭期",$H33&lt;10,$BN33&lt;-6,$BR33&lt;70),"-",COUNTIFS(BI$4:BI$200,"&lt;&gt;-",$D$4:$D$200,"&lt;&gt;是",$E$4:$E$200,"&lt;&gt;封闭期",$H$4:$H$200,"&gt;10",$BN$4:$BN$200,"&gt;-6",$BR$4:$BR$200,"&gt;=70",$K$4:$K$200,"&lt;=30",$C$4:$C$200,"&lt;20190630",BI$4:BI$200,"&gt;="&amp;BI33)&amp;"/"&amp;COUNTIFS(BI$4:BI$200,"&lt;&gt;-",$D$4:$D$200,"&lt;&gt;是",$E$4:$E$200,"&lt;&gt;封闭期",$H$4:$H$200,"&gt;10",$BN$4:$BN$200,"&gt;-6",$BR$4:$BR$200,"&gt;=70",$C$4:$C$200,"&lt;20190630",$K$4:$K$200,"&lt;=30"))</f>
        <v>-</v>
      </c>
      <c r="BM33" s="33" t="str">
        <f>IF(OR($C33&gt;20190630,$K33&gt;30,BI33="-",$D33="是",$E33="封闭期",$H33&lt;10,$BN33&lt;-6,$BR33&lt;70),"-",COUNTIFS(BI$4:BI$200,"&lt;&gt;-",$D$4:$D$200,"&lt;&gt;是",$E$4:$E$200,"&lt;&gt;封闭期",$H$4:$H$200,"&gt;10",$BN$4:$BN$200,"&gt;-6",$BR$4:$BR$200,"&gt;=70",$K$4:$K$200,"&lt;=30",$C$4:$C$200,"&lt;20190630",BI$4:BI$200,"&gt;="&amp;BI33)/COUNTIFS(BI$4:BI$200,"&lt;&gt;-",$D$4:$D$200,"&lt;&gt;是",$E$4:$E$200,"&lt;&gt;封闭期",$H$4:$H$200,"&gt;10",$BN$4:$BN$200,"&gt;-6",$BR$4:$BR$200,"&gt;=70",$C$4:$C$200,"&lt;20190630",$K$4:$K$200,"&lt;=30"))</f>
        <v>-</v>
      </c>
      <c r="BN33" s="21">
        <f>[1]!f_risk_maxdownside(A33,$AM$2,$E$1)</f>
        <v>-6.4802182810368318</v>
      </c>
      <c r="BO33" s="21">
        <f>IF(C33&lt;20190930,[1]!f_return_2y(A33,"0","20210930"),"-")</f>
        <v>11.234699549963336</v>
      </c>
      <c r="BP33" s="19" t="str">
        <f>IFERROR(RANK(BO33,BO:BO)&amp;"/"&amp;COUNT(BO:BO),"-")</f>
        <v>125/197</v>
      </c>
      <c r="BQ33" s="25">
        <f>IFERROR(RANK(BO33,BO:BO)/COUNT(BO:BO),"-")</f>
        <v>0.63451776649746194</v>
      </c>
      <c r="BR33" s="19">
        <f>IF(C33&lt;20190930,[1]!f_absolute_profitmonthper(A33,"20190930","20210930"),"-")</f>
        <v>70.833333333333343</v>
      </c>
      <c r="BS33" s="19" t="str">
        <f>IFERROR(RANK(BR33,BR:BR)&amp;"/"&amp;COUNT(BR:BR),"-")</f>
        <v>55/198</v>
      </c>
      <c r="BT33" s="25">
        <f>IFERROR(RANK(BR33,BR:BR)/COUNT(BR:BR),"-")</f>
        <v>0.27777777777777779</v>
      </c>
      <c r="BV33" s="12">
        <f>X33-3/M33</f>
        <v>-0.60686947245665346</v>
      </c>
      <c r="BW33" s="76">
        <f>IFERROR(RANK(BV33,BV:BV)/COUNT(BV:BV),"-")</f>
        <v>0.92893401015228427</v>
      </c>
      <c r="BX33" s="76">
        <f>IFERROR(RANK(L33,L:L)/COUNT(L:L),"-")</f>
        <v>0.96969696969696972</v>
      </c>
      <c r="BY33" s="12">
        <f>AY33-3/AN33</f>
        <v>2.6161861363993224</v>
      </c>
      <c r="BZ33" s="76">
        <f>IFERROR(RANK(BY33,BY:BY)/COUNT(BY:BY),"-")</f>
        <v>0.18274111675126903</v>
      </c>
      <c r="CA33" s="76">
        <f>IFERROR(RANK(AM33,AM:AM)/COUNT(AM:AM),"-")</f>
        <v>0.15656565656565657</v>
      </c>
      <c r="CB33" s="2"/>
      <c r="CC33" s="77">
        <f>AV33+BF33+BZ33+CA33</f>
        <v>0.50174332154027579</v>
      </c>
      <c r="CD33" s="77">
        <f>BW33+BX33+AE33+U33</f>
        <v>3.771727426549762</v>
      </c>
      <c r="CE33" s="77">
        <f>CC33+CD33</f>
        <v>4.2734707480900376</v>
      </c>
    </row>
    <row r="34" spans="1:83" s="2" customFormat="1" x14ac:dyDescent="0.35">
      <c r="A34" s="3" t="s">
        <v>275</v>
      </c>
      <c r="B34" s="3" t="s">
        <v>276</v>
      </c>
      <c r="C34" s="4">
        <v>20160401</v>
      </c>
      <c r="D34" s="4" t="str">
        <f>[1]!f_info_regulopenfundornot(A34)</f>
        <v>否</v>
      </c>
      <c r="E34" s="4" t="str">
        <f>[1]!f_dq_status(A34,$E$1)</f>
        <v>开放申购|开放赎回</v>
      </c>
      <c r="F34" s="17" t="str">
        <f>[1]!f_info_fundmanager(A34)</f>
        <v>孙慧,贾鹏</v>
      </c>
      <c r="G34" s="4">
        <v>20161222</v>
      </c>
      <c r="H34" s="11">
        <f>[1]!f_netasset_total(A34,$E$1,100000000)</f>
        <v>70.022850650899997</v>
      </c>
      <c r="I34" s="11">
        <f>[1]!f_prt_convertiblebondtonav(A34,$E$1)</f>
        <v>8.6936807632446289</v>
      </c>
      <c r="J34" s="11">
        <f>[1]!f_prt_stocktonav(A34,$E$1)+0.5*I34</f>
        <v>19.790952205657959</v>
      </c>
      <c r="K34" s="12">
        <v>11.268521527834411</v>
      </c>
      <c r="L34" s="19">
        <f>[1]!f_return($A34,"1",L$2,$E$1)</f>
        <v>4.8449630401247168</v>
      </c>
      <c r="M34" s="19">
        <f>[1]!f_risk_stdevyearly($A34,L$2,$E$1,1,1)</f>
        <v>4.2538702696755566</v>
      </c>
      <c r="N34" s="12">
        <f>IFERROR(L34/M34,"-")</f>
        <v>1.1389541130727154</v>
      </c>
      <c r="O34" s="12" t="str">
        <f>IFERROR(RANK(N34,N:N)&amp;"/"&amp;COUNT(N:N),"-")</f>
        <v>127/197</v>
      </c>
      <c r="P34" s="26">
        <f>IF(O34="-","-",RANK(N34,N:N)/COUNT(N:N))</f>
        <v>0.64467005076142136</v>
      </c>
      <c r="Q34" s="58">
        <v>0.57360406091370564</v>
      </c>
      <c r="R34" s="33">
        <f>IF(OR($C34&gt;20190630,$K34&gt;30,N34="-",$D34="是",$E34="封闭期",$H34&lt;10,$BN34&lt;-6,$BR34&lt;70),"-",COUNTIFS(N$4:N$200,"&lt;&gt;-",$D$4:$D$200,"&lt;&gt;是",$E$4:$E$200,"&lt;&gt;封闭期",$H$4:$H$200,"&gt;10",$BN$4:$BN$200,"&gt;-6",$BR$4:$BR$200,"&gt;=70",$K$4:$K$200,"&lt;=30",$C$4:$C$200,"&lt;20190630",N$4:N$200,"&gt;="&amp;N34)/COUNTIFS(N$4:N$200,"&lt;&gt;-",$D$4:$D$200,"&lt;&gt;是",$E$4:$E$200,"&lt;&gt;封闭期",$H$4:$H$200,"&gt;10",$BN$4:$BN$200,"&gt;-6",$BR$4:$BR$200,"&gt;=70",$C$4:$C$200,"&lt;20190630",$K$4:$K$200,"&lt;=30"))</f>
        <v>0.92307692307692313</v>
      </c>
      <c r="S34" s="12">
        <f>IFERROR((L34-3)/M34,"-")</f>
        <v>0.43371398824191987</v>
      </c>
      <c r="T34" s="12" t="str">
        <f>IFERROR(RANK(S34,S:S)&amp;"/"&amp;COUNT(S:S),"-")</f>
        <v>126/197</v>
      </c>
      <c r="U34" s="26">
        <f>IFERROR(RANK(S34,S:S)/COUNT(S:S),"-")</f>
        <v>0.63959390862944165</v>
      </c>
      <c r="V34" s="13" t="str">
        <f>IF(OR($C34&gt;20190630,$K34&gt;30,S34="-",$D34="是",$E34="封闭期",$H34&lt;10,$BN34&lt;-6,$BR34&lt;70),"-",COUNTIFS(S$4:S$200,"&lt;&gt;-",$D$4:$D$200,"&lt;&gt;是",$E$4:$E$200,"&lt;&gt;封闭期",$H$4:$H$200,"&gt;10",$BN$4:$BN$200,"&gt;-6",$BR$4:$BR$200,"&gt;=70",$K$4:$K$200,"&lt;=30",$C$4:$C$200,"&lt;20190630",S$4:S$200,"&gt;="&amp;S34)&amp;"/"&amp;COUNTIFS(S$4:S$200,"&lt;&gt;-",$D$4:$D$200,"&lt;&gt;是",$E$4:$E$200,"&lt;&gt;封闭期",$H$4:$H$200,"&gt;10",$BN$4:$BN$200,"&gt;-6",$BR$4:$BR$200,"&gt;=70",$C$4:$C$200,"&lt;20190630",$K$4:$K$200,"&lt;=30"))</f>
        <v>36/39</v>
      </c>
      <c r="W34" s="33">
        <f>IF(OR($C34&gt;20190630,$K34&gt;30,S34="-",$D34="是",$E34="封闭期",$H34&lt;10,$BN34&lt;-6,$BR34&lt;70),"-",COUNTIFS(S$4:S$200,"&lt;&gt;-",$D$4:$D$200,"&lt;&gt;是",$E$4:$E$200,"&lt;&gt;封闭期",$H$4:$H$200,"&gt;10",$BN$4:$BN$200,"&gt;-6",$BR$4:$BR$200,"&gt;=70",$K$4:$K$200,"&lt;=30",$C$4:$C$200,"&lt;20190630",S$4:S$200,"&gt;="&amp;S34)/COUNTIFS(S$4:S$200,"&lt;&gt;-",$D$4:$D$200,"&lt;&gt;是",$E$4:$E$200,"&lt;&gt;封闭期",$H$4:$H$200,"&gt;10",$BN$4:$BN$200,"&gt;-6",$BR$4:$BR$200,"&gt;=70",$C$4:$C$200,"&lt;20190630",$K$4:$K$200,"&lt;=30"))</f>
        <v>0.92307692307692313</v>
      </c>
      <c r="X34" s="19">
        <f>[1]!f_risk_calmar(A34,$L$2,$E$1)</f>
        <v>1.4097660748460406</v>
      </c>
      <c r="Y34" s="12" t="str">
        <f>IFERROR(RANK(X34,X:X)&amp;"/"&amp;COUNT(X:X),"-")</f>
        <v>133/197</v>
      </c>
      <c r="Z34" s="26">
        <f>IFERROR(RANK(X34,X:X)/COUNT(X:X),"-")</f>
        <v>0.67512690355329952</v>
      </c>
      <c r="AA34" s="13" t="str">
        <f>IF(OR($C34&gt;20190630,$K34&gt;30,X34="-",$D34="是",$E34="封闭期",$H34&lt;10,$BN34&lt;-6,$BR34&lt;70),"-",COUNTIFS(X$4:X$200,"&lt;&gt;-",$D$4:$D$200,"&lt;&gt;是",$E$4:$E$200,"&lt;&gt;封闭期",$H$4:$H$200,"&gt;10",$BN$4:$BN$200,"&gt;-6",$BR$4:$BR$200,"&gt;=70",$K$4:$K$200,"&lt;=30",$C$4:$C$200,"&lt;20190630",X$4:X$200,"&gt;="&amp;X34)&amp;"/"&amp;COUNTIFS(X$4:X$200,"&lt;&gt;-",$D$4:$D$200,"&lt;&gt;是",$E$4:$E$200,"&lt;&gt;封闭期",$H$4:$H$200,"&gt;10",$BN$4:$BN$200,"&gt;-6",$BR$4:$BR$200,"&gt;=70",$C$4:$C$200,"&lt;20190630",$K$4:$K$200,"&lt;=30"))</f>
        <v>36/39</v>
      </c>
      <c r="AB34" s="33">
        <f>IF(OR($C34&gt;20190630,$K34&gt;30,X34="-",$D34="是",$E34="封闭期",$H34&lt;10,$BN34&lt;-6,$BR34&lt;70),"-",COUNTIFS(X$4:X$200,"&lt;&gt;-",$D$4:$D$200,"&lt;&gt;是",$E$4:$E$200,"&lt;&gt;封闭期",$H$4:$H$200,"&gt;10",$BN$4:$BN$200,"&gt;-6",$BR$4:$BR$200,"&gt;=70",$K$4:$K$200,"&lt;=30",$C$4:$C$200,"&lt;20190630",X$4:X$200,"&gt;="&amp;X34)/COUNTIFS(X$4:X$200,"&lt;&gt;-",$D$4:$D$200,"&lt;&gt;是",$E$4:$E$200,"&lt;&gt;封闭期",$H$4:$H$200,"&gt;10",$BN$4:$BN$200,"&gt;-6",$BR$4:$BR$200,"&gt;=70",$C$4:$C$200,"&lt;20190630",$K$4:$K$200,"&lt;=30"))</f>
        <v>0.92307692307692313</v>
      </c>
      <c r="AC34" s="20">
        <v>0.94957983193277307</v>
      </c>
      <c r="AD34" s="12" t="str">
        <f>IFERROR(RANK(AC34,AC:AC)&amp;"/"&amp;COUNT(AC:AC),"-")</f>
        <v>111/197</v>
      </c>
      <c r="AE34" s="26">
        <f>IFERROR(RANK(AC34,AC:AC)/COUNT(AC:AC),"-")</f>
        <v>0.56345177664974622</v>
      </c>
      <c r="AF34" s="13" t="str">
        <f>IF(OR($C34&gt;20190630,$K34&gt;30,AC34="-",$D34="是",$E34="封闭期",$H34&lt;10,$BN34&lt;-6,$BR34&lt;70),"-",COUNTIFS(AC$4:AC$200,"&lt;&gt;-",$D$4:$D$200,"&lt;&gt;是",$E$4:$E$200,"&lt;&gt;封闭期",$H$4:$H$200,"&gt;10",$BN$4:$BN$200,"&gt;-6",$BR$4:$BR$200,"&gt;=70",$K$4:$K$200,"&lt;=30",$C$4:$C$200,"&lt;20190630",AC$4:AC$200,"&gt;="&amp;AC34)&amp;"/"&amp;COUNTIFS(AC$4:AC$200,"&lt;&gt;-",$D$4:$D$200,"&lt;&gt;是",$E$4:$E$200,"&lt;&gt;封闭期",$H$4:$H$200,"&gt;10",$BN$4:$BN$200,"&gt;-6",$BR$4:$BR$200,"&gt;=70",$C$4:$C$200,"&lt;20190630",$K$4:$K$200,"&lt;=30"))</f>
        <v>35/39</v>
      </c>
      <c r="AG34" s="33">
        <f>IF(OR($C34&gt;20190630,$K34&gt;30,AC34="-",$D34="是",$E34="封闭期",$H34&lt;10,$BN34&lt;-6,$BR34&lt;70),"-",COUNTIFS(AC$4:AC$200,"&lt;&gt;-",$D$4:$D$200,"&lt;&gt;是",$E$4:$E$200,"&lt;&gt;封闭期",$H$4:$H$200,"&gt;10",$BN$4:$BN$200,"&gt;-6",$BR$4:$BR$200,"&gt;=70",$K$4:$K$200,"&lt;=30",$C$4:$C$200,"&lt;20190630",AC$4:AC$200,"&gt;="&amp;AC34)/COUNTIFS(AC$4:AC$200,"&lt;&gt;-",$D$4:$D$200,"&lt;&gt;是",$E$4:$E$200,"&lt;&gt;封闭期",$H$4:$H$200,"&gt;10",$BN$4:$BN$200,"&gt;-6",$BR$4:$BR$200,"&gt;=70",$C$4:$C$200,"&lt;20190630",$K$4:$K$200,"&lt;=30"))</f>
        <v>0.89743589743589747</v>
      </c>
      <c r="AH34" s="21">
        <f>[1]!f_risk_maxdownside(A34,$L$2,$E$1)</f>
        <v>-3.4367141659681599</v>
      </c>
      <c r="AI34" s="19" t="str">
        <f>IFERROR(RANK(AH34,AH:AH)&amp;"/"&amp;COUNT(AH:AH),"-")</f>
        <v>112/197</v>
      </c>
      <c r="AJ34" s="26">
        <f>IFERROR(RANK(AH34,AH:AH)/COUNT(AH:AH),"-")</f>
        <v>0.56852791878172593</v>
      </c>
      <c r="AK34" s="34" t="str">
        <f>IF(OR($C34&gt;20190630,$K34&gt;30,AH34="-",$D34="是",$E34="封闭期",$H34&lt;10,$BN34&lt;-6,$BR34&lt;70),"-",COUNTIFS(AH$4:AH$200,"&lt;&gt;-",$D$4:$D$200,"&lt;&gt;是",$E$4:$E$200,"&lt;&gt;封闭期",$H$4:$H$200,"&gt;10",$BN$4:$BN$200,"&gt;-6",$BR$4:$BR$200,"&gt;=70",$K$4:$K$200,"&lt;=30",$C$4:$C$200,"&lt;20190630",AH$4:AH$200,"&gt;="&amp;AH34)&amp;"/"&amp;COUNTIFS(AH$4:AH$200,"&lt;&gt;-",$D$4:$D$200,"&lt;&gt;是",$E$4:$E$200,"&lt;&gt;封闭期",$H$4:$H$200,"&gt;10",$BN$4:$BN$200,"&gt;-6",$BR$4:$BR$200,"&gt;=70",$C$4:$C$200,"&lt;20190630",$K$4:$K$200,"&lt;=30"))</f>
        <v>31/39</v>
      </c>
      <c r="AL34" s="33">
        <f>IF(OR($C34&gt;20190630,$K34&gt;30,AH34="-",$D34="是",$E34="封闭期",$H34&lt;10,$BN34&lt;-6,$BR34&lt;70),"-",COUNTIFS(AH$4:AH$200,"&lt;&gt;-",$D$4:$D$200,"&lt;&gt;是",$E$4:$E$200,"&lt;&gt;封闭期",$H$4:$H$200,"&gt;10",$BN$4:$BN$200,"&gt;-6",$BR$4:$BR$200,"&gt;=70",$K$4:$K$200,"&lt;=30",$C$4:$C$200,"&lt;20190630",AH$4:AH$200,"&gt;="&amp;AH34)/COUNTIFS(AH$4:AH$200,"&lt;&gt;-",$D$4:$D$200,"&lt;&gt;是",$E$4:$E$200,"&lt;&gt;封闭期",$H$4:$H$200,"&gt;10",$BN$4:$BN$200,"&gt;-6",$BR$4:$BR$200,"&gt;=70",$C$4:$C$200,"&lt;20190630",$K$4:$K$200,"&lt;=30"))</f>
        <v>0.79487179487179482</v>
      </c>
      <c r="AM34" s="19">
        <f>[1]!f_return($A34,"1",AM$2,$L$2)</f>
        <v>11.91473434624486</v>
      </c>
      <c r="AN34" s="19">
        <f>[1]!f_risk_stdevyearly($A34,AM$2,$L$2,1,1)</f>
        <v>6.0650686626655403</v>
      </c>
      <c r="AO34" s="12">
        <f>IFERROR(AM34/AN34,"-")</f>
        <v>1.9644846594380427</v>
      </c>
      <c r="AP34" s="12" t="str">
        <f>IFERROR(RANK(AO34,AO:AO)&amp;"/"&amp;COUNT(AO:AO),"-")</f>
        <v>54/197</v>
      </c>
      <c r="AQ34" s="26">
        <f>IF(AP34="-","-",RANK(AO34,AO:AO)/COUNT(AO:AO))</f>
        <v>0.27411167512690354</v>
      </c>
      <c r="AR34" s="60">
        <v>0.15736040609137056</v>
      </c>
      <c r="AS34" s="35">
        <f>IF(OR($C34&gt;20190630,$K34&gt;30,AO34="-",$D34="是",$E34="封闭期",$H34&lt;10,$BN34&lt;-6,$BR34&lt;70),"-",COUNTIFS(AO$4:AO$200,"&lt;&gt;-",$D$4:$D$200,"&lt;&gt;是",$E$4:$E$200,"&lt;&gt;封闭期",$H$4:$H$200,"&gt;10",$BN$4:$BN$200,"&gt;-6",$BR$4:$BR$200,"&gt;=70",$K$4:$K$200,"&lt;=30",$C$4:$C$200,"&lt;20190630",AO$4:AO$200,"&gt;="&amp;AO34)/COUNTIFS(AO$4:AO$200,"&lt;&gt;-",$D$4:$D$200,"&lt;&gt;是",$E$4:$E$200,"&lt;&gt;封闭期",$H$4:$H$200,"&gt;10",$BN$4:$BN$200,"&gt;-6",$BR$4:$BR$200,"&gt;=70",$C$4:$C$200,"&lt;20190630",$K$4:$K$200,"&lt;=30"))</f>
        <v>0.48717948717948717</v>
      </c>
      <c r="AT34" s="12">
        <f>IFERROR((AM34-3)/AN34,"-")</f>
        <v>1.4698488742791773</v>
      </c>
      <c r="AU34" s="12" t="str">
        <f>IFERROR(RANK(AT34,AT:AT)&amp;"/"&amp;COUNT(AT:AT),"-")</f>
        <v>32/197</v>
      </c>
      <c r="AV34" s="26">
        <f>IFERROR(RANK(AT34,AT:AT)/COUNT(AT:AT),"-")</f>
        <v>0.16243654822335024</v>
      </c>
      <c r="AW34" s="13" t="str">
        <f>IF(OR($C34&gt;20190630,$K34&gt;30,AT34="-",$D34="是",$E34="封闭期",$H34&lt;10,$BN34&lt;-6,$BR34&lt;70),"-",COUNTIFS(AT$4:AT$200,"&lt;&gt;-",$D$4:$D$200,"&lt;&gt;是",$E$4:$E$200,"&lt;&gt;封闭期",$H$4:$H$200,"&gt;10",$BN$4:$BN$200,"&gt;-6",$BR$4:$BR$200,"&gt;=70",$K$4:$K$200,"&lt;=30",$C$4:$C$200,"&lt;20190630",AT$4:AT$200,"&gt;="&amp;AT34)&amp;"/"&amp;COUNTIFS(AT$4:AT$200,"&lt;&gt;-",$D$4:$D$200,"&lt;&gt;是",$E$4:$E$200,"&lt;&gt;封闭期",$H$4:$H$200,"&gt;10",$BN$4:$BN$200,"&gt;-6",$BR$4:$BR$200,"&gt;=70",$C$4:$C$200,"&lt;20190630",$K$4:$K$200,"&lt;=30"))</f>
        <v>15/39</v>
      </c>
      <c r="AX34" s="33">
        <f>IF(OR($C34&gt;20190630,$K34&gt;30,AT34="-",$D34="是",$E34="封闭期",$H34&lt;10,$BN34&lt;-6,$BR34&lt;70),"-",COUNTIFS(AT$4:AT$200,"&lt;&gt;-",$D$4:$D$200,"&lt;&gt;是",$E$4:$E$200,"&lt;&gt;封闭期",$H$4:$H$200,"&gt;10",$BN$4:$BN$200,"&gt;-6",$BR$4:$BR$200,"&gt;=70",$K$4:$K$200,"&lt;=30",$C$4:$C$200,"&lt;20190630",AT$4:AT$200,"&gt;="&amp;AT34)/COUNTIFS(AT$4:AT$200,"&lt;&gt;-",$D$4:$D$200,"&lt;&gt;是",$E$4:$E$200,"&lt;&gt;封闭期",$H$4:$H$200,"&gt;10",$BN$4:$BN$200,"&gt;-6",$BR$4:$BR$200,"&gt;=70",$C$4:$C$200,"&lt;20190630",$K$4:$K$200,"&lt;=30"))</f>
        <v>0.38461538461538464</v>
      </c>
      <c r="AY34" s="19">
        <f>[1]!f_risk_calmar(A34,$AM$2,$L$2)</f>
        <v>2.5594614521563046</v>
      </c>
      <c r="AZ34" s="12" t="str">
        <f>IFERROR(RANK(AY34,AY:AY)&amp;"/"&amp;COUNT(AY:AY),"-")</f>
        <v>76/197</v>
      </c>
      <c r="BA34" s="26">
        <f>IFERROR(RANK(AY34,AY:AY)/COUNT(AY:AY),"-")</f>
        <v>0.38578680203045684</v>
      </c>
      <c r="BB34" s="13" t="str">
        <f>IF(OR($C34&gt;20190630,$K34&gt;30,AY34="-",$D34="是",$E34="封闭期",$H34&lt;10,$BN34&lt;-6,$BR34&lt;70),"-",COUNTIFS(AY$4:AY$200,"&lt;&gt;-",$D$4:$D$200,"&lt;&gt;是",$E$4:$E$200,"&lt;&gt;封闭期",$H$4:$H$200,"&gt;10",$BN$4:$BN$200,"&gt;-6",$BR$4:$BR$200,"&gt;=70",$K$4:$K$200,"&lt;=30",$C$4:$C$200,"&lt;20190630",AY$4:AY$200,"&gt;="&amp;AY34)&amp;"/"&amp;COUNTIFS(AY$4:AY$200,"&lt;&gt;-",$D$4:$D$200,"&lt;&gt;是",$E$4:$E$200,"&lt;&gt;封闭期",$H$4:$H$200,"&gt;10",$BN$4:$BN$200,"&gt;-6",$BR$4:$BR$200,"&gt;=70",$C$4:$C$200,"&lt;20190630",$K$4:$K$200,"&lt;=30"))</f>
        <v>26/39</v>
      </c>
      <c r="BC34" s="33">
        <f>IF(OR($C34&gt;20190630,$K34&gt;30,AY34="-",$D34="是",$E34="封闭期",$H34&lt;10,$BN34&lt;-6,$BR34&lt;70),"-",COUNTIFS(AY$4:AY$200,"&lt;&gt;-",$D$4:$D$200,"&lt;&gt;是",$E$4:$E$200,"&lt;&gt;封闭期",$H$4:$H$200,"&gt;10",$BN$4:$BN$200,"&gt;-6",$BR$4:$BR$200,"&gt;=70",$K$4:$K$200,"&lt;=30",$C$4:$C$200,"&lt;20190630",AY$4:AY$200,"&gt;="&amp;AY34)/COUNTIFS(AY$4:AY$200,"&lt;&gt;-",$D$4:$D$200,"&lt;&gt;是",$E$4:$E$200,"&lt;&gt;封闭期",$H$4:$H$200,"&gt;10",$BN$4:$BN$200,"&gt;-6",$BR$4:$BR$200,"&gt;=70",$C$4:$C$200,"&lt;20190630",$K$4:$K$200,"&lt;=30"))</f>
        <v>0.66666666666666663</v>
      </c>
      <c r="BD34" s="20">
        <v>1</v>
      </c>
      <c r="BE34" s="12" t="str">
        <f>IFERROR(RANK(BD34,BD:BD)&amp;"/"&amp;COUNT(BD:BD),"-")</f>
        <v>1/197</v>
      </c>
      <c r="BF34" s="26">
        <f>IFERROR(RANK(BD34,BD:BD)/COUNT(BD:BD),"-")</f>
        <v>5.076142131979695E-3</v>
      </c>
      <c r="BG34" s="13" t="str">
        <f>IF(OR($C34&gt;20190630,$K34&gt;30,BD34="-",$D34="是",$E34="封闭期",$H34&lt;10,$BN34&lt;-6,$BR34&lt;70),"-",COUNTIFS(BD$4:BD$200,"&lt;&gt;-",$D$4:$D$200,"&lt;&gt;是",$E$4:$E$200,"&lt;&gt;封闭期",$H$4:$H$200,"&gt;10",$BN$4:$BN$200,"&gt;-6",$BR$4:$BR$200,"&gt;=70",$K$4:$K$200,"&lt;=30",$C$4:$C$200,"&lt;20190630",BD$4:BD$200,"&gt;="&amp;BD34)&amp;"/"&amp;COUNTIFS(BD$4:BD$200,"&lt;&gt;-",$D$4:$D$200,"&lt;&gt;是",$E$4:$E$200,"&lt;&gt;封闭期",$H$4:$H$200,"&gt;10",$BN$4:$BN$200,"&gt;-6",$BR$4:$BR$200,"&gt;=70",$C$4:$C$200,"&lt;20190630",$K$4:$K$200,"&lt;=30"))</f>
        <v>35/39</v>
      </c>
      <c r="BH34" s="33">
        <f>IF(OR($C34&gt;20190630,$K34&gt;30,BD34="-",$D34="是",$E34="封闭期",$H34&lt;10,$BN34&lt;-6,$BR34&lt;70),"-",COUNTIFS(BD$4:BD$200,"&lt;&gt;-",$D$4:$D$200,"&lt;&gt;是",$E$4:$E$200,"&lt;&gt;封闭期",$H$4:$H$200,"&gt;10",$BN$4:$BN$200,"&gt;-6",$BR$4:$BR$200,"&gt;=70",$K$4:$K$200,"&lt;=30",$C$4:$C$200,"&lt;20190630",BD$4:BD$200,"&gt;="&amp;BD34)/COUNTIFS(BD$4:BD$200,"&lt;&gt;-",$D$4:$D$200,"&lt;&gt;是",$E$4:$E$200,"&lt;&gt;封闭期",$H$4:$H$200,"&gt;10",$BN$4:$BN$200,"&gt;-6",$BR$4:$BR$200,"&gt;=70",$C$4:$C$200,"&lt;20190630",$K$4:$K$200,"&lt;=30"))</f>
        <v>0.89743589743589747</v>
      </c>
      <c r="BI34" s="21">
        <f>[1]!f_risk_maxdownside(A34,$AM$2,$L$2)</f>
        <v>-4.6551724137931005</v>
      </c>
      <c r="BJ34" s="19" t="str">
        <f>IFERROR(RANK(BI34,BI:BI)&amp;"/"&amp;COUNT(BI:BI),"-")</f>
        <v>151/197</v>
      </c>
      <c r="BK34" s="26">
        <f>IFERROR(RANK(BI34,BI:BI)/COUNT(BI:BI),"-")</f>
        <v>0.76649746192893398</v>
      </c>
      <c r="BL34" s="34" t="str">
        <f>IF(OR($C34&gt;20190630,$K34&gt;30,BI34="-",$D34="是",$E34="封闭期",$H34&lt;10,$BN34&lt;-6,$BR34&lt;70),"-",COUNTIFS(BI$4:BI$200,"&lt;&gt;-",$D$4:$D$200,"&lt;&gt;是",$E$4:$E$200,"&lt;&gt;封闭期",$H$4:$H$200,"&gt;10",$BN$4:$BN$200,"&gt;-6",$BR$4:$BR$200,"&gt;=70",$K$4:$K$200,"&lt;=30",$C$4:$C$200,"&lt;20190630",BI$4:BI$200,"&gt;="&amp;BI34)&amp;"/"&amp;COUNTIFS(BI$4:BI$200,"&lt;&gt;-",$D$4:$D$200,"&lt;&gt;是",$E$4:$E$200,"&lt;&gt;封闭期",$H$4:$H$200,"&gt;10",$BN$4:$BN$200,"&gt;-6",$BR$4:$BR$200,"&gt;=70",$C$4:$C$200,"&lt;20190630",$K$4:$K$200,"&lt;=30"))</f>
        <v>35/39</v>
      </c>
      <c r="BM34" s="33">
        <f>IF(OR($C34&gt;20190630,$K34&gt;30,BI34="-",$D34="是",$E34="封闭期",$H34&lt;10,$BN34&lt;-6,$BR34&lt;70),"-",COUNTIFS(BI$4:BI$200,"&lt;&gt;-",$D$4:$D$200,"&lt;&gt;是",$E$4:$E$200,"&lt;&gt;封闭期",$H$4:$H$200,"&gt;10",$BN$4:$BN$200,"&gt;-6",$BR$4:$BR$200,"&gt;=70",$K$4:$K$200,"&lt;=30",$C$4:$C$200,"&lt;20190630",BI$4:BI$200,"&gt;="&amp;BI34)/COUNTIFS(BI$4:BI$200,"&lt;&gt;-",$D$4:$D$200,"&lt;&gt;是",$E$4:$E$200,"&lt;&gt;封闭期",$H$4:$H$200,"&gt;10",$BN$4:$BN$200,"&gt;-6",$BR$4:$BR$200,"&gt;=70",$C$4:$C$200,"&lt;20190630",$K$4:$K$200,"&lt;=30"))</f>
        <v>0.89743589743589747</v>
      </c>
      <c r="BN34" s="21">
        <f>[1]!f_risk_maxdownside(A34,$AM$2,$E$1)</f>
        <v>-4.6551724137931005</v>
      </c>
      <c r="BO34" s="14">
        <f>IF(C34&lt;20190930,[1]!f_return_2y(A34,"0","20210930"),"-")</f>
        <v>17.528770484472062</v>
      </c>
      <c r="BP34" s="12" t="str">
        <f>IFERROR(RANK(BO34,BO:BO)&amp;"/"&amp;COUNT(BO:BO),"-")</f>
        <v>57/197</v>
      </c>
      <c r="BQ34" s="25">
        <f>IFERROR(RANK(BO34,BO:BO)/COUNT(BO:BO),"-")</f>
        <v>0.28934010152284262</v>
      </c>
      <c r="BR34" s="12">
        <f>IF(C34&lt;20190930,[1]!f_absolute_profitmonthper(A34,"20190930","20210930"),"-")</f>
        <v>79.166666666666657</v>
      </c>
      <c r="BS34" s="12" t="str">
        <f>IFERROR(RANK(BR34,BR:BR)&amp;"/"&amp;COUNT(BR:BR),"-")</f>
        <v>16/198</v>
      </c>
      <c r="BT34" s="25">
        <f>IFERROR(RANK(BR34,BR:BR)/COUNT(BR:BR),"-")</f>
        <v>8.0808080808080815E-2</v>
      </c>
      <c r="BU34" s="17"/>
      <c r="BV34" s="12">
        <f>X34-3/M34</f>
        <v>0.70452595001524487</v>
      </c>
      <c r="BW34" s="76">
        <f>IFERROR(RANK(BV34,BV:BV)/COUNT(BV:BV),"-")</f>
        <v>0.67512690355329952</v>
      </c>
      <c r="BX34" s="76">
        <f>IFERROR(RANK(L34,L:L)/COUNT(L:L),"-")</f>
        <v>0.5757575757575758</v>
      </c>
      <c r="BY34" s="12">
        <f>AY34-3/AN34</f>
        <v>2.064825666997439</v>
      </c>
      <c r="BZ34" s="76">
        <f>IFERROR(RANK(BY34,BY:BY)/COUNT(BY:BY),"-")</f>
        <v>0.31979695431472083</v>
      </c>
      <c r="CA34" s="76">
        <f>IFERROR(RANK(AM34,AM:AM)/COUNT(AM:AM),"-")</f>
        <v>0.16161616161616163</v>
      </c>
      <c r="CC34" s="77">
        <f>AV34+BF34+BZ34+CA34</f>
        <v>0.64892580628621244</v>
      </c>
      <c r="CD34" s="77">
        <f>BW34+BX34+AE34+U34</f>
        <v>2.4539301645900631</v>
      </c>
      <c r="CE34" s="77">
        <f>CC34+CD34</f>
        <v>3.1028559708762753</v>
      </c>
    </row>
    <row r="35" spans="1:83" s="2" customFormat="1" hidden="1" x14ac:dyDescent="0.35">
      <c r="A35" s="15" t="s">
        <v>205</v>
      </c>
      <c r="B35" s="15" t="s">
        <v>206</v>
      </c>
      <c r="C35" s="16">
        <v>20151020</v>
      </c>
      <c r="D35" s="16" t="str">
        <f>[1]!f_info_regulopenfundornot(A35)</f>
        <v>否</v>
      </c>
      <c r="E35" s="16" t="str">
        <f>[1]!f_dq_status(A35,$E$1)</f>
        <v>开放申购|开放赎回</v>
      </c>
      <c r="F35" s="17" t="str">
        <f>[1]!f_info_fundmanager(A35)</f>
        <v>赵睿</v>
      </c>
      <c r="G35" s="16">
        <v>20190916</v>
      </c>
      <c r="H35" s="18">
        <f>[1]!f_netasset_total(A35,$E$1,100000000)</f>
        <v>0.1462989941</v>
      </c>
      <c r="I35" s="18">
        <f>[1]!f_prt_convertiblebondtonav(A35,$E$1)</f>
        <v>1.9484535455703735</v>
      </c>
      <c r="J35" s="18">
        <f>[1]!f_prt_stocktonav(A35,$E$1)+0.5*I35</f>
        <v>8.5946620106697083</v>
      </c>
      <c r="K35" s="19">
        <v>0</v>
      </c>
      <c r="L35" s="19">
        <f>[1]!f_return($A35,"1",L$2,$E$1)</f>
        <v>3.9183297334876688</v>
      </c>
      <c r="M35" s="19">
        <f>[1]!f_risk_stdevyearly($A35,L$2,$E$1,1,1)</f>
        <v>4.4814114200953847</v>
      </c>
      <c r="N35" s="19">
        <f>IFERROR(L35/M35,"-")</f>
        <v>0.87435170890966063</v>
      </c>
      <c r="O35" s="19" t="str">
        <f>IFERROR(RANK(N35,N:N)&amp;"/"&amp;COUNT(N:N),"-")</f>
        <v>148/197</v>
      </c>
      <c r="P35" s="26">
        <f>IF(O35="-","-",RANK(N35,N:N)/COUNT(N:N))</f>
        <v>0.75126903553299496</v>
      </c>
      <c r="Q35" s="56">
        <v>0.74111675126903553</v>
      </c>
      <c r="R35" s="33" t="str">
        <f>IF(OR($C35&gt;20190630,$K35&gt;30,N35="-",$D35="是",$E35="封闭期",$H35&lt;10,$BN35&lt;-6,$BR35&lt;70),"-",COUNTIFS(N$4:N$200,"&lt;&gt;-",$D$4:$D$200,"&lt;&gt;是",$E$4:$E$200,"&lt;&gt;封闭期",$H$4:$H$200,"&gt;10",$BN$4:$BN$200,"&gt;-6",$BR$4:$BR$200,"&gt;=70",$K$4:$K$200,"&lt;=30",$C$4:$C$200,"&lt;20190630",N$4:N$200,"&gt;="&amp;N35)/COUNTIFS(N$4:N$200,"&lt;&gt;-",$D$4:$D$200,"&lt;&gt;是",$E$4:$E$200,"&lt;&gt;封闭期",$H$4:$H$200,"&gt;10",$BN$4:$BN$200,"&gt;-6",$BR$4:$BR$200,"&gt;=70",$C$4:$C$200,"&lt;20190630",$K$4:$K$200,"&lt;=30"))</f>
        <v>-</v>
      </c>
      <c r="S35" s="19">
        <f>IFERROR((L35-3)/M35,"-")</f>
        <v>0.20491975572020177</v>
      </c>
      <c r="T35" s="19" t="str">
        <f>IFERROR(RANK(S35,S:S)&amp;"/"&amp;COUNT(S:S),"-")</f>
        <v>152/197</v>
      </c>
      <c r="U35" s="26">
        <f>IFERROR(RANK(S35,S:S)/COUNT(S:S),"-")</f>
        <v>0.77157360406091369</v>
      </c>
      <c r="V35" s="34" t="str">
        <f>IF(OR($C35&gt;20190630,$K35&gt;30,S35="-",$D35="是",$E35="封闭期",$H35&lt;10,$BN35&lt;-6,$BR35&lt;70),"-",COUNTIFS(S$4:S$200,"&lt;&gt;-",$D$4:$D$200,"&lt;&gt;是",$E$4:$E$200,"&lt;&gt;封闭期",$H$4:$H$200,"&gt;10",$BN$4:$BN$200,"&gt;-6",$BR$4:$BR$200,"&gt;=70",$K$4:$K$200,"&lt;=30",$C$4:$C$200,"&lt;20190630",S$4:S$200,"&gt;="&amp;S35)&amp;"/"&amp;COUNTIFS(S$4:S$200,"&lt;&gt;-",$D$4:$D$200,"&lt;&gt;是",$E$4:$E$200,"&lt;&gt;封闭期",$H$4:$H$200,"&gt;10",$BN$4:$BN$200,"&gt;-6",$BR$4:$BR$200,"&gt;=70",$C$4:$C$200,"&lt;20190630",$K$4:$K$200,"&lt;=30"))</f>
        <v>-</v>
      </c>
      <c r="W35" s="33" t="str">
        <f>IF(OR($C35&gt;20190630,$K35&gt;30,S35="-",$D35="是",$E35="封闭期",$H35&lt;10,$BN35&lt;-6,$BR35&lt;70),"-",COUNTIFS(S$4:S$200,"&lt;&gt;-",$D$4:$D$200,"&lt;&gt;是",$E$4:$E$200,"&lt;&gt;封闭期",$H$4:$H$200,"&gt;10",$BN$4:$BN$200,"&gt;-6",$BR$4:$BR$200,"&gt;=70",$K$4:$K$200,"&lt;=30",$C$4:$C$200,"&lt;20190630",S$4:S$200,"&gt;="&amp;S35)/COUNTIFS(S$4:S$200,"&lt;&gt;-",$D$4:$D$200,"&lt;&gt;是",$E$4:$E$200,"&lt;&gt;封闭期",$H$4:$H$200,"&gt;10",$BN$4:$BN$200,"&gt;-6",$BR$4:$BR$200,"&gt;=70",$C$4:$C$200,"&lt;20190630",$K$4:$K$200,"&lt;=30"))</f>
        <v>-</v>
      </c>
      <c r="X35" s="19">
        <f>[1]!f_risk_calmar(A35,$L$2,$E$1)</f>
        <v>0.88652210220158445</v>
      </c>
      <c r="Y35" s="19" t="str">
        <f>IFERROR(RANK(X35,X:X)&amp;"/"&amp;COUNT(X:X),"-")</f>
        <v>165/197</v>
      </c>
      <c r="Z35" s="26">
        <f>IFERROR(RANK(X35,X:X)/COUNT(X:X),"-")</f>
        <v>0.8375634517766497</v>
      </c>
      <c r="AA35" s="34" t="str">
        <f>IF(OR($C35&gt;20190630,$K35&gt;30,X35="-",$D35="是",$E35="封闭期",$H35&lt;10,$BN35&lt;-6,$BR35&lt;70),"-",COUNTIFS(X$4:X$200,"&lt;&gt;-",$D$4:$D$200,"&lt;&gt;是",$E$4:$E$200,"&lt;&gt;封闭期",$H$4:$H$200,"&gt;10",$BN$4:$BN$200,"&gt;-6",$BR$4:$BR$200,"&gt;=70",$K$4:$K$200,"&lt;=30",$C$4:$C$200,"&lt;20190630",X$4:X$200,"&gt;="&amp;X35)&amp;"/"&amp;COUNTIFS(X$4:X$200,"&lt;&gt;-",$D$4:$D$200,"&lt;&gt;是",$E$4:$E$200,"&lt;&gt;封闭期",$H$4:$H$200,"&gt;10",$BN$4:$BN$200,"&gt;-6",$BR$4:$BR$200,"&gt;=70",$C$4:$C$200,"&lt;20190630",$K$4:$K$200,"&lt;=30"))</f>
        <v>-</v>
      </c>
      <c r="AB35" s="33" t="str">
        <f>IF(OR($C35&gt;20190630,$K35&gt;30,X35="-",$D35="是",$E35="封闭期",$H35&lt;10,$BN35&lt;-6,$BR35&lt;70),"-",COUNTIFS(X$4:X$200,"&lt;&gt;-",$D$4:$D$200,"&lt;&gt;是",$E$4:$E$200,"&lt;&gt;封闭期",$H$4:$H$200,"&gt;10",$BN$4:$BN$200,"&gt;-6",$BR$4:$BR$200,"&gt;=70",$K$4:$K$200,"&lt;=30",$C$4:$C$200,"&lt;20190630",X$4:X$200,"&gt;="&amp;X35)/COUNTIFS(X$4:X$200,"&lt;&gt;-",$D$4:$D$200,"&lt;&gt;是",$E$4:$E$200,"&lt;&gt;封闭期",$H$4:$H$200,"&gt;10",$BN$4:$BN$200,"&gt;-6",$BR$4:$BR$200,"&gt;=70",$C$4:$C$200,"&lt;20190630",$K$4:$K$200,"&lt;=30"))</f>
        <v>-</v>
      </c>
      <c r="AC35" s="20">
        <v>0.73109243697478987</v>
      </c>
      <c r="AD35" s="19" t="str">
        <f>IFERROR(RANK(AC35,AC:AC)&amp;"/"&amp;COUNT(AC:AC),"-")</f>
        <v>162/197</v>
      </c>
      <c r="AE35" s="26">
        <f>IFERROR(RANK(AC35,AC:AC)/COUNT(AC:AC),"-")</f>
        <v>0.82233502538071068</v>
      </c>
      <c r="AF35" s="34" t="str">
        <f>IF(OR($C35&gt;20190630,$K35&gt;30,AC35="-",$D35="是",$E35="封闭期",$H35&lt;10,$BN35&lt;-6,$BR35&lt;70),"-",COUNTIFS(AC$4:AC$200,"&lt;&gt;-",$D$4:$D$200,"&lt;&gt;是",$E$4:$E$200,"&lt;&gt;封闭期",$H$4:$H$200,"&gt;10",$BN$4:$BN$200,"&gt;-6",$BR$4:$BR$200,"&gt;=70",$K$4:$K$200,"&lt;=30",$C$4:$C$200,"&lt;20190630",AC$4:AC$200,"&gt;="&amp;AC35)&amp;"/"&amp;COUNTIFS(AC$4:AC$200,"&lt;&gt;-",$D$4:$D$200,"&lt;&gt;是",$E$4:$E$200,"&lt;&gt;封闭期",$H$4:$H$200,"&gt;10",$BN$4:$BN$200,"&gt;-6",$BR$4:$BR$200,"&gt;=70",$C$4:$C$200,"&lt;20190630",$K$4:$K$200,"&lt;=30"))</f>
        <v>-</v>
      </c>
      <c r="AG35" s="33" t="str">
        <f>IF(OR($C35&gt;20190630,$K35&gt;30,AC35="-",$D35="是",$E35="封闭期",$H35&lt;10,$BN35&lt;-6,$BR35&lt;70),"-",COUNTIFS(AC$4:AC$200,"&lt;&gt;-",$D$4:$D$200,"&lt;&gt;是",$E$4:$E$200,"&lt;&gt;封闭期",$H$4:$H$200,"&gt;10",$BN$4:$BN$200,"&gt;-6",$BR$4:$BR$200,"&gt;=70",$K$4:$K$200,"&lt;=30",$C$4:$C$200,"&lt;20190630",AC$4:AC$200,"&gt;="&amp;AC35)/COUNTIFS(AC$4:AC$200,"&lt;&gt;-",$D$4:$D$200,"&lt;&gt;是",$E$4:$E$200,"&lt;&gt;封闭期",$H$4:$H$200,"&gt;10",$BN$4:$BN$200,"&gt;-6",$BR$4:$BR$200,"&gt;=70",$C$4:$C$200,"&lt;20190630",$K$4:$K$200,"&lt;=30"))</f>
        <v>-</v>
      </c>
      <c r="AH35" s="21">
        <f>[1]!f_risk_maxdownside(A35,$L$2,$E$1)</f>
        <v>-4.4198895027624339</v>
      </c>
      <c r="AI35" s="19" t="str">
        <f>IFERROR(RANK(AH35,AH:AH)&amp;"/"&amp;COUNT(AH:AH),"-")</f>
        <v>138/197</v>
      </c>
      <c r="AJ35" s="26">
        <f>IFERROR(RANK(AH35,AH:AH)/COUNT(AH:AH),"-")</f>
        <v>0.70050761421319796</v>
      </c>
      <c r="AK35" s="34" t="str">
        <f>IF(OR($C35&gt;20190630,$K35&gt;30,AH35="-",$D35="是",$E35="封闭期",$H35&lt;10,$BN35&lt;-6,$BR35&lt;70),"-",COUNTIFS(AH$4:AH$200,"&lt;&gt;-",$D$4:$D$200,"&lt;&gt;是",$E$4:$E$200,"&lt;&gt;封闭期",$H$4:$H$200,"&gt;10",$BN$4:$BN$200,"&gt;-6",$BR$4:$BR$200,"&gt;=70",$K$4:$K$200,"&lt;=30",$C$4:$C$200,"&lt;20190630",AH$4:AH$200,"&gt;="&amp;AH35)&amp;"/"&amp;COUNTIFS(AH$4:AH$200,"&lt;&gt;-",$D$4:$D$200,"&lt;&gt;是",$E$4:$E$200,"&lt;&gt;封闭期",$H$4:$H$200,"&gt;10",$BN$4:$BN$200,"&gt;-6",$BR$4:$BR$200,"&gt;=70",$C$4:$C$200,"&lt;20190630",$K$4:$K$200,"&lt;=30"))</f>
        <v>-</v>
      </c>
      <c r="AL35" s="33" t="str">
        <f>IF(OR($C35&gt;20190630,$K35&gt;30,AH35="-",$D35="是",$E35="封闭期",$H35&lt;10,$BN35&lt;-6,$BR35&lt;70),"-",COUNTIFS(AH$4:AH$200,"&lt;&gt;-",$D$4:$D$200,"&lt;&gt;是",$E$4:$E$200,"&lt;&gt;封闭期",$H$4:$H$200,"&gt;10",$BN$4:$BN$200,"&gt;-6",$BR$4:$BR$200,"&gt;=70",$K$4:$K$200,"&lt;=30",$C$4:$C$200,"&lt;20190630",AH$4:AH$200,"&gt;="&amp;AH35)/COUNTIFS(AH$4:AH$200,"&lt;&gt;-",$D$4:$D$200,"&lt;&gt;是",$E$4:$E$200,"&lt;&gt;封闭期",$H$4:$H$200,"&gt;10",$BN$4:$BN$200,"&gt;-6",$BR$4:$BR$200,"&gt;=70",$C$4:$C$200,"&lt;20190630",$K$4:$K$200,"&lt;=30"))</f>
        <v>-</v>
      </c>
      <c r="AM35" s="19">
        <f>[1]!f_return($A35,"1",AM$2,$L$2)</f>
        <v>11.89593744139399</v>
      </c>
      <c r="AN35" s="19">
        <f>[1]!f_risk_stdevyearly($A35,AM$2,$L$2,1,1)</f>
        <v>7.8893674997335781</v>
      </c>
      <c r="AO35" s="19">
        <f>IFERROR(AM35/AN35,"-")</f>
        <v>1.5078442526344111</v>
      </c>
      <c r="AP35" s="19" t="str">
        <f>IFERROR(RANK(AO35,AO:AO)&amp;"/"&amp;COUNT(AO:AO),"-")</f>
        <v>107/197</v>
      </c>
      <c r="AQ35" s="26">
        <f>IF(AP35="-","-",RANK(AO35,AO:AO)/COUNT(AO:AO))</f>
        <v>0.54314720812182737</v>
      </c>
      <c r="AR35" s="57">
        <v>0.16243654822335024</v>
      </c>
      <c r="AS35" s="33" t="str">
        <f>IF(OR($C35&gt;20190630,$K35&gt;30,AO35="-",$D35="是",$E35="封闭期",$H35&lt;10,$BN35&lt;-6,$BR35&lt;70),"-",COUNTIFS(AO$4:AO$200,"&lt;&gt;-",$D$4:$D$200,"&lt;&gt;是",$E$4:$E$200,"&lt;&gt;封闭期",$H$4:$H$200,"&gt;10",$BN$4:$BN$200,"&gt;-6",$BR$4:$BR$200,"&gt;=70",$K$4:$K$200,"&lt;=30",$C$4:$C$200,"&lt;20190630",AO$4:AO$200,"&gt;="&amp;AO35)/COUNTIFS(AO$4:AO$200,"&lt;&gt;-",$D$4:$D$200,"&lt;&gt;是",$E$4:$E$200,"&lt;&gt;封闭期",$H$4:$H$200,"&gt;10",$BN$4:$BN$200,"&gt;-6",$BR$4:$BR$200,"&gt;=70",$C$4:$C$200,"&lt;20190630",$K$4:$K$200,"&lt;=30"))</f>
        <v>-</v>
      </c>
      <c r="AT35" s="19">
        <f>IFERROR((AM35-3)/AN35,"-")</f>
        <v>1.1275856323963109</v>
      </c>
      <c r="AU35" s="19" t="str">
        <f>IFERROR(RANK(AT35,AT:AT)&amp;"/"&amp;COUNT(AT:AT),"-")</f>
        <v>66/197</v>
      </c>
      <c r="AV35" s="26">
        <f>IFERROR(RANK(AT35,AT:AT)/COUNT(AT:AT),"-")</f>
        <v>0.3350253807106599</v>
      </c>
      <c r="AW35" s="34" t="str">
        <f>IF(OR($C35&gt;20190630,$K35&gt;30,AT35="-",$D35="是",$E35="封闭期",$H35&lt;10,$BN35&lt;-6,$BR35&lt;70),"-",COUNTIFS(AT$4:AT$200,"&lt;&gt;-",$D$4:$D$200,"&lt;&gt;是",$E$4:$E$200,"&lt;&gt;封闭期",$H$4:$H$200,"&gt;10",$BN$4:$BN$200,"&gt;-6",$BR$4:$BR$200,"&gt;=70",$K$4:$K$200,"&lt;=30",$C$4:$C$200,"&lt;20190630",AT$4:AT$200,"&gt;="&amp;AT35)&amp;"/"&amp;COUNTIFS(AT$4:AT$200,"&lt;&gt;-",$D$4:$D$200,"&lt;&gt;是",$E$4:$E$200,"&lt;&gt;封闭期",$H$4:$H$200,"&gt;10",$BN$4:$BN$200,"&gt;-6",$BR$4:$BR$200,"&gt;=70",$C$4:$C$200,"&lt;20190630",$K$4:$K$200,"&lt;=30"))</f>
        <v>-</v>
      </c>
      <c r="AX35" s="33" t="str">
        <f>IF(OR($C35&gt;20190630,$K35&gt;30,AT35="-",$D35="是",$E35="封闭期",$H35&lt;10,$BN35&lt;-6,$BR35&lt;70),"-",COUNTIFS(AT$4:AT$200,"&lt;&gt;-",$D$4:$D$200,"&lt;&gt;是",$E$4:$E$200,"&lt;&gt;封闭期",$H$4:$H$200,"&gt;10",$BN$4:$BN$200,"&gt;-6",$BR$4:$BR$200,"&gt;=70",$K$4:$K$200,"&lt;=30",$C$4:$C$200,"&lt;20190630",AT$4:AT$200,"&gt;="&amp;AT35)/COUNTIFS(AT$4:AT$200,"&lt;&gt;-",$D$4:$D$200,"&lt;&gt;是",$E$4:$E$200,"&lt;&gt;封闭期",$H$4:$H$200,"&gt;10",$BN$4:$BN$200,"&gt;-6",$BR$4:$BR$200,"&gt;=70",$C$4:$C$200,"&lt;20190630",$K$4:$K$200,"&lt;=30"))</f>
        <v>-</v>
      </c>
      <c r="AY35" s="19">
        <f>[1]!f_risk_calmar(A35,$AM$2,$L$2)</f>
        <v>2.1721100587434234</v>
      </c>
      <c r="AZ35" s="19" t="str">
        <f>IFERROR(RANK(AY35,AY:AY)&amp;"/"&amp;COUNT(AY:AY),"-")</f>
        <v>100/197</v>
      </c>
      <c r="BA35" s="26">
        <f>IFERROR(RANK(AY35,AY:AY)/COUNT(AY:AY),"-")</f>
        <v>0.50761421319796951</v>
      </c>
      <c r="BB35" s="34" t="str">
        <f>IF(OR($C35&gt;20190630,$K35&gt;30,AY35="-",$D35="是",$E35="封闭期",$H35&lt;10,$BN35&lt;-6,$BR35&lt;70),"-",COUNTIFS(AY$4:AY$200,"&lt;&gt;-",$D$4:$D$200,"&lt;&gt;是",$E$4:$E$200,"&lt;&gt;封闭期",$H$4:$H$200,"&gt;10",$BN$4:$BN$200,"&gt;-6",$BR$4:$BR$200,"&gt;=70",$K$4:$K$200,"&lt;=30",$C$4:$C$200,"&lt;20190630",AY$4:AY$200,"&gt;="&amp;AY35)&amp;"/"&amp;COUNTIFS(AY$4:AY$200,"&lt;&gt;-",$D$4:$D$200,"&lt;&gt;是",$E$4:$E$200,"&lt;&gt;封闭期",$H$4:$H$200,"&gt;10",$BN$4:$BN$200,"&gt;-6",$BR$4:$BR$200,"&gt;=70",$C$4:$C$200,"&lt;20190630",$K$4:$K$200,"&lt;=30"))</f>
        <v>-</v>
      </c>
      <c r="BC35" s="33" t="str">
        <f>IF(OR($C35&gt;20190630,$K35&gt;30,AY35="-",$D35="是",$E35="封闭期",$H35&lt;10,$BN35&lt;-6,$BR35&lt;70),"-",COUNTIFS(AY$4:AY$200,"&lt;&gt;-",$D$4:$D$200,"&lt;&gt;是",$E$4:$E$200,"&lt;&gt;封闭期",$H$4:$H$200,"&gt;10",$BN$4:$BN$200,"&gt;-6",$BR$4:$BR$200,"&gt;=70",$K$4:$K$200,"&lt;=30",$C$4:$C$200,"&lt;20190630",AY$4:AY$200,"&gt;="&amp;AY35)/COUNTIFS(AY$4:AY$200,"&lt;&gt;-",$D$4:$D$200,"&lt;&gt;是",$E$4:$E$200,"&lt;&gt;封闭期",$H$4:$H$200,"&gt;10",$BN$4:$BN$200,"&gt;-6",$BR$4:$BR$200,"&gt;=70",$C$4:$C$200,"&lt;20190630",$K$4:$K$200,"&lt;=30"))</f>
        <v>-</v>
      </c>
      <c r="BD35" s="20">
        <v>1</v>
      </c>
      <c r="BE35" s="19" t="str">
        <f>IFERROR(RANK(BD35,BD:BD)&amp;"/"&amp;COUNT(BD:BD),"-")</f>
        <v>1/197</v>
      </c>
      <c r="BF35" s="26">
        <f>IFERROR(RANK(BD35,BD:BD)/COUNT(BD:BD),"-")</f>
        <v>5.076142131979695E-3</v>
      </c>
      <c r="BG35" s="34" t="str">
        <f>IF(OR($C35&gt;20190630,$K35&gt;30,BD35="-",$D35="是",$E35="封闭期",$H35&lt;10,$BN35&lt;-6,$BR35&lt;70),"-",COUNTIFS(BD$4:BD$200,"&lt;&gt;-",$D$4:$D$200,"&lt;&gt;是",$E$4:$E$200,"&lt;&gt;封闭期",$H$4:$H$200,"&gt;10",$BN$4:$BN$200,"&gt;-6",$BR$4:$BR$200,"&gt;=70",$K$4:$K$200,"&lt;=30",$C$4:$C$200,"&lt;20190630",BD$4:BD$200,"&gt;="&amp;BD35)&amp;"/"&amp;COUNTIFS(BD$4:BD$200,"&lt;&gt;-",$D$4:$D$200,"&lt;&gt;是",$E$4:$E$200,"&lt;&gt;封闭期",$H$4:$H$200,"&gt;10",$BN$4:$BN$200,"&gt;-6",$BR$4:$BR$200,"&gt;=70",$C$4:$C$200,"&lt;20190630",$K$4:$K$200,"&lt;=30"))</f>
        <v>-</v>
      </c>
      <c r="BH35" s="33" t="str">
        <f>IF(OR($C35&gt;20190630,$K35&gt;30,BD35="-",$D35="是",$E35="封闭期",$H35&lt;10,$BN35&lt;-6,$BR35&lt;70),"-",COUNTIFS(BD$4:BD$200,"&lt;&gt;-",$D$4:$D$200,"&lt;&gt;是",$E$4:$E$200,"&lt;&gt;封闭期",$H$4:$H$200,"&gt;10",$BN$4:$BN$200,"&gt;-6",$BR$4:$BR$200,"&gt;=70",$K$4:$K$200,"&lt;=30",$C$4:$C$200,"&lt;20190630",BD$4:BD$200,"&gt;="&amp;BD35)/COUNTIFS(BD$4:BD$200,"&lt;&gt;-",$D$4:$D$200,"&lt;&gt;是",$E$4:$E$200,"&lt;&gt;封闭期",$H$4:$H$200,"&gt;10",$BN$4:$BN$200,"&gt;-6",$BR$4:$BR$200,"&gt;=70",$C$4:$C$200,"&lt;20190630",$K$4:$K$200,"&lt;=30"))</f>
        <v>-</v>
      </c>
      <c r="BI35" s="21">
        <f>[1]!f_risk_maxdownside(A35,$AM$2,$L$2)</f>
        <v>-5.4766734279918801</v>
      </c>
      <c r="BJ35" s="19" t="str">
        <f>IFERROR(RANK(BI35,BI:BI)&amp;"/"&amp;COUNT(BI:BI),"-")</f>
        <v>162/197</v>
      </c>
      <c r="BK35" s="26">
        <f>IFERROR(RANK(BI35,BI:BI)/COUNT(BI:BI),"-")</f>
        <v>0.82233502538071068</v>
      </c>
      <c r="BL35" s="34" t="str">
        <f>IF(OR($C35&gt;20190630,$K35&gt;30,BI35="-",$D35="是",$E35="封闭期",$H35&lt;10,$BN35&lt;-6,$BR35&lt;70),"-",COUNTIFS(BI$4:BI$200,"&lt;&gt;-",$D$4:$D$200,"&lt;&gt;是",$E$4:$E$200,"&lt;&gt;封闭期",$H$4:$H$200,"&gt;10",$BN$4:$BN$200,"&gt;-6",$BR$4:$BR$200,"&gt;=70",$K$4:$K$200,"&lt;=30",$C$4:$C$200,"&lt;20190630",BI$4:BI$200,"&gt;="&amp;BI35)&amp;"/"&amp;COUNTIFS(BI$4:BI$200,"&lt;&gt;-",$D$4:$D$200,"&lt;&gt;是",$E$4:$E$200,"&lt;&gt;封闭期",$H$4:$H$200,"&gt;10",$BN$4:$BN$200,"&gt;-6",$BR$4:$BR$200,"&gt;=70",$C$4:$C$200,"&lt;20190630",$K$4:$K$200,"&lt;=30"))</f>
        <v>-</v>
      </c>
      <c r="BM35" s="33" t="str">
        <f>IF(OR($C35&gt;20190630,$K35&gt;30,BI35="-",$D35="是",$E35="封闭期",$H35&lt;10,$BN35&lt;-6,$BR35&lt;70),"-",COUNTIFS(BI$4:BI$200,"&lt;&gt;-",$D$4:$D$200,"&lt;&gt;是",$E$4:$E$200,"&lt;&gt;封闭期",$H$4:$H$200,"&gt;10",$BN$4:$BN$200,"&gt;-6",$BR$4:$BR$200,"&gt;=70",$K$4:$K$200,"&lt;=30",$C$4:$C$200,"&lt;20190630",BI$4:BI$200,"&gt;="&amp;BI35)/COUNTIFS(BI$4:BI$200,"&lt;&gt;-",$D$4:$D$200,"&lt;&gt;是",$E$4:$E$200,"&lt;&gt;封闭期",$H$4:$H$200,"&gt;10",$BN$4:$BN$200,"&gt;-6",$BR$4:$BR$200,"&gt;=70",$C$4:$C$200,"&lt;20190630",$K$4:$K$200,"&lt;=30"))</f>
        <v>-</v>
      </c>
      <c r="BN35" s="21">
        <f>[1]!f_risk_maxdownside(A35,$AM$2,$E$1)</f>
        <v>-5.4766734279918801</v>
      </c>
      <c r="BO35" s="21">
        <f>IF(C35&lt;20190930,[1]!f_return_2y(A35,"0","20210930"),"-")</f>
        <v>16.263736263736263</v>
      </c>
      <c r="BP35" s="19" t="str">
        <f>IFERROR(RANK(BO35,BO:BO)&amp;"/"&amp;COUNT(BO:BO),"-")</f>
        <v>75/197</v>
      </c>
      <c r="BQ35" s="25">
        <f>IFERROR(RANK(BO35,BO:BO)/COUNT(BO:BO),"-")</f>
        <v>0.38071065989847713</v>
      </c>
      <c r="BR35" s="19">
        <f>IF(C35&lt;20190930,[1]!f_absolute_profitmonthper(A35,"20190930","20210930"),"-")</f>
        <v>62.5</v>
      </c>
      <c r="BS35" s="19" t="str">
        <f>IFERROR(RANK(BR35,BR:BR)&amp;"/"&amp;COUNT(BR:BR),"-")</f>
        <v>142/198</v>
      </c>
      <c r="BT35" s="25">
        <f>IFERROR(RANK(BR35,BR:BR)/COUNT(BR:BR),"-")</f>
        <v>0.71717171717171713</v>
      </c>
      <c r="BU35" s="17"/>
      <c r="BV35" s="12">
        <f>X35-3/M35</f>
        <v>0.21709014901212553</v>
      </c>
      <c r="BW35" s="76">
        <f>IFERROR(RANK(BV35,BV:BV)/COUNT(BV:BV),"-")</f>
        <v>0.81725888324873097</v>
      </c>
      <c r="BX35" s="76">
        <f>IFERROR(RANK(L35,L:L)/COUNT(L:L),"-")</f>
        <v>0.74242424242424243</v>
      </c>
      <c r="BY35" s="12">
        <f>AY35-3/AN35</f>
        <v>1.7918514385053235</v>
      </c>
      <c r="BZ35" s="76">
        <f>IFERROR(RANK(BY35,BY:BY)/COUNT(BY:BY),"-")</f>
        <v>0.40609137055837563</v>
      </c>
      <c r="CA35" s="76">
        <f>IFERROR(RANK(AM35,AM:AM)/COUNT(AM:AM),"-")</f>
        <v>0.16666666666666666</v>
      </c>
      <c r="CC35" s="77">
        <f>AV35+BF35+BZ35+CA35</f>
        <v>0.91285956006768187</v>
      </c>
      <c r="CD35" s="77">
        <f>BW35+BX35+AE35+U35</f>
        <v>3.153591755114598</v>
      </c>
      <c r="CE35" s="77">
        <f>CC35+CD35</f>
        <v>4.0664513151822801</v>
      </c>
    </row>
    <row r="36" spans="1:83" s="17" customFormat="1" hidden="1" x14ac:dyDescent="0.35">
      <c r="A36" s="15" t="s">
        <v>325</v>
      </c>
      <c r="B36" s="15" t="s">
        <v>326</v>
      </c>
      <c r="C36" s="16">
        <v>20170324</v>
      </c>
      <c r="D36" s="16" t="str">
        <f>[1]!f_info_regulopenfundornot(A36)</f>
        <v>否</v>
      </c>
      <c r="E36" s="16" t="str">
        <f>[1]!f_dq_status(A36,$E$1)</f>
        <v>开放申购|开放赎回</v>
      </c>
      <c r="F36" s="17" t="str">
        <f>[1]!f_info_fundmanager(A36)</f>
        <v>罗黎军,金兴健</v>
      </c>
      <c r="G36" s="16">
        <v>20200716</v>
      </c>
      <c r="H36" s="18">
        <f>[1]!f_netasset_total(A36,$E$1,100000000)</f>
        <v>5.0460668E-2</v>
      </c>
      <c r="I36" s="18">
        <f>[1]!f_prt_convertiblebondtonav(A36,$E$1)</f>
        <v>4.9583072662353516</v>
      </c>
      <c r="J36" s="18">
        <f>[1]!f_prt_stocktonav(A36,$E$1)+0.5*I36</f>
        <v>9.1077399253845215</v>
      </c>
      <c r="K36" s="19">
        <v>0</v>
      </c>
      <c r="L36" s="19">
        <f>[1]!f_return($A36,"1",L$2,$E$1)</f>
        <v>10.905034738929608</v>
      </c>
      <c r="M36" s="19">
        <f>[1]!f_risk_stdevyearly($A36,L$2,$E$1,1,1)</f>
        <v>7.6878199588717697</v>
      </c>
      <c r="N36" s="19">
        <f>IFERROR(L36/M36,"-")</f>
        <v>1.4184820660823569</v>
      </c>
      <c r="O36" s="19" t="str">
        <f>IFERROR(RANK(N36,N:N)&amp;"/"&amp;COUNT(N:N),"-")</f>
        <v>96/197</v>
      </c>
      <c r="P36" s="26">
        <f>IF(O36="-","-",RANK(N36,N:N)/COUNT(N:N))</f>
        <v>0.48730964467005078</v>
      </c>
      <c r="Q36" s="56">
        <v>0.12182741116751269</v>
      </c>
      <c r="R36" s="33" t="str">
        <f>IF(OR($C36&gt;20190630,$K36&gt;30,N36="-",$D36="是",$E36="封闭期",$H36&lt;10,$BN36&lt;-6,$BR36&lt;70),"-",COUNTIFS(N$4:N$200,"&lt;&gt;-",$D$4:$D$200,"&lt;&gt;是",$E$4:$E$200,"&lt;&gt;封闭期",$H$4:$H$200,"&gt;10",$BN$4:$BN$200,"&gt;-6",$BR$4:$BR$200,"&gt;=70",$K$4:$K$200,"&lt;=30",$C$4:$C$200,"&lt;20190630",N$4:N$200,"&gt;="&amp;N36)/COUNTIFS(N$4:N$200,"&lt;&gt;-",$D$4:$D$200,"&lt;&gt;是",$E$4:$E$200,"&lt;&gt;封闭期",$H$4:$H$200,"&gt;10",$BN$4:$BN$200,"&gt;-6",$BR$4:$BR$200,"&gt;=70",$C$4:$C$200,"&lt;20190630",$K$4:$K$200,"&lt;=30"))</f>
        <v>-</v>
      </c>
      <c r="S36" s="19">
        <f>IFERROR((L36-3)/M36,"-")</f>
        <v>1.0282544051785671</v>
      </c>
      <c r="T36" s="19" t="str">
        <f>IFERROR(RANK(S36,S:S)&amp;"/"&amp;COUNT(S:S),"-")</f>
        <v>72/197</v>
      </c>
      <c r="U36" s="26">
        <f>IFERROR(RANK(S36,S:S)/COUNT(S:S),"-")</f>
        <v>0.36548223350253806</v>
      </c>
      <c r="V36" s="34" t="str">
        <f>IF(OR($C36&gt;20190630,$K36&gt;30,S36="-",$D36="是",$E36="封闭期",$H36&lt;10,$BN36&lt;-6,$BR36&lt;70),"-",COUNTIFS(S$4:S$200,"&lt;&gt;-",$D$4:$D$200,"&lt;&gt;是",$E$4:$E$200,"&lt;&gt;封闭期",$H$4:$H$200,"&gt;10",$BN$4:$BN$200,"&gt;-6",$BR$4:$BR$200,"&gt;=70",$K$4:$K$200,"&lt;=30",$C$4:$C$200,"&lt;20190630",S$4:S$200,"&gt;="&amp;S36)&amp;"/"&amp;COUNTIFS(S$4:S$200,"&lt;&gt;-",$D$4:$D$200,"&lt;&gt;是",$E$4:$E$200,"&lt;&gt;封闭期",$H$4:$H$200,"&gt;10",$BN$4:$BN$200,"&gt;-6",$BR$4:$BR$200,"&gt;=70",$C$4:$C$200,"&lt;20190630",$K$4:$K$200,"&lt;=30"))</f>
        <v>-</v>
      </c>
      <c r="W36" s="33" t="str">
        <f>IF(OR($C36&gt;20190630,$K36&gt;30,S36="-",$D36="是",$E36="封闭期",$H36&lt;10,$BN36&lt;-6,$BR36&lt;70),"-",COUNTIFS(S$4:S$200,"&lt;&gt;-",$D$4:$D$200,"&lt;&gt;是",$E$4:$E$200,"&lt;&gt;封闭期",$H$4:$H$200,"&gt;10",$BN$4:$BN$200,"&gt;-6",$BR$4:$BR$200,"&gt;=70",$K$4:$K$200,"&lt;=30",$C$4:$C$200,"&lt;20190630",S$4:S$200,"&gt;="&amp;S36)/COUNTIFS(S$4:S$200,"&lt;&gt;-",$D$4:$D$200,"&lt;&gt;是",$E$4:$E$200,"&lt;&gt;封闭期",$H$4:$H$200,"&gt;10",$BN$4:$BN$200,"&gt;-6",$BR$4:$BR$200,"&gt;=70",$C$4:$C$200,"&lt;20190630",$K$4:$K$200,"&lt;=30"))</f>
        <v>-</v>
      </c>
      <c r="X36" s="19">
        <f>[1]!f_risk_calmar(A36,$L$2,$E$1)</f>
        <v>1.8956266527174415</v>
      </c>
      <c r="Y36" s="19" t="str">
        <f>IFERROR(RANK(X36,X:X)&amp;"/"&amp;COUNT(X:X),"-")</f>
        <v>104/197</v>
      </c>
      <c r="Z36" s="26">
        <f>IFERROR(RANK(X36,X:X)/COUNT(X:X),"-")</f>
        <v>0.52791878172588835</v>
      </c>
      <c r="AA36" s="34" t="str">
        <f>IF(OR($C36&gt;20190630,$K36&gt;30,X36="-",$D36="是",$E36="封闭期",$H36&lt;10,$BN36&lt;-6,$BR36&lt;70),"-",COUNTIFS(X$4:X$200,"&lt;&gt;-",$D$4:$D$200,"&lt;&gt;是",$E$4:$E$200,"&lt;&gt;封闭期",$H$4:$H$200,"&gt;10",$BN$4:$BN$200,"&gt;-6",$BR$4:$BR$200,"&gt;=70",$K$4:$K$200,"&lt;=30",$C$4:$C$200,"&lt;20190630",X$4:X$200,"&gt;="&amp;X36)&amp;"/"&amp;COUNTIFS(X$4:X$200,"&lt;&gt;-",$D$4:$D$200,"&lt;&gt;是",$E$4:$E$200,"&lt;&gt;封闭期",$H$4:$H$200,"&gt;10",$BN$4:$BN$200,"&gt;-6",$BR$4:$BR$200,"&gt;=70",$C$4:$C$200,"&lt;20190630",$K$4:$K$200,"&lt;=30"))</f>
        <v>-</v>
      </c>
      <c r="AB36" s="33" t="str">
        <f>IF(OR($C36&gt;20190630,$K36&gt;30,X36="-",$D36="是",$E36="封闭期",$H36&lt;10,$BN36&lt;-6,$BR36&lt;70),"-",COUNTIFS(X$4:X$200,"&lt;&gt;-",$D$4:$D$200,"&lt;&gt;是",$E$4:$E$200,"&lt;&gt;封闭期",$H$4:$H$200,"&gt;10",$BN$4:$BN$200,"&gt;-6",$BR$4:$BR$200,"&gt;=70",$K$4:$K$200,"&lt;=30",$C$4:$C$200,"&lt;20190630",X$4:X$200,"&gt;="&amp;X36)/COUNTIFS(X$4:X$200,"&lt;&gt;-",$D$4:$D$200,"&lt;&gt;是",$E$4:$E$200,"&lt;&gt;封闭期",$H$4:$H$200,"&gt;10",$BN$4:$BN$200,"&gt;-6",$BR$4:$BR$200,"&gt;=70",$C$4:$C$200,"&lt;20190630",$K$4:$K$200,"&lt;=30"))</f>
        <v>-</v>
      </c>
      <c r="AC36" s="20">
        <v>1</v>
      </c>
      <c r="AD36" s="19" t="str">
        <f>IFERROR(RANK(AC36,AC:AC)&amp;"/"&amp;COUNT(AC:AC),"-")</f>
        <v>1/197</v>
      </c>
      <c r="AE36" s="26">
        <f>IFERROR(RANK(AC36,AC:AC)/COUNT(AC:AC),"-")</f>
        <v>5.076142131979695E-3</v>
      </c>
      <c r="AF36" s="34" t="str">
        <f>IF(OR($C36&gt;20190630,$K36&gt;30,AC36="-",$D36="是",$E36="封闭期",$H36&lt;10,$BN36&lt;-6,$BR36&lt;70),"-",COUNTIFS(AC$4:AC$200,"&lt;&gt;-",$D$4:$D$200,"&lt;&gt;是",$E$4:$E$200,"&lt;&gt;封闭期",$H$4:$H$200,"&gt;10",$BN$4:$BN$200,"&gt;-6",$BR$4:$BR$200,"&gt;=70",$K$4:$K$200,"&lt;=30",$C$4:$C$200,"&lt;20190630",AC$4:AC$200,"&gt;="&amp;AC36)&amp;"/"&amp;COUNTIFS(AC$4:AC$200,"&lt;&gt;-",$D$4:$D$200,"&lt;&gt;是",$E$4:$E$200,"&lt;&gt;封闭期",$H$4:$H$200,"&gt;10",$BN$4:$BN$200,"&gt;-6",$BR$4:$BR$200,"&gt;=70",$C$4:$C$200,"&lt;20190630",$K$4:$K$200,"&lt;=30"))</f>
        <v>-</v>
      </c>
      <c r="AG36" s="33" t="str">
        <f>IF(OR($C36&gt;20190630,$K36&gt;30,AC36="-",$D36="是",$E36="封闭期",$H36&lt;10,$BN36&lt;-6,$BR36&lt;70),"-",COUNTIFS(AC$4:AC$200,"&lt;&gt;-",$D$4:$D$200,"&lt;&gt;是",$E$4:$E$200,"&lt;&gt;封闭期",$H$4:$H$200,"&gt;10",$BN$4:$BN$200,"&gt;-6",$BR$4:$BR$200,"&gt;=70",$K$4:$K$200,"&lt;=30",$C$4:$C$200,"&lt;20190630",AC$4:AC$200,"&gt;="&amp;AC36)/COUNTIFS(AC$4:AC$200,"&lt;&gt;-",$D$4:$D$200,"&lt;&gt;是",$E$4:$E$200,"&lt;&gt;封闭期",$H$4:$H$200,"&gt;10",$BN$4:$BN$200,"&gt;-6",$BR$4:$BR$200,"&gt;=70",$C$4:$C$200,"&lt;20190630",$K$4:$K$200,"&lt;=30"))</f>
        <v>-</v>
      </c>
      <c r="AH36" s="21">
        <f>[1]!f_risk_maxdownside(A36,$L$2,$E$1)</f>
        <v>-5.7527333894028612</v>
      </c>
      <c r="AI36" s="19" t="str">
        <f>IFERROR(RANK(AH36,AH:AH)&amp;"/"&amp;COUNT(AH:AH),"-")</f>
        <v>170/197</v>
      </c>
      <c r="AJ36" s="26">
        <f>IFERROR(RANK(AH36,AH:AH)/COUNT(AH:AH),"-")</f>
        <v>0.86294416243654826</v>
      </c>
      <c r="AK36" s="34" t="str">
        <f>IF(OR($C36&gt;20190630,$K36&gt;30,AH36="-",$D36="是",$E36="封闭期",$H36&lt;10,$BN36&lt;-6,$BR36&lt;70),"-",COUNTIFS(AH$4:AH$200,"&lt;&gt;-",$D$4:$D$200,"&lt;&gt;是",$E$4:$E$200,"&lt;&gt;封闭期",$H$4:$H$200,"&gt;10",$BN$4:$BN$200,"&gt;-6",$BR$4:$BR$200,"&gt;=70",$K$4:$K$200,"&lt;=30",$C$4:$C$200,"&lt;20190630",AH$4:AH$200,"&gt;="&amp;AH36)&amp;"/"&amp;COUNTIFS(AH$4:AH$200,"&lt;&gt;-",$D$4:$D$200,"&lt;&gt;是",$E$4:$E$200,"&lt;&gt;封闭期",$H$4:$H$200,"&gt;10",$BN$4:$BN$200,"&gt;-6",$BR$4:$BR$200,"&gt;=70",$C$4:$C$200,"&lt;20190630",$K$4:$K$200,"&lt;=30"))</f>
        <v>-</v>
      </c>
      <c r="AL36" s="33" t="str">
        <f>IF(OR($C36&gt;20190630,$K36&gt;30,AH36="-",$D36="是",$E36="封闭期",$H36&lt;10,$BN36&lt;-6,$BR36&lt;70),"-",COUNTIFS(AH$4:AH$200,"&lt;&gt;-",$D$4:$D$200,"&lt;&gt;是",$E$4:$E$200,"&lt;&gt;封闭期",$H$4:$H$200,"&gt;10",$BN$4:$BN$200,"&gt;-6",$BR$4:$BR$200,"&gt;=70",$K$4:$K$200,"&lt;=30",$C$4:$C$200,"&lt;20190630",AH$4:AH$200,"&gt;="&amp;AH36)/COUNTIFS(AH$4:AH$200,"&lt;&gt;-",$D$4:$D$200,"&lt;&gt;是",$E$4:$E$200,"&lt;&gt;封闭期",$H$4:$H$200,"&gt;10",$BN$4:$BN$200,"&gt;-6",$BR$4:$BR$200,"&gt;=70",$C$4:$C$200,"&lt;20190630",$K$4:$K$200,"&lt;=30"))</f>
        <v>-</v>
      </c>
      <c r="AM36" s="19">
        <f>[1]!f_return($A36,"1",AM$2,$L$2)</f>
        <v>11.753576976116985</v>
      </c>
      <c r="AN36" s="19">
        <f>[1]!f_risk_stdevyearly($A36,AM$2,$L$2,1,1)</f>
        <v>12.813385682937367</v>
      </c>
      <c r="AO36" s="19">
        <f>IFERROR(AM36/AN36,"-")</f>
        <v>0.91728894040615272</v>
      </c>
      <c r="AP36" s="19" t="str">
        <f>IFERROR(RANK(AO36,AO:AO)&amp;"/"&amp;COUNT(AO:AO),"-")</f>
        <v>167/197</v>
      </c>
      <c r="AQ36" s="26">
        <f>IF(AP36="-","-",RANK(AO36,AO:AO)/COUNT(AO:AO))</f>
        <v>0.84771573604060912</v>
      </c>
      <c r="AR36" s="57">
        <v>0.16751269035532995</v>
      </c>
      <c r="AS36" s="33" t="str">
        <f>IF(OR($C36&gt;20190630,$K36&gt;30,AO36="-",$D36="是",$E36="封闭期",$H36&lt;10,$BN36&lt;-6,$BR36&lt;70),"-",COUNTIFS(AO$4:AO$200,"&lt;&gt;-",$D$4:$D$200,"&lt;&gt;是",$E$4:$E$200,"&lt;&gt;封闭期",$H$4:$H$200,"&gt;10",$BN$4:$BN$200,"&gt;-6",$BR$4:$BR$200,"&gt;=70",$K$4:$K$200,"&lt;=30",$C$4:$C$200,"&lt;20190630",AO$4:AO$200,"&gt;="&amp;AO36)/COUNTIFS(AO$4:AO$200,"&lt;&gt;-",$D$4:$D$200,"&lt;&gt;是",$E$4:$E$200,"&lt;&gt;封闭期",$H$4:$H$200,"&gt;10",$BN$4:$BN$200,"&gt;-6",$BR$4:$BR$200,"&gt;=70",$C$4:$C$200,"&lt;20190630",$K$4:$K$200,"&lt;=30"))</f>
        <v>-</v>
      </c>
      <c r="AT36" s="19">
        <f>IFERROR((AM36-3)/AN36,"-")</f>
        <v>0.68315878353474313</v>
      </c>
      <c r="AU36" s="19" t="str">
        <f>IFERROR(RANK(AT36,AT:AT)&amp;"/"&amp;COUNT(AT:AT),"-")</f>
        <v>121/197</v>
      </c>
      <c r="AV36" s="26">
        <f>IFERROR(RANK(AT36,AT:AT)/COUNT(AT:AT),"-")</f>
        <v>0.6142131979695431</v>
      </c>
      <c r="AW36" s="34" t="str">
        <f>IF(OR($C36&gt;20190630,$K36&gt;30,AT36="-",$D36="是",$E36="封闭期",$H36&lt;10,$BN36&lt;-6,$BR36&lt;70),"-",COUNTIFS(AT$4:AT$200,"&lt;&gt;-",$D$4:$D$200,"&lt;&gt;是",$E$4:$E$200,"&lt;&gt;封闭期",$H$4:$H$200,"&gt;10",$BN$4:$BN$200,"&gt;-6",$BR$4:$BR$200,"&gt;=70",$K$4:$K$200,"&lt;=30",$C$4:$C$200,"&lt;20190630",AT$4:AT$200,"&gt;="&amp;AT36)&amp;"/"&amp;COUNTIFS(AT$4:AT$200,"&lt;&gt;-",$D$4:$D$200,"&lt;&gt;是",$E$4:$E$200,"&lt;&gt;封闭期",$H$4:$H$200,"&gt;10",$BN$4:$BN$200,"&gt;-6",$BR$4:$BR$200,"&gt;=70",$C$4:$C$200,"&lt;20190630",$K$4:$K$200,"&lt;=30"))</f>
        <v>-</v>
      </c>
      <c r="AX36" s="33" t="str">
        <f>IF(OR($C36&gt;20190630,$K36&gt;30,AT36="-",$D36="是",$E36="封闭期",$H36&lt;10,$BN36&lt;-6,$BR36&lt;70),"-",COUNTIFS(AT$4:AT$200,"&lt;&gt;-",$D$4:$D$200,"&lt;&gt;是",$E$4:$E$200,"&lt;&gt;封闭期",$H$4:$H$200,"&gt;10",$BN$4:$BN$200,"&gt;-6",$BR$4:$BR$200,"&gt;=70",$K$4:$K$200,"&lt;=30",$C$4:$C$200,"&lt;20190630",AT$4:AT$200,"&gt;="&amp;AT36)/COUNTIFS(AT$4:AT$200,"&lt;&gt;-",$D$4:$D$200,"&lt;&gt;是",$E$4:$E$200,"&lt;&gt;封闭期",$H$4:$H$200,"&gt;10",$BN$4:$BN$200,"&gt;-6",$BR$4:$BR$200,"&gt;=70",$C$4:$C$200,"&lt;20190630",$K$4:$K$200,"&lt;=30"))</f>
        <v>-</v>
      </c>
      <c r="AY36" s="19">
        <f>[1]!f_risk_calmar(A36,$AM$2,$L$2)</f>
        <v>1.6890902012035691</v>
      </c>
      <c r="AZ36" s="19" t="str">
        <f>IFERROR(RANK(AY36,AY:AY)&amp;"/"&amp;COUNT(AY:AY),"-")</f>
        <v>133/197</v>
      </c>
      <c r="BA36" s="26">
        <f>IFERROR(RANK(AY36,AY:AY)/COUNT(AY:AY),"-")</f>
        <v>0.67512690355329952</v>
      </c>
      <c r="BB36" s="34" t="str">
        <f>IF(OR($C36&gt;20190630,$K36&gt;30,AY36="-",$D36="是",$E36="封闭期",$H36&lt;10,$BN36&lt;-6,$BR36&lt;70),"-",COUNTIFS(AY$4:AY$200,"&lt;&gt;-",$D$4:$D$200,"&lt;&gt;是",$E$4:$E$200,"&lt;&gt;封闭期",$H$4:$H$200,"&gt;10",$BN$4:$BN$200,"&gt;-6",$BR$4:$BR$200,"&gt;=70",$K$4:$K$200,"&lt;=30",$C$4:$C$200,"&lt;20190630",AY$4:AY$200,"&gt;="&amp;AY36)&amp;"/"&amp;COUNTIFS(AY$4:AY$200,"&lt;&gt;-",$D$4:$D$200,"&lt;&gt;是",$E$4:$E$200,"&lt;&gt;封闭期",$H$4:$H$200,"&gt;10",$BN$4:$BN$200,"&gt;-6",$BR$4:$BR$200,"&gt;=70",$C$4:$C$200,"&lt;20190630",$K$4:$K$200,"&lt;=30"))</f>
        <v>-</v>
      </c>
      <c r="BC36" s="33" t="str">
        <f>IF(OR($C36&gt;20190630,$K36&gt;30,AY36="-",$D36="是",$E36="封闭期",$H36&lt;10,$BN36&lt;-6,$BR36&lt;70),"-",COUNTIFS(AY$4:AY$200,"&lt;&gt;-",$D$4:$D$200,"&lt;&gt;是",$E$4:$E$200,"&lt;&gt;封闭期",$H$4:$H$200,"&gt;10",$BN$4:$BN$200,"&gt;-6",$BR$4:$BR$200,"&gt;=70",$K$4:$K$200,"&lt;=30",$C$4:$C$200,"&lt;20190630",AY$4:AY$200,"&gt;="&amp;AY36)/COUNTIFS(AY$4:AY$200,"&lt;&gt;-",$D$4:$D$200,"&lt;&gt;是",$E$4:$E$200,"&lt;&gt;封闭期",$H$4:$H$200,"&gt;10",$BN$4:$BN$200,"&gt;-6",$BR$4:$BR$200,"&gt;=70",$C$4:$C$200,"&lt;20190630",$K$4:$K$200,"&lt;=30"))</f>
        <v>-</v>
      </c>
      <c r="BD36" s="20">
        <v>0.85833333333333328</v>
      </c>
      <c r="BE36" s="19" t="str">
        <f>IFERROR(RANK(BD36,BD:BD)&amp;"/"&amp;COUNT(BD:BD),"-")</f>
        <v>169/197</v>
      </c>
      <c r="BF36" s="26">
        <f>IFERROR(RANK(BD36,BD:BD)/COUNT(BD:BD),"-")</f>
        <v>0.85786802030456855</v>
      </c>
      <c r="BG36" s="34" t="str">
        <f>IF(OR($C36&gt;20190630,$K36&gt;30,BD36="-",$D36="是",$E36="封闭期",$H36&lt;10,$BN36&lt;-6,$BR36&lt;70),"-",COUNTIFS(BD$4:BD$200,"&lt;&gt;-",$D$4:$D$200,"&lt;&gt;是",$E$4:$E$200,"&lt;&gt;封闭期",$H$4:$H$200,"&gt;10",$BN$4:$BN$200,"&gt;-6",$BR$4:$BR$200,"&gt;=70",$K$4:$K$200,"&lt;=30",$C$4:$C$200,"&lt;20190630",BD$4:BD$200,"&gt;="&amp;BD36)&amp;"/"&amp;COUNTIFS(BD$4:BD$200,"&lt;&gt;-",$D$4:$D$200,"&lt;&gt;是",$E$4:$E$200,"&lt;&gt;封闭期",$H$4:$H$200,"&gt;10",$BN$4:$BN$200,"&gt;-6",$BR$4:$BR$200,"&gt;=70",$C$4:$C$200,"&lt;20190630",$K$4:$K$200,"&lt;=30"))</f>
        <v>-</v>
      </c>
      <c r="BH36" s="33" t="str">
        <f>IF(OR($C36&gt;20190630,$K36&gt;30,BD36="-",$D36="是",$E36="封闭期",$H36&lt;10,$BN36&lt;-6,$BR36&lt;70),"-",COUNTIFS(BD$4:BD$200,"&lt;&gt;-",$D$4:$D$200,"&lt;&gt;是",$E$4:$E$200,"&lt;&gt;封闭期",$H$4:$H$200,"&gt;10",$BN$4:$BN$200,"&gt;-6",$BR$4:$BR$200,"&gt;=70",$K$4:$K$200,"&lt;=30",$C$4:$C$200,"&lt;20190630",BD$4:BD$200,"&gt;="&amp;BD36)/COUNTIFS(BD$4:BD$200,"&lt;&gt;-",$D$4:$D$200,"&lt;&gt;是",$E$4:$E$200,"&lt;&gt;封闭期",$H$4:$H$200,"&gt;10",$BN$4:$BN$200,"&gt;-6",$BR$4:$BR$200,"&gt;=70",$C$4:$C$200,"&lt;20190630",$K$4:$K$200,"&lt;=30"))</f>
        <v>-</v>
      </c>
      <c r="BI36" s="21">
        <f>[1]!f_risk_maxdownside(A36,$AM$2,$L$2)</f>
        <v>-6.9585253456221103</v>
      </c>
      <c r="BJ36" s="19" t="str">
        <f>IFERROR(RANK(BI36,BI:BI)&amp;"/"&amp;COUNT(BI:BI),"-")</f>
        <v>180/197</v>
      </c>
      <c r="BK36" s="26">
        <f>IFERROR(RANK(BI36,BI:BI)/COUNT(BI:BI),"-")</f>
        <v>0.91370558375634514</v>
      </c>
      <c r="BL36" s="34" t="str">
        <f>IF(OR($C36&gt;20190630,$K36&gt;30,BI36="-",$D36="是",$E36="封闭期",$H36&lt;10,$BN36&lt;-6,$BR36&lt;70),"-",COUNTIFS(BI$4:BI$200,"&lt;&gt;-",$D$4:$D$200,"&lt;&gt;是",$E$4:$E$200,"&lt;&gt;封闭期",$H$4:$H$200,"&gt;10",$BN$4:$BN$200,"&gt;-6",$BR$4:$BR$200,"&gt;=70",$K$4:$K$200,"&lt;=30",$C$4:$C$200,"&lt;20190630",BI$4:BI$200,"&gt;="&amp;BI36)&amp;"/"&amp;COUNTIFS(BI$4:BI$200,"&lt;&gt;-",$D$4:$D$200,"&lt;&gt;是",$E$4:$E$200,"&lt;&gt;封闭期",$H$4:$H$200,"&gt;10",$BN$4:$BN$200,"&gt;-6",$BR$4:$BR$200,"&gt;=70",$C$4:$C$200,"&lt;20190630",$K$4:$K$200,"&lt;=30"))</f>
        <v>-</v>
      </c>
      <c r="BM36" s="33" t="str">
        <f>IF(OR($C36&gt;20190630,$K36&gt;30,BI36="-",$D36="是",$E36="封闭期",$H36&lt;10,$BN36&lt;-6,$BR36&lt;70),"-",COUNTIFS(BI$4:BI$200,"&lt;&gt;-",$D$4:$D$200,"&lt;&gt;是",$E$4:$E$200,"&lt;&gt;封闭期",$H$4:$H$200,"&gt;10",$BN$4:$BN$200,"&gt;-6",$BR$4:$BR$200,"&gt;=70",$K$4:$K$200,"&lt;=30",$C$4:$C$200,"&lt;20190630",BI$4:BI$200,"&gt;="&amp;BI36)/COUNTIFS(BI$4:BI$200,"&lt;&gt;-",$D$4:$D$200,"&lt;&gt;是",$E$4:$E$200,"&lt;&gt;封闭期",$H$4:$H$200,"&gt;10",$BN$4:$BN$200,"&gt;-6",$BR$4:$BR$200,"&gt;=70",$C$4:$C$200,"&lt;20190630",$K$4:$K$200,"&lt;=30"))</f>
        <v>-</v>
      </c>
      <c r="BN36" s="21">
        <f>[1]!f_risk_maxdownside(A36,$AM$2,$E$1)</f>
        <v>-6.9585253456221103</v>
      </c>
      <c r="BO36" s="21">
        <f>IF(C36&lt;20190930,[1]!f_return_2y(A36,"0","20210930"),"-")</f>
        <v>24.701236620596479</v>
      </c>
      <c r="BP36" s="19" t="str">
        <f>IFERROR(RANK(BO36,BO:BO)&amp;"/"&amp;COUNT(BO:BO),"-")</f>
        <v>24/197</v>
      </c>
      <c r="BQ36" s="25">
        <f>IFERROR(RANK(BO36,BO:BO)/COUNT(BO:BO),"-")</f>
        <v>0.12182741116751269</v>
      </c>
      <c r="BR36" s="19">
        <f>IF(C36&lt;20190930,[1]!f_absolute_profitmonthper(A36,"20190930","20210930"),"-")</f>
        <v>54.166666666666664</v>
      </c>
      <c r="BS36" s="19" t="str">
        <f>IFERROR(RANK(BR36,BR:BR)&amp;"/"&amp;COUNT(BR:BR),"-")</f>
        <v>184/198</v>
      </c>
      <c r="BT36" s="25">
        <f>IFERROR(RANK(BR36,BR:BR)/COUNT(BR:BR),"-")</f>
        <v>0.92929292929292928</v>
      </c>
      <c r="BV36" s="12">
        <f>X36-3/M36</f>
        <v>1.5053989918136517</v>
      </c>
      <c r="BW36" s="76">
        <f>IFERROR(RANK(BV36,BV:BV)/COUNT(BV:BV),"-")</f>
        <v>0.45177664974619292</v>
      </c>
      <c r="BX36" s="76">
        <f>IFERROR(RANK(L36,L:L)/COUNT(L:L),"-")</f>
        <v>0.12626262626262627</v>
      </c>
      <c r="BY36" s="12">
        <f>AY36-3/AN36</f>
        <v>1.4549600443321595</v>
      </c>
      <c r="BZ36" s="76">
        <f>IFERROR(RANK(BY36,BY:BY)/COUNT(BY:BY),"-")</f>
        <v>0.54314720812182737</v>
      </c>
      <c r="CA36" s="76">
        <f>IFERROR(RANK(AM36,AM:AM)/COUNT(AM:AM),"-")</f>
        <v>0.17171717171717171</v>
      </c>
      <c r="CB36" s="2"/>
      <c r="CC36" s="77">
        <f>AV36+BF36+BZ36+CA36</f>
        <v>2.1869455981131107</v>
      </c>
      <c r="CD36" s="77">
        <f>BW36+BX36+AE36+U36</f>
        <v>0.94859765164333698</v>
      </c>
      <c r="CE36" s="77">
        <f>CC36+CD36</f>
        <v>3.1355432497564477</v>
      </c>
    </row>
    <row r="37" spans="1:83" s="17" customFormat="1" x14ac:dyDescent="0.35">
      <c r="A37" s="15" t="s">
        <v>109</v>
      </c>
      <c r="B37" s="15" t="s">
        <v>110</v>
      </c>
      <c r="C37" s="16">
        <v>20120229</v>
      </c>
      <c r="D37" s="16" t="str">
        <f>[1]!f_info_regulopenfundornot(A37)</f>
        <v>否</v>
      </c>
      <c r="E37" s="16" t="str">
        <f>[1]!f_dq_status(A37,$E$1)</f>
        <v>开放申购|开放赎回</v>
      </c>
      <c r="F37" s="17" t="str">
        <f>[1]!f_info_fundmanager(A37)</f>
        <v>王衍胜,王申</v>
      </c>
      <c r="G37" s="16">
        <v>20180319</v>
      </c>
      <c r="H37" s="18">
        <f>[1]!f_netasset_total(A37,$E$1,100000000)</f>
        <v>14.988705746099999</v>
      </c>
      <c r="I37" s="18">
        <f>[1]!f_prt_convertiblebondtonav(A37,$E$1)</f>
        <v>12.19511604309082</v>
      </c>
      <c r="J37" s="18">
        <f>[1]!f_prt_stocktonav(A37,$E$1)+0.5*I37</f>
        <v>22.173418998718262</v>
      </c>
      <c r="K37" s="19">
        <v>6.7017127230038982</v>
      </c>
      <c r="L37" s="19">
        <f>[1]!f_return($A37,"1",L$2,$E$1)</f>
        <v>-0.92831959667997177</v>
      </c>
      <c r="M37" s="19">
        <f>[1]!f_risk_stdevyearly($A37,L$2,$E$1,1,1)</f>
        <v>6.289036466409101</v>
      </c>
      <c r="N37" s="19">
        <f>IFERROR(L37/M37,"-")</f>
        <v>-0.1476091928609887</v>
      </c>
      <c r="O37" s="19" t="str">
        <f>IFERROR(RANK(N37,N:N)&amp;"/"&amp;COUNT(N:N),"-")</f>
        <v>190/197</v>
      </c>
      <c r="P37" s="26">
        <f>IF(O37="-","-",RANK(N37,N:N)/COUNT(N:N))</f>
        <v>0.96446700507614214</v>
      </c>
      <c r="Q37" s="56">
        <v>0.96446700507614214</v>
      </c>
      <c r="R37" s="33" t="str">
        <f>IF(OR($C37&gt;20190630,$K37&gt;30,N37="-",$D37="是",$E37="封闭期",$H37&lt;10,$BN37&lt;-6,$BR37&lt;70),"-",COUNTIFS(N$4:N$200,"&lt;&gt;-",$D$4:$D$200,"&lt;&gt;是",$E$4:$E$200,"&lt;&gt;封闭期",$H$4:$H$200,"&gt;10",$BN$4:$BN$200,"&gt;-6",$BR$4:$BR$200,"&gt;=70",$K$4:$K$200,"&lt;=30",$C$4:$C$200,"&lt;20190630",N$4:N$200,"&gt;="&amp;N37)/COUNTIFS(N$4:N$200,"&lt;&gt;-",$D$4:$D$200,"&lt;&gt;是",$E$4:$E$200,"&lt;&gt;封闭期",$H$4:$H$200,"&gt;10",$BN$4:$BN$200,"&gt;-6",$BR$4:$BR$200,"&gt;=70",$C$4:$C$200,"&lt;20190630",$K$4:$K$200,"&lt;=30"))</f>
        <v>-</v>
      </c>
      <c r="S37" s="19">
        <f>IFERROR((L37-3)/M37,"-")</f>
        <v>-0.62462980102943411</v>
      </c>
      <c r="T37" s="19" t="str">
        <f>IFERROR(RANK(S37,S:S)&amp;"/"&amp;COUNT(S:S),"-")</f>
        <v>185/197</v>
      </c>
      <c r="U37" s="26">
        <f>IFERROR(RANK(S37,S:S)/COUNT(S:S),"-")</f>
        <v>0.93908629441624369</v>
      </c>
      <c r="V37" s="34" t="str">
        <f>IF(OR($C37&gt;20190630,$K37&gt;30,S37="-",$D37="是",$E37="封闭期",$H37&lt;10,$BN37&lt;-6,$BR37&lt;70),"-",COUNTIFS(S$4:S$200,"&lt;&gt;-",$D$4:$D$200,"&lt;&gt;是",$E$4:$E$200,"&lt;&gt;封闭期",$H$4:$H$200,"&gt;10",$BN$4:$BN$200,"&gt;-6",$BR$4:$BR$200,"&gt;=70",$K$4:$K$200,"&lt;=30",$C$4:$C$200,"&lt;20190630",S$4:S$200,"&gt;="&amp;S37)&amp;"/"&amp;COUNTIFS(S$4:S$200,"&lt;&gt;-",$D$4:$D$200,"&lt;&gt;是",$E$4:$E$200,"&lt;&gt;封闭期",$H$4:$H$200,"&gt;10",$BN$4:$BN$200,"&gt;-6",$BR$4:$BR$200,"&gt;=70",$C$4:$C$200,"&lt;20190630",$K$4:$K$200,"&lt;=30"))</f>
        <v>-</v>
      </c>
      <c r="W37" s="33" t="str">
        <f>IF(OR($C37&gt;20190630,$K37&gt;30,S37="-",$D37="是",$E37="封闭期",$H37&lt;10,$BN37&lt;-6,$BR37&lt;70),"-",COUNTIFS(S$4:S$200,"&lt;&gt;-",$D$4:$D$200,"&lt;&gt;是",$E$4:$E$200,"&lt;&gt;封闭期",$H$4:$H$200,"&gt;10",$BN$4:$BN$200,"&gt;-6",$BR$4:$BR$200,"&gt;=70",$K$4:$K$200,"&lt;=30",$C$4:$C$200,"&lt;20190630",S$4:S$200,"&gt;="&amp;S37)/COUNTIFS(S$4:S$200,"&lt;&gt;-",$D$4:$D$200,"&lt;&gt;是",$E$4:$E$200,"&lt;&gt;封闭期",$H$4:$H$200,"&gt;10",$BN$4:$BN$200,"&gt;-6",$BR$4:$BR$200,"&gt;=70",$C$4:$C$200,"&lt;20190630",$K$4:$K$200,"&lt;=30"))</f>
        <v>-</v>
      </c>
      <c r="X37" s="19">
        <f>[1]!f_risk_calmar(A37,$L$2,$E$1)</f>
        <v>-0.1620433429315821</v>
      </c>
      <c r="Y37" s="19" t="str">
        <f>IFERROR(RANK(X37,X:X)&amp;"/"&amp;COUNT(X:X),"-")</f>
        <v>190/197</v>
      </c>
      <c r="Z37" s="26">
        <f>IFERROR(RANK(X37,X:X)/COUNT(X:X),"-")</f>
        <v>0.96446700507614214</v>
      </c>
      <c r="AA37" s="34" t="str">
        <f>IF(OR($C37&gt;20190630,$K37&gt;30,X37="-",$D37="是",$E37="封闭期",$H37&lt;10,$BN37&lt;-6,$BR37&lt;70),"-",COUNTIFS(X$4:X$200,"&lt;&gt;-",$D$4:$D$200,"&lt;&gt;是",$E$4:$E$200,"&lt;&gt;封闭期",$H$4:$H$200,"&gt;10",$BN$4:$BN$200,"&gt;-6",$BR$4:$BR$200,"&gt;=70",$K$4:$K$200,"&lt;=30",$C$4:$C$200,"&lt;20190630",X$4:X$200,"&gt;="&amp;X37)&amp;"/"&amp;COUNTIFS(X$4:X$200,"&lt;&gt;-",$D$4:$D$200,"&lt;&gt;是",$E$4:$E$200,"&lt;&gt;封闭期",$H$4:$H$200,"&gt;10",$BN$4:$BN$200,"&gt;-6",$BR$4:$BR$200,"&gt;=70",$C$4:$C$200,"&lt;20190630",$K$4:$K$200,"&lt;=30"))</f>
        <v>-</v>
      </c>
      <c r="AB37" s="33" t="str">
        <f>IF(OR($C37&gt;20190630,$K37&gt;30,X37="-",$D37="是",$E37="封闭期",$H37&lt;10,$BN37&lt;-6,$BR37&lt;70),"-",COUNTIFS(X$4:X$200,"&lt;&gt;-",$D$4:$D$200,"&lt;&gt;是",$E$4:$E$200,"&lt;&gt;封闭期",$H$4:$H$200,"&gt;10",$BN$4:$BN$200,"&gt;-6",$BR$4:$BR$200,"&gt;=70",$K$4:$K$200,"&lt;=30",$C$4:$C$200,"&lt;20190630",X$4:X$200,"&gt;="&amp;X37)/COUNTIFS(X$4:X$200,"&lt;&gt;-",$D$4:$D$200,"&lt;&gt;是",$E$4:$E$200,"&lt;&gt;封闭期",$H$4:$H$200,"&gt;10",$BN$4:$BN$200,"&gt;-6",$BR$4:$BR$200,"&gt;=70",$C$4:$C$200,"&lt;20190630",$K$4:$K$200,"&lt;=30"))</f>
        <v>-</v>
      </c>
      <c r="AC37" s="20">
        <v>0.58823529411764708</v>
      </c>
      <c r="AD37" s="19" t="str">
        <f>IFERROR(RANK(AC37,AC:AC)&amp;"/"&amp;COUNT(AC:AC),"-")</f>
        <v>181/197</v>
      </c>
      <c r="AE37" s="26">
        <f>IFERROR(RANK(AC37,AC:AC)/COUNT(AC:AC),"-")</f>
        <v>0.91878172588832485</v>
      </c>
      <c r="AF37" s="34" t="str">
        <f>IF(OR($C37&gt;20190630,$K37&gt;30,AC37="-",$D37="是",$E37="封闭期",$H37&lt;10,$BN37&lt;-6,$BR37&lt;70),"-",COUNTIFS(AC$4:AC$200,"&lt;&gt;-",$D$4:$D$200,"&lt;&gt;是",$E$4:$E$200,"&lt;&gt;封闭期",$H$4:$H$200,"&gt;10",$BN$4:$BN$200,"&gt;-6",$BR$4:$BR$200,"&gt;=70",$K$4:$K$200,"&lt;=30",$C$4:$C$200,"&lt;20190630",AC$4:AC$200,"&gt;="&amp;AC37)&amp;"/"&amp;COUNTIFS(AC$4:AC$200,"&lt;&gt;-",$D$4:$D$200,"&lt;&gt;是",$E$4:$E$200,"&lt;&gt;封闭期",$H$4:$H$200,"&gt;10",$BN$4:$BN$200,"&gt;-6",$BR$4:$BR$200,"&gt;=70",$C$4:$C$200,"&lt;20190630",$K$4:$K$200,"&lt;=30"))</f>
        <v>-</v>
      </c>
      <c r="AG37" s="33" t="str">
        <f>IF(OR($C37&gt;20190630,$K37&gt;30,AC37="-",$D37="是",$E37="封闭期",$H37&lt;10,$BN37&lt;-6,$BR37&lt;70),"-",COUNTIFS(AC$4:AC$200,"&lt;&gt;-",$D$4:$D$200,"&lt;&gt;是",$E$4:$E$200,"&lt;&gt;封闭期",$H$4:$H$200,"&gt;10",$BN$4:$BN$200,"&gt;-6",$BR$4:$BR$200,"&gt;=70",$K$4:$K$200,"&lt;=30",$C$4:$C$200,"&lt;20190630",AC$4:AC$200,"&gt;="&amp;AC37)/COUNTIFS(AC$4:AC$200,"&lt;&gt;-",$D$4:$D$200,"&lt;&gt;是",$E$4:$E$200,"&lt;&gt;封闭期",$H$4:$H$200,"&gt;10",$BN$4:$BN$200,"&gt;-6",$BR$4:$BR$200,"&gt;=70",$C$4:$C$200,"&lt;20190630",$K$4:$K$200,"&lt;=30"))</f>
        <v>-</v>
      </c>
      <c r="AH37" s="21">
        <f>[1]!f_risk_maxdownside(A37,$L$2,$E$1)</f>
        <v>-5.7288351368554933</v>
      </c>
      <c r="AI37" s="19" t="str">
        <f>IFERROR(RANK(AH37,AH:AH)&amp;"/"&amp;COUNT(AH:AH),"-")</f>
        <v>168/197</v>
      </c>
      <c r="AJ37" s="26">
        <f>IFERROR(RANK(AH37,AH:AH)/COUNT(AH:AH),"-")</f>
        <v>0.85279187817258884</v>
      </c>
      <c r="AK37" s="34" t="str">
        <f>IF(OR($C37&gt;20190630,$K37&gt;30,AH37="-",$D37="是",$E37="封闭期",$H37&lt;10,$BN37&lt;-6,$BR37&lt;70),"-",COUNTIFS(AH$4:AH$200,"&lt;&gt;-",$D$4:$D$200,"&lt;&gt;是",$E$4:$E$200,"&lt;&gt;封闭期",$H$4:$H$200,"&gt;10",$BN$4:$BN$200,"&gt;-6",$BR$4:$BR$200,"&gt;=70",$K$4:$K$200,"&lt;=30",$C$4:$C$200,"&lt;20190630",AH$4:AH$200,"&gt;="&amp;AH37)&amp;"/"&amp;COUNTIFS(AH$4:AH$200,"&lt;&gt;-",$D$4:$D$200,"&lt;&gt;是",$E$4:$E$200,"&lt;&gt;封闭期",$H$4:$H$200,"&gt;10",$BN$4:$BN$200,"&gt;-6",$BR$4:$BR$200,"&gt;=70",$C$4:$C$200,"&lt;20190630",$K$4:$K$200,"&lt;=30"))</f>
        <v>-</v>
      </c>
      <c r="AL37" s="33" t="str">
        <f>IF(OR($C37&gt;20190630,$K37&gt;30,AH37="-",$D37="是",$E37="封闭期",$H37&lt;10,$BN37&lt;-6,$BR37&lt;70),"-",COUNTIFS(AH$4:AH$200,"&lt;&gt;-",$D$4:$D$200,"&lt;&gt;是",$E$4:$E$200,"&lt;&gt;封闭期",$H$4:$H$200,"&gt;10",$BN$4:$BN$200,"&gt;-6",$BR$4:$BR$200,"&gt;=70",$K$4:$K$200,"&lt;=30",$C$4:$C$200,"&lt;20190630",AH$4:AH$200,"&gt;="&amp;AH37)/COUNTIFS(AH$4:AH$200,"&lt;&gt;-",$D$4:$D$200,"&lt;&gt;是",$E$4:$E$200,"&lt;&gt;封闭期",$H$4:$H$200,"&gt;10",$BN$4:$BN$200,"&gt;-6",$BR$4:$BR$200,"&gt;=70",$C$4:$C$200,"&lt;20190630",$K$4:$K$200,"&lt;=30"))</f>
        <v>-</v>
      </c>
      <c r="AM37" s="19">
        <f>[1]!f_return($A37,"1",AM$2,$L$2)</f>
        <v>11.736047110560687</v>
      </c>
      <c r="AN37" s="19">
        <f>[1]!f_risk_stdevyearly($A37,AM$2,$L$2,1,1)</f>
        <v>5.5170513535741952</v>
      </c>
      <c r="AO37" s="19">
        <f>IFERROR(AM37/AN37,"-")</f>
        <v>2.1272318052572676</v>
      </c>
      <c r="AP37" s="19" t="str">
        <f>IFERROR(RANK(AO37,AO:AO)&amp;"/"&amp;COUNT(AO:AO),"-")</f>
        <v>39/197</v>
      </c>
      <c r="AQ37" s="26">
        <f>IF(AP37="-","-",RANK(AO37,AO:AO)/COUNT(AO:AO))</f>
        <v>0.19796954314720813</v>
      </c>
      <c r="AR37" s="57">
        <v>0.17258883248730963</v>
      </c>
      <c r="AS37" s="33" t="str">
        <f>IF(OR($C37&gt;20190630,$K37&gt;30,AO37="-",$D37="是",$E37="封闭期",$H37&lt;10,$BN37&lt;-6,$BR37&lt;70),"-",COUNTIFS(AO$4:AO$200,"&lt;&gt;-",$D$4:$D$200,"&lt;&gt;是",$E$4:$E$200,"&lt;&gt;封闭期",$H$4:$H$200,"&gt;10",$BN$4:$BN$200,"&gt;-6",$BR$4:$BR$200,"&gt;=70",$K$4:$K$200,"&lt;=30",$C$4:$C$200,"&lt;20190630",AO$4:AO$200,"&gt;="&amp;AO37)/COUNTIFS(AO$4:AO$200,"&lt;&gt;-",$D$4:$D$200,"&lt;&gt;是",$E$4:$E$200,"&lt;&gt;封闭期",$H$4:$H$200,"&gt;10",$BN$4:$BN$200,"&gt;-6",$BR$4:$BR$200,"&gt;=70",$C$4:$C$200,"&lt;20190630",$K$4:$K$200,"&lt;=30"))</f>
        <v>-</v>
      </c>
      <c r="AT37" s="19">
        <f>IFERROR((AM37-3)/AN37,"-")</f>
        <v>1.5834630766851718</v>
      </c>
      <c r="AU37" s="19" t="str">
        <f>IFERROR(RANK(AT37,AT:AT)&amp;"/"&amp;COUNT(AT:AT),"-")</f>
        <v>24/197</v>
      </c>
      <c r="AV37" s="26">
        <f>IFERROR(RANK(AT37,AT:AT)/COUNT(AT:AT),"-")</f>
        <v>0.12182741116751269</v>
      </c>
      <c r="AW37" s="34" t="str">
        <f>IF(OR($C37&gt;20190630,$K37&gt;30,AT37="-",$D37="是",$E37="封闭期",$H37&lt;10,$BN37&lt;-6,$BR37&lt;70),"-",COUNTIFS(AT$4:AT$200,"&lt;&gt;-",$D$4:$D$200,"&lt;&gt;是",$E$4:$E$200,"&lt;&gt;封闭期",$H$4:$H$200,"&gt;10",$BN$4:$BN$200,"&gt;-6",$BR$4:$BR$200,"&gt;=70",$K$4:$K$200,"&lt;=30",$C$4:$C$200,"&lt;20190630",AT$4:AT$200,"&gt;="&amp;AT37)&amp;"/"&amp;COUNTIFS(AT$4:AT$200,"&lt;&gt;-",$D$4:$D$200,"&lt;&gt;是",$E$4:$E$200,"&lt;&gt;封闭期",$H$4:$H$200,"&gt;10",$BN$4:$BN$200,"&gt;-6",$BR$4:$BR$200,"&gt;=70",$C$4:$C$200,"&lt;20190630",$K$4:$K$200,"&lt;=30"))</f>
        <v>-</v>
      </c>
      <c r="AX37" s="33" t="str">
        <f>IF(OR($C37&gt;20190630,$K37&gt;30,AT37="-",$D37="是",$E37="封闭期",$H37&lt;10,$BN37&lt;-6,$BR37&lt;70),"-",COUNTIFS(AT$4:AT$200,"&lt;&gt;-",$D$4:$D$200,"&lt;&gt;是",$E$4:$E$200,"&lt;&gt;封闭期",$H$4:$H$200,"&gt;10",$BN$4:$BN$200,"&gt;-6",$BR$4:$BR$200,"&gt;=70",$K$4:$K$200,"&lt;=30",$C$4:$C$200,"&lt;20190630",AT$4:AT$200,"&gt;="&amp;AT37)/COUNTIFS(AT$4:AT$200,"&lt;&gt;-",$D$4:$D$200,"&lt;&gt;是",$E$4:$E$200,"&lt;&gt;封闭期",$H$4:$H$200,"&gt;10",$BN$4:$BN$200,"&gt;-6",$BR$4:$BR$200,"&gt;=70",$C$4:$C$200,"&lt;20190630",$K$4:$K$200,"&lt;=30"))</f>
        <v>-</v>
      </c>
      <c r="AY37" s="19">
        <f>[1]!f_risk_calmar(A37,$AM$2,$L$2)</f>
        <v>3.152545068664407</v>
      </c>
      <c r="AZ37" s="19" t="str">
        <f>IFERROR(RANK(AY37,AY:AY)&amp;"/"&amp;COUNT(AY:AY),"-")</f>
        <v>43/197</v>
      </c>
      <c r="BA37" s="26">
        <f>IFERROR(RANK(AY37,AY:AY)/COUNT(AY:AY),"-")</f>
        <v>0.21827411167512689</v>
      </c>
      <c r="BB37" s="34" t="str">
        <f>IF(OR($C37&gt;20190630,$K37&gt;30,AY37="-",$D37="是",$E37="封闭期",$H37&lt;10,$BN37&lt;-6,$BR37&lt;70),"-",COUNTIFS(AY$4:AY$200,"&lt;&gt;-",$D$4:$D$200,"&lt;&gt;是",$E$4:$E$200,"&lt;&gt;封闭期",$H$4:$H$200,"&gt;10",$BN$4:$BN$200,"&gt;-6",$BR$4:$BR$200,"&gt;=70",$K$4:$K$200,"&lt;=30",$C$4:$C$200,"&lt;20190630",AY$4:AY$200,"&gt;="&amp;AY37)&amp;"/"&amp;COUNTIFS(AY$4:AY$200,"&lt;&gt;-",$D$4:$D$200,"&lt;&gt;是",$E$4:$E$200,"&lt;&gt;封闭期",$H$4:$H$200,"&gt;10",$BN$4:$BN$200,"&gt;-6",$BR$4:$BR$200,"&gt;=70",$C$4:$C$200,"&lt;20190630",$K$4:$K$200,"&lt;=30"))</f>
        <v>-</v>
      </c>
      <c r="BC37" s="33" t="str">
        <f>IF(OR($C37&gt;20190630,$K37&gt;30,AY37="-",$D37="是",$E37="封闭期",$H37&lt;10,$BN37&lt;-6,$BR37&lt;70),"-",COUNTIFS(AY$4:AY$200,"&lt;&gt;-",$D$4:$D$200,"&lt;&gt;是",$E$4:$E$200,"&lt;&gt;封闭期",$H$4:$H$200,"&gt;10",$BN$4:$BN$200,"&gt;-6",$BR$4:$BR$200,"&gt;=70",$K$4:$K$200,"&lt;=30",$C$4:$C$200,"&lt;20190630",AY$4:AY$200,"&gt;="&amp;AY37)/COUNTIFS(AY$4:AY$200,"&lt;&gt;-",$D$4:$D$200,"&lt;&gt;是",$E$4:$E$200,"&lt;&gt;封闭期",$H$4:$H$200,"&gt;10",$BN$4:$BN$200,"&gt;-6",$BR$4:$BR$200,"&gt;=70",$C$4:$C$200,"&lt;20190630",$K$4:$K$200,"&lt;=30"))</f>
        <v>-</v>
      </c>
      <c r="BD37" s="20">
        <v>1</v>
      </c>
      <c r="BE37" s="19" t="str">
        <f>IFERROR(RANK(BD37,BD:BD)&amp;"/"&amp;COUNT(BD:BD),"-")</f>
        <v>1/197</v>
      </c>
      <c r="BF37" s="26">
        <f>IFERROR(RANK(BD37,BD:BD)/COUNT(BD:BD),"-")</f>
        <v>5.076142131979695E-3</v>
      </c>
      <c r="BG37" s="34" t="str">
        <f>IF(OR($C37&gt;20190630,$K37&gt;30,BD37="-",$D37="是",$E37="封闭期",$H37&lt;10,$BN37&lt;-6,$BR37&lt;70),"-",COUNTIFS(BD$4:BD$200,"&lt;&gt;-",$D$4:$D$200,"&lt;&gt;是",$E$4:$E$200,"&lt;&gt;封闭期",$H$4:$H$200,"&gt;10",$BN$4:$BN$200,"&gt;-6",$BR$4:$BR$200,"&gt;=70",$K$4:$K$200,"&lt;=30",$C$4:$C$200,"&lt;20190630",BD$4:BD$200,"&gt;="&amp;BD37)&amp;"/"&amp;COUNTIFS(BD$4:BD$200,"&lt;&gt;-",$D$4:$D$200,"&lt;&gt;是",$E$4:$E$200,"&lt;&gt;封闭期",$H$4:$H$200,"&gt;10",$BN$4:$BN$200,"&gt;-6",$BR$4:$BR$200,"&gt;=70",$C$4:$C$200,"&lt;20190630",$K$4:$K$200,"&lt;=30"))</f>
        <v>-</v>
      </c>
      <c r="BH37" s="33" t="str">
        <f>IF(OR($C37&gt;20190630,$K37&gt;30,BD37="-",$D37="是",$E37="封闭期",$H37&lt;10,$BN37&lt;-6,$BR37&lt;70),"-",COUNTIFS(BD$4:BD$200,"&lt;&gt;-",$D$4:$D$200,"&lt;&gt;是",$E$4:$E$200,"&lt;&gt;封闭期",$H$4:$H$200,"&gt;10",$BN$4:$BN$200,"&gt;-6",$BR$4:$BR$200,"&gt;=70",$K$4:$K$200,"&lt;=30",$C$4:$C$200,"&lt;20190630",BD$4:BD$200,"&gt;="&amp;BD37)/COUNTIFS(BD$4:BD$200,"&lt;&gt;-",$D$4:$D$200,"&lt;&gt;是",$E$4:$E$200,"&lt;&gt;封闭期",$H$4:$H$200,"&gt;10",$BN$4:$BN$200,"&gt;-6",$BR$4:$BR$200,"&gt;=70",$C$4:$C$200,"&lt;20190630",$K$4:$K$200,"&lt;=30"))</f>
        <v>-</v>
      </c>
      <c r="BI37" s="21">
        <f>[1]!f_risk_maxdownside(A37,$AM$2,$L$2)</f>
        <v>-3.7227214377406912</v>
      </c>
      <c r="BJ37" s="19" t="str">
        <f>IFERROR(RANK(BI37,BI:BI)&amp;"/"&amp;COUNT(BI:BI),"-")</f>
        <v>121/197</v>
      </c>
      <c r="BK37" s="26">
        <f>IFERROR(RANK(BI37,BI:BI)/COUNT(BI:BI),"-")</f>
        <v>0.6142131979695431</v>
      </c>
      <c r="BL37" s="34" t="str">
        <f>IF(OR($C37&gt;20190630,$K37&gt;30,BI37="-",$D37="是",$E37="封闭期",$H37&lt;10,$BN37&lt;-6,$BR37&lt;70),"-",COUNTIFS(BI$4:BI$200,"&lt;&gt;-",$D$4:$D$200,"&lt;&gt;是",$E$4:$E$200,"&lt;&gt;封闭期",$H$4:$H$200,"&gt;10",$BN$4:$BN$200,"&gt;-6",$BR$4:$BR$200,"&gt;=70",$K$4:$K$200,"&lt;=30",$C$4:$C$200,"&lt;20190630",BI$4:BI$200,"&gt;="&amp;BI37)&amp;"/"&amp;COUNTIFS(BI$4:BI$200,"&lt;&gt;-",$D$4:$D$200,"&lt;&gt;是",$E$4:$E$200,"&lt;&gt;封闭期",$H$4:$H$200,"&gt;10",$BN$4:$BN$200,"&gt;-6",$BR$4:$BR$200,"&gt;=70",$C$4:$C$200,"&lt;20190630",$K$4:$K$200,"&lt;=30"))</f>
        <v>-</v>
      </c>
      <c r="BM37" s="33" t="str">
        <f>IF(OR($C37&gt;20190630,$K37&gt;30,BI37="-",$D37="是",$E37="封闭期",$H37&lt;10,$BN37&lt;-6,$BR37&lt;70),"-",COUNTIFS(BI$4:BI$200,"&lt;&gt;-",$D$4:$D$200,"&lt;&gt;是",$E$4:$E$200,"&lt;&gt;封闭期",$H$4:$H$200,"&gt;10",$BN$4:$BN$200,"&gt;-6",$BR$4:$BR$200,"&gt;=70",$K$4:$K$200,"&lt;=30",$C$4:$C$200,"&lt;20190630",BI$4:BI$200,"&gt;="&amp;BI37)/COUNTIFS(BI$4:BI$200,"&lt;&gt;-",$D$4:$D$200,"&lt;&gt;是",$E$4:$E$200,"&lt;&gt;封闭期",$H$4:$H$200,"&gt;10",$BN$4:$BN$200,"&gt;-6",$BR$4:$BR$200,"&gt;=70",$C$4:$C$200,"&lt;20190630",$K$4:$K$200,"&lt;=30"))</f>
        <v>-</v>
      </c>
      <c r="BN37" s="21">
        <f>[1]!f_risk_maxdownside(A37,$AM$2,$E$1)</f>
        <v>-5.7288351368554933</v>
      </c>
      <c r="BO37" s="21">
        <f>IF(C37&lt;20190930,[1]!f_return_2y(A37,"0","20210930"),"-")</f>
        <v>10.78066914498142</v>
      </c>
      <c r="BP37" s="19" t="str">
        <f>IFERROR(RANK(BO37,BO:BO)&amp;"/"&amp;COUNT(BO:BO),"-")</f>
        <v>132/197</v>
      </c>
      <c r="BQ37" s="25">
        <f>IFERROR(RANK(BO37,BO:BO)/COUNT(BO:BO),"-")</f>
        <v>0.67005076142131981</v>
      </c>
      <c r="BR37" s="19">
        <f>IF(C37&lt;20190930,[1]!f_absolute_profitmonthper(A37,"20190930","20210930"),"-")</f>
        <v>58.333333333333336</v>
      </c>
      <c r="BS37" s="19" t="str">
        <f>IFERROR(RANK(BR37,BR:BR)&amp;"/"&amp;COUNT(BR:BR),"-")</f>
        <v>165/198</v>
      </c>
      <c r="BT37" s="25">
        <f>IFERROR(RANK(BR37,BR:BR)/COUNT(BR:BR),"-")</f>
        <v>0.83333333333333337</v>
      </c>
      <c r="BV37" s="12">
        <f>X37-3/M37</f>
        <v>-0.63906395110002745</v>
      </c>
      <c r="BW37" s="76">
        <f>IFERROR(RANK(BV37,BV:BV)/COUNT(BV:BV),"-")</f>
        <v>0.93401015228426398</v>
      </c>
      <c r="BX37" s="76">
        <f>IFERROR(RANK(L37,L:L)/COUNT(L:L),"-")</f>
        <v>0.96464646464646464</v>
      </c>
      <c r="BY37" s="12">
        <f>AY37-3/AN37</f>
        <v>2.6087763400923114</v>
      </c>
      <c r="BZ37" s="76">
        <f>IFERROR(RANK(BY37,BY:BY)/COUNT(BY:BY),"-")</f>
        <v>0.18781725888324874</v>
      </c>
      <c r="CA37" s="76">
        <f>IFERROR(RANK(AM37,AM:AM)/COUNT(AM:AM),"-")</f>
        <v>0.17676767676767677</v>
      </c>
      <c r="CB37" s="2"/>
      <c r="CC37" s="77">
        <f>AV37+BF37+BZ37+CA37</f>
        <v>0.49148848895041786</v>
      </c>
      <c r="CD37" s="77">
        <f>BW37+BX37+AE37+U37</f>
        <v>3.7565246372352972</v>
      </c>
      <c r="CE37" s="77">
        <f>CC37+CD37</f>
        <v>4.2480131261857146</v>
      </c>
    </row>
    <row r="38" spans="1:83" s="2" customFormat="1" x14ac:dyDescent="0.35">
      <c r="A38" s="3" t="s">
        <v>67</v>
      </c>
      <c r="B38" s="3" t="s">
        <v>68</v>
      </c>
      <c r="C38" s="4">
        <v>20130918</v>
      </c>
      <c r="D38" s="4" t="str">
        <f>[1]!f_info_regulopenfundornot(A38)</f>
        <v>否</v>
      </c>
      <c r="E38" s="4" t="str">
        <f>[1]!f_dq_status(A38,$E$1)</f>
        <v>暂停大额申购|开放赎回</v>
      </c>
      <c r="F38" s="17" t="str">
        <f>[1]!f_info_fundmanager(A38)</f>
        <v>王石千</v>
      </c>
      <c r="G38" s="4">
        <v>20190724</v>
      </c>
      <c r="H38" s="11">
        <f>[1]!f_netasset_total(A38,$E$1,100000000)</f>
        <v>101.6690244583</v>
      </c>
      <c r="I38" s="11">
        <f>[1]!f_prt_convertiblebondtonav(A38,$E$1)</f>
        <v>2.310142993927002</v>
      </c>
      <c r="J38" s="11">
        <f>[1]!f_prt_stocktonav(A38,$E$1)+0.5*I38</f>
        <v>15.813322305679321</v>
      </c>
      <c r="K38" s="12">
        <v>5.9330263392800351</v>
      </c>
      <c r="L38" s="19">
        <f>[1]!f_return($A38,"1",L$2,$E$1)</f>
        <v>7.4188162454104312</v>
      </c>
      <c r="M38" s="19">
        <f>[1]!f_risk_stdevyearly($A38,L$2,$E$1,1,1)</f>
        <v>4.6882950261422733</v>
      </c>
      <c r="N38" s="12">
        <f>IFERROR(L38/M38,"-")</f>
        <v>1.5824124130504955</v>
      </c>
      <c r="O38" s="12" t="str">
        <f>IFERROR(RANK(N38,N:N)&amp;"/"&amp;COUNT(N:N),"-")</f>
        <v>82/197</v>
      </c>
      <c r="P38" s="26">
        <f>IF(O38="-","-",RANK(N38,N:N)/COUNT(N:N))</f>
        <v>0.41624365482233505</v>
      </c>
      <c r="Q38" s="58">
        <v>0.31472081218274112</v>
      </c>
      <c r="R38" s="33">
        <f>IF(OR($C38&gt;20190630,$K38&gt;30,N38="-",$D38="是",$E38="封闭期",$H38&lt;10,$BN38&lt;-6,$BR38&lt;70),"-",COUNTIFS(N$4:N$200,"&lt;&gt;-",$D$4:$D$200,"&lt;&gt;是",$E$4:$E$200,"&lt;&gt;封闭期",$H$4:$H$200,"&gt;10",$BN$4:$BN$200,"&gt;-6",$BR$4:$BR$200,"&gt;=70",$K$4:$K$200,"&lt;=30",$C$4:$C$200,"&lt;20190630",N$4:N$200,"&gt;="&amp;N38)/COUNTIFS(N$4:N$200,"&lt;&gt;-",$D$4:$D$200,"&lt;&gt;是",$E$4:$E$200,"&lt;&gt;封闭期",$H$4:$H$200,"&gt;10",$BN$4:$BN$200,"&gt;-6",$BR$4:$BR$200,"&gt;=70",$C$4:$C$200,"&lt;20190630",$K$4:$K$200,"&lt;=30"))</f>
        <v>0.61538461538461542</v>
      </c>
      <c r="S38" s="12">
        <f>IFERROR((L38-3)/M38,"-")</f>
        <v>0.94252094221263616</v>
      </c>
      <c r="T38" s="12" t="str">
        <f>IFERROR(RANK(S38,S:S)&amp;"/"&amp;COUNT(S:S),"-")</f>
        <v>80/197</v>
      </c>
      <c r="U38" s="26">
        <f>IFERROR(RANK(S38,S:S)/COUNT(S:S),"-")</f>
        <v>0.40609137055837563</v>
      </c>
      <c r="V38" s="13" t="str">
        <f>IF(OR($C38&gt;20190630,$K38&gt;30,S38="-",$D38="是",$E38="封闭期",$H38&lt;10,$BN38&lt;-6,$BR38&lt;70),"-",COUNTIFS(S$4:S$200,"&lt;&gt;-",$D$4:$D$200,"&lt;&gt;是",$E$4:$E$200,"&lt;&gt;封闭期",$H$4:$H$200,"&gt;10",$BN$4:$BN$200,"&gt;-6",$BR$4:$BR$200,"&gt;=70",$K$4:$K$200,"&lt;=30",$C$4:$C$200,"&lt;20190630",S$4:S$200,"&gt;="&amp;S38)&amp;"/"&amp;COUNTIFS(S$4:S$200,"&lt;&gt;-",$D$4:$D$200,"&lt;&gt;是",$E$4:$E$200,"&lt;&gt;封闭期",$H$4:$H$200,"&gt;10",$BN$4:$BN$200,"&gt;-6",$BR$4:$BR$200,"&gt;=70",$C$4:$C$200,"&lt;20190630",$K$4:$K$200,"&lt;=30"))</f>
        <v>24/39</v>
      </c>
      <c r="W38" s="33">
        <f>IF(OR($C38&gt;20190630,$K38&gt;30,S38="-",$D38="是",$E38="封闭期",$H38&lt;10,$BN38&lt;-6,$BR38&lt;70),"-",COUNTIFS(S$4:S$200,"&lt;&gt;-",$D$4:$D$200,"&lt;&gt;是",$E$4:$E$200,"&lt;&gt;封闭期",$H$4:$H$200,"&gt;10",$BN$4:$BN$200,"&gt;-6",$BR$4:$BR$200,"&gt;=70",$K$4:$K$200,"&lt;=30",$C$4:$C$200,"&lt;20190630",S$4:S$200,"&gt;="&amp;S38)/COUNTIFS(S$4:S$200,"&lt;&gt;-",$D$4:$D$200,"&lt;&gt;是",$E$4:$E$200,"&lt;&gt;封闭期",$H$4:$H$200,"&gt;10",$BN$4:$BN$200,"&gt;-6",$BR$4:$BR$200,"&gt;=70",$C$4:$C$200,"&lt;20190630",$K$4:$K$200,"&lt;=30"))</f>
        <v>0.61538461538461542</v>
      </c>
      <c r="X38" s="19">
        <f>[1]!f_risk_calmar(A38,$L$2,$E$1)</f>
        <v>2.2370342684713642</v>
      </c>
      <c r="Y38" s="12" t="str">
        <f>IFERROR(RANK(X38,X:X)&amp;"/"&amp;COUNT(X:X),"-")</f>
        <v>86/197</v>
      </c>
      <c r="Z38" s="26">
        <f>IFERROR(RANK(X38,X:X)/COUNT(X:X),"-")</f>
        <v>0.43654822335025378</v>
      </c>
      <c r="AA38" s="13" t="str">
        <f>IF(OR($C38&gt;20190630,$K38&gt;30,X38="-",$D38="是",$E38="封闭期",$H38&lt;10,$BN38&lt;-6,$BR38&lt;70),"-",COUNTIFS(X$4:X$200,"&lt;&gt;-",$D$4:$D$200,"&lt;&gt;是",$E$4:$E$200,"&lt;&gt;封闭期",$H$4:$H$200,"&gt;10",$BN$4:$BN$200,"&gt;-6",$BR$4:$BR$200,"&gt;=70",$K$4:$K$200,"&lt;=30",$C$4:$C$200,"&lt;20190630",X$4:X$200,"&gt;="&amp;X38)&amp;"/"&amp;COUNTIFS(X$4:X$200,"&lt;&gt;-",$D$4:$D$200,"&lt;&gt;是",$E$4:$E$200,"&lt;&gt;封闭期",$H$4:$H$200,"&gt;10",$BN$4:$BN$200,"&gt;-6",$BR$4:$BR$200,"&gt;=70",$C$4:$C$200,"&lt;20190630",$K$4:$K$200,"&lt;=30"))</f>
        <v>26/39</v>
      </c>
      <c r="AB38" s="33">
        <f>IF(OR($C38&gt;20190630,$K38&gt;30,X38="-",$D38="是",$E38="封闭期",$H38&lt;10,$BN38&lt;-6,$BR38&lt;70),"-",COUNTIFS(X$4:X$200,"&lt;&gt;-",$D$4:$D$200,"&lt;&gt;是",$E$4:$E$200,"&lt;&gt;封闭期",$H$4:$H$200,"&gt;10",$BN$4:$BN$200,"&gt;-6",$BR$4:$BR$200,"&gt;=70",$K$4:$K$200,"&lt;=30",$C$4:$C$200,"&lt;20190630",X$4:X$200,"&gt;="&amp;X38)/COUNTIFS(X$4:X$200,"&lt;&gt;-",$D$4:$D$200,"&lt;&gt;是",$E$4:$E$200,"&lt;&gt;封闭期",$H$4:$H$200,"&gt;10",$BN$4:$BN$200,"&gt;-6",$BR$4:$BR$200,"&gt;=70",$C$4:$C$200,"&lt;20190630",$K$4:$K$200,"&lt;=30"))</f>
        <v>0.66666666666666663</v>
      </c>
      <c r="AC38" s="20">
        <v>1</v>
      </c>
      <c r="AD38" s="12" t="str">
        <f>IFERROR(RANK(AC38,AC:AC)&amp;"/"&amp;COUNT(AC:AC),"-")</f>
        <v>1/197</v>
      </c>
      <c r="AE38" s="26">
        <f>IFERROR(RANK(AC38,AC:AC)/COUNT(AC:AC),"-")</f>
        <v>5.076142131979695E-3</v>
      </c>
      <c r="AF38" s="13" t="str">
        <f>IF(OR($C38&gt;20190630,$K38&gt;30,AC38="-",$D38="是",$E38="封闭期",$H38&lt;10,$BN38&lt;-6,$BR38&lt;70),"-",COUNTIFS(AC$4:AC$200,"&lt;&gt;-",$D$4:$D$200,"&lt;&gt;是",$E$4:$E$200,"&lt;&gt;封闭期",$H$4:$H$200,"&gt;10",$BN$4:$BN$200,"&gt;-6",$BR$4:$BR$200,"&gt;=70",$K$4:$K$200,"&lt;=30",$C$4:$C$200,"&lt;20190630",AC$4:AC$200,"&gt;="&amp;AC38)&amp;"/"&amp;COUNTIFS(AC$4:AC$200,"&lt;&gt;-",$D$4:$D$200,"&lt;&gt;是",$E$4:$E$200,"&lt;&gt;封闭期",$H$4:$H$200,"&gt;10",$BN$4:$BN$200,"&gt;-6",$BR$4:$BR$200,"&gt;=70",$C$4:$C$200,"&lt;20190630",$K$4:$K$200,"&lt;=30"))</f>
        <v>28/39</v>
      </c>
      <c r="AG38" s="33">
        <f>IF(OR($C38&gt;20190630,$K38&gt;30,AC38="-",$D38="是",$E38="封闭期",$H38&lt;10,$BN38&lt;-6,$BR38&lt;70),"-",COUNTIFS(AC$4:AC$200,"&lt;&gt;-",$D$4:$D$200,"&lt;&gt;是",$E$4:$E$200,"&lt;&gt;封闭期",$H$4:$H$200,"&gt;10",$BN$4:$BN$200,"&gt;-6",$BR$4:$BR$200,"&gt;=70",$K$4:$K$200,"&lt;=30",$C$4:$C$200,"&lt;20190630",AC$4:AC$200,"&gt;="&amp;AC38)/COUNTIFS(AC$4:AC$200,"&lt;&gt;-",$D$4:$D$200,"&lt;&gt;是",$E$4:$E$200,"&lt;&gt;封闭期",$H$4:$H$200,"&gt;10",$BN$4:$BN$200,"&gt;-6",$BR$4:$BR$200,"&gt;=70",$C$4:$C$200,"&lt;20190630",$K$4:$K$200,"&lt;=30"))</f>
        <v>0.71794871794871795</v>
      </c>
      <c r="AH38" s="21">
        <f>[1]!f_risk_maxdownside(A38,$L$2,$E$1)</f>
        <v>-3.3163623597415612</v>
      </c>
      <c r="AI38" s="19" t="str">
        <f>IFERROR(RANK(AH38,AH:AH)&amp;"/"&amp;COUNT(AH:AH),"-")</f>
        <v>107/197</v>
      </c>
      <c r="AJ38" s="26">
        <f>IFERROR(RANK(AH38,AH:AH)/COUNT(AH:AH),"-")</f>
        <v>0.54314720812182737</v>
      </c>
      <c r="AK38" s="34" t="str">
        <f>IF(OR($C38&gt;20190630,$K38&gt;30,AH38="-",$D38="是",$E38="封闭期",$H38&lt;10,$BN38&lt;-6,$BR38&lt;70),"-",COUNTIFS(AH$4:AH$200,"&lt;&gt;-",$D$4:$D$200,"&lt;&gt;是",$E$4:$E$200,"&lt;&gt;封闭期",$H$4:$H$200,"&gt;10",$BN$4:$BN$200,"&gt;-6",$BR$4:$BR$200,"&gt;=70",$K$4:$K$200,"&lt;=30",$C$4:$C$200,"&lt;20190630",AH$4:AH$200,"&gt;="&amp;AH38)&amp;"/"&amp;COUNTIFS(AH$4:AH$200,"&lt;&gt;-",$D$4:$D$200,"&lt;&gt;是",$E$4:$E$200,"&lt;&gt;封闭期",$H$4:$H$200,"&gt;10",$BN$4:$BN$200,"&gt;-6",$BR$4:$BR$200,"&gt;=70",$C$4:$C$200,"&lt;20190630",$K$4:$K$200,"&lt;=30"))</f>
        <v>29/39</v>
      </c>
      <c r="AL38" s="33">
        <f>IF(OR($C38&gt;20190630,$K38&gt;30,AH38="-",$D38="是",$E38="封闭期",$H38&lt;10,$BN38&lt;-6,$BR38&lt;70),"-",COUNTIFS(AH$4:AH$200,"&lt;&gt;-",$D$4:$D$200,"&lt;&gt;是",$E$4:$E$200,"&lt;&gt;封闭期",$H$4:$H$200,"&gt;10",$BN$4:$BN$200,"&gt;-6",$BR$4:$BR$200,"&gt;=70",$K$4:$K$200,"&lt;=30",$C$4:$C$200,"&lt;20190630",AH$4:AH$200,"&gt;="&amp;AH38)/COUNTIFS(AH$4:AH$200,"&lt;&gt;-",$D$4:$D$200,"&lt;&gt;是",$E$4:$E$200,"&lt;&gt;封闭期",$H$4:$H$200,"&gt;10",$BN$4:$BN$200,"&gt;-6",$BR$4:$BR$200,"&gt;=70",$C$4:$C$200,"&lt;20190630",$K$4:$K$200,"&lt;=30"))</f>
        <v>0.74358974358974361</v>
      </c>
      <c r="AM38" s="19">
        <f>[1]!f_return($A38,"1",AM$2,$L$2)</f>
        <v>11.480090374166707</v>
      </c>
      <c r="AN38" s="19">
        <f>[1]!f_risk_stdevyearly($A38,AM$2,$L$2,1,1)</f>
        <v>5.4928208303220689</v>
      </c>
      <c r="AO38" s="12">
        <f>IFERROR(AM38/AN38,"-")</f>
        <v>2.090017265954327</v>
      </c>
      <c r="AP38" s="12" t="str">
        <f>IFERROR(RANK(AO38,AO:AO)&amp;"/"&amp;COUNT(AO:AO),"-")</f>
        <v>42/197</v>
      </c>
      <c r="AQ38" s="26">
        <f>IF(AP38="-","-",RANK(AO38,AO:AO)/COUNT(AO:AO))</f>
        <v>0.21319796954314721</v>
      </c>
      <c r="AR38" s="60">
        <v>0.17766497461928935</v>
      </c>
      <c r="AS38" s="35">
        <f>IF(OR($C38&gt;20190630,$K38&gt;30,AO38="-",$D38="是",$E38="封闭期",$H38&lt;10,$BN38&lt;-6,$BR38&lt;70),"-",COUNTIFS(AO$4:AO$200,"&lt;&gt;-",$D$4:$D$200,"&lt;&gt;是",$E$4:$E$200,"&lt;&gt;封闭期",$H$4:$H$200,"&gt;10",$BN$4:$BN$200,"&gt;-6",$BR$4:$BR$200,"&gt;=70",$K$4:$K$200,"&lt;=30",$C$4:$C$200,"&lt;20190630",AO$4:AO$200,"&gt;="&amp;AO38)/COUNTIFS(AO$4:AO$200,"&lt;&gt;-",$D$4:$D$200,"&lt;&gt;是",$E$4:$E$200,"&lt;&gt;封闭期",$H$4:$H$200,"&gt;10",$BN$4:$BN$200,"&gt;-6",$BR$4:$BR$200,"&gt;=70",$C$4:$C$200,"&lt;20190630",$K$4:$K$200,"&lt;=30"))</f>
        <v>0.41025641025641024</v>
      </c>
      <c r="AT38" s="12">
        <f>IFERROR((AM38-3)/AN38,"-")</f>
        <v>1.5438498061604315</v>
      </c>
      <c r="AU38" s="12" t="str">
        <f>IFERROR(RANK(AT38,AT:AT)&amp;"/"&amp;COUNT(AT:AT),"-")</f>
        <v>27/197</v>
      </c>
      <c r="AV38" s="26">
        <f>IFERROR(RANK(AT38,AT:AT)/COUNT(AT:AT),"-")</f>
        <v>0.13705583756345177</v>
      </c>
      <c r="AW38" s="13" t="str">
        <f>IF(OR($C38&gt;20190630,$K38&gt;30,AT38="-",$D38="是",$E38="封闭期",$H38&lt;10,$BN38&lt;-6,$BR38&lt;70),"-",COUNTIFS(AT$4:AT$200,"&lt;&gt;-",$D$4:$D$200,"&lt;&gt;是",$E$4:$E$200,"&lt;&gt;封闭期",$H$4:$H$200,"&gt;10",$BN$4:$BN$200,"&gt;-6",$BR$4:$BR$200,"&gt;=70",$K$4:$K$200,"&lt;=30",$C$4:$C$200,"&lt;20190630",AT$4:AT$200,"&gt;="&amp;AT38)&amp;"/"&amp;COUNTIFS(AT$4:AT$200,"&lt;&gt;-",$D$4:$D$200,"&lt;&gt;是",$E$4:$E$200,"&lt;&gt;封闭期",$H$4:$H$200,"&gt;10",$BN$4:$BN$200,"&gt;-6",$BR$4:$BR$200,"&gt;=70",$C$4:$C$200,"&lt;20190630",$K$4:$K$200,"&lt;=30"))</f>
        <v>12/39</v>
      </c>
      <c r="AX38" s="33">
        <f>IF(OR($C38&gt;20190630,$K38&gt;30,AT38="-",$D38="是",$E38="封闭期",$H38&lt;10,$BN38&lt;-6,$BR38&lt;70),"-",COUNTIFS(AT$4:AT$200,"&lt;&gt;-",$D$4:$D$200,"&lt;&gt;是",$E$4:$E$200,"&lt;&gt;封闭期",$H$4:$H$200,"&gt;10",$BN$4:$BN$200,"&gt;-6",$BR$4:$BR$200,"&gt;=70",$K$4:$K$200,"&lt;=30",$C$4:$C$200,"&lt;20190630",AT$4:AT$200,"&gt;="&amp;AT38)/COUNTIFS(AT$4:AT$200,"&lt;&gt;-",$D$4:$D$200,"&lt;&gt;是",$E$4:$E$200,"&lt;&gt;封闭期",$H$4:$H$200,"&gt;10",$BN$4:$BN$200,"&gt;-6",$BR$4:$BR$200,"&gt;=70",$C$4:$C$200,"&lt;20190630",$K$4:$K$200,"&lt;=30"))</f>
        <v>0.30769230769230771</v>
      </c>
      <c r="AY38" s="19">
        <f>[1]!f_risk_calmar(A38,$AM$2,$L$2)</f>
        <v>3.5283988607830348</v>
      </c>
      <c r="AZ38" s="12" t="str">
        <f>IFERROR(RANK(AY38,AY:AY)&amp;"/"&amp;COUNT(AY:AY),"-")</f>
        <v>29/197</v>
      </c>
      <c r="BA38" s="26">
        <f>IFERROR(RANK(AY38,AY:AY)/COUNT(AY:AY),"-")</f>
        <v>0.14720812182741116</v>
      </c>
      <c r="BB38" s="13" t="str">
        <f>IF(OR($C38&gt;20190630,$K38&gt;30,AY38="-",$D38="是",$E38="封闭期",$H38&lt;10,$BN38&lt;-6,$BR38&lt;70),"-",COUNTIFS(AY$4:AY$200,"&lt;&gt;-",$D$4:$D$200,"&lt;&gt;是",$E$4:$E$200,"&lt;&gt;封闭期",$H$4:$H$200,"&gt;10",$BN$4:$BN$200,"&gt;-6",$BR$4:$BR$200,"&gt;=70",$K$4:$K$200,"&lt;=30",$C$4:$C$200,"&lt;20190630",AY$4:AY$200,"&gt;="&amp;AY38)&amp;"/"&amp;COUNTIFS(AY$4:AY$200,"&lt;&gt;-",$D$4:$D$200,"&lt;&gt;是",$E$4:$E$200,"&lt;&gt;封闭期",$H$4:$H$200,"&gt;10",$BN$4:$BN$200,"&gt;-6",$BR$4:$BR$200,"&gt;=70",$C$4:$C$200,"&lt;20190630",$K$4:$K$200,"&lt;=30"))</f>
        <v>11/39</v>
      </c>
      <c r="BC38" s="33">
        <f>IF(OR($C38&gt;20190630,$K38&gt;30,AY38="-",$D38="是",$E38="封闭期",$H38&lt;10,$BN38&lt;-6,$BR38&lt;70),"-",COUNTIFS(AY$4:AY$200,"&lt;&gt;-",$D$4:$D$200,"&lt;&gt;是",$E$4:$E$200,"&lt;&gt;封闭期",$H$4:$H$200,"&gt;10",$BN$4:$BN$200,"&gt;-6",$BR$4:$BR$200,"&gt;=70",$K$4:$K$200,"&lt;=30",$C$4:$C$200,"&lt;20190630",AY$4:AY$200,"&gt;="&amp;AY38)/COUNTIFS(AY$4:AY$200,"&lt;&gt;-",$D$4:$D$200,"&lt;&gt;是",$E$4:$E$200,"&lt;&gt;封闭期",$H$4:$H$200,"&gt;10",$BN$4:$BN$200,"&gt;-6",$BR$4:$BR$200,"&gt;=70",$C$4:$C$200,"&lt;20190630",$K$4:$K$200,"&lt;=30"))</f>
        <v>0.28205128205128205</v>
      </c>
      <c r="BD38" s="20">
        <v>1</v>
      </c>
      <c r="BE38" s="12" t="str">
        <f>IFERROR(RANK(BD38,BD:BD)&amp;"/"&amp;COUNT(BD:BD),"-")</f>
        <v>1/197</v>
      </c>
      <c r="BF38" s="26">
        <f>IFERROR(RANK(BD38,BD:BD)/COUNT(BD:BD),"-")</f>
        <v>5.076142131979695E-3</v>
      </c>
      <c r="BG38" s="13" t="str">
        <f>IF(OR($C38&gt;20190630,$K38&gt;30,BD38="-",$D38="是",$E38="封闭期",$H38&lt;10,$BN38&lt;-6,$BR38&lt;70),"-",COUNTIFS(BD$4:BD$200,"&lt;&gt;-",$D$4:$D$200,"&lt;&gt;是",$E$4:$E$200,"&lt;&gt;封闭期",$H$4:$H$200,"&gt;10",$BN$4:$BN$200,"&gt;-6",$BR$4:$BR$200,"&gt;=70",$K$4:$K$200,"&lt;=30",$C$4:$C$200,"&lt;20190630",BD$4:BD$200,"&gt;="&amp;BD38)&amp;"/"&amp;COUNTIFS(BD$4:BD$200,"&lt;&gt;-",$D$4:$D$200,"&lt;&gt;是",$E$4:$E$200,"&lt;&gt;封闭期",$H$4:$H$200,"&gt;10",$BN$4:$BN$200,"&gt;-6",$BR$4:$BR$200,"&gt;=70",$C$4:$C$200,"&lt;20190630",$K$4:$K$200,"&lt;=30"))</f>
        <v>35/39</v>
      </c>
      <c r="BH38" s="33">
        <f>IF(OR($C38&gt;20190630,$K38&gt;30,BD38="-",$D38="是",$E38="封闭期",$H38&lt;10,$BN38&lt;-6,$BR38&lt;70),"-",COUNTIFS(BD$4:BD$200,"&lt;&gt;-",$D$4:$D$200,"&lt;&gt;是",$E$4:$E$200,"&lt;&gt;封闭期",$H$4:$H$200,"&gt;10",$BN$4:$BN$200,"&gt;-6",$BR$4:$BR$200,"&gt;=70",$K$4:$K$200,"&lt;=30",$C$4:$C$200,"&lt;20190630",BD$4:BD$200,"&gt;="&amp;BD38)/COUNTIFS(BD$4:BD$200,"&lt;&gt;-",$D$4:$D$200,"&lt;&gt;是",$E$4:$E$200,"&lt;&gt;封闭期",$H$4:$H$200,"&gt;10",$BN$4:$BN$200,"&gt;-6",$BR$4:$BR$200,"&gt;=70",$C$4:$C$200,"&lt;20190630",$K$4:$K$200,"&lt;=30"))</f>
        <v>0.89743589743589747</v>
      </c>
      <c r="BI38" s="21">
        <f>[1]!f_risk_maxdownside(A38,$AM$2,$L$2)</f>
        <v>-3.2536260290082413</v>
      </c>
      <c r="BJ38" s="19" t="str">
        <f>IFERROR(RANK(BI38,BI:BI)&amp;"/"&amp;COUNT(BI:BI),"-")</f>
        <v>99/197</v>
      </c>
      <c r="BK38" s="26">
        <f>IFERROR(RANK(BI38,BI:BI)/COUNT(BI:BI),"-")</f>
        <v>0.5025380710659898</v>
      </c>
      <c r="BL38" s="34" t="str">
        <f>IF(OR($C38&gt;20190630,$K38&gt;30,BI38="-",$D38="是",$E38="封闭期",$H38&lt;10,$BN38&lt;-6,$BR38&lt;70),"-",COUNTIFS(BI$4:BI$200,"&lt;&gt;-",$D$4:$D$200,"&lt;&gt;是",$E$4:$E$200,"&lt;&gt;封闭期",$H$4:$H$200,"&gt;10",$BN$4:$BN$200,"&gt;-6",$BR$4:$BR$200,"&gt;=70",$K$4:$K$200,"&lt;=30",$C$4:$C$200,"&lt;20190630",BI$4:BI$200,"&gt;="&amp;BI38)&amp;"/"&amp;COUNTIFS(BI$4:BI$200,"&lt;&gt;-",$D$4:$D$200,"&lt;&gt;是",$E$4:$E$200,"&lt;&gt;封闭期",$H$4:$H$200,"&gt;10",$BN$4:$BN$200,"&gt;-6",$BR$4:$BR$200,"&gt;=70",$C$4:$C$200,"&lt;20190630",$K$4:$K$200,"&lt;=30"))</f>
        <v>22/39</v>
      </c>
      <c r="BM38" s="33">
        <f>IF(OR($C38&gt;20190630,$K38&gt;30,BI38="-",$D38="是",$E38="封闭期",$H38&lt;10,$BN38&lt;-6,$BR38&lt;70),"-",COUNTIFS(BI$4:BI$200,"&lt;&gt;-",$D$4:$D$200,"&lt;&gt;是",$E$4:$E$200,"&lt;&gt;封闭期",$H$4:$H$200,"&gt;10",$BN$4:$BN$200,"&gt;-6",$BR$4:$BR$200,"&gt;=70",$K$4:$K$200,"&lt;=30",$C$4:$C$200,"&lt;20190630",BI$4:BI$200,"&gt;="&amp;BI38)/COUNTIFS(BI$4:BI$200,"&lt;&gt;-",$D$4:$D$200,"&lt;&gt;是",$E$4:$E$200,"&lt;&gt;封闭期",$H$4:$H$200,"&gt;10",$BN$4:$BN$200,"&gt;-6",$BR$4:$BR$200,"&gt;=70",$C$4:$C$200,"&lt;20190630",$K$4:$K$200,"&lt;=30"))</f>
        <v>0.5641025641025641</v>
      </c>
      <c r="BN38" s="21">
        <f>[1]!f_risk_maxdownside(A38,$AM$2,$E$1)</f>
        <v>-3.3163623597415612</v>
      </c>
      <c r="BO38" s="14">
        <f>IF(C38&lt;20190930,[1]!f_return_2y(A38,"0","20210930"),"-")</f>
        <v>20.0539985431388</v>
      </c>
      <c r="BP38" s="12" t="str">
        <f>IFERROR(RANK(BO38,BO:BO)&amp;"/"&amp;COUNT(BO:BO),"-")</f>
        <v>37/197</v>
      </c>
      <c r="BQ38" s="25">
        <f>IFERROR(RANK(BO38,BO:BO)/COUNT(BO:BO),"-")</f>
        <v>0.18781725888324874</v>
      </c>
      <c r="BR38" s="12">
        <f>IF(C38&lt;20190930,[1]!f_absolute_profitmonthper(A38,"20190930","20210930"),"-")</f>
        <v>75</v>
      </c>
      <c r="BS38" s="12" t="str">
        <f>IFERROR(RANK(BR38,BR:BR)&amp;"/"&amp;COUNT(BR:BR),"-")</f>
        <v>26/198</v>
      </c>
      <c r="BT38" s="25">
        <f>IFERROR(RANK(BR38,BR:BR)/COUNT(BR:BR),"-")</f>
        <v>0.13131313131313133</v>
      </c>
      <c r="BU38" s="17"/>
      <c r="BV38" s="12">
        <f>X38-3/M38</f>
        <v>1.5971427976335049</v>
      </c>
      <c r="BW38" s="76">
        <f>IFERROR(RANK(BV38,BV:BV)/COUNT(BV:BV),"-")</f>
        <v>0.42131979695431471</v>
      </c>
      <c r="BX38" s="76">
        <f>IFERROR(RANK(L38,L:L)/COUNT(L:L),"-")</f>
        <v>0.31818181818181818</v>
      </c>
      <c r="BY38" s="12">
        <f>AY38-3/AN38</f>
        <v>2.9822314009891393</v>
      </c>
      <c r="BZ38" s="76">
        <f>IFERROR(RANK(BY38,BY:BY)/COUNT(BY:BY),"-")</f>
        <v>0.13705583756345177</v>
      </c>
      <c r="CA38" s="76">
        <f>IFERROR(RANK(AM38,AM:AM)/COUNT(AM:AM),"-")</f>
        <v>0.18181818181818182</v>
      </c>
      <c r="CC38" s="77">
        <f>AV38+BF38+BZ38+CA38</f>
        <v>0.46100599907706502</v>
      </c>
      <c r="CD38" s="77">
        <f>BW38+BX38+AE38+U38</f>
        <v>1.1506691278264882</v>
      </c>
      <c r="CE38" s="77">
        <f>CC38+CD38</f>
        <v>1.6116751269035532</v>
      </c>
    </row>
    <row r="39" spans="1:83" s="17" customFormat="1" hidden="1" x14ac:dyDescent="0.35">
      <c r="A39" s="15" t="s">
        <v>25</v>
      </c>
      <c r="B39" s="15" t="s">
        <v>26</v>
      </c>
      <c r="C39" s="16">
        <v>20060711</v>
      </c>
      <c r="D39" s="16" t="str">
        <f>[1]!f_info_regulopenfundornot(A39)</f>
        <v>否</v>
      </c>
      <c r="E39" s="16" t="str">
        <f>[1]!f_dq_status(A39,$E$1)</f>
        <v>开放申购|开放赎回</v>
      </c>
      <c r="F39" s="17" t="str">
        <f>[1]!f_info_fundmanager(A39)</f>
        <v>滕越</v>
      </c>
      <c r="G39" s="16">
        <v>20170729</v>
      </c>
      <c r="H39" s="18">
        <f>[1]!f_netasset_total(A39,$E$1,100000000)</f>
        <v>3.6822158335000004</v>
      </c>
      <c r="I39" s="18">
        <f>[1]!f_prt_convertiblebondtonav(A39,$E$1)</f>
        <v>4.7099018096923828</v>
      </c>
      <c r="J39" s="18">
        <f>[1]!f_prt_stocktonav(A39,$E$1)+0.5*I39</f>
        <v>16.917075157165527</v>
      </c>
      <c r="K39" s="19">
        <v>27.446517143438921</v>
      </c>
      <c r="L39" s="19">
        <f>[1]!f_return($A39,"1",L$2,$E$1)</f>
        <v>5.9691283537238071</v>
      </c>
      <c r="M39" s="19">
        <f>[1]!f_risk_stdevyearly($A39,L$2,$E$1,1,1)</f>
        <v>3.3596555238048618</v>
      </c>
      <c r="N39" s="19">
        <f>IFERROR(L39/M39,"-")</f>
        <v>1.7767084486577591</v>
      </c>
      <c r="O39" s="19" t="str">
        <f>IFERROR(RANK(N39,N:N)&amp;"/"&amp;COUNT(N:N),"-")</f>
        <v>62/197</v>
      </c>
      <c r="P39" s="26">
        <f>IF(O39="-","-",RANK(N39,N:N)/COUNT(N:N))</f>
        <v>0.31472081218274112</v>
      </c>
      <c r="Q39" s="56">
        <v>0.47715736040609136</v>
      </c>
      <c r="R39" s="33" t="str">
        <f>IF(OR($C39&gt;20190630,$K39&gt;30,N39="-",$D39="是",$E39="封闭期",$H39&lt;10,$BN39&lt;-6,$BR39&lt;70),"-",COUNTIFS(N$4:N$200,"&lt;&gt;-",$D$4:$D$200,"&lt;&gt;是",$E$4:$E$200,"&lt;&gt;封闭期",$H$4:$H$200,"&gt;10",$BN$4:$BN$200,"&gt;-6",$BR$4:$BR$200,"&gt;=70",$K$4:$K$200,"&lt;=30",$C$4:$C$200,"&lt;20190630",N$4:N$200,"&gt;="&amp;N39)/COUNTIFS(N$4:N$200,"&lt;&gt;-",$D$4:$D$200,"&lt;&gt;是",$E$4:$E$200,"&lt;&gt;封闭期",$H$4:$H$200,"&gt;10",$BN$4:$BN$200,"&gt;-6",$BR$4:$BR$200,"&gt;=70",$C$4:$C$200,"&lt;20190630",$K$4:$K$200,"&lt;=30"))</f>
        <v>-</v>
      </c>
      <c r="S39" s="19">
        <f>IFERROR((L39-3)/M39,"-")</f>
        <v>0.88375975831034703</v>
      </c>
      <c r="T39" s="19" t="str">
        <f>IFERROR(RANK(S39,S:S)&amp;"/"&amp;COUNT(S:S),"-")</f>
        <v>85/197</v>
      </c>
      <c r="U39" s="26">
        <f>IFERROR(RANK(S39,S:S)/COUNT(S:S),"-")</f>
        <v>0.43147208121827413</v>
      </c>
      <c r="V39" s="34" t="str">
        <f>IF(OR($C39&gt;20190630,$K39&gt;30,S39="-",$D39="是",$E39="封闭期",$H39&lt;10,$BN39&lt;-6,$BR39&lt;70),"-",COUNTIFS(S$4:S$200,"&lt;&gt;-",$D$4:$D$200,"&lt;&gt;是",$E$4:$E$200,"&lt;&gt;封闭期",$H$4:$H$200,"&gt;10",$BN$4:$BN$200,"&gt;-6",$BR$4:$BR$200,"&gt;=70",$K$4:$K$200,"&lt;=30",$C$4:$C$200,"&lt;20190630",S$4:S$200,"&gt;="&amp;S39)&amp;"/"&amp;COUNTIFS(S$4:S$200,"&lt;&gt;-",$D$4:$D$200,"&lt;&gt;是",$E$4:$E$200,"&lt;&gt;封闭期",$H$4:$H$200,"&gt;10",$BN$4:$BN$200,"&gt;-6",$BR$4:$BR$200,"&gt;=70",$C$4:$C$200,"&lt;20190630",$K$4:$K$200,"&lt;=30"))</f>
        <v>-</v>
      </c>
      <c r="W39" s="33" t="str">
        <f>IF(OR($C39&gt;20190630,$K39&gt;30,S39="-",$D39="是",$E39="封闭期",$H39&lt;10,$BN39&lt;-6,$BR39&lt;70),"-",COUNTIFS(S$4:S$200,"&lt;&gt;-",$D$4:$D$200,"&lt;&gt;是",$E$4:$E$200,"&lt;&gt;封闭期",$H$4:$H$200,"&gt;10",$BN$4:$BN$200,"&gt;-6",$BR$4:$BR$200,"&gt;=70",$K$4:$K$200,"&lt;=30",$C$4:$C$200,"&lt;20190630",S$4:S$200,"&gt;="&amp;S39)/COUNTIFS(S$4:S$200,"&lt;&gt;-",$D$4:$D$200,"&lt;&gt;是",$E$4:$E$200,"&lt;&gt;封闭期",$H$4:$H$200,"&gt;10",$BN$4:$BN$200,"&gt;-6",$BR$4:$BR$200,"&gt;=70",$C$4:$C$200,"&lt;20190630",$K$4:$K$200,"&lt;=30"))</f>
        <v>-</v>
      </c>
      <c r="X39" s="19">
        <f>[1]!f_risk_calmar(A39,$L$2,$E$1)</f>
        <v>3.7287155116261426</v>
      </c>
      <c r="Y39" s="19" t="str">
        <f>IFERROR(RANK(X39,X:X)&amp;"/"&amp;COUNT(X:X),"-")</f>
        <v>49/197</v>
      </c>
      <c r="Z39" s="26">
        <f>IFERROR(RANK(X39,X:X)/COUNT(X:X),"-")</f>
        <v>0.24873096446700507</v>
      </c>
      <c r="AA39" s="34" t="str">
        <f>IF(OR($C39&gt;20190630,$K39&gt;30,X39="-",$D39="是",$E39="封闭期",$H39&lt;10,$BN39&lt;-6,$BR39&lt;70),"-",COUNTIFS(X$4:X$200,"&lt;&gt;-",$D$4:$D$200,"&lt;&gt;是",$E$4:$E$200,"&lt;&gt;封闭期",$H$4:$H$200,"&gt;10",$BN$4:$BN$200,"&gt;-6",$BR$4:$BR$200,"&gt;=70",$K$4:$K$200,"&lt;=30",$C$4:$C$200,"&lt;20190630",X$4:X$200,"&gt;="&amp;X39)&amp;"/"&amp;COUNTIFS(X$4:X$200,"&lt;&gt;-",$D$4:$D$200,"&lt;&gt;是",$E$4:$E$200,"&lt;&gt;封闭期",$H$4:$H$200,"&gt;10",$BN$4:$BN$200,"&gt;-6",$BR$4:$BR$200,"&gt;=70",$C$4:$C$200,"&lt;20190630",$K$4:$K$200,"&lt;=30"))</f>
        <v>-</v>
      </c>
      <c r="AB39" s="33" t="str">
        <f>IF(OR($C39&gt;20190630,$K39&gt;30,X39="-",$D39="是",$E39="封闭期",$H39&lt;10,$BN39&lt;-6,$BR39&lt;70),"-",COUNTIFS(X$4:X$200,"&lt;&gt;-",$D$4:$D$200,"&lt;&gt;是",$E$4:$E$200,"&lt;&gt;封闭期",$H$4:$H$200,"&gt;10",$BN$4:$BN$200,"&gt;-6",$BR$4:$BR$200,"&gt;=70",$K$4:$K$200,"&lt;=30",$C$4:$C$200,"&lt;20190630",X$4:X$200,"&gt;="&amp;X39)/COUNTIFS(X$4:X$200,"&lt;&gt;-",$D$4:$D$200,"&lt;&gt;是",$E$4:$E$200,"&lt;&gt;封闭期",$H$4:$H$200,"&gt;10",$BN$4:$BN$200,"&gt;-6",$BR$4:$BR$200,"&gt;=70",$C$4:$C$200,"&lt;20190630",$K$4:$K$200,"&lt;=30"))</f>
        <v>-</v>
      </c>
      <c r="AC39" s="20">
        <v>1</v>
      </c>
      <c r="AD39" s="19" t="str">
        <f>IFERROR(RANK(AC39,AC:AC)&amp;"/"&amp;COUNT(AC:AC),"-")</f>
        <v>1/197</v>
      </c>
      <c r="AE39" s="26">
        <f>IFERROR(RANK(AC39,AC:AC)/COUNT(AC:AC),"-")</f>
        <v>5.076142131979695E-3</v>
      </c>
      <c r="AF39" s="34" t="str">
        <f>IF(OR($C39&gt;20190630,$K39&gt;30,AC39="-",$D39="是",$E39="封闭期",$H39&lt;10,$BN39&lt;-6,$BR39&lt;70),"-",COUNTIFS(AC$4:AC$200,"&lt;&gt;-",$D$4:$D$200,"&lt;&gt;是",$E$4:$E$200,"&lt;&gt;封闭期",$H$4:$H$200,"&gt;10",$BN$4:$BN$200,"&gt;-6",$BR$4:$BR$200,"&gt;=70",$K$4:$K$200,"&lt;=30",$C$4:$C$200,"&lt;20190630",AC$4:AC$200,"&gt;="&amp;AC39)&amp;"/"&amp;COUNTIFS(AC$4:AC$200,"&lt;&gt;-",$D$4:$D$200,"&lt;&gt;是",$E$4:$E$200,"&lt;&gt;封闭期",$H$4:$H$200,"&gt;10",$BN$4:$BN$200,"&gt;-6",$BR$4:$BR$200,"&gt;=70",$C$4:$C$200,"&lt;20190630",$K$4:$K$200,"&lt;=30"))</f>
        <v>-</v>
      </c>
      <c r="AG39" s="33" t="str">
        <f>IF(OR($C39&gt;20190630,$K39&gt;30,AC39="-",$D39="是",$E39="封闭期",$H39&lt;10,$BN39&lt;-6,$BR39&lt;70),"-",COUNTIFS(AC$4:AC$200,"&lt;&gt;-",$D$4:$D$200,"&lt;&gt;是",$E$4:$E$200,"&lt;&gt;封闭期",$H$4:$H$200,"&gt;10",$BN$4:$BN$200,"&gt;-6",$BR$4:$BR$200,"&gt;=70",$K$4:$K$200,"&lt;=30",$C$4:$C$200,"&lt;20190630",AC$4:AC$200,"&gt;="&amp;AC39)/COUNTIFS(AC$4:AC$200,"&lt;&gt;-",$D$4:$D$200,"&lt;&gt;是",$E$4:$E$200,"&lt;&gt;封闭期",$H$4:$H$200,"&gt;10",$BN$4:$BN$200,"&gt;-6",$BR$4:$BR$200,"&gt;=70",$C$4:$C$200,"&lt;20190630",$K$4:$K$200,"&lt;=30"))</f>
        <v>-</v>
      </c>
      <c r="AH39" s="21">
        <f>[1]!f_risk_maxdownside(A39,$L$2,$E$1)</f>
        <v>-1.600853788687298</v>
      </c>
      <c r="AI39" s="19" t="str">
        <f>IFERROR(RANK(AH39,AH:AH)&amp;"/"&amp;COUNT(AH:AH),"-")</f>
        <v>46/197</v>
      </c>
      <c r="AJ39" s="26">
        <f>IFERROR(RANK(AH39,AH:AH)/COUNT(AH:AH),"-")</f>
        <v>0.233502538071066</v>
      </c>
      <c r="AK39" s="34" t="str">
        <f>IF(OR($C39&gt;20190630,$K39&gt;30,AH39="-",$D39="是",$E39="封闭期",$H39&lt;10,$BN39&lt;-6,$BR39&lt;70),"-",COUNTIFS(AH$4:AH$200,"&lt;&gt;-",$D$4:$D$200,"&lt;&gt;是",$E$4:$E$200,"&lt;&gt;封闭期",$H$4:$H$200,"&gt;10",$BN$4:$BN$200,"&gt;-6",$BR$4:$BR$200,"&gt;=70",$K$4:$K$200,"&lt;=30",$C$4:$C$200,"&lt;20190630",AH$4:AH$200,"&gt;="&amp;AH39)&amp;"/"&amp;COUNTIFS(AH$4:AH$200,"&lt;&gt;-",$D$4:$D$200,"&lt;&gt;是",$E$4:$E$200,"&lt;&gt;封闭期",$H$4:$H$200,"&gt;10",$BN$4:$BN$200,"&gt;-6",$BR$4:$BR$200,"&gt;=70",$C$4:$C$200,"&lt;20190630",$K$4:$K$200,"&lt;=30"))</f>
        <v>-</v>
      </c>
      <c r="AL39" s="33" t="str">
        <f>IF(OR($C39&gt;20190630,$K39&gt;30,AH39="-",$D39="是",$E39="封闭期",$H39&lt;10,$BN39&lt;-6,$BR39&lt;70),"-",COUNTIFS(AH$4:AH$200,"&lt;&gt;-",$D$4:$D$200,"&lt;&gt;是",$E$4:$E$200,"&lt;&gt;封闭期",$H$4:$H$200,"&gt;10",$BN$4:$BN$200,"&gt;-6",$BR$4:$BR$200,"&gt;=70",$K$4:$K$200,"&lt;=30",$C$4:$C$200,"&lt;20190630",AH$4:AH$200,"&gt;="&amp;AH39)/COUNTIFS(AH$4:AH$200,"&lt;&gt;-",$D$4:$D$200,"&lt;&gt;是",$E$4:$E$200,"&lt;&gt;封闭期",$H$4:$H$200,"&gt;10",$BN$4:$BN$200,"&gt;-6",$BR$4:$BR$200,"&gt;=70",$C$4:$C$200,"&lt;20190630",$K$4:$K$200,"&lt;=30"))</f>
        <v>-</v>
      </c>
      <c r="AM39" s="19">
        <f>[1]!f_return($A39,"1",AM$2,$L$2)</f>
        <v>11.472670878901624</v>
      </c>
      <c r="AN39" s="19">
        <f>[1]!f_risk_stdevyearly($A39,AM$2,$L$2,1,1)</f>
        <v>3.8631199991923029</v>
      </c>
      <c r="AO39" s="19">
        <f>IFERROR(AM39/AN39,"-")</f>
        <v>2.9697940735209669</v>
      </c>
      <c r="AP39" s="19" t="str">
        <f>IFERROR(RANK(AO39,AO:AO)&amp;"/"&amp;COUNT(AO:AO),"-")</f>
        <v>11/197</v>
      </c>
      <c r="AQ39" s="26">
        <f>IF(AP39="-","-",RANK(AO39,AO:AO)/COUNT(AO:AO))</f>
        <v>5.5837563451776651E-2</v>
      </c>
      <c r="AR39" s="57">
        <v>0.18274111675126903</v>
      </c>
      <c r="AS39" s="33" t="str">
        <f>IF(OR($C39&gt;20190630,$K39&gt;30,AO39="-",$D39="是",$E39="封闭期",$H39&lt;10,$BN39&lt;-6,$BR39&lt;70),"-",COUNTIFS(AO$4:AO$200,"&lt;&gt;-",$D$4:$D$200,"&lt;&gt;是",$E$4:$E$200,"&lt;&gt;封闭期",$H$4:$H$200,"&gt;10",$BN$4:$BN$200,"&gt;-6",$BR$4:$BR$200,"&gt;=70",$K$4:$K$200,"&lt;=30",$C$4:$C$200,"&lt;20190630",AO$4:AO$200,"&gt;="&amp;AO39)/COUNTIFS(AO$4:AO$200,"&lt;&gt;-",$D$4:$D$200,"&lt;&gt;是",$E$4:$E$200,"&lt;&gt;封闭期",$H$4:$H$200,"&gt;10",$BN$4:$BN$200,"&gt;-6",$BR$4:$BR$200,"&gt;=70",$C$4:$C$200,"&lt;20190630",$K$4:$K$200,"&lt;=30"))</f>
        <v>-</v>
      </c>
      <c r="AT39" s="19">
        <f>IFERROR((AM39-3)/AN39,"-")</f>
        <v>2.1932196982421157</v>
      </c>
      <c r="AU39" s="19" t="str">
        <f>IFERROR(RANK(AT39,AT:AT)&amp;"/"&amp;COUNT(AT:AT),"-")</f>
        <v>6/197</v>
      </c>
      <c r="AV39" s="26">
        <f>IFERROR(RANK(AT39,AT:AT)/COUNT(AT:AT),"-")</f>
        <v>3.0456852791878174E-2</v>
      </c>
      <c r="AW39" s="34" t="str">
        <f>IF(OR($C39&gt;20190630,$K39&gt;30,AT39="-",$D39="是",$E39="封闭期",$H39&lt;10,$BN39&lt;-6,$BR39&lt;70),"-",COUNTIFS(AT$4:AT$200,"&lt;&gt;-",$D$4:$D$200,"&lt;&gt;是",$E$4:$E$200,"&lt;&gt;封闭期",$H$4:$H$200,"&gt;10",$BN$4:$BN$200,"&gt;-6",$BR$4:$BR$200,"&gt;=70",$K$4:$K$200,"&lt;=30",$C$4:$C$200,"&lt;20190630",AT$4:AT$200,"&gt;="&amp;AT39)&amp;"/"&amp;COUNTIFS(AT$4:AT$200,"&lt;&gt;-",$D$4:$D$200,"&lt;&gt;是",$E$4:$E$200,"&lt;&gt;封闭期",$H$4:$H$200,"&gt;10",$BN$4:$BN$200,"&gt;-6",$BR$4:$BR$200,"&gt;=70",$C$4:$C$200,"&lt;20190630",$K$4:$K$200,"&lt;=30"))</f>
        <v>-</v>
      </c>
      <c r="AX39" s="33" t="str">
        <f>IF(OR($C39&gt;20190630,$K39&gt;30,AT39="-",$D39="是",$E39="封闭期",$H39&lt;10,$BN39&lt;-6,$BR39&lt;70),"-",COUNTIFS(AT$4:AT$200,"&lt;&gt;-",$D$4:$D$200,"&lt;&gt;是",$E$4:$E$200,"&lt;&gt;封闭期",$H$4:$H$200,"&gt;10",$BN$4:$BN$200,"&gt;-6",$BR$4:$BR$200,"&gt;=70",$K$4:$K$200,"&lt;=30",$C$4:$C$200,"&lt;20190630",AT$4:AT$200,"&gt;="&amp;AT39)/COUNTIFS(AT$4:AT$200,"&lt;&gt;-",$D$4:$D$200,"&lt;&gt;是",$E$4:$E$200,"&lt;&gt;封闭期",$H$4:$H$200,"&gt;10",$BN$4:$BN$200,"&gt;-6",$BR$4:$BR$200,"&gt;=70",$C$4:$C$200,"&lt;20190630",$K$4:$K$200,"&lt;=30"))</f>
        <v>-</v>
      </c>
      <c r="AY39" s="19">
        <f>[1]!f_risk_calmar(A39,$AM$2,$L$2)</f>
        <v>5.6743210022675763</v>
      </c>
      <c r="AZ39" s="19" t="str">
        <f>IFERROR(RANK(AY39,AY:AY)&amp;"/"&amp;COUNT(AY:AY),"-")</f>
        <v>8/197</v>
      </c>
      <c r="BA39" s="26">
        <f>IFERROR(RANK(AY39,AY:AY)/COUNT(AY:AY),"-")</f>
        <v>4.060913705583756E-2</v>
      </c>
      <c r="BB39" s="34" t="str">
        <f>IF(OR($C39&gt;20190630,$K39&gt;30,AY39="-",$D39="是",$E39="封闭期",$H39&lt;10,$BN39&lt;-6,$BR39&lt;70),"-",COUNTIFS(AY$4:AY$200,"&lt;&gt;-",$D$4:$D$200,"&lt;&gt;是",$E$4:$E$200,"&lt;&gt;封闭期",$H$4:$H$200,"&gt;10",$BN$4:$BN$200,"&gt;-6",$BR$4:$BR$200,"&gt;=70",$K$4:$K$200,"&lt;=30",$C$4:$C$200,"&lt;20190630",AY$4:AY$200,"&gt;="&amp;AY39)&amp;"/"&amp;COUNTIFS(AY$4:AY$200,"&lt;&gt;-",$D$4:$D$200,"&lt;&gt;是",$E$4:$E$200,"&lt;&gt;封闭期",$H$4:$H$200,"&gt;10",$BN$4:$BN$200,"&gt;-6",$BR$4:$BR$200,"&gt;=70",$C$4:$C$200,"&lt;20190630",$K$4:$K$200,"&lt;=30"))</f>
        <v>-</v>
      </c>
      <c r="BC39" s="33" t="str">
        <f>IF(OR($C39&gt;20190630,$K39&gt;30,AY39="-",$D39="是",$E39="封闭期",$H39&lt;10,$BN39&lt;-6,$BR39&lt;70),"-",COUNTIFS(AY$4:AY$200,"&lt;&gt;-",$D$4:$D$200,"&lt;&gt;是",$E$4:$E$200,"&lt;&gt;封闭期",$H$4:$H$200,"&gt;10",$BN$4:$BN$200,"&gt;-6",$BR$4:$BR$200,"&gt;=70",$K$4:$K$200,"&lt;=30",$C$4:$C$200,"&lt;20190630",AY$4:AY$200,"&gt;="&amp;AY39)/COUNTIFS(AY$4:AY$200,"&lt;&gt;-",$D$4:$D$200,"&lt;&gt;是",$E$4:$E$200,"&lt;&gt;封闭期",$H$4:$H$200,"&gt;10",$BN$4:$BN$200,"&gt;-6",$BR$4:$BR$200,"&gt;=70",$C$4:$C$200,"&lt;20190630",$K$4:$K$200,"&lt;=30"))</f>
        <v>-</v>
      </c>
      <c r="BD39" s="20">
        <v>1</v>
      </c>
      <c r="BE39" s="19" t="str">
        <f>IFERROR(RANK(BD39,BD:BD)&amp;"/"&amp;COUNT(BD:BD),"-")</f>
        <v>1/197</v>
      </c>
      <c r="BF39" s="26">
        <f>IFERROR(RANK(BD39,BD:BD)/COUNT(BD:BD),"-")</f>
        <v>5.076142131979695E-3</v>
      </c>
      <c r="BG39" s="34" t="str">
        <f>IF(OR($C39&gt;20190630,$K39&gt;30,BD39="-",$D39="是",$E39="封闭期",$H39&lt;10,$BN39&lt;-6,$BR39&lt;70),"-",COUNTIFS(BD$4:BD$200,"&lt;&gt;-",$D$4:$D$200,"&lt;&gt;是",$E$4:$E$200,"&lt;&gt;封闭期",$H$4:$H$200,"&gt;10",$BN$4:$BN$200,"&gt;-6",$BR$4:$BR$200,"&gt;=70",$K$4:$K$200,"&lt;=30",$C$4:$C$200,"&lt;20190630",BD$4:BD$200,"&gt;="&amp;BD39)&amp;"/"&amp;COUNTIFS(BD$4:BD$200,"&lt;&gt;-",$D$4:$D$200,"&lt;&gt;是",$E$4:$E$200,"&lt;&gt;封闭期",$H$4:$H$200,"&gt;10",$BN$4:$BN$200,"&gt;-6",$BR$4:$BR$200,"&gt;=70",$C$4:$C$200,"&lt;20190630",$K$4:$K$200,"&lt;=30"))</f>
        <v>-</v>
      </c>
      <c r="BH39" s="33" t="str">
        <f>IF(OR($C39&gt;20190630,$K39&gt;30,BD39="-",$D39="是",$E39="封闭期",$H39&lt;10,$BN39&lt;-6,$BR39&lt;70),"-",COUNTIFS(BD$4:BD$200,"&lt;&gt;-",$D$4:$D$200,"&lt;&gt;是",$E$4:$E$200,"&lt;&gt;封闭期",$H$4:$H$200,"&gt;10",$BN$4:$BN$200,"&gt;-6",$BR$4:$BR$200,"&gt;=70",$K$4:$K$200,"&lt;=30",$C$4:$C$200,"&lt;20190630",BD$4:BD$200,"&gt;="&amp;BD39)/COUNTIFS(BD$4:BD$200,"&lt;&gt;-",$D$4:$D$200,"&lt;&gt;是",$E$4:$E$200,"&lt;&gt;封闭期",$H$4:$H$200,"&gt;10",$BN$4:$BN$200,"&gt;-6",$BR$4:$BR$200,"&gt;=70",$C$4:$C$200,"&lt;20190630",$K$4:$K$200,"&lt;=30"))</f>
        <v>-</v>
      </c>
      <c r="BI39" s="21">
        <f>[1]!f_risk_maxdownside(A39,$AM$2,$L$2)</f>
        <v>-2.021857923497262</v>
      </c>
      <c r="BJ39" s="19" t="str">
        <f>IFERROR(RANK(BI39,BI:BI)&amp;"/"&amp;COUNT(BI:BI),"-")</f>
        <v>36/197</v>
      </c>
      <c r="BK39" s="26">
        <f>IFERROR(RANK(BI39,BI:BI)/COUNT(BI:BI),"-")</f>
        <v>0.18274111675126903</v>
      </c>
      <c r="BL39" s="34" t="str">
        <f>IF(OR($C39&gt;20190630,$K39&gt;30,BI39="-",$D39="是",$E39="封闭期",$H39&lt;10,$BN39&lt;-6,$BR39&lt;70),"-",COUNTIFS(BI$4:BI$200,"&lt;&gt;-",$D$4:$D$200,"&lt;&gt;是",$E$4:$E$200,"&lt;&gt;封闭期",$H$4:$H$200,"&gt;10",$BN$4:$BN$200,"&gt;-6",$BR$4:$BR$200,"&gt;=70",$K$4:$K$200,"&lt;=30",$C$4:$C$200,"&lt;20190630",BI$4:BI$200,"&gt;="&amp;BI39)&amp;"/"&amp;COUNTIFS(BI$4:BI$200,"&lt;&gt;-",$D$4:$D$200,"&lt;&gt;是",$E$4:$E$200,"&lt;&gt;封闭期",$H$4:$H$200,"&gt;10",$BN$4:$BN$200,"&gt;-6",$BR$4:$BR$200,"&gt;=70",$C$4:$C$200,"&lt;20190630",$K$4:$K$200,"&lt;=30"))</f>
        <v>-</v>
      </c>
      <c r="BM39" s="33" t="str">
        <f>IF(OR($C39&gt;20190630,$K39&gt;30,BI39="-",$D39="是",$E39="封闭期",$H39&lt;10,$BN39&lt;-6,$BR39&lt;70),"-",COUNTIFS(BI$4:BI$200,"&lt;&gt;-",$D$4:$D$200,"&lt;&gt;是",$E$4:$E$200,"&lt;&gt;封闭期",$H$4:$H$200,"&gt;10",$BN$4:$BN$200,"&gt;-6",$BR$4:$BR$200,"&gt;=70",$K$4:$K$200,"&lt;=30",$C$4:$C$200,"&lt;20190630",BI$4:BI$200,"&gt;="&amp;BI39)/COUNTIFS(BI$4:BI$200,"&lt;&gt;-",$D$4:$D$200,"&lt;&gt;是",$E$4:$E$200,"&lt;&gt;封闭期",$H$4:$H$200,"&gt;10",$BN$4:$BN$200,"&gt;-6",$BR$4:$BR$200,"&gt;=70",$C$4:$C$200,"&lt;20190630",$K$4:$K$200,"&lt;=30"))</f>
        <v>-</v>
      </c>
      <c r="BN39" s="21">
        <f>[1]!f_risk_maxdownside(A39,$AM$2,$E$1)</f>
        <v>-2.021857923497262</v>
      </c>
      <c r="BO39" s="21">
        <f>IF(C39&lt;20190930,[1]!f_return_2y(A39,"0","20210930"),"-")</f>
        <v>18.405089510282593</v>
      </c>
      <c r="BP39" s="19" t="str">
        <f>IFERROR(RANK(BO39,BO:BO)&amp;"/"&amp;COUNT(BO:BO),"-")</f>
        <v>52/197</v>
      </c>
      <c r="BQ39" s="25">
        <f>IFERROR(RANK(BO39,BO:BO)/COUNT(BO:BO),"-")</f>
        <v>0.26395939086294418</v>
      </c>
      <c r="BR39" s="19">
        <f>IF(C39&lt;20190930,[1]!f_absolute_profitmonthper(A39,"20190930","20210930"),"-")</f>
        <v>79.166666666666657</v>
      </c>
      <c r="BS39" s="19" t="str">
        <f>IFERROR(RANK(BR39,BR:BR)&amp;"/"&amp;COUNT(BR:BR),"-")</f>
        <v>16/198</v>
      </c>
      <c r="BT39" s="25">
        <f>IFERROR(RANK(BR39,BR:BR)/COUNT(BR:BR),"-")</f>
        <v>8.0808080808080815E-2</v>
      </c>
      <c r="BV39" s="12">
        <f>X39-3/M39</f>
        <v>2.8357668212787304</v>
      </c>
      <c r="BW39" s="76">
        <f>IFERROR(RANK(BV39,BV:BV)/COUNT(BV:BV),"-")</f>
        <v>0.233502538071066</v>
      </c>
      <c r="BX39" s="76">
        <f>IFERROR(RANK(L39,L:L)/COUNT(L:L),"-")</f>
        <v>0.47979797979797978</v>
      </c>
      <c r="BY39" s="12">
        <f>AY39-3/AN39</f>
        <v>4.8977466269887246</v>
      </c>
      <c r="BZ39" s="76">
        <f>IFERROR(RANK(BY39,BY:BY)/COUNT(BY:BY),"-")</f>
        <v>4.060913705583756E-2</v>
      </c>
      <c r="CA39" s="76">
        <f>IFERROR(RANK(AM39,AM:AM)/COUNT(AM:AM),"-")</f>
        <v>0.18686868686868688</v>
      </c>
      <c r="CB39" s="2"/>
      <c r="CC39" s="77">
        <f>AV39+BF39+BZ39+CA39</f>
        <v>0.26301081884838229</v>
      </c>
      <c r="CD39" s="77">
        <f>BW39+BX39+AE39+U39</f>
        <v>1.1498487412192997</v>
      </c>
      <c r="CE39" s="77">
        <f>CC39+CD39</f>
        <v>1.4128595600676821</v>
      </c>
    </row>
    <row r="40" spans="1:83" s="2" customFormat="1" hidden="1" x14ac:dyDescent="0.35">
      <c r="A40" s="15" t="s">
        <v>71</v>
      </c>
      <c r="B40" s="15" t="s">
        <v>72</v>
      </c>
      <c r="C40" s="16">
        <v>20100809</v>
      </c>
      <c r="D40" s="16" t="str">
        <f>[1]!f_info_regulopenfundornot(A40)</f>
        <v>否</v>
      </c>
      <c r="E40" s="16" t="str">
        <f>[1]!f_dq_status(A40,$E$1)</f>
        <v>开放申购|开放赎回</v>
      </c>
      <c r="F40" s="17" t="str">
        <f>[1]!f_info_fundmanager(A40)</f>
        <v>张永志</v>
      </c>
      <c r="G40" s="16">
        <v>20100809</v>
      </c>
      <c r="H40" s="18">
        <f>[1]!f_netasset_total(A40,$E$1,100000000)</f>
        <v>4.3343323219999998</v>
      </c>
      <c r="I40" s="18">
        <f>[1]!f_prt_convertiblebondtonav(A40,$E$1)</f>
        <v>0.11277561634778976</v>
      </c>
      <c r="J40" s="18">
        <f>[1]!f_prt_stocktonav(A40,$E$1)+0.5*I40</f>
        <v>8.1674937270581722</v>
      </c>
      <c r="K40" s="19">
        <v>17.24994634594611</v>
      </c>
      <c r="L40" s="19">
        <f>[1]!f_return($A40,"1",L$2,$E$1)</f>
        <v>12.00948985416732</v>
      </c>
      <c r="M40" s="19">
        <f>[1]!f_risk_stdevyearly($A40,L$2,$E$1,1,1)</f>
        <v>5.4201268639775053</v>
      </c>
      <c r="N40" s="19">
        <f>IFERROR(L40/M40,"-")</f>
        <v>2.2157211732410036</v>
      </c>
      <c r="O40" s="19" t="str">
        <f>IFERROR(RANK(N40,N:N)&amp;"/"&amp;COUNT(N:N),"-")</f>
        <v>41/197</v>
      </c>
      <c r="P40" s="26">
        <f>IF(O40="-","-",RANK(N40,N:N)/COUNT(N:N))</f>
        <v>0.20812182741116753</v>
      </c>
      <c r="Q40" s="56">
        <v>9.6446700507614211E-2</v>
      </c>
      <c r="R40" s="33" t="str">
        <f>IF(OR($C40&gt;20190630,$K40&gt;30,N40="-",$D40="是",$E40="封闭期",$H40&lt;10,$BN40&lt;-6,$BR40&lt;70),"-",COUNTIFS(N$4:N$200,"&lt;&gt;-",$D$4:$D$200,"&lt;&gt;是",$E$4:$E$200,"&lt;&gt;封闭期",$H$4:$H$200,"&gt;10",$BN$4:$BN$200,"&gt;-6",$BR$4:$BR$200,"&gt;=70",$K$4:$K$200,"&lt;=30",$C$4:$C$200,"&lt;20190630",N$4:N$200,"&gt;="&amp;N40)/COUNTIFS(N$4:N$200,"&lt;&gt;-",$D$4:$D$200,"&lt;&gt;是",$E$4:$E$200,"&lt;&gt;封闭期",$H$4:$H$200,"&gt;10",$BN$4:$BN$200,"&gt;-6",$BR$4:$BR$200,"&gt;=70",$C$4:$C$200,"&lt;20190630",$K$4:$K$200,"&lt;=30"))</f>
        <v>-</v>
      </c>
      <c r="S40" s="19">
        <f>IFERROR((L40-3)/M40,"-")</f>
        <v>1.6622285935860543</v>
      </c>
      <c r="T40" s="19" t="str">
        <f>IFERROR(RANK(S40,S:S)&amp;"/"&amp;COUNT(S:S),"-")</f>
        <v>24/197</v>
      </c>
      <c r="U40" s="26">
        <f>IFERROR(RANK(S40,S:S)/COUNT(S:S),"-")</f>
        <v>0.12182741116751269</v>
      </c>
      <c r="V40" s="34" t="str">
        <f>IF(OR($C40&gt;20190630,$K40&gt;30,S40="-",$D40="是",$E40="封闭期",$H40&lt;10,$BN40&lt;-6,$BR40&lt;70),"-",COUNTIFS(S$4:S$200,"&lt;&gt;-",$D$4:$D$200,"&lt;&gt;是",$E$4:$E$200,"&lt;&gt;封闭期",$H$4:$H$200,"&gt;10",$BN$4:$BN$200,"&gt;-6",$BR$4:$BR$200,"&gt;=70",$K$4:$K$200,"&lt;=30",$C$4:$C$200,"&lt;20190630",S$4:S$200,"&gt;="&amp;S40)&amp;"/"&amp;COUNTIFS(S$4:S$200,"&lt;&gt;-",$D$4:$D$200,"&lt;&gt;是",$E$4:$E$200,"&lt;&gt;封闭期",$H$4:$H$200,"&gt;10",$BN$4:$BN$200,"&gt;-6",$BR$4:$BR$200,"&gt;=70",$C$4:$C$200,"&lt;20190630",$K$4:$K$200,"&lt;=30"))</f>
        <v>-</v>
      </c>
      <c r="W40" s="33" t="str">
        <f>IF(OR($C40&gt;20190630,$K40&gt;30,S40="-",$D40="是",$E40="封闭期",$H40&lt;10,$BN40&lt;-6,$BR40&lt;70),"-",COUNTIFS(S$4:S$200,"&lt;&gt;-",$D$4:$D$200,"&lt;&gt;是",$E$4:$E$200,"&lt;&gt;封闭期",$H$4:$H$200,"&gt;10",$BN$4:$BN$200,"&gt;-6",$BR$4:$BR$200,"&gt;=70",$K$4:$K$200,"&lt;=30",$C$4:$C$200,"&lt;20190630",S$4:S$200,"&gt;="&amp;S40)/COUNTIFS(S$4:S$200,"&lt;&gt;-",$D$4:$D$200,"&lt;&gt;是",$E$4:$E$200,"&lt;&gt;封闭期",$H$4:$H$200,"&gt;10",$BN$4:$BN$200,"&gt;-6",$BR$4:$BR$200,"&gt;=70",$C$4:$C$200,"&lt;20190630",$K$4:$K$200,"&lt;=30"))</f>
        <v>-</v>
      </c>
      <c r="X40" s="19">
        <f>[1]!f_risk_calmar(A40,$L$2,$E$1)</f>
        <v>4.2716107049920593</v>
      </c>
      <c r="Y40" s="19" t="str">
        <f>IFERROR(RANK(X40,X:X)&amp;"/"&amp;COUNT(X:X),"-")</f>
        <v>42/197</v>
      </c>
      <c r="Z40" s="26">
        <f>IFERROR(RANK(X40,X:X)/COUNT(X:X),"-")</f>
        <v>0.21319796954314721</v>
      </c>
      <c r="AA40" s="34" t="str">
        <f>IF(OR($C40&gt;20190630,$K40&gt;30,X40="-",$D40="是",$E40="封闭期",$H40&lt;10,$BN40&lt;-6,$BR40&lt;70),"-",COUNTIFS(X$4:X$200,"&lt;&gt;-",$D$4:$D$200,"&lt;&gt;是",$E$4:$E$200,"&lt;&gt;封闭期",$H$4:$H$200,"&gt;10",$BN$4:$BN$200,"&gt;-6",$BR$4:$BR$200,"&gt;=70",$K$4:$K$200,"&lt;=30",$C$4:$C$200,"&lt;20190630",X$4:X$200,"&gt;="&amp;X40)&amp;"/"&amp;COUNTIFS(X$4:X$200,"&lt;&gt;-",$D$4:$D$200,"&lt;&gt;是",$E$4:$E$200,"&lt;&gt;封闭期",$H$4:$H$200,"&gt;10",$BN$4:$BN$200,"&gt;-6",$BR$4:$BR$200,"&gt;=70",$C$4:$C$200,"&lt;20190630",$K$4:$K$200,"&lt;=30"))</f>
        <v>-</v>
      </c>
      <c r="AB40" s="33" t="str">
        <f>IF(OR($C40&gt;20190630,$K40&gt;30,X40="-",$D40="是",$E40="封闭期",$H40&lt;10,$BN40&lt;-6,$BR40&lt;70),"-",COUNTIFS(X$4:X$200,"&lt;&gt;-",$D$4:$D$200,"&lt;&gt;是",$E$4:$E$200,"&lt;&gt;封闭期",$H$4:$H$200,"&gt;10",$BN$4:$BN$200,"&gt;-6",$BR$4:$BR$200,"&gt;=70",$K$4:$K$200,"&lt;=30",$C$4:$C$200,"&lt;20190630",X$4:X$200,"&gt;="&amp;X40)/COUNTIFS(X$4:X$200,"&lt;&gt;-",$D$4:$D$200,"&lt;&gt;是",$E$4:$E$200,"&lt;&gt;封闭期",$H$4:$H$200,"&gt;10",$BN$4:$BN$200,"&gt;-6",$BR$4:$BR$200,"&gt;=70",$C$4:$C$200,"&lt;20190630",$K$4:$K$200,"&lt;=30"))</f>
        <v>-</v>
      </c>
      <c r="AC40" s="20">
        <v>1</v>
      </c>
      <c r="AD40" s="19" t="str">
        <f>IFERROR(RANK(AC40,AC:AC)&amp;"/"&amp;COUNT(AC:AC),"-")</f>
        <v>1/197</v>
      </c>
      <c r="AE40" s="26">
        <f>IFERROR(RANK(AC40,AC:AC)/COUNT(AC:AC),"-")</f>
        <v>5.076142131979695E-3</v>
      </c>
      <c r="AF40" s="34" t="str">
        <f>IF(OR($C40&gt;20190630,$K40&gt;30,AC40="-",$D40="是",$E40="封闭期",$H40&lt;10,$BN40&lt;-6,$BR40&lt;70),"-",COUNTIFS(AC$4:AC$200,"&lt;&gt;-",$D$4:$D$200,"&lt;&gt;是",$E$4:$E$200,"&lt;&gt;封闭期",$H$4:$H$200,"&gt;10",$BN$4:$BN$200,"&gt;-6",$BR$4:$BR$200,"&gt;=70",$K$4:$K$200,"&lt;=30",$C$4:$C$200,"&lt;20190630",AC$4:AC$200,"&gt;="&amp;AC40)&amp;"/"&amp;COUNTIFS(AC$4:AC$200,"&lt;&gt;-",$D$4:$D$200,"&lt;&gt;是",$E$4:$E$200,"&lt;&gt;封闭期",$H$4:$H$200,"&gt;10",$BN$4:$BN$200,"&gt;-6",$BR$4:$BR$200,"&gt;=70",$C$4:$C$200,"&lt;20190630",$K$4:$K$200,"&lt;=30"))</f>
        <v>-</v>
      </c>
      <c r="AG40" s="33" t="str">
        <f>IF(OR($C40&gt;20190630,$K40&gt;30,AC40="-",$D40="是",$E40="封闭期",$H40&lt;10,$BN40&lt;-6,$BR40&lt;70),"-",COUNTIFS(AC$4:AC$200,"&lt;&gt;-",$D$4:$D$200,"&lt;&gt;是",$E$4:$E$200,"&lt;&gt;封闭期",$H$4:$H$200,"&gt;10",$BN$4:$BN$200,"&gt;-6",$BR$4:$BR$200,"&gt;=70",$K$4:$K$200,"&lt;=30",$C$4:$C$200,"&lt;20190630",AC$4:AC$200,"&gt;="&amp;AC40)/COUNTIFS(AC$4:AC$200,"&lt;&gt;-",$D$4:$D$200,"&lt;&gt;是",$E$4:$E$200,"&lt;&gt;封闭期",$H$4:$H$200,"&gt;10",$BN$4:$BN$200,"&gt;-6",$BR$4:$BR$200,"&gt;=70",$C$4:$C$200,"&lt;20190630",$K$4:$K$200,"&lt;=30"))</f>
        <v>-</v>
      </c>
      <c r="AH40" s="21">
        <f>[1]!f_risk_maxdownside(A40,$L$2,$E$1)</f>
        <v>-2.8114663726571134</v>
      </c>
      <c r="AI40" s="19" t="str">
        <f>IFERROR(RANK(AH40,AH:AH)&amp;"/"&amp;COUNT(AH:AH),"-")</f>
        <v>85/197</v>
      </c>
      <c r="AJ40" s="26">
        <f>IFERROR(RANK(AH40,AH:AH)/COUNT(AH:AH),"-")</f>
        <v>0.43147208121827413</v>
      </c>
      <c r="AK40" s="34" t="str">
        <f>IF(OR($C40&gt;20190630,$K40&gt;30,AH40="-",$D40="是",$E40="封闭期",$H40&lt;10,$BN40&lt;-6,$BR40&lt;70),"-",COUNTIFS(AH$4:AH$200,"&lt;&gt;-",$D$4:$D$200,"&lt;&gt;是",$E$4:$E$200,"&lt;&gt;封闭期",$H$4:$H$200,"&gt;10",$BN$4:$BN$200,"&gt;-6",$BR$4:$BR$200,"&gt;=70",$K$4:$K$200,"&lt;=30",$C$4:$C$200,"&lt;20190630",AH$4:AH$200,"&gt;="&amp;AH40)&amp;"/"&amp;COUNTIFS(AH$4:AH$200,"&lt;&gt;-",$D$4:$D$200,"&lt;&gt;是",$E$4:$E$200,"&lt;&gt;封闭期",$H$4:$H$200,"&gt;10",$BN$4:$BN$200,"&gt;-6",$BR$4:$BR$200,"&gt;=70",$C$4:$C$200,"&lt;20190630",$K$4:$K$200,"&lt;=30"))</f>
        <v>-</v>
      </c>
      <c r="AL40" s="33" t="str">
        <f>IF(OR($C40&gt;20190630,$K40&gt;30,AH40="-",$D40="是",$E40="封闭期",$H40&lt;10,$BN40&lt;-6,$BR40&lt;70),"-",COUNTIFS(AH$4:AH$200,"&lt;&gt;-",$D$4:$D$200,"&lt;&gt;是",$E$4:$E$200,"&lt;&gt;封闭期",$H$4:$H$200,"&gt;10",$BN$4:$BN$200,"&gt;-6",$BR$4:$BR$200,"&gt;=70",$K$4:$K$200,"&lt;=30",$C$4:$C$200,"&lt;20190630",AH$4:AH$200,"&gt;="&amp;AH40)/COUNTIFS(AH$4:AH$200,"&lt;&gt;-",$D$4:$D$200,"&lt;&gt;是",$E$4:$E$200,"&lt;&gt;封闭期",$H$4:$H$200,"&gt;10",$BN$4:$BN$200,"&gt;-6",$BR$4:$BR$200,"&gt;=70",$C$4:$C$200,"&lt;20190630",$K$4:$K$200,"&lt;=30"))</f>
        <v>-</v>
      </c>
      <c r="AM40" s="19">
        <f>[1]!f_return($A40,"1",AM$2,$L$2)</f>
        <v>11.446517201454377</v>
      </c>
      <c r="AN40" s="19">
        <f>[1]!f_risk_stdevyearly($A40,AM$2,$L$2,1,1)</f>
        <v>6.4333991507076265</v>
      </c>
      <c r="AO40" s="19">
        <f>IFERROR(AM40/AN40,"-")</f>
        <v>1.7792331756992483</v>
      </c>
      <c r="AP40" s="19" t="str">
        <f>IFERROR(RANK(AO40,AO:AO)&amp;"/"&amp;COUNT(AO:AO),"-")</f>
        <v>72/197</v>
      </c>
      <c r="AQ40" s="26">
        <f>IF(AP40="-","-",RANK(AO40,AO:AO)/COUNT(AO:AO))</f>
        <v>0.36548223350253806</v>
      </c>
      <c r="AR40" s="57">
        <v>0.18781725888324874</v>
      </c>
      <c r="AS40" s="33" t="str">
        <f>IF(OR($C40&gt;20190630,$K40&gt;30,AO40="-",$D40="是",$E40="封闭期",$H40&lt;10,$BN40&lt;-6,$BR40&lt;70),"-",COUNTIFS(AO$4:AO$200,"&lt;&gt;-",$D$4:$D$200,"&lt;&gt;是",$E$4:$E$200,"&lt;&gt;封闭期",$H$4:$H$200,"&gt;10",$BN$4:$BN$200,"&gt;-6",$BR$4:$BR$200,"&gt;=70",$K$4:$K$200,"&lt;=30",$C$4:$C$200,"&lt;20190630",AO$4:AO$200,"&gt;="&amp;AO40)/COUNTIFS(AO$4:AO$200,"&lt;&gt;-",$D$4:$D$200,"&lt;&gt;是",$E$4:$E$200,"&lt;&gt;封闭期",$H$4:$H$200,"&gt;10",$BN$4:$BN$200,"&gt;-6",$BR$4:$BR$200,"&gt;=70",$C$4:$C$200,"&lt;20190630",$K$4:$K$200,"&lt;=30"))</f>
        <v>-</v>
      </c>
      <c r="AT40" s="19">
        <f>IFERROR((AM40-3)/AN40,"-")</f>
        <v>1.3129167029105169</v>
      </c>
      <c r="AU40" s="19" t="str">
        <f>IFERROR(RANK(AT40,AT:AT)&amp;"/"&amp;COUNT(AT:AT),"-")</f>
        <v>41/197</v>
      </c>
      <c r="AV40" s="26">
        <f>IFERROR(RANK(AT40,AT:AT)/COUNT(AT:AT),"-")</f>
        <v>0.20812182741116753</v>
      </c>
      <c r="AW40" s="34" t="str">
        <f>IF(OR($C40&gt;20190630,$K40&gt;30,AT40="-",$D40="是",$E40="封闭期",$H40&lt;10,$BN40&lt;-6,$BR40&lt;70),"-",COUNTIFS(AT$4:AT$200,"&lt;&gt;-",$D$4:$D$200,"&lt;&gt;是",$E$4:$E$200,"&lt;&gt;封闭期",$H$4:$H$200,"&gt;10",$BN$4:$BN$200,"&gt;-6",$BR$4:$BR$200,"&gt;=70",$K$4:$K$200,"&lt;=30",$C$4:$C$200,"&lt;20190630",AT$4:AT$200,"&gt;="&amp;AT40)&amp;"/"&amp;COUNTIFS(AT$4:AT$200,"&lt;&gt;-",$D$4:$D$200,"&lt;&gt;是",$E$4:$E$200,"&lt;&gt;封闭期",$H$4:$H$200,"&gt;10",$BN$4:$BN$200,"&gt;-6",$BR$4:$BR$200,"&gt;=70",$C$4:$C$200,"&lt;20190630",$K$4:$K$200,"&lt;=30"))</f>
        <v>-</v>
      </c>
      <c r="AX40" s="33" t="str">
        <f>IF(OR($C40&gt;20190630,$K40&gt;30,AT40="-",$D40="是",$E40="封闭期",$H40&lt;10,$BN40&lt;-6,$BR40&lt;70),"-",COUNTIFS(AT$4:AT$200,"&lt;&gt;-",$D$4:$D$200,"&lt;&gt;是",$E$4:$E$200,"&lt;&gt;封闭期",$H$4:$H$200,"&gt;10",$BN$4:$BN$200,"&gt;-6",$BR$4:$BR$200,"&gt;=70",$K$4:$K$200,"&lt;=30",$C$4:$C$200,"&lt;20190630",AT$4:AT$200,"&gt;="&amp;AT40)/COUNTIFS(AT$4:AT$200,"&lt;&gt;-",$D$4:$D$200,"&lt;&gt;是",$E$4:$E$200,"&lt;&gt;封闭期",$H$4:$H$200,"&gt;10",$BN$4:$BN$200,"&gt;-6",$BR$4:$BR$200,"&gt;=70",$C$4:$C$200,"&lt;20190630",$K$4:$K$200,"&lt;=30"))</f>
        <v>-</v>
      </c>
      <c r="AY40" s="19">
        <f>[1]!f_risk_calmar(A40,$AM$2,$L$2)</f>
        <v>2.9260159596217803</v>
      </c>
      <c r="AZ40" s="19" t="str">
        <f>IFERROR(RANK(AY40,AY:AY)&amp;"/"&amp;COUNT(AY:AY),"-")</f>
        <v>54/197</v>
      </c>
      <c r="BA40" s="26">
        <f>IFERROR(RANK(AY40,AY:AY)/COUNT(AY:AY),"-")</f>
        <v>0.27411167512690354</v>
      </c>
      <c r="BB40" s="34" t="str">
        <f>IF(OR($C40&gt;20190630,$K40&gt;30,AY40="-",$D40="是",$E40="封闭期",$H40&lt;10,$BN40&lt;-6,$BR40&lt;70),"-",COUNTIFS(AY$4:AY$200,"&lt;&gt;-",$D$4:$D$200,"&lt;&gt;是",$E$4:$E$200,"&lt;&gt;封闭期",$H$4:$H$200,"&gt;10",$BN$4:$BN$200,"&gt;-6",$BR$4:$BR$200,"&gt;=70",$K$4:$K$200,"&lt;=30",$C$4:$C$200,"&lt;20190630",AY$4:AY$200,"&gt;="&amp;AY40)&amp;"/"&amp;COUNTIFS(AY$4:AY$200,"&lt;&gt;-",$D$4:$D$200,"&lt;&gt;是",$E$4:$E$200,"&lt;&gt;封闭期",$H$4:$H$200,"&gt;10",$BN$4:$BN$200,"&gt;-6",$BR$4:$BR$200,"&gt;=70",$C$4:$C$200,"&lt;20190630",$K$4:$K$200,"&lt;=30"))</f>
        <v>-</v>
      </c>
      <c r="BC40" s="33" t="str">
        <f>IF(OR($C40&gt;20190630,$K40&gt;30,AY40="-",$D40="是",$E40="封闭期",$H40&lt;10,$BN40&lt;-6,$BR40&lt;70),"-",COUNTIFS(AY$4:AY$200,"&lt;&gt;-",$D$4:$D$200,"&lt;&gt;是",$E$4:$E$200,"&lt;&gt;封闭期",$H$4:$H$200,"&gt;10",$BN$4:$BN$200,"&gt;-6",$BR$4:$BR$200,"&gt;=70",$K$4:$K$200,"&lt;=30",$C$4:$C$200,"&lt;20190630",AY$4:AY$200,"&gt;="&amp;AY40)/COUNTIFS(AY$4:AY$200,"&lt;&gt;-",$D$4:$D$200,"&lt;&gt;是",$E$4:$E$200,"&lt;&gt;封闭期",$H$4:$H$200,"&gt;10",$BN$4:$BN$200,"&gt;-6",$BR$4:$BR$200,"&gt;=70",$C$4:$C$200,"&lt;20190630",$K$4:$K$200,"&lt;=30"))</f>
        <v>-</v>
      </c>
      <c r="BD40" s="20">
        <v>1</v>
      </c>
      <c r="BE40" s="19" t="str">
        <f>IFERROR(RANK(BD40,BD:BD)&amp;"/"&amp;COUNT(BD:BD),"-")</f>
        <v>1/197</v>
      </c>
      <c r="BF40" s="26">
        <f>IFERROR(RANK(BD40,BD:BD)/COUNT(BD:BD),"-")</f>
        <v>5.076142131979695E-3</v>
      </c>
      <c r="BG40" s="34" t="str">
        <f>IF(OR($C40&gt;20190630,$K40&gt;30,BD40="-",$D40="是",$E40="封闭期",$H40&lt;10,$BN40&lt;-6,$BR40&lt;70),"-",COUNTIFS(BD$4:BD$200,"&lt;&gt;-",$D$4:$D$200,"&lt;&gt;是",$E$4:$E$200,"&lt;&gt;封闭期",$H$4:$H$200,"&gt;10",$BN$4:$BN$200,"&gt;-6",$BR$4:$BR$200,"&gt;=70",$K$4:$K$200,"&lt;=30",$C$4:$C$200,"&lt;20190630",BD$4:BD$200,"&gt;="&amp;BD40)&amp;"/"&amp;COUNTIFS(BD$4:BD$200,"&lt;&gt;-",$D$4:$D$200,"&lt;&gt;是",$E$4:$E$200,"&lt;&gt;封闭期",$H$4:$H$200,"&gt;10",$BN$4:$BN$200,"&gt;-6",$BR$4:$BR$200,"&gt;=70",$C$4:$C$200,"&lt;20190630",$K$4:$K$200,"&lt;=30"))</f>
        <v>-</v>
      </c>
      <c r="BH40" s="33" t="str">
        <f>IF(OR($C40&gt;20190630,$K40&gt;30,BD40="-",$D40="是",$E40="封闭期",$H40&lt;10,$BN40&lt;-6,$BR40&lt;70),"-",COUNTIFS(BD$4:BD$200,"&lt;&gt;-",$D$4:$D$200,"&lt;&gt;是",$E$4:$E$200,"&lt;&gt;封闭期",$H$4:$H$200,"&gt;10",$BN$4:$BN$200,"&gt;-6",$BR$4:$BR$200,"&gt;=70",$K$4:$K$200,"&lt;=30",$C$4:$C$200,"&lt;20190630",BD$4:BD$200,"&gt;="&amp;BD40)/COUNTIFS(BD$4:BD$200,"&lt;&gt;-",$D$4:$D$200,"&lt;&gt;是",$E$4:$E$200,"&lt;&gt;封闭期",$H$4:$H$200,"&gt;10",$BN$4:$BN$200,"&gt;-6",$BR$4:$BR$200,"&gt;=70",$C$4:$C$200,"&lt;20190630",$K$4:$K$200,"&lt;=30"))</f>
        <v>-</v>
      </c>
      <c r="BI40" s="21">
        <f>[1]!f_risk_maxdownside(A40,$AM$2,$L$2)</f>
        <v>-3.9119804400977927</v>
      </c>
      <c r="BJ40" s="19" t="str">
        <f>IFERROR(RANK(BI40,BI:BI)&amp;"/"&amp;COUNT(BI:BI),"-")</f>
        <v>127/197</v>
      </c>
      <c r="BK40" s="26">
        <f>IFERROR(RANK(BI40,BI:BI)/COUNT(BI:BI),"-")</f>
        <v>0.64467005076142136</v>
      </c>
      <c r="BL40" s="34" t="str">
        <f>IF(OR($C40&gt;20190630,$K40&gt;30,BI40="-",$D40="是",$E40="封闭期",$H40&lt;10,$BN40&lt;-6,$BR40&lt;70),"-",COUNTIFS(BI$4:BI$200,"&lt;&gt;-",$D$4:$D$200,"&lt;&gt;是",$E$4:$E$200,"&lt;&gt;封闭期",$H$4:$H$200,"&gt;10",$BN$4:$BN$200,"&gt;-6",$BR$4:$BR$200,"&gt;=70",$K$4:$K$200,"&lt;=30",$C$4:$C$200,"&lt;20190630",BI$4:BI$200,"&gt;="&amp;BI40)&amp;"/"&amp;COUNTIFS(BI$4:BI$200,"&lt;&gt;-",$D$4:$D$200,"&lt;&gt;是",$E$4:$E$200,"&lt;&gt;封闭期",$H$4:$H$200,"&gt;10",$BN$4:$BN$200,"&gt;-6",$BR$4:$BR$200,"&gt;=70",$C$4:$C$200,"&lt;20190630",$K$4:$K$200,"&lt;=30"))</f>
        <v>-</v>
      </c>
      <c r="BM40" s="33" t="str">
        <f>IF(OR($C40&gt;20190630,$K40&gt;30,BI40="-",$D40="是",$E40="封闭期",$H40&lt;10,$BN40&lt;-6,$BR40&lt;70),"-",COUNTIFS(BI$4:BI$200,"&lt;&gt;-",$D$4:$D$200,"&lt;&gt;是",$E$4:$E$200,"&lt;&gt;封闭期",$H$4:$H$200,"&gt;10",$BN$4:$BN$200,"&gt;-6",$BR$4:$BR$200,"&gt;=70",$K$4:$K$200,"&lt;=30",$C$4:$C$200,"&lt;20190630",BI$4:BI$200,"&gt;="&amp;BI40)/COUNTIFS(BI$4:BI$200,"&lt;&gt;-",$D$4:$D$200,"&lt;&gt;是",$E$4:$E$200,"&lt;&gt;封闭期",$H$4:$H$200,"&gt;10",$BN$4:$BN$200,"&gt;-6",$BR$4:$BR$200,"&gt;=70",$C$4:$C$200,"&lt;20190630",$K$4:$K$200,"&lt;=30"))</f>
        <v>-</v>
      </c>
      <c r="BN40" s="21">
        <f>[1]!f_risk_maxdownside(A40,$AM$2,$E$1)</f>
        <v>-3.9119804400977927</v>
      </c>
      <c r="BO40" s="21">
        <f>IF(C40&lt;20190930,[1]!f_return_2y(A40,"0","20210930"),"-")</f>
        <v>25.691686741078513</v>
      </c>
      <c r="BP40" s="19" t="str">
        <f>IFERROR(RANK(BO40,BO:BO)&amp;"/"&amp;COUNT(BO:BO),"-")</f>
        <v>18/197</v>
      </c>
      <c r="BQ40" s="25">
        <f>IFERROR(RANK(BO40,BO:BO)/COUNT(BO:BO),"-")</f>
        <v>9.1370558375634514E-2</v>
      </c>
      <c r="BR40" s="19">
        <f>IF(C40&lt;20190930,[1]!f_absolute_profitmonthper(A40,"20190930","20210930"),"-")</f>
        <v>70.833333333333343</v>
      </c>
      <c r="BS40" s="19" t="str">
        <f>IFERROR(RANK(BR40,BR:BR)&amp;"/"&amp;COUNT(BR:BR),"-")</f>
        <v>55/198</v>
      </c>
      <c r="BT40" s="25">
        <f>IFERROR(RANK(BR40,BR:BR)/COUNT(BR:BR),"-")</f>
        <v>0.27777777777777779</v>
      </c>
      <c r="BU40" s="17"/>
      <c r="BV40" s="12">
        <f>X40-3/M40</f>
        <v>3.7181181253371101</v>
      </c>
      <c r="BW40" s="76">
        <f>IFERROR(RANK(BV40,BV:BV)/COUNT(BV:BV),"-")</f>
        <v>0.17258883248730963</v>
      </c>
      <c r="BX40" s="76">
        <f>IFERROR(RANK(L40,L:L)/COUNT(L:L),"-")</f>
        <v>0.10101010101010101</v>
      </c>
      <c r="BY40" s="12">
        <f>AY40-3/AN40</f>
        <v>2.4596994868330491</v>
      </c>
      <c r="BZ40" s="76">
        <f>IFERROR(RANK(BY40,BY:BY)/COUNT(BY:BY),"-")</f>
        <v>0.20304568527918782</v>
      </c>
      <c r="CA40" s="76">
        <f>IFERROR(RANK(AM40,AM:AM)/COUNT(AM:AM),"-")</f>
        <v>0.19191919191919191</v>
      </c>
      <c r="CC40" s="77">
        <f>AV40+BF40+BZ40+CA40</f>
        <v>0.60816284674152699</v>
      </c>
      <c r="CD40" s="77">
        <f>BW40+BX40+AE40+U40</f>
        <v>0.40050248679690303</v>
      </c>
      <c r="CE40" s="77">
        <f>CC40+CD40</f>
        <v>1.0086653335384299</v>
      </c>
    </row>
    <row r="41" spans="1:83" s="17" customFormat="1" x14ac:dyDescent="0.35">
      <c r="A41" s="3" t="s">
        <v>141</v>
      </c>
      <c r="B41" s="3" t="s">
        <v>142</v>
      </c>
      <c r="C41" s="4">
        <v>20150116</v>
      </c>
      <c r="D41" s="4" t="str">
        <f>[1]!f_info_regulopenfundornot(A41)</f>
        <v>否</v>
      </c>
      <c r="E41" s="4" t="str">
        <f>[1]!f_dq_status(A41,$E$1)</f>
        <v>暂停大额申购|开放赎回</v>
      </c>
      <c r="F41" s="17" t="str">
        <f>[1]!f_info_fundmanager(A41)</f>
        <v>姚秋</v>
      </c>
      <c r="G41" s="4">
        <v>20150611</v>
      </c>
      <c r="H41" s="11">
        <f>[1]!f_netasset_total(A41,$E$1,100000000)</f>
        <v>23.592101034499997</v>
      </c>
      <c r="I41" s="11">
        <f>[1]!f_prt_convertiblebondtonav(A41,$E$1)</f>
        <v>20.202695846557617</v>
      </c>
      <c r="J41" s="11">
        <f>[1]!f_prt_stocktonav(A41,$E$1)+0.5*I41</f>
        <v>32.509869575500488</v>
      </c>
      <c r="K41" s="12">
        <v>0</v>
      </c>
      <c r="L41" s="19">
        <f>[1]!f_return($A41,"1",L$2,$E$1)</f>
        <v>4.272612858516589</v>
      </c>
      <c r="M41" s="19">
        <f>[1]!f_risk_stdevyearly($A41,L$2,$E$1,1,1)</f>
        <v>3.6906370231127466</v>
      </c>
      <c r="N41" s="12">
        <f>IFERROR(L41/M41,"-")</f>
        <v>1.1576898057866969</v>
      </c>
      <c r="O41" s="12" t="str">
        <f>IFERROR(RANK(N41,N:N)&amp;"/"&amp;COUNT(N:N),"-")</f>
        <v>124/197</v>
      </c>
      <c r="P41" s="26">
        <f>IF(O41="-","-",RANK(N41,N:N)/COUNT(N:N))</f>
        <v>0.62944162436548223</v>
      </c>
      <c r="Q41" s="58">
        <v>0.69035532994923854</v>
      </c>
      <c r="R41" s="33">
        <f>IF(OR($C41&gt;20190630,$K41&gt;30,N41="-",$D41="是",$E41="封闭期",$H41&lt;10,$BN41&lt;-6,$BR41&lt;70),"-",COUNTIFS(N$4:N$200,"&lt;&gt;-",$D$4:$D$200,"&lt;&gt;是",$E$4:$E$200,"&lt;&gt;封闭期",$H$4:$H$200,"&gt;10",$BN$4:$BN$200,"&gt;-6",$BR$4:$BR$200,"&gt;=70",$K$4:$K$200,"&lt;=30",$C$4:$C$200,"&lt;20190630",N$4:N$200,"&gt;="&amp;N41)/COUNTIFS(N$4:N$200,"&lt;&gt;-",$D$4:$D$200,"&lt;&gt;是",$E$4:$E$200,"&lt;&gt;封闭期",$H$4:$H$200,"&gt;10",$BN$4:$BN$200,"&gt;-6",$BR$4:$BR$200,"&gt;=70",$C$4:$C$200,"&lt;20190630",$K$4:$K$200,"&lt;=30"))</f>
        <v>0.89743589743589747</v>
      </c>
      <c r="S41" s="12">
        <f>IFERROR((L41-3)/M41,"-")</f>
        <v>0.34482200512995598</v>
      </c>
      <c r="T41" s="12" t="str">
        <f>IFERROR(RANK(S41,S:S)&amp;"/"&amp;COUNT(S:S),"-")</f>
        <v>133/197</v>
      </c>
      <c r="U41" s="26">
        <f>IFERROR(RANK(S41,S:S)/COUNT(S:S),"-")</f>
        <v>0.67512690355329952</v>
      </c>
      <c r="V41" s="13" t="str">
        <f>IF(OR($C41&gt;20190630,$K41&gt;30,S41="-",$D41="是",$E41="封闭期",$H41&lt;10,$BN41&lt;-6,$BR41&lt;70),"-",COUNTIFS(S$4:S$200,"&lt;&gt;-",$D$4:$D$200,"&lt;&gt;是",$E$4:$E$200,"&lt;&gt;封闭期",$H$4:$H$200,"&gt;10",$BN$4:$BN$200,"&gt;-6",$BR$4:$BR$200,"&gt;=70",$K$4:$K$200,"&lt;=30",$C$4:$C$200,"&lt;20190630",S$4:S$200,"&gt;="&amp;S41)&amp;"/"&amp;COUNTIFS(S$4:S$200,"&lt;&gt;-",$D$4:$D$200,"&lt;&gt;是",$E$4:$E$200,"&lt;&gt;封闭期",$H$4:$H$200,"&gt;10",$BN$4:$BN$200,"&gt;-6",$BR$4:$BR$200,"&gt;=70",$C$4:$C$200,"&lt;20190630",$K$4:$K$200,"&lt;=30"))</f>
        <v>38/39</v>
      </c>
      <c r="W41" s="33">
        <f>IF(OR($C41&gt;20190630,$K41&gt;30,S41="-",$D41="是",$E41="封闭期",$H41&lt;10,$BN41&lt;-6,$BR41&lt;70),"-",COUNTIFS(S$4:S$200,"&lt;&gt;-",$D$4:$D$200,"&lt;&gt;是",$E$4:$E$200,"&lt;&gt;封闭期",$H$4:$H$200,"&gt;10",$BN$4:$BN$200,"&gt;-6",$BR$4:$BR$200,"&gt;=70",$K$4:$K$200,"&lt;=30",$C$4:$C$200,"&lt;20190630",S$4:S$200,"&gt;="&amp;S41)/COUNTIFS(S$4:S$200,"&lt;&gt;-",$D$4:$D$200,"&lt;&gt;是",$E$4:$E$200,"&lt;&gt;封闭期",$H$4:$H$200,"&gt;10",$BN$4:$BN$200,"&gt;-6",$BR$4:$BR$200,"&gt;=70",$C$4:$C$200,"&lt;20190630",$K$4:$K$200,"&lt;=30"))</f>
        <v>0.97435897435897434</v>
      </c>
      <c r="X41" s="19">
        <f>[1]!f_risk_calmar(A41,$L$2,$E$1)</f>
        <v>1.7692686389361953</v>
      </c>
      <c r="Y41" s="12" t="str">
        <f>IFERROR(RANK(X41,X:X)&amp;"/"&amp;COUNT(X:X),"-")</f>
        <v>110/197</v>
      </c>
      <c r="Z41" s="26">
        <f>IFERROR(RANK(X41,X:X)/COUNT(X:X),"-")</f>
        <v>0.55837563451776651</v>
      </c>
      <c r="AA41" s="13" t="str">
        <f>IF(OR($C41&gt;20190630,$K41&gt;30,X41="-",$D41="是",$E41="封闭期",$H41&lt;10,$BN41&lt;-6,$BR41&lt;70),"-",COUNTIFS(X$4:X$200,"&lt;&gt;-",$D$4:$D$200,"&lt;&gt;是",$E$4:$E$200,"&lt;&gt;封闭期",$H$4:$H$200,"&gt;10",$BN$4:$BN$200,"&gt;-6",$BR$4:$BR$200,"&gt;=70",$K$4:$K$200,"&lt;=30",$C$4:$C$200,"&lt;20190630",X$4:X$200,"&gt;="&amp;X41)&amp;"/"&amp;COUNTIFS(X$4:X$200,"&lt;&gt;-",$D$4:$D$200,"&lt;&gt;是",$E$4:$E$200,"&lt;&gt;封闭期",$H$4:$H$200,"&gt;10",$BN$4:$BN$200,"&gt;-6",$BR$4:$BR$200,"&gt;=70",$C$4:$C$200,"&lt;20190630",$K$4:$K$200,"&lt;=30"))</f>
        <v>30/39</v>
      </c>
      <c r="AB41" s="33">
        <f>IF(OR($C41&gt;20190630,$K41&gt;30,X41="-",$D41="是",$E41="封闭期",$H41&lt;10,$BN41&lt;-6,$BR41&lt;70),"-",COUNTIFS(X$4:X$200,"&lt;&gt;-",$D$4:$D$200,"&lt;&gt;是",$E$4:$E$200,"&lt;&gt;封闭期",$H$4:$H$200,"&gt;10",$BN$4:$BN$200,"&gt;-6",$BR$4:$BR$200,"&gt;=70",$K$4:$K$200,"&lt;=30",$C$4:$C$200,"&lt;20190630",X$4:X$200,"&gt;="&amp;X41)/COUNTIFS(X$4:X$200,"&lt;&gt;-",$D$4:$D$200,"&lt;&gt;是",$E$4:$E$200,"&lt;&gt;封闭期",$H$4:$H$200,"&gt;10",$BN$4:$BN$200,"&gt;-6",$BR$4:$BR$200,"&gt;=70",$C$4:$C$200,"&lt;20190630",$K$4:$K$200,"&lt;=30"))</f>
        <v>0.76923076923076927</v>
      </c>
      <c r="AC41" s="20">
        <v>0.81512605042016806</v>
      </c>
      <c r="AD41" s="12" t="str">
        <f>IFERROR(RANK(AC41,AC:AC)&amp;"/"&amp;COUNT(AC:AC),"-")</f>
        <v>145/197</v>
      </c>
      <c r="AE41" s="26">
        <f>IFERROR(RANK(AC41,AC:AC)/COUNT(AC:AC),"-")</f>
        <v>0.73604060913705582</v>
      </c>
      <c r="AF41" s="13" t="str">
        <f>IF(OR($C41&gt;20190630,$K41&gt;30,AC41="-",$D41="是",$E41="封闭期",$H41&lt;10,$BN41&lt;-6,$BR41&lt;70),"-",COUNTIFS(AC$4:AC$200,"&lt;&gt;-",$D$4:$D$200,"&lt;&gt;是",$E$4:$E$200,"&lt;&gt;封闭期",$H$4:$H$200,"&gt;10",$BN$4:$BN$200,"&gt;-6",$BR$4:$BR$200,"&gt;=70",$K$4:$K$200,"&lt;=30",$C$4:$C$200,"&lt;20190630",AC$4:AC$200,"&gt;="&amp;AC41)&amp;"/"&amp;COUNTIFS(AC$4:AC$200,"&lt;&gt;-",$D$4:$D$200,"&lt;&gt;是",$E$4:$E$200,"&lt;&gt;封闭期",$H$4:$H$200,"&gt;10",$BN$4:$BN$200,"&gt;-6",$BR$4:$BR$200,"&gt;=70",$C$4:$C$200,"&lt;20190630",$K$4:$K$200,"&lt;=30"))</f>
        <v>39/39</v>
      </c>
      <c r="AG41" s="33">
        <f>IF(OR($C41&gt;20190630,$K41&gt;30,AC41="-",$D41="是",$E41="封闭期",$H41&lt;10,$BN41&lt;-6,$BR41&lt;70),"-",COUNTIFS(AC$4:AC$200,"&lt;&gt;-",$D$4:$D$200,"&lt;&gt;是",$E$4:$E$200,"&lt;&gt;封闭期",$H$4:$H$200,"&gt;10",$BN$4:$BN$200,"&gt;-6",$BR$4:$BR$200,"&gt;=70",$K$4:$K$200,"&lt;=30",$C$4:$C$200,"&lt;20190630",AC$4:AC$200,"&gt;="&amp;AC41)/COUNTIFS(AC$4:AC$200,"&lt;&gt;-",$D$4:$D$200,"&lt;&gt;是",$E$4:$E$200,"&lt;&gt;封闭期",$H$4:$H$200,"&gt;10",$BN$4:$BN$200,"&gt;-6",$BR$4:$BR$200,"&gt;=70",$C$4:$C$200,"&lt;20190630",$K$4:$K$200,"&lt;=30"))</f>
        <v>1</v>
      </c>
      <c r="AH41" s="21">
        <f>[1]!f_risk_maxdownside(A41,$L$2,$E$1)</f>
        <v>-2.4149034038638555</v>
      </c>
      <c r="AI41" s="19" t="str">
        <f>IFERROR(RANK(AH41,AH:AH)&amp;"/"&amp;COUNT(AH:AH),"-")</f>
        <v>73/197</v>
      </c>
      <c r="AJ41" s="26">
        <f>IFERROR(RANK(AH41,AH:AH)/COUNT(AH:AH),"-")</f>
        <v>0.37055837563451777</v>
      </c>
      <c r="AK41" s="34" t="str">
        <f>IF(OR($C41&gt;20190630,$K41&gt;30,AH41="-",$D41="是",$E41="封闭期",$H41&lt;10,$BN41&lt;-6,$BR41&lt;70),"-",COUNTIFS(AH$4:AH$200,"&lt;&gt;-",$D$4:$D$200,"&lt;&gt;是",$E$4:$E$200,"&lt;&gt;封闭期",$H$4:$H$200,"&gt;10",$BN$4:$BN$200,"&gt;-6",$BR$4:$BR$200,"&gt;=70",$K$4:$K$200,"&lt;=30",$C$4:$C$200,"&lt;20190630",AH$4:AH$200,"&gt;="&amp;AH41)&amp;"/"&amp;COUNTIFS(AH$4:AH$200,"&lt;&gt;-",$D$4:$D$200,"&lt;&gt;是",$E$4:$E$200,"&lt;&gt;封闭期",$H$4:$H$200,"&gt;10",$BN$4:$BN$200,"&gt;-6",$BR$4:$BR$200,"&gt;=70",$C$4:$C$200,"&lt;20190630",$K$4:$K$200,"&lt;=30"))</f>
        <v>18/39</v>
      </c>
      <c r="AL41" s="33">
        <f>IF(OR($C41&gt;20190630,$K41&gt;30,AH41="-",$D41="是",$E41="封闭期",$H41&lt;10,$BN41&lt;-6,$BR41&lt;70),"-",COUNTIFS(AH$4:AH$200,"&lt;&gt;-",$D$4:$D$200,"&lt;&gt;是",$E$4:$E$200,"&lt;&gt;封闭期",$H$4:$H$200,"&gt;10",$BN$4:$BN$200,"&gt;-6",$BR$4:$BR$200,"&gt;=70",$K$4:$K$200,"&lt;=30",$C$4:$C$200,"&lt;20190630",AH$4:AH$200,"&gt;="&amp;AH41)/COUNTIFS(AH$4:AH$200,"&lt;&gt;-",$D$4:$D$200,"&lt;&gt;是",$E$4:$E$200,"&lt;&gt;封闭期",$H$4:$H$200,"&gt;10",$BN$4:$BN$200,"&gt;-6",$BR$4:$BR$200,"&gt;=70",$C$4:$C$200,"&lt;20190630",$K$4:$K$200,"&lt;=30"))</f>
        <v>0.46153846153846156</v>
      </c>
      <c r="AM41" s="19">
        <f>[1]!f_return($A41,"1",AM$2,$L$2)</f>
        <v>11.426720293773339</v>
      </c>
      <c r="AN41" s="19">
        <f>[1]!f_risk_stdevyearly($A41,AM$2,$L$2,1,1)</f>
        <v>4.559886210694919</v>
      </c>
      <c r="AO41" s="12">
        <f>IFERROR(AM41/AN41,"-")</f>
        <v>2.5059222458167278</v>
      </c>
      <c r="AP41" s="12" t="str">
        <f>IFERROR(RANK(AO41,AO:AO)&amp;"/"&amp;COUNT(AO:AO),"-")</f>
        <v>21/197</v>
      </c>
      <c r="AQ41" s="26">
        <f>IF(AP41="-","-",RANK(AO41,AO:AO)/COUNT(AO:AO))</f>
        <v>0.1065989847715736</v>
      </c>
      <c r="AR41" s="60">
        <v>0.19289340101522842</v>
      </c>
      <c r="AS41" s="35">
        <f>IF(OR($C41&gt;20190630,$K41&gt;30,AO41="-",$D41="是",$E41="封闭期",$H41&lt;10,$BN41&lt;-6,$BR41&lt;70),"-",COUNTIFS(AO$4:AO$200,"&lt;&gt;-",$D$4:$D$200,"&lt;&gt;是",$E$4:$E$200,"&lt;&gt;封闭期",$H$4:$H$200,"&gt;10",$BN$4:$BN$200,"&gt;-6",$BR$4:$BR$200,"&gt;=70",$K$4:$K$200,"&lt;=30",$C$4:$C$200,"&lt;20190630",AO$4:AO$200,"&gt;="&amp;AO41)/COUNTIFS(AO$4:AO$200,"&lt;&gt;-",$D$4:$D$200,"&lt;&gt;是",$E$4:$E$200,"&lt;&gt;封闭期",$H$4:$H$200,"&gt;10",$BN$4:$BN$200,"&gt;-6",$BR$4:$BR$200,"&gt;=70",$C$4:$C$200,"&lt;20190630",$K$4:$K$200,"&lt;=30"))</f>
        <v>0.15384615384615385</v>
      </c>
      <c r="AT41" s="12">
        <f>IFERROR((AM41-3)/AN41,"-")</f>
        <v>1.8480110915945689</v>
      </c>
      <c r="AU41" s="12" t="str">
        <f>IFERROR(RANK(AT41,AT:AT)&amp;"/"&amp;COUNT(AT:AT),"-")</f>
        <v>13/197</v>
      </c>
      <c r="AV41" s="26">
        <f>IFERROR(RANK(AT41,AT:AT)/COUNT(AT:AT),"-")</f>
        <v>6.5989847715736044E-2</v>
      </c>
      <c r="AW41" s="13" t="str">
        <f>IF(OR($C41&gt;20190630,$K41&gt;30,AT41="-",$D41="是",$E41="封闭期",$H41&lt;10,$BN41&lt;-6,$BR41&lt;70),"-",COUNTIFS(AT$4:AT$200,"&lt;&gt;-",$D$4:$D$200,"&lt;&gt;是",$E$4:$E$200,"&lt;&gt;封闭期",$H$4:$H$200,"&gt;10",$BN$4:$BN$200,"&gt;-6",$BR$4:$BR$200,"&gt;=70",$K$4:$K$200,"&lt;=30",$C$4:$C$200,"&lt;20190630",AT$4:AT$200,"&gt;="&amp;AT41)&amp;"/"&amp;COUNTIFS(AT$4:AT$200,"&lt;&gt;-",$D$4:$D$200,"&lt;&gt;是",$E$4:$E$200,"&lt;&gt;封闭期",$H$4:$H$200,"&gt;10",$BN$4:$BN$200,"&gt;-6",$BR$4:$BR$200,"&gt;=70",$C$4:$C$200,"&lt;20190630",$K$4:$K$200,"&lt;=30"))</f>
        <v>7/39</v>
      </c>
      <c r="AX41" s="33">
        <f>IF(OR($C41&gt;20190630,$K41&gt;30,AT41="-",$D41="是",$E41="封闭期",$H41&lt;10,$BN41&lt;-6,$BR41&lt;70),"-",COUNTIFS(AT$4:AT$200,"&lt;&gt;-",$D$4:$D$200,"&lt;&gt;是",$E$4:$E$200,"&lt;&gt;封闭期",$H$4:$H$200,"&gt;10",$BN$4:$BN$200,"&gt;-6",$BR$4:$BR$200,"&gt;=70",$K$4:$K$200,"&lt;=30",$C$4:$C$200,"&lt;20190630",AT$4:AT$200,"&gt;="&amp;AT41)/COUNTIFS(AT$4:AT$200,"&lt;&gt;-",$D$4:$D$200,"&lt;&gt;是",$E$4:$E$200,"&lt;&gt;封闭期",$H$4:$H$200,"&gt;10",$BN$4:$BN$200,"&gt;-6",$BR$4:$BR$200,"&gt;=70",$C$4:$C$200,"&lt;20190630",$K$4:$K$200,"&lt;=30"))</f>
        <v>0.17948717948717949</v>
      </c>
      <c r="AY41" s="19">
        <f>[1]!f_risk_calmar(A41,$AM$2,$L$2)</f>
        <v>3.3109618802445717</v>
      </c>
      <c r="AZ41" s="12" t="str">
        <f>IFERROR(RANK(AY41,AY:AY)&amp;"/"&amp;COUNT(AY:AY),"-")</f>
        <v>38/197</v>
      </c>
      <c r="BA41" s="26">
        <f>IFERROR(RANK(AY41,AY:AY)/COUNT(AY:AY),"-")</f>
        <v>0.19289340101522842</v>
      </c>
      <c r="BB41" s="13" t="str">
        <f>IF(OR($C41&gt;20190630,$K41&gt;30,AY41="-",$D41="是",$E41="封闭期",$H41&lt;10,$BN41&lt;-6,$BR41&lt;70),"-",COUNTIFS(AY$4:AY$200,"&lt;&gt;-",$D$4:$D$200,"&lt;&gt;是",$E$4:$E$200,"&lt;&gt;封闭期",$H$4:$H$200,"&gt;10",$BN$4:$BN$200,"&gt;-6",$BR$4:$BR$200,"&gt;=70",$K$4:$K$200,"&lt;=30",$C$4:$C$200,"&lt;20190630",AY$4:AY$200,"&gt;="&amp;AY41)&amp;"/"&amp;COUNTIFS(AY$4:AY$200,"&lt;&gt;-",$D$4:$D$200,"&lt;&gt;是",$E$4:$E$200,"&lt;&gt;封闭期",$H$4:$H$200,"&gt;10",$BN$4:$BN$200,"&gt;-6",$BR$4:$BR$200,"&gt;=70",$C$4:$C$200,"&lt;20190630",$K$4:$K$200,"&lt;=30"))</f>
        <v>15/39</v>
      </c>
      <c r="BC41" s="33">
        <f>IF(OR($C41&gt;20190630,$K41&gt;30,AY41="-",$D41="是",$E41="封闭期",$H41&lt;10,$BN41&lt;-6,$BR41&lt;70),"-",COUNTIFS(AY$4:AY$200,"&lt;&gt;-",$D$4:$D$200,"&lt;&gt;是",$E$4:$E$200,"&lt;&gt;封闭期",$H$4:$H$200,"&gt;10",$BN$4:$BN$200,"&gt;-6",$BR$4:$BR$200,"&gt;=70",$K$4:$K$200,"&lt;=30",$C$4:$C$200,"&lt;20190630",AY$4:AY$200,"&gt;="&amp;AY41)/COUNTIFS(AY$4:AY$200,"&lt;&gt;-",$D$4:$D$200,"&lt;&gt;是",$E$4:$E$200,"&lt;&gt;封闭期",$H$4:$H$200,"&gt;10",$BN$4:$BN$200,"&gt;-6",$BR$4:$BR$200,"&gt;=70",$C$4:$C$200,"&lt;20190630",$K$4:$K$200,"&lt;=30"))</f>
        <v>0.38461538461538464</v>
      </c>
      <c r="BD41" s="20">
        <v>1</v>
      </c>
      <c r="BE41" s="12" t="str">
        <f>IFERROR(RANK(BD41,BD:BD)&amp;"/"&amp;COUNT(BD:BD),"-")</f>
        <v>1/197</v>
      </c>
      <c r="BF41" s="26">
        <f>IFERROR(RANK(BD41,BD:BD)/COUNT(BD:BD),"-")</f>
        <v>5.076142131979695E-3</v>
      </c>
      <c r="BG41" s="13" t="str">
        <f>IF(OR($C41&gt;20190630,$K41&gt;30,BD41="-",$D41="是",$E41="封闭期",$H41&lt;10,$BN41&lt;-6,$BR41&lt;70),"-",COUNTIFS(BD$4:BD$200,"&lt;&gt;-",$D$4:$D$200,"&lt;&gt;是",$E$4:$E$200,"&lt;&gt;封闭期",$H$4:$H$200,"&gt;10",$BN$4:$BN$200,"&gt;-6",$BR$4:$BR$200,"&gt;=70",$K$4:$K$200,"&lt;=30",$C$4:$C$200,"&lt;20190630",BD$4:BD$200,"&gt;="&amp;BD41)&amp;"/"&amp;COUNTIFS(BD$4:BD$200,"&lt;&gt;-",$D$4:$D$200,"&lt;&gt;是",$E$4:$E$200,"&lt;&gt;封闭期",$H$4:$H$200,"&gt;10",$BN$4:$BN$200,"&gt;-6",$BR$4:$BR$200,"&gt;=70",$C$4:$C$200,"&lt;20190630",$K$4:$K$200,"&lt;=30"))</f>
        <v>35/39</v>
      </c>
      <c r="BH41" s="33">
        <f>IF(OR($C41&gt;20190630,$K41&gt;30,BD41="-",$D41="是",$E41="封闭期",$H41&lt;10,$BN41&lt;-6,$BR41&lt;70),"-",COUNTIFS(BD$4:BD$200,"&lt;&gt;-",$D$4:$D$200,"&lt;&gt;是",$E$4:$E$200,"&lt;&gt;封闭期",$H$4:$H$200,"&gt;10",$BN$4:$BN$200,"&gt;-6",$BR$4:$BR$200,"&gt;=70",$K$4:$K$200,"&lt;=30",$C$4:$C$200,"&lt;20190630",BD$4:BD$200,"&gt;="&amp;BD41)/COUNTIFS(BD$4:BD$200,"&lt;&gt;-",$D$4:$D$200,"&lt;&gt;是",$E$4:$E$200,"&lt;&gt;封闭期",$H$4:$H$200,"&gt;10",$BN$4:$BN$200,"&gt;-6",$BR$4:$BR$200,"&gt;=70",$C$4:$C$200,"&lt;20190630",$K$4:$K$200,"&lt;=30"))</f>
        <v>0.89743589743589747</v>
      </c>
      <c r="BI41" s="21">
        <f>[1]!f_risk_maxdownside(A41,$AM$2,$L$2)</f>
        <v>-3.4511784511784467</v>
      </c>
      <c r="BJ41" s="19" t="str">
        <f>IFERROR(RANK(BI41,BI:BI)&amp;"/"&amp;COUNT(BI:BI),"-")</f>
        <v>107/197</v>
      </c>
      <c r="BK41" s="26">
        <f>IFERROR(RANK(BI41,BI:BI)/COUNT(BI:BI),"-")</f>
        <v>0.54314720812182737</v>
      </c>
      <c r="BL41" s="34" t="str">
        <f>IF(OR($C41&gt;20190630,$K41&gt;30,BI41="-",$D41="是",$E41="封闭期",$H41&lt;10,$BN41&lt;-6,$BR41&lt;70),"-",COUNTIFS(BI$4:BI$200,"&lt;&gt;-",$D$4:$D$200,"&lt;&gt;是",$E$4:$E$200,"&lt;&gt;封闭期",$H$4:$H$200,"&gt;10",$BN$4:$BN$200,"&gt;-6",$BR$4:$BR$200,"&gt;=70",$K$4:$K$200,"&lt;=30",$C$4:$C$200,"&lt;20190630",BI$4:BI$200,"&gt;="&amp;BI41)&amp;"/"&amp;COUNTIFS(BI$4:BI$200,"&lt;&gt;-",$D$4:$D$200,"&lt;&gt;是",$E$4:$E$200,"&lt;&gt;封闭期",$H$4:$H$200,"&gt;10",$BN$4:$BN$200,"&gt;-6",$BR$4:$BR$200,"&gt;=70",$C$4:$C$200,"&lt;20190630",$K$4:$K$200,"&lt;=30"))</f>
        <v>26/39</v>
      </c>
      <c r="BM41" s="33">
        <f>IF(OR($C41&gt;20190630,$K41&gt;30,BI41="-",$D41="是",$E41="封闭期",$H41&lt;10,$BN41&lt;-6,$BR41&lt;70),"-",COUNTIFS(BI$4:BI$200,"&lt;&gt;-",$D$4:$D$200,"&lt;&gt;是",$E$4:$E$200,"&lt;&gt;封闭期",$H$4:$H$200,"&gt;10",$BN$4:$BN$200,"&gt;-6",$BR$4:$BR$200,"&gt;=70",$K$4:$K$200,"&lt;=30",$C$4:$C$200,"&lt;20190630",BI$4:BI$200,"&gt;="&amp;BI41)/COUNTIFS(BI$4:BI$200,"&lt;&gt;-",$D$4:$D$200,"&lt;&gt;是",$E$4:$E$200,"&lt;&gt;封闭期",$H$4:$H$200,"&gt;10",$BN$4:$BN$200,"&gt;-6",$BR$4:$BR$200,"&gt;=70",$C$4:$C$200,"&lt;20190630",$K$4:$K$200,"&lt;=30"))</f>
        <v>0.66666666666666663</v>
      </c>
      <c r="BN41" s="21">
        <f>[1]!f_risk_maxdownside(A41,$AM$2,$E$1)</f>
        <v>-3.4511784511784467</v>
      </c>
      <c r="BO41" s="14">
        <f>IF(C41&lt;20190930,[1]!f_return_2y(A41,"0","20210930"),"-")</f>
        <v>16.459766166500824</v>
      </c>
      <c r="BP41" s="12" t="str">
        <f>IFERROR(RANK(BO41,BO:BO)&amp;"/"&amp;COUNT(BO:BO),"-")</f>
        <v>72/197</v>
      </c>
      <c r="BQ41" s="25">
        <f>IFERROR(RANK(BO41,BO:BO)/COUNT(BO:BO),"-")</f>
        <v>0.36548223350253806</v>
      </c>
      <c r="BR41" s="12">
        <f>IF(C41&lt;20190930,[1]!f_absolute_profitmonthper(A41,"20190930","20210930"),"-")</f>
        <v>70.833333333333343</v>
      </c>
      <c r="BS41" s="12" t="str">
        <f>IFERROR(RANK(BR41,BR:BR)&amp;"/"&amp;COUNT(BR:BR),"-")</f>
        <v>55/198</v>
      </c>
      <c r="BT41" s="25">
        <f>IFERROR(RANK(BR41,BR:BR)/COUNT(BR:BR),"-")</f>
        <v>0.27777777777777779</v>
      </c>
      <c r="BV41" s="12">
        <f>X41-3/M41</f>
        <v>0.95640083827945432</v>
      </c>
      <c r="BW41" s="76">
        <f>IFERROR(RANK(BV41,BV:BV)/COUNT(BV:BV),"-")</f>
        <v>0.62436548223350252</v>
      </c>
      <c r="BX41" s="76">
        <f>IFERROR(RANK(L41,L:L)/COUNT(L:L),"-")</f>
        <v>0.69191919191919193</v>
      </c>
      <c r="BY41" s="12">
        <f>AY41-3/AN41</f>
        <v>2.6530507260224132</v>
      </c>
      <c r="BZ41" s="76">
        <f>IFERROR(RANK(BY41,BY:BY)/COUNT(BY:BY),"-")</f>
        <v>0.17766497461928935</v>
      </c>
      <c r="CA41" s="76">
        <f>IFERROR(RANK(AM41,AM:AM)/COUNT(AM:AM),"-")</f>
        <v>0.19696969696969696</v>
      </c>
      <c r="CB41" s="2"/>
      <c r="CC41" s="77">
        <f>AV41+BF41+BZ41+CA41</f>
        <v>0.44570066143670206</v>
      </c>
      <c r="CD41" s="77">
        <f>BW41+BX41+AE41+U41</f>
        <v>2.7274521868430499</v>
      </c>
      <c r="CE41" s="77">
        <f>CC41+CD41</f>
        <v>3.1731528482797522</v>
      </c>
    </row>
    <row r="42" spans="1:83" s="17" customFormat="1" x14ac:dyDescent="0.35">
      <c r="A42" s="3" t="s">
        <v>73</v>
      </c>
      <c r="B42" s="3" t="s">
        <v>74</v>
      </c>
      <c r="C42" s="4">
        <v>20100908</v>
      </c>
      <c r="D42" s="4" t="str">
        <f>[1]!f_info_regulopenfundornot(A42)</f>
        <v>否</v>
      </c>
      <c r="E42" s="4" t="str">
        <f>[1]!f_dq_status(A42,$E$1)</f>
        <v>开放申购|开放赎回</v>
      </c>
      <c r="F42" s="17" t="str">
        <f>[1]!f_info_fundmanager(A42)</f>
        <v>吴潇,宋璐,杨枫</v>
      </c>
      <c r="G42" s="4">
        <v>20200710</v>
      </c>
      <c r="H42" s="11">
        <f>[1]!f_netasset_total(A42,$E$1,100000000)</f>
        <v>31.7399847585</v>
      </c>
      <c r="I42" s="11">
        <f>[1]!f_prt_convertiblebondtonav(A42,$E$1)</f>
        <v>9.1009654998779297</v>
      </c>
      <c r="J42" s="11">
        <f>[1]!f_prt_stocktonav(A42,$E$1)+0.5*I42</f>
        <v>22.389313697814941</v>
      </c>
      <c r="K42" s="12">
        <v>6.2148738098298413</v>
      </c>
      <c r="L42" s="19">
        <f>[1]!f_return($A42,"1",L$2,$E$1)</f>
        <v>5.9269160316034686</v>
      </c>
      <c r="M42" s="19">
        <f>[1]!f_risk_stdevyearly($A42,L$2,$E$1,1,1)</f>
        <v>3.6721620145253562</v>
      </c>
      <c r="N42" s="12">
        <f>IFERROR(L42/M42,"-")</f>
        <v>1.6140126737762004</v>
      </c>
      <c r="O42" s="12" t="str">
        <f>IFERROR(RANK(N42,N:N)&amp;"/"&amp;COUNT(N:N),"-")</f>
        <v>78/197</v>
      </c>
      <c r="P42" s="26">
        <f>IF(O42="-","-",RANK(N42,N:N)/COUNT(N:N))</f>
        <v>0.39593908629441626</v>
      </c>
      <c r="Q42" s="58">
        <v>0.48730964467005078</v>
      </c>
      <c r="R42" s="33">
        <f>IF(OR($C42&gt;20190630,$K42&gt;30,N42="-",$D42="是",$E42="封闭期",$H42&lt;10,$BN42&lt;-6,$BR42&lt;70),"-",COUNTIFS(N$4:N$200,"&lt;&gt;-",$D$4:$D$200,"&lt;&gt;是",$E$4:$E$200,"&lt;&gt;封闭期",$H$4:$H$200,"&gt;10",$BN$4:$BN$200,"&gt;-6",$BR$4:$BR$200,"&gt;=70",$K$4:$K$200,"&lt;=30",$C$4:$C$200,"&lt;20190630",N$4:N$200,"&gt;="&amp;N42)/COUNTIFS(N$4:N$200,"&lt;&gt;-",$D$4:$D$200,"&lt;&gt;是",$E$4:$E$200,"&lt;&gt;封闭期",$H$4:$H$200,"&gt;10",$BN$4:$BN$200,"&gt;-6",$BR$4:$BR$200,"&gt;=70",$C$4:$C$200,"&lt;20190630",$K$4:$K$200,"&lt;=30"))</f>
        <v>0.5641025641025641</v>
      </c>
      <c r="S42" s="12">
        <f>IFERROR((L42-3)/M42,"-")</f>
        <v>0.79705525519461207</v>
      </c>
      <c r="T42" s="12" t="str">
        <f>IFERROR(RANK(S42,S:S)&amp;"/"&amp;COUNT(S:S),"-")</f>
        <v>92/197</v>
      </c>
      <c r="U42" s="26">
        <f>IFERROR(RANK(S42,S:S)/COUNT(S:S),"-")</f>
        <v>0.46700507614213199</v>
      </c>
      <c r="V42" s="13" t="str">
        <f>IF(OR($C42&gt;20190630,$K42&gt;30,S42="-",$D42="是",$E42="封闭期",$H42&lt;10,$BN42&lt;-6,$BR42&lt;70),"-",COUNTIFS(S$4:S$200,"&lt;&gt;-",$D$4:$D$200,"&lt;&gt;是",$E$4:$E$200,"&lt;&gt;封闭期",$H$4:$H$200,"&gt;10",$BN$4:$BN$200,"&gt;-6",$BR$4:$BR$200,"&gt;=70",$K$4:$K$200,"&lt;=30",$C$4:$C$200,"&lt;20190630",S$4:S$200,"&gt;="&amp;S42)&amp;"/"&amp;COUNTIFS(S$4:S$200,"&lt;&gt;-",$D$4:$D$200,"&lt;&gt;是",$E$4:$E$200,"&lt;&gt;封闭期",$H$4:$H$200,"&gt;10",$BN$4:$BN$200,"&gt;-6",$BR$4:$BR$200,"&gt;=70",$C$4:$C$200,"&lt;20190630",$K$4:$K$200,"&lt;=30"))</f>
        <v>29/39</v>
      </c>
      <c r="W42" s="33">
        <f>IF(OR($C42&gt;20190630,$K42&gt;30,S42="-",$D42="是",$E42="封闭期",$H42&lt;10,$BN42&lt;-6,$BR42&lt;70),"-",COUNTIFS(S$4:S$200,"&lt;&gt;-",$D$4:$D$200,"&lt;&gt;是",$E$4:$E$200,"&lt;&gt;封闭期",$H$4:$H$200,"&gt;10",$BN$4:$BN$200,"&gt;-6",$BR$4:$BR$200,"&gt;=70",$K$4:$K$200,"&lt;=30",$C$4:$C$200,"&lt;20190630",S$4:S$200,"&gt;="&amp;S42)/COUNTIFS(S$4:S$200,"&lt;&gt;-",$D$4:$D$200,"&lt;&gt;是",$E$4:$E$200,"&lt;&gt;封闭期",$H$4:$H$200,"&gt;10",$BN$4:$BN$200,"&gt;-6",$BR$4:$BR$200,"&gt;=70",$C$4:$C$200,"&lt;20190630",$K$4:$K$200,"&lt;=30"))</f>
        <v>0.74358974358974361</v>
      </c>
      <c r="X42" s="19">
        <f>[1]!f_risk_calmar(A42,$L$2,$E$1)</f>
        <v>4.0208198358397942</v>
      </c>
      <c r="Y42" s="12" t="str">
        <f>IFERROR(RANK(X42,X:X)&amp;"/"&amp;COUNT(X:X),"-")</f>
        <v>45/197</v>
      </c>
      <c r="Z42" s="26">
        <f>IFERROR(RANK(X42,X:X)/COUNT(X:X),"-")</f>
        <v>0.22842639593908629</v>
      </c>
      <c r="AA42" s="13" t="str">
        <f>IF(OR($C42&gt;20190630,$K42&gt;30,X42="-",$D42="是",$E42="封闭期",$H42&lt;10,$BN42&lt;-6,$BR42&lt;70),"-",COUNTIFS(X$4:X$200,"&lt;&gt;-",$D$4:$D$200,"&lt;&gt;是",$E$4:$E$200,"&lt;&gt;封闭期",$H$4:$H$200,"&gt;10",$BN$4:$BN$200,"&gt;-6",$BR$4:$BR$200,"&gt;=70",$K$4:$K$200,"&lt;=30",$C$4:$C$200,"&lt;20190630",X$4:X$200,"&gt;="&amp;X42)&amp;"/"&amp;COUNTIFS(X$4:X$200,"&lt;&gt;-",$D$4:$D$200,"&lt;&gt;是",$E$4:$E$200,"&lt;&gt;封闭期",$H$4:$H$200,"&gt;10",$BN$4:$BN$200,"&gt;-6",$BR$4:$BR$200,"&gt;=70",$C$4:$C$200,"&lt;20190630",$K$4:$K$200,"&lt;=30"))</f>
        <v>14/39</v>
      </c>
      <c r="AB42" s="33">
        <f>IF(OR($C42&gt;20190630,$K42&gt;30,X42="-",$D42="是",$E42="封闭期",$H42&lt;10,$BN42&lt;-6,$BR42&lt;70),"-",COUNTIFS(X$4:X$200,"&lt;&gt;-",$D$4:$D$200,"&lt;&gt;是",$E$4:$E$200,"&lt;&gt;封闭期",$H$4:$H$200,"&gt;10",$BN$4:$BN$200,"&gt;-6",$BR$4:$BR$200,"&gt;=70",$K$4:$K$200,"&lt;=30",$C$4:$C$200,"&lt;20190630",X$4:X$200,"&gt;="&amp;X42)/COUNTIFS(X$4:X$200,"&lt;&gt;-",$D$4:$D$200,"&lt;&gt;是",$E$4:$E$200,"&lt;&gt;封闭期",$H$4:$H$200,"&gt;10",$BN$4:$BN$200,"&gt;-6",$BR$4:$BR$200,"&gt;=70",$C$4:$C$200,"&lt;20190630",$K$4:$K$200,"&lt;=30"))</f>
        <v>0.35897435897435898</v>
      </c>
      <c r="AC42" s="20">
        <v>1</v>
      </c>
      <c r="AD42" s="12" t="str">
        <f>IFERROR(RANK(AC42,AC:AC)&amp;"/"&amp;COUNT(AC:AC),"-")</f>
        <v>1/197</v>
      </c>
      <c r="AE42" s="26">
        <f>IFERROR(RANK(AC42,AC:AC)/COUNT(AC:AC),"-")</f>
        <v>5.076142131979695E-3</v>
      </c>
      <c r="AF42" s="13" t="str">
        <f>IF(OR($C42&gt;20190630,$K42&gt;30,AC42="-",$D42="是",$E42="封闭期",$H42&lt;10,$BN42&lt;-6,$BR42&lt;70),"-",COUNTIFS(AC$4:AC$200,"&lt;&gt;-",$D$4:$D$200,"&lt;&gt;是",$E$4:$E$200,"&lt;&gt;封闭期",$H$4:$H$200,"&gt;10",$BN$4:$BN$200,"&gt;-6",$BR$4:$BR$200,"&gt;=70",$K$4:$K$200,"&lt;=30",$C$4:$C$200,"&lt;20190630",AC$4:AC$200,"&gt;="&amp;AC42)&amp;"/"&amp;COUNTIFS(AC$4:AC$200,"&lt;&gt;-",$D$4:$D$200,"&lt;&gt;是",$E$4:$E$200,"&lt;&gt;封闭期",$H$4:$H$200,"&gt;10",$BN$4:$BN$200,"&gt;-6",$BR$4:$BR$200,"&gt;=70",$C$4:$C$200,"&lt;20190630",$K$4:$K$200,"&lt;=30"))</f>
        <v>28/39</v>
      </c>
      <c r="AG42" s="33">
        <f>IF(OR($C42&gt;20190630,$K42&gt;30,AC42="-",$D42="是",$E42="封闭期",$H42&lt;10,$BN42&lt;-6,$BR42&lt;70),"-",COUNTIFS(AC$4:AC$200,"&lt;&gt;-",$D$4:$D$200,"&lt;&gt;是",$E$4:$E$200,"&lt;&gt;封闭期",$H$4:$H$200,"&gt;10",$BN$4:$BN$200,"&gt;-6",$BR$4:$BR$200,"&gt;=70",$K$4:$K$200,"&lt;=30",$C$4:$C$200,"&lt;20190630",AC$4:AC$200,"&gt;="&amp;AC42)/COUNTIFS(AC$4:AC$200,"&lt;&gt;-",$D$4:$D$200,"&lt;&gt;是",$E$4:$E$200,"&lt;&gt;封闭期",$H$4:$H$200,"&gt;10",$BN$4:$BN$200,"&gt;-6",$BR$4:$BR$200,"&gt;=70",$C$4:$C$200,"&lt;20190630",$K$4:$K$200,"&lt;=30"))</f>
        <v>0.71794871794871795</v>
      </c>
      <c r="AH42" s="21">
        <f>[1]!f_risk_maxdownside(A42,$L$2,$E$1)</f>
        <v>-1.4740566037735845</v>
      </c>
      <c r="AI42" s="19" t="str">
        <f>IFERROR(RANK(AH42,AH:AH)&amp;"/"&amp;COUNT(AH:AH),"-")</f>
        <v>43/197</v>
      </c>
      <c r="AJ42" s="26">
        <f>IFERROR(RANK(AH42,AH:AH)/COUNT(AH:AH),"-")</f>
        <v>0.21827411167512689</v>
      </c>
      <c r="AK42" s="34" t="str">
        <f>IF(OR($C42&gt;20190630,$K42&gt;30,AH42="-",$D42="是",$E42="封闭期",$H42&lt;10,$BN42&lt;-6,$BR42&lt;70),"-",COUNTIFS(AH$4:AH$200,"&lt;&gt;-",$D$4:$D$200,"&lt;&gt;是",$E$4:$E$200,"&lt;&gt;封闭期",$H$4:$H$200,"&gt;10",$BN$4:$BN$200,"&gt;-6",$BR$4:$BR$200,"&gt;=70",$K$4:$K$200,"&lt;=30",$C$4:$C$200,"&lt;20190630",AH$4:AH$200,"&gt;="&amp;AH42)&amp;"/"&amp;COUNTIFS(AH$4:AH$200,"&lt;&gt;-",$D$4:$D$200,"&lt;&gt;是",$E$4:$E$200,"&lt;&gt;封闭期",$H$4:$H$200,"&gt;10",$BN$4:$BN$200,"&gt;-6",$BR$4:$BR$200,"&gt;=70",$C$4:$C$200,"&lt;20190630",$K$4:$K$200,"&lt;=30"))</f>
        <v>9/39</v>
      </c>
      <c r="AL42" s="33">
        <f>IF(OR($C42&gt;20190630,$K42&gt;30,AH42="-",$D42="是",$E42="封闭期",$H42&lt;10,$BN42&lt;-6,$BR42&lt;70),"-",COUNTIFS(AH$4:AH$200,"&lt;&gt;-",$D$4:$D$200,"&lt;&gt;是",$E$4:$E$200,"&lt;&gt;封闭期",$H$4:$H$200,"&gt;10",$BN$4:$BN$200,"&gt;-6",$BR$4:$BR$200,"&gt;=70",$K$4:$K$200,"&lt;=30",$C$4:$C$200,"&lt;20190630",AH$4:AH$200,"&gt;="&amp;AH42)/COUNTIFS(AH$4:AH$200,"&lt;&gt;-",$D$4:$D$200,"&lt;&gt;是",$E$4:$E$200,"&lt;&gt;封闭期",$H$4:$H$200,"&gt;10",$BN$4:$BN$200,"&gt;-6",$BR$4:$BR$200,"&gt;=70",$C$4:$C$200,"&lt;20190630",$K$4:$K$200,"&lt;=30"))</f>
        <v>0.23076923076923078</v>
      </c>
      <c r="AM42" s="19">
        <f>[1]!f_return($A42,"1",AM$2,$L$2)</f>
        <v>11.190469930479185</v>
      </c>
      <c r="AN42" s="19">
        <f>[1]!f_risk_stdevyearly($A42,AM$2,$L$2,1,1)</f>
        <v>5.2580670639601355</v>
      </c>
      <c r="AO42" s="12">
        <f>IFERROR(AM42/AN42,"-")</f>
        <v>2.1282478512267273</v>
      </c>
      <c r="AP42" s="12" t="str">
        <f>IFERROR(RANK(AO42,AO:AO)&amp;"/"&amp;COUNT(AO:AO),"-")</f>
        <v>38/197</v>
      </c>
      <c r="AQ42" s="26">
        <f>IF(AP42="-","-",RANK(AO42,AO:AO)/COUNT(AO:AO))</f>
        <v>0.19289340101522842</v>
      </c>
      <c r="AR42" s="60">
        <v>0.19796954314720813</v>
      </c>
      <c r="AS42" s="35">
        <f>IF(OR($C42&gt;20190630,$K42&gt;30,AO42="-",$D42="是",$E42="封闭期",$H42&lt;10,$BN42&lt;-6,$BR42&lt;70),"-",COUNTIFS(AO$4:AO$200,"&lt;&gt;-",$D$4:$D$200,"&lt;&gt;是",$E$4:$E$200,"&lt;&gt;封闭期",$H$4:$H$200,"&gt;10",$BN$4:$BN$200,"&gt;-6",$BR$4:$BR$200,"&gt;=70",$K$4:$K$200,"&lt;=30",$C$4:$C$200,"&lt;20190630",AO$4:AO$200,"&gt;="&amp;AO42)/COUNTIFS(AO$4:AO$200,"&lt;&gt;-",$D$4:$D$200,"&lt;&gt;是",$E$4:$E$200,"&lt;&gt;封闭期",$H$4:$H$200,"&gt;10",$BN$4:$BN$200,"&gt;-6",$BR$4:$BR$200,"&gt;=70",$C$4:$C$200,"&lt;20190630",$K$4:$K$200,"&lt;=30"))</f>
        <v>0.35897435897435898</v>
      </c>
      <c r="AT42" s="12">
        <f>IFERROR((AM42-3)/AN42,"-")</f>
        <v>1.5576959804522725</v>
      </c>
      <c r="AU42" s="12" t="str">
        <f>IFERROR(RANK(AT42,AT:AT)&amp;"/"&amp;COUNT(AT:AT),"-")</f>
        <v>26/197</v>
      </c>
      <c r="AV42" s="26">
        <f>IFERROR(RANK(AT42,AT:AT)/COUNT(AT:AT),"-")</f>
        <v>0.13197969543147209</v>
      </c>
      <c r="AW42" s="13" t="str">
        <f>IF(OR($C42&gt;20190630,$K42&gt;30,AT42="-",$D42="是",$E42="封闭期",$H42&lt;10,$BN42&lt;-6,$BR42&lt;70),"-",COUNTIFS(AT$4:AT$200,"&lt;&gt;-",$D$4:$D$200,"&lt;&gt;是",$E$4:$E$200,"&lt;&gt;封闭期",$H$4:$H$200,"&gt;10",$BN$4:$BN$200,"&gt;-6",$BR$4:$BR$200,"&gt;=70",$K$4:$K$200,"&lt;=30",$C$4:$C$200,"&lt;20190630",AT$4:AT$200,"&gt;="&amp;AT42)&amp;"/"&amp;COUNTIFS(AT$4:AT$200,"&lt;&gt;-",$D$4:$D$200,"&lt;&gt;是",$E$4:$E$200,"&lt;&gt;封闭期",$H$4:$H$200,"&gt;10",$BN$4:$BN$200,"&gt;-6",$BR$4:$BR$200,"&gt;=70",$C$4:$C$200,"&lt;20190630",$K$4:$K$200,"&lt;=30"))</f>
        <v>11/39</v>
      </c>
      <c r="AX42" s="33">
        <f>IF(OR($C42&gt;20190630,$K42&gt;30,AT42="-",$D42="是",$E42="封闭期",$H42&lt;10,$BN42&lt;-6,$BR42&lt;70),"-",COUNTIFS(AT$4:AT$200,"&lt;&gt;-",$D$4:$D$200,"&lt;&gt;是",$E$4:$E$200,"&lt;&gt;封闭期",$H$4:$H$200,"&gt;10",$BN$4:$BN$200,"&gt;-6",$BR$4:$BR$200,"&gt;=70",$K$4:$K$200,"&lt;=30",$C$4:$C$200,"&lt;20190630",AT$4:AT$200,"&gt;="&amp;AT42)/COUNTIFS(AT$4:AT$200,"&lt;&gt;-",$D$4:$D$200,"&lt;&gt;是",$E$4:$E$200,"&lt;&gt;封闭期",$H$4:$H$200,"&gt;10",$BN$4:$BN$200,"&gt;-6",$BR$4:$BR$200,"&gt;=70",$C$4:$C$200,"&lt;20190630",$K$4:$K$200,"&lt;=30"))</f>
        <v>0.28205128205128205</v>
      </c>
      <c r="AY42" s="19">
        <f>[1]!f_risk_calmar(A42,$AM$2,$L$2)</f>
        <v>4.0650032631182311</v>
      </c>
      <c r="AZ42" s="12" t="str">
        <f>IFERROR(RANK(AY42,AY:AY)&amp;"/"&amp;COUNT(AY:AY),"-")</f>
        <v>21/197</v>
      </c>
      <c r="BA42" s="26">
        <f>IFERROR(RANK(AY42,AY:AY)/COUNT(AY:AY),"-")</f>
        <v>0.1065989847715736</v>
      </c>
      <c r="BB42" s="13" t="str">
        <f>IF(OR($C42&gt;20190630,$K42&gt;30,AY42="-",$D42="是",$E42="封闭期",$H42&lt;10,$BN42&lt;-6,$BR42&lt;70),"-",COUNTIFS(AY$4:AY$200,"&lt;&gt;-",$D$4:$D$200,"&lt;&gt;是",$E$4:$E$200,"&lt;&gt;封闭期",$H$4:$H$200,"&gt;10",$BN$4:$BN$200,"&gt;-6",$BR$4:$BR$200,"&gt;=70",$K$4:$K$200,"&lt;=30",$C$4:$C$200,"&lt;20190630",AY$4:AY$200,"&gt;="&amp;AY42)&amp;"/"&amp;COUNTIFS(AY$4:AY$200,"&lt;&gt;-",$D$4:$D$200,"&lt;&gt;是",$E$4:$E$200,"&lt;&gt;封闭期",$H$4:$H$200,"&gt;10",$BN$4:$BN$200,"&gt;-6",$BR$4:$BR$200,"&gt;=70",$C$4:$C$200,"&lt;20190630",$K$4:$K$200,"&lt;=30"))</f>
        <v>7/39</v>
      </c>
      <c r="BC42" s="33">
        <f>IF(OR($C42&gt;20190630,$K42&gt;30,AY42="-",$D42="是",$E42="封闭期",$H42&lt;10,$BN42&lt;-6,$BR42&lt;70),"-",COUNTIFS(AY$4:AY$200,"&lt;&gt;-",$D$4:$D$200,"&lt;&gt;是",$E$4:$E$200,"&lt;&gt;封闭期",$H$4:$H$200,"&gt;10",$BN$4:$BN$200,"&gt;-6",$BR$4:$BR$200,"&gt;=70",$K$4:$K$200,"&lt;=30",$C$4:$C$200,"&lt;20190630",AY$4:AY$200,"&gt;="&amp;AY42)/COUNTIFS(AY$4:AY$200,"&lt;&gt;-",$D$4:$D$200,"&lt;&gt;是",$E$4:$E$200,"&lt;&gt;封闭期",$H$4:$H$200,"&gt;10",$BN$4:$BN$200,"&gt;-6",$BR$4:$BR$200,"&gt;=70",$C$4:$C$200,"&lt;20190630",$K$4:$K$200,"&lt;=30"))</f>
        <v>0.17948717948717949</v>
      </c>
      <c r="BD42" s="20">
        <v>1</v>
      </c>
      <c r="BE42" s="12" t="str">
        <f>IFERROR(RANK(BD42,BD:BD)&amp;"/"&amp;COUNT(BD:BD),"-")</f>
        <v>1/197</v>
      </c>
      <c r="BF42" s="26">
        <f>IFERROR(RANK(BD42,BD:BD)/COUNT(BD:BD),"-")</f>
        <v>5.076142131979695E-3</v>
      </c>
      <c r="BG42" s="13" t="str">
        <f>IF(OR($C42&gt;20190630,$K42&gt;30,BD42="-",$D42="是",$E42="封闭期",$H42&lt;10,$BN42&lt;-6,$BR42&lt;70),"-",COUNTIFS(BD$4:BD$200,"&lt;&gt;-",$D$4:$D$200,"&lt;&gt;是",$E$4:$E$200,"&lt;&gt;封闭期",$H$4:$H$200,"&gt;10",$BN$4:$BN$200,"&gt;-6",$BR$4:$BR$200,"&gt;=70",$K$4:$K$200,"&lt;=30",$C$4:$C$200,"&lt;20190630",BD$4:BD$200,"&gt;="&amp;BD42)&amp;"/"&amp;COUNTIFS(BD$4:BD$200,"&lt;&gt;-",$D$4:$D$200,"&lt;&gt;是",$E$4:$E$200,"&lt;&gt;封闭期",$H$4:$H$200,"&gt;10",$BN$4:$BN$200,"&gt;-6",$BR$4:$BR$200,"&gt;=70",$C$4:$C$200,"&lt;20190630",$K$4:$K$200,"&lt;=30"))</f>
        <v>35/39</v>
      </c>
      <c r="BH42" s="33">
        <f>IF(OR($C42&gt;20190630,$K42&gt;30,BD42="-",$D42="是",$E42="封闭期",$H42&lt;10,$BN42&lt;-6,$BR42&lt;70),"-",COUNTIFS(BD$4:BD$200,"&lt;&gt;-",$D$4:$D$200,"&lt;&gt;是",$E$4:$E$200,"&lt;&gt;封闭期",$H$4:$H$200,"&gt;10",$BN$4:$BN$200,"&gt;-6",$BR$4:$BR$200,"&gt;=70",$K$4:$K$200,"&lt;=30",$C$4:$C$200,"&lt;20190630",BD$4:BD$200,"&gt;="&amp;BD42)/COUNTIFS(BD$4:BD$200,"&lt;&gt;-",$D$4:$D$200,"&lt;&gt;是",$E$4:$E$200,"&lt;&gt;封闭期",$H$4:$H$200,"&gt;10",$BN$4:$BN$200,"&gt;-6",$BR$4:$BR$200,"&gt;=70",$C$4:$C$200,"&lt;20190630",$K$4:$K$200,"&lt;=30"))</f>
        <v>0.89743589743589747</v>
      </c>
      <c r="BI42" s="21">
        <f>[1]!f_risk_maxdownside(A42,$AM$2,$L$2)</f>
        <v>-2.752880921895021</v>
      </c>
      <c r="BJ42" s="19" t="str">
        <f>IFERROR(RANK(BI42,BI:BI)&amp;"/"&amp;COUNT(BI:BI),"-")</f>
        <v>75/197</v>
      </c>
      <c r="BK42" s="26">
        <f>IFERROR(RANK(BI42,BI:BI)/COUNT(BI:BI),"-")</f>
        <v>0.38071065989847713</v>
      </c>
      <c r="BL42" s="34" t="str">
        <f>IF(OR($C42&gt;20190630,$K42&gt;30,BI42="-",$D42="是",$E42="封闭期",$H42&lt;10,$BN42&lt;-6,$BR42&lt;70),"-",COUNTIFS(BI$4:BI$200,"&lt;&gt;-",$D$4:$D$200,"&lt;&gt;是",$E$4:$E$200,"&lt;&gt;封闭期",$H$4:$H$200,"&gt;10",$BN$4:$BN$200,"&gt;-6",$BR$4:$BR$200,"&gt;=70",$K$4:$K$200,"&lt;=30",$C$4:$C$200,"&lt;20190630",BI$4:BI$200,"&gt;="&amp;BI42)&amp;"/"&amp;COUNTIFS(BI$4:BI$200,"&lt;&gt;-",$D$4:$D$200,"&lt;&gt;是",$E$4:$E$200,"&lt;&gt;封闭期",$H$4:$H$200,"&gt;10",$BN$4:$BN$200,"&gt;-6",$BR$4:$BR$200,"&gt;=70",$C$4:$C$200,"&lt;20190630",$K$4:$K$200,"&lt;=30"))</f>
        <v>14/39</v>
      </c>
      <c r="BM42" s="33">
        <f>IF(OR($C42&gt;20190630,$K42&gt;30,BI42="-",$D42="是",$E42="封闭期",$H42&lt;10,$BN42&lt;-6,$BR42&lt;70),"-",COUNTIFS(BI$4:BI$200,"&lt;&gt;-",$D$4:$D$200,"&lt;&gt;是",$E$4:$E$200,"&lt;&gt;封闭期",$H$4:$H$200,"&gt;10",$BN$4:$BN$200,"&gt;-6",$BR$4:$BR$200,"&gt;=70",$K$4:$K$200,"&lt;=30",$C$4:$C$200,"&lt;20190630",BI$4:BI$200,"&gt;="&amp;BI42)/COUNTIFS(BI$4:BI$200,"&lt;&gt;-",$D$4:$D$200,"&lt;&gt;是",$E$4:$E$200,"&lt;&gt;封闭期",$H$4:$H$200,"&gt;10",$BN$4:$BN$200,"&gt;-6",$BR$4:$BR$200,"&gt;=70",$C$4:$C$200,"&lt;20190630",$K$4:$K$200,"&lt;=30"))</f>
        <v>0.35897435897435898</v>
      </c>
      <c r="BN42" s="21">
        <f>[1]!f_risk_maxdownside(A42,$AM$2,$E$1)</f>
        <v>-2.752880921895021</v>
      </c>
      <c r="BO42" s="14">
        <f>IF(C42&lt;20190930,[1]!f_return_2y(A42,"0","20210930"),"-")</f>
        <v>18.020477815699653</v>
      </c>
      <c r="BP42" s="12" t="str">
        <f>IFERROR(RANK(BO42,BO:BO)&amp;"/"&amp;COUNT(BO:BO),"-")</f>
        <v>54/197</v>
      </c>
      <c r="BQ42" s="25">
        <f>IFERROR(RANK(BO42,BO:BO)/COUNT(BO:BO),"-")</f>
        <v>0.27411167512690354</v>
      </c>
      <c r="BR42" s="12">
        <f>IF(C42&lt;20190930,[1]!f_absolute_profitmonthper(A42,"20190930","20210930"),"-")</f>
        <v>70.833333333333343</v>
      </c>
      <c r="BS42" s="12" t="str">
        <f>IFERROR(RANK(BR42,BR:BR)&amp;"/"&amp;COUNT(BR:BR),"-")</f>
        <v>55/198</v>
      </c>
      <c r="BT42" s="25">
        <f>IFERROR(RANK(BR42,BR:BR)/COUNT(BR:BR),"-")</f>
        <v>0.27777777777777779</v>
      </c>
      <c r="BV42" s="12">
        <f>X42-3/M42</f>
        <v>3.2038624172582058</v>
      </c>
      <c r="BW42" s="76">
        <f>IFERROR(RANK(BV42,BV:BV)/COUNT(BV:BV),"-")</f>
        <v>0.19289340101522842</v>
      </c>
      <c r="BX42" s="76">
        <f>IFERROR(RANK(L42,L:L)/COUNT(L:L),"-")</f>
        <v>0.48989898989898989</v>
      </c>
      <c r="BY42" s="12">
        <f>AY42-3/AN42</f>
        <v>3.4944513923437763</v>
      </c>
      <c r="BZ42" s="76">
        <f>IFERROR(RANK(BY42,BY:BY)/COUNT(BY:BY),"-")</f>
        <v>0.10152284263959391</v>
      </c>
      <c r="CA42" s="76">
        <f>IFERROR(RANK(AM42,AM:AM)/COUNT(AM:AM),"-")</f>
        <v>0.20202020202020202</v>
      </c>
      <c r="CB42" s="2"/>
      <c r="CC42" s="77">
        <f>AV42+BF42+BZ42+CA42</f>
        <v>0.44059888222324772</v>
      </c>
      <c r="CD42" s="77">
        <f>BW42+BX42+AE42+U42</f>
        <v>1.15487360918833</v>
      </c>
      <c r="CE42" s="77">
        <f>CC42+CD42</f>
        <v>1.5954724914115777</v>
      </c>
    </row>
    <row r="43" spans="1:83" s="2" customFormat="1" x14ac:dyDescent="0.35">
      <c r="A43" s="3" t="s">
        <v>81</v>
      </c>
      <c r="B43" s="3" t="s">
        <v>82</v>
      </c>
      <c r="C43" s="4">
        <v>20140128</v>
      </c>
      <c r="D43" s="4" t="str">
        <f>[1]!f_info_regulopenfundornot(A43)</f>
        <v>否</v>
      </c>
      <c r="E43" s="4" t="str">
        <f>[1]!f_dq_status(A43,$E$1)</f>
        <v>开放申购|开放赎回</v>
      </c>
      <c r="F43" s="17" t="str">
        <f>[1]!f_info_fundmanager(A43)</f>
        <v>吴江宏</v>
      </c>
      <c r="G43" s="4">
        <v>20180928</v>
      </c>
      <c r="H43" s="11">
        <f>[1]!f_netasset_total(A43,$E$1,100000000)</f>
        <v>229.56350590619999</v>
      </c>
      <c r="I43" s="11">
        <f>[1]!f_prt_convertiblebondtonav(A43,$E$1)</f>
        <v>7.2582106590270996</v>
      </c>
      <c r="J43" s="11">
        <f>[1]!f_prt_stocktonav(A43,$E$1)+0.5*I43</f>
        <v>21.379938840866089</v>
      </c>
      <c r="K43" s="12">
        <v>1.9207059861690829</v>
      </c>
      <c r="L43" s="19">
        <f>[1]!f_return($A43,"1",L$2,$E$1)</f>
        <v>7.1077312526490966</v>
      </c>
      <c r="M43" s="19">
        <f>[1]!f_risk_stdevyearly($A43,L$2,$E$1,1,1)</f>
        <v>4.7419150188672612</v>
      </c>
      <c r="N43" s="12">
        <f>IFERROR(L43/M43,"-")</f>
        <v>1.4989157807275459</v>
      </c>
      <c r="O43" s="12" t="str">
        <f>IFERROR(RANK(N43,N:N)&amp;"/"&amp;COUNT(N:N),"-")</f>
        <v>88/197</v>
      </c>
      <c r="P43" s="26">
        <f>IF(O43="-","-",RANK(N43,N:N)/COUNT(N:N))</f>
        <v>0.4467005076142132</v>
      </c>
      <c r="Q43" s="58">
        <v>0.3604060913705584</v>
      </c>
      <c r="R43" s="33">
        <f>IF(OR($C43&gt;20190630,$K43&gt;30,N43="-",$D43="是",$E43="封闭期",$H43&lt;10,$BN43&lt;-6,$BR43&lt;70),"-",COUNTIFS(N$4:N$200,"&lt;&gt;-",$D$4:$D$200,"&lt;&gt;是",$E$4:$E$200,"&lt;&gt;封闭期",$H$4:$H$200,"&gt;10",$BN$4:$BN$200,"&gt;-6",$BR$4:$BR$200,"&gt;=70",$K$4:$K$200,"&lt;=30",$C$4:$C$200,"&lt;20190630",N$4:N$200,"&gt;="&amp;N43)/COUNTIFS(N$4:N$200,"&lt;&gt;-",$D$4:$D$200,"&lt;&gt;是",$E$4:$E$200,"&lt;&gt;封闭期",$H$4:$H$200,"&gt;10",$BN$4:$BN$200,"&gt;-6",$BR$4:$BR$200,"&gt;=70",$C$4:$C$200,"&lt;20190630",$K$4:$K$200,"&lt;=30"))</f>
        <v>0.69230769230769229</v>
      </c>
      <c r="S43" s="12">
        <f>IFERROR((L43-3)/M43,"-")</f>
        <v>0.86625998911940494</v>
      </c>
      <c r="T43" s="12" t="str">
        <f>IFERROR(RANK(S43,S:S)&amp;"/"&amp;COUNT(S:S),"-")</f>
        <v>87/197</v>
      </c>
      <c r="U43" s="26">
        <f>IFERROR(RANK(S43,S:S)/COUNT(S:S),"-")</f>
        <v>0.44162436548223349</v>
      </c>
      <c r="V43" s="13" t="str">
        <f>IF(OR($C43&gt;20190630,$K43&gt;30,S43="-",$D43="是",$E43="封闭期",$H43&lt;10,$BN43&lt;-6,$BR43&lt;70),"-",COUNTIFS(S$4:S$200,"&lt;&gt;-",$D$4:$D$200,"&lt;&gt;是",$E$4:$E$200,"&lt;&gt;封闭期",$H$4:$H$200,"&gt;10",$BN$4:$BN$200,"&gt;-6",$BR$4:$BR$200,"&gt;=70",$K$4:$K$200,"&lt;=30",$C$4:$C$200,"&lt;20190630",S$4:S$200,"&gt;="&amp;S43)&amp;"/"&amp;COUNTIFS(S$4:S$200,"&lt;&gt;-",$D$4:$D$200,"&lt;&gt;是",$E$4:$E$200,"&lt;&gt;封闭期",$H$4:$H$200,"&gt;10",$BN$4:$BN$200,"&gt;-6",$BR$4:$BR$200,"&gt;=70",$C$4:$C$200,"&lt;20190630",$K$4:$K$200,"&lt;=30"))</f>
        <v>28/39</v>
      </c>
      <c r="W43" s="33">
        <f>IF(OR($C43&gt;20190630,$K43&gt;30,S43="-",$D43="是",$E43="封闭期",$H43&lt;10,$BN43&lt;-6,$BR43&lt;70),"-",COUNTIFS(S$4:S$200,"&lt;&gt;-",$D$4:$D$200,"&lt;&gt;是",$E$4:$E$200,"&lt;&gt;封闭期",$H$4:$H$200,"&gt;10",$BN$4:$BN$200,"&gt;-6",$BR$4:$BR$200,"&gt;=70",$K$4:$K$200,"&lt;=30",$C$4:$C$200,"&lt;20190630",S$4:S$200,"&gt;="&amp;S43)/COUNTIFS(S$4:S$200,"&lt;&gt;-",$D$4:$D$200,"&lt;&gt;是",$E$4:$E$200,"&lt;&gt;封闭期",$H$4:$H$200,"&gt;10",$BN$4:$BN$200,"&gt;-6",$BR$4:$BR$200,"&gt;=70",$C$4:$C$200,"&lt;20190630",$K$4:$K$200,"&lt;=30"))</f>
        <v>0.71794871794871795</v>
      </c>
      <c r="X43" s="19">
        <f>[1]!f_risk_calmar(A43,$L$2,$E$1)</f>
        <v>1.731777814616029</v>
      </c>
      <c r="Y43" s="12" t="str">
        <f>IFERROR(RANK(X43,X:X)&amp;"/"&amp;COUNT(X:X),"-")</f>
        <v>114/197</v>
      </c>
      <c r="Z43" s="26">
        <f>IFERROR(RANK(X43,X:X)/COUNT(X:X),"-")</f>
        <v>0.57868020304568524</v>
      </c>
      <c r="AA43" s="13" t="str">
        <f>IF(OR($C43&gt;20190630,$K43&gt;30,X43="-",$D43="是",$E43="封闭期",$H43&lt;10,$BN43&lt;-6,$BR43&lt;70),"-",COUNTIFS(X$4:X$200,"&lt;&gt;-",$D$4:$D$200,"&lt;&gt;是",$E$4:$E$200,"&lt;&gt;封闭期",$H$4:$H$200,"&gt;10",$BN$4:$BN$200,"&gt;-6",$BR$4:$BR$200,"&gt;=70",$K$4:$K$200,"&lt;=30",$C$4:$C$200,"&lt;20190630",X$4:X$200,"&gt;="&amp;X43)&amp;"/"&amp;COUNTIFS(X$4:X$200,"&lt;&gt;-",$D$4:$D$200,"&lt;&gt;是",$E$4:$E$200,"&lt;&gt;封闭期",$H$4:$H$200,"&gt;10",$BN$4:$BN$200,"&gt;-6",$BR$4:$BR$200,"&gt;=70",$C$4:$C$200,"&lt;20190630",$K$4:$K$200,"&lt;=30"))</f>
        <v>31/39</v>
      </c>
      <c r="AB43" s="33">
        <f>IF(OR($C43&gt;20190630,$K43&gt;30,X43="-",$D43="是",$E43="封闭期",$H43&lt;10,$BN43&lt;-6,$BR43&lt;70),"-",COUNTIFS(X$4:X$200,"&lt;&gt;-",$D$4:$D$200,"&lt;&gt;是",$E$4:$E$200,"&lt;&gt;封闭期",$H$4:$H$200,"&gt;10",$BN$4:$BN$200,"&gt;-6",$BR$4:$BR$200,"&gt;=70",$K$4:$K$200,"&lt;=30",$C$4:$C$200,"&lt;20190630",X$4:X$200,"&gt;="&amp;X43)/COUNTIFS(X$4:X$200,"&lt;&gt;-",$D$4:$D$200,"&lt;&gt;是",$E$4:$E$200,"&lt;&gt;封闭期",$H$4:$H$200,"&gt;10",$BN$4:$BN$200,"&gt;-6",$BR$4:$BR$200,"&gt;=70",$C$4:$C$200,"&lt;20190630",$K$4:$K$200,"&lt;=30"))</f>
        <v>0.79487179487179482</v>
      </c>
      <c r="AC43" s="20">
        <v>0.97478991596638653</v>
      </c>
      <c r="AD43" s="12" t="str">
        <f>IFERROR(RANK(AC43,AC:AC)&amp;"/"&amp;COUNT(AC:AC),"-")</f>
        <v>97/197</v>
      </c>
      <c r="AE43" s="26">
        <f>IFERROR(RANK(AC43,AC:AC)/COUNT(AC:AC),"-")</f>
        <v>0.49238578680203043</v>
      </c>
      <c r="AF43" s="13" t="str">
        <f>IF(OR($C43&gt;20190630,$K43&gt;30,AC43="-",$D43="是",$E43="封闭期",$H43&lt;10,$BN43&lt;-6,$BR43&lt;70),"-",COUNTIFS(AC$4:AC$200,"&lt;&gt;-",$D$4:$D$200,"&lt;&gt;是",$E$4:$E$200,"&lt;&gt;封闭期",$H$4:$H$200,"&gt;10",$BN$4:$BN$200,"&gt;-6",$BR$4:$BR$200,"&gt;=70",$K$4:$K$200,"&lt;=30",$C$4:$C$200,"&lt;20190630",AC$4:AC$200,"&gt;="&amp;AC43)&amp;"/"&amp;COUNTIFS(AC$4:AC$200,"&lt;&gt;-",$D$4:$D$200,"&lt;&gt;是",$E$4:$E$200,"&lt;&gt;封闭期",$H$4:$H$200,"&gt;10",$BN$4:$BN$200,"&gt;-6",$BR$4:$BR$200,"&gt;=70",$C$4:$C$200,"&lt;20190630",$K$4:$K$200,"&lt;=30"))</f>
        <v>31/39</v>
      </c>
      <c r="AG43" s="33">
        <f>IF(OR($C43&gt;20190630,$K43&gt;30,AC43="-",$D43="是",$E43="封闭期",$H43&lt;10,$BN43&lt;-6,$BR43&lt;70),"-",COUNTIFS(AC$4:AC$200,"&lt;&gt;-",$D$4:$D$200,"&lt;&gt;是",$E$4:$E$200,"&lt;&gt;封闭期",$H$4:$H$200,"&gt;10",$BN$4:$BN$200,"&gt;-6",$BR$4:$BR$200,"&gt;=70",$K$4:$K$200,"&lt;=30",$C$4:$C$200,"&lt;20190630",AC$4:AC$200,"&gt;="&amp;AC43)/COUNTIFS(AC$4:AC$200,"&lt;&gt;-",$D$4:$D$200,"&lt;&gt;是",$E$4:$E$200,"&lt;&gt;封闭期",$H$4:$H$200,"&gt;10",$BN$4:$BN$200,"&gt;-6",$BR$4:$BR$200,"&gt;=70",$C$4:$C$200,"&lt;20190630",$K$4:$K$200,"&lt;=30"))</f>
        <v>0.79487179487179482</v>
      </c>
      <c r="AH43" s="21">
        <f>[1]!f_risk_maxdownside(A43,$L$2,$E$1)</f>
        <v>-4.1042974408498401</v>
      </c>
      <c r="AI43" s="19" t="str">
        <f>IFERROR(RANK(AH43,AH:AH)&amp;"/"&amp;COUNT(AH:AH),"-")</f>
        <v>126/197</v>
      </c>
      <c r="AJ43" s="26">
        <f>IFERROR(RANK(AH43,AH:AH)/COUNT(AH:AH),"-")</f>
        <v>0.63959390862944165</v>
      </c>
      <c r="AK43" s="34" t="str">
        <f>IF(OR($C43&gt;20190630,$K43&gt;30,AH43="-",$D43="是",$E43="封闭期",$H43&lt;10,$BN43&lt;-6,$BR43&lt;70),"-",COUNTIFS(AH$4:AH$200,"&lt;&gt;-",$D$4:$D$200,"&lt;&gt;是",$E$4:$E$200,"&lt;&gt;封闭期",$H$4:$H$200,"&gt;10",$BN$4:$BN$200,"&gt;-6",$BR$4:$BR$200,"&gt;=70",$K$4:$K$200,"&lt;=30",$C$4:$C$200,"&lt;20190630",AH$4:AH$200,"&gt;="&amp;AH43)&amp;"/"&amp;COUNTIFS(AH$4:AH$200,"&lt;&gt;-",$D$4:$D$200,"&lt;&gt;是",$E$4:$E$200,"&lt;&gt;封闭期",$H$4:$H$200,"&gt;10",$BN$4:$BN$200,"&gt;-6",$BR$4:$BR$200,"&gt;=70",$C$4:$C$200,"&lt;20190630",$K$4:$K$200,"&lt;=30"))</f>
        <v>35/39</v>
      </c>
      <c r="AL43" s="33">
        <f>IF(OR($C43&gt;20190630,$K43&gt;30,AH43="-",$D43="是",$E43="封闭期",$H43&lt;10,$BN43&lt;-6,$BR43&lt;70),"-",COUNTIFS(AH$4:AH$200,"&lt;&gt;-",$D$4:$D$200,"&lt;&gt;是",$E$4:$E$200,"&lt;&gt;封闭期",$H$4:$H$200,"&gt;10",$BN$4:$BN$200,"&gt;-6",$BR$4:$BR$200,"&gt;=70",$K$4:$K$200,"&lt;=30",$C$4:$C$200,"&lt;20190630",AH$4:AH$200,"&gt;="&amp;AH43)/COUNTIFS(AH$4:AH$200,"&lt;&gt;-",$D$4:$D$200,"&lt;&gt;是",$E$4:$E$200,"&lt;&gt;封闭期",$H$4:$H$200,"&gt;10",$BN$4:$BN$200,"&gt;-6",$BR$4:$BR$200,"&gt;=70",$C$4:$C$200,"&lt;20190630",$K$4:$K$200,"&lt;=30"))</f>
        <v>0.89743589743589747</v>
      </c>
      <c r="AM43" s="19">
        <f>[1]!f_return($A43,"1",AM$2,$L$2)</f>
        <v>11.182488613187491</v>
      </c>
      <c r="AN43" s="19">
        <f>[1]!f_risk_stdevyearly($A43,AM$2,$L$2,1,1)</f>
        <v>4.6696011695604493</v>
      </c>
      <c r="AO43" s="12">
        <f>IFERROR(AM43/AN43,"-")</f>
        <v>2.3947416935909542</v>
      </c>
      <c r="AP43" s="12" t="str">
        <f>IFERROR(RANK(AO43,AO:AO)&amp;"/"&amp;COUNT(AO:AO),"-")</f>
        <v>24/197</v>
      </c>
      <c r="AQ43" s="26">
        <f>IF(AP43="-","-",RANK(AO43,AO:AO)/COUNT(AO:AO))</f>
        <v>0.12182741116751269</v>
      </c>
      <c r="AR43" s="60">
        <v>0.20304568527918782</v>
      </c>
      <c r="AS43" s="35">
        <f>IF(OR($C43&gt;20190630,$K43&gt;30,AO43="-",$D43="是",$E43="封闭期",$H43&lt;10,$BN43&lt;-6,$BR43&lt;70),"-",COUNTIFS(AO$4:AO$200,"&lt;&gt;-",$D$4:$D$200,"&lt;&gt;是",$E$4:$E$200,"&lt;&gt;封闭期",$H$4:$H$200,"&gt;10",$BN$4:$BN$200,"&gt;-6",$BR$4:$BR$200,"&gt;=70",$K$4:$K$200,"&lt;=30",$C$4:$C$200,"&lt;20190630",AO$4:AO$200,"&gt;="&amp;AO43)/COUNTIFS(AO$4:AO$200,"&lt;&gt;-",$D$4:$D$200,"&lt;&gt;是",$E$4:$E$200,"&lt;&gt;封闭期",$H$4:$H$200,"&gt;10",$BN$4:$BN$200,"&gt;-6",$BR$4:$BR$200,"&gt;=70",$C$4:$C$200,"&lt;20190630",$K$4:$K$200,"&lt;=30"))</f>
        <v>0.23076923076923078</v>
      </c>
      <c r="AT43" s="12">
        <f>IFERROR((AM43-3)/AN43,"-")</f>
        <v>1.7522885394423762</v>
      </c>
      <c r="AU43" s="12" t="str">
        <f>IFERROR(RANK(AT43,AT:AT)&amp;"/"&amp;COUNT(AT:AT),"-")</f>
        <v>16/197</v>
      </c>
      <c r="AV43" s="26">
        <f>IFERROR(RANK(AT43,AT:AT)/COUNT(AT:AT),"-")</f>
        <v>8.1218274111675121E-2</v>
      </c>
      <c r="AW43" s="13" t="str">
        <f>IF(OR($C43&gt;20190630,$K43&gt;30,AT43="-",$D43="是",$E43="封闭期",$H43&lt;10,$BN43&lt;-6,$BR43&lt;70),"-",COUNTIFS(AT$4:AT$200,"&lt;&gt;-",$D$4:$D$200,"&lt;&gt;是",$E$4:$E$200,"&lt;&gt;封闭期",$H$4:$H$200,"&gt;10",$BN$4:$BN$200,"&gt;-6",$BR$4:$BR$200,"&gt;=70",$K$4:$K$200,"&lt;=30",$C$4:$C$200,"&lt;20190630",AT$4:AT$200,"&gt;="&amp;AT43)&amp;"/"&amp;COUNTIFS(AT$4:AT$200,"&lt;&gt;-",$D$4:$D$200,"&lt;&gt;是",$E$4:$E$200,"&lt;&gt;封闭期",$H$4:$H$200,"&gt;10",$BN$4:$BN$200,"&gt;-6",$BR$4:$BR$200,"&gt;=70",$C$4:$C$200,"&lt;20190630",$K$4:$K$200,"&lt;=30"))</f>
        <v>8/39</v>
      </c>
      <c r="AX43" s="33">
        <f>IF(OR($C43&gt;20190630,$K43&gt;30,AT43="-",$D43="是",$E43="封闭期",$H43&lt;10,$BN43&lt;-6,$BR43&lt;70),"-",COUNTIFS(AT$4:AT$200,"&lt;&gt;-",$D$4:$D$200,"&lt;&gt;是",$E$4:$E$200,"&lt;&gt;封闭期",$H$4:$H$200,"&gt;10",$BN$4:$BN$200,"&gt;-6",$BR$4:$BR$200,"&gt;=70",$K$4:$K$200,"&lt;=30",$C$4:$C$200,"&lt;20190630",AT$4:AT$200,"&gt;="&amp;AT43)/COUNTIFS(AT$4:AT$200,"&lt;&gt;-",$D$4:$D$200,"&lt;&gt;是",$E$4:$E$200,"&lt;&gt;封闭期",$H$4:$H$200,"&gt;10",$BN$4:$BN$200,"&gt;-6",$BR$4:$BR$200,"&gt;=70",$C$4:$C$200,"&lt;20190630",$K$4:$K$200,"&lt;=30"))</f>
        <v>0.20512820512820512</v>
      </c>
      <c r="AY43" s="19">
        <f>[1]!f_risk_calmar(A43,$AM$2,$L$2)</f>
        <v>4.4389617842783347</v>
      </c>
      <c r="AZ43" s="12" t="str">
        <f>IFERROR(RANK(AY43,AY:AY)&amp;"/"&amp;COUNT(AY:AY),"-")</f>
        <v>17/197</v>
      </c>
      <c r="BA43" s="26">
        <f>IFERROR(RANK(AY43,AY:AY)/COUNT(AY:AY),"-")</f>
        <v>8.6294416243654817E-2</v>
      </c>
      <c r="BB43" s="13" t="str">
        <f>IF(OR($C43&gt;20190630,$K43&gt;30,AY43="-",$D43="是",$E43="封闭期",$H43&lt;10,$BN43&lt;-6,$BR43&lt;70),"-",COUNTIFS(AY$4:AY$200,"&lt;&gt;-",$D$4:$D$200,"&lt;&gt;是",$E$4:$E$200,"&lt;&gt;封闭期",$H$4:$H$200,"&gt;10",$BN$4:$BN$200,"&gt;-6",$BR$4:$BR$200,"&gt;=70",$K$4:$K$200,"&lt;=30",$C$4:$C$200,"&lt;20190630",AY$4:AY$200,"&gt;="&amp;AY43)&amp;"/"&amp;COUNTIFS(AY$4:AY$200,"&lt;&gt;-",$D$4:$D$200,"&lt;&gt;是",$E$4:$E$200,"&lt;&gt;封闭期",$H$4:$H$200,"&gt;10",$BN$4:$BN$200,"&gt;-6",$BR$4:$BR$200,"&gt;=70",$C$4:$C$200,"&lt;20190630",$K$4:$K$200,"&lt;=30"))</f>
        <v>5/39</v>
      </c>
      <c r="BC43" s="33">
        <f>IF(OR($C43&gt;20190630,$K43&gt;30,AY43="-",$D43="是",$E43="封闭期",$H43&lt;10,$BN43&lt;-6,$BR43&lt;70),"-",COUNTIFS(AY$4:AY$200,"&lt;&gt;-",$D$4:$D$200,"&lt;&gt;是",$E$4:$E$200,"&lt;&gt;封闭期",$H$4:$H$200,"&gt;10",$BN$4:$BN$200,"&gt;-6",$BR$4:$BR$200,"&gt;=70",$K$4:$K$200,"&lt;=30",$C$4:$C$200,"&lt;20190630",AY$4:AY$200,"&gt;="&amp;AY43)/COUNTIFS(AY$4:AY$200,"&lt;&gt;-",$D$4:$D$200,"&lt;&gt;是",$E$4:$E$200,"&lt;&gt;封闭期",$H$4:$H$200,"&gt;10",$BN$4:$BN$200,"&gt;-6",$BR$4:$BR$200,"&gt;=70",$C$4:$C$200,"&lt;20190630",$K$4:$K$200,"&lt;=30"))</f>
        <v>0.12820512820512819</v>
      </c>
      <c r="BD43" s="20">
        <v>1</v>
      </c>
      <c r="BE43" s="12" t="str">
        <f>IFERROR(RANK(BD43,BD:BD)&amp;"/"&amp;COUNT(BD:BD),"-")</f>
        <v>1/197</v>
      </c>
      <c r="BF43" s="26">
        <f>IFERROR(RANK(BD43,BD:BD)/COUNT(BD:BD),"-")</f>
        <v>5.076142131979695E-3</v>
      </c>
      <c r="BG43" s="13" t="str">
        <f>IF(OR($C43&gt;20190630,$K43&gt;30,BD43="-",$D43="是",$E43="封闭期",$H43&lt;10,$BN43&lt;-6,$BR43&lt;70),"-",COUNTIFS(BD$4:BD$200,"&lt;&gt;-",$D$4:$D$200,"&lt;&gt;是",$E$4:$E$200,"&lt;&gt;封闭期",$H$4:$H$200,"&gt;10",$BN$4:$BN$200,"&gt;-6",$BR$4:$BR$200,"&gt;=70",$K$4:$K$200,"&lt;=30",$C$4:$C$200,"&lt;20190630",BD$4:BD$200,"&gt;="&amp;BD43)&amp;"/"&amp;COUNTIFS(BD$4:BD$200,"&lt;&gt;-",$D$4:$D$200,"&lt;&gt;是",$E$4:$E$200,"&lt;&gt;封闭期",$H$4:$H$200,"&gt;10",$BN$4:$BN$200,"&gt;-6",$BR$4:$BR$200,"&gt;=70",$C$4:$C$200,"&lt;20190630",$K$4:$K$200,"&lt;=30"))</f>
        <v>35/39</v>
      </c>
      <c r="BH43" s="33">
        <f>IF(OR($C43&gt;20190630,$K43&gt;30,BD43="-",$D43="是",$E43="封闭期",$H43&lt;10,$BN43&lt;-6,$BR43&lt;70),"-",COUNTIFS(BD$4:BD$200,"&lt;&gt;-",$D$4:$D$200,"&lt;&gt;是",$E$4:$E$200,"&lt;&gt;封闭期",$H$4:$H$200,"&gt;10",$BN$4:$BN$200,"&gt;-6",$BR$4:$BR$200,"&gt;=70",$K$4:$K$200,"&lt;=30",$C$4:$C$200,"&lt;20190630",BD$4:BD$200,"&gt;="&amp;BD43)/COUNTIFS(BD$4:BD$200,"&lt;&gt;-",$D$4:$D$200,"&lt;&gt;是",$E$4:$E$200,"&lt;&gt;封闭期",$H$4:$H$200,"&gt;10",$BN$4:$BN$200,"&gt;-6",$BR$4:$BR$200,"&gt;=70",$C$4:$C$200,"&lt;20190630",$K$4:$K$200,"&lt;=30"))</f>
        <v>0.89743589743589747</v>
      </c>
      <c r="BI43" s="21">
        <f>[1]!f_risk_maxdownside(A43,$AM$2,$L$2)</f>
        <v>-2.5191675794085455</v>
      </c>
      <c r="BJ43" s="19" t="str">
        <f>IFERROR(RANK(BI43,BI:BI)&amp;"/"&amp;COUNT(BI:BI),"-")</f>
        <v>63/197</v>
      </c>
      <c r="BK43" s="26">
        <f>IFERROR(RANK(BI43,BI:BI)/COUNT(BI:BI),"-")</f>
        <v>0.31979695431472083</v>
      </c>
      <c r="BL43" s="34" t="str">
        <f>IF(OR($C43&gt;20190630,$K43&gt;30,BI43="-",$D43="是",$E43="封闭期",$H43&lt;10,$BN43&lt;-6,$BR43&lt;70),"-",COUNTIFS(BI$4:BI$200,"&lt;&gt;-",$D$4:$D$200,"&lt;&gt;是",$E$4:$E$200,"&lt;&gt;封闭期",$H$4:$H$200,"&gt;10",$BN$4:$BN$200,"&gt;-6",$BR$4:$BR$200,"&gt;=70",$K$4:$K$200,"&lt;=30",$C$4:$C$200,"&lt;20190630",BI$4:BI$200,"&gt;="&amp;BI43)&amp;"/"&amp;COUNTIFS(BI$4:BI$200,"&lt;&gt;-",$D$4:$D$200,"&lt;&gt;是",$E$4:$E$200,"&lt;&gt;封闭期",$H$4:$H$200,"&gt;10",$BN$4:$BN$200,"&gt;-6",$BR$4:$BR$200,"&gt;=70",$C$4:$C$200,"&lt;20190630",$K$4:$K$200,"&lt;=30"))</f>
        <v>10/39</v>
      </c>
      <c r="BM43" s="33">
        <f>IF(OR($C43&gt;20190630,$K43&gt;30,BI43="-",$D43="是",$E43="封闭期",$H43&lt;10,$BN43&lt;-6,$BR43&lt;70),"-",COUNTIFS(BI$4:BI$200,"&lt;&gt;-",$D$4:$D$200,"&lt;&gt;是",$E$4:$E$200,"&lt;&gt;封闭期",$H$4:$H$200,"&gt;10",$BN$4:$BN$200,"&gt;-6",$BR$4:$BR$200,"&gt;=70",$K$4:$K$200,"&lt;=30",$C$4:$C$200,"&lt;20190630",BI$4:BI$200,"&gt;="&amp;BI43)/COUNTIFS(BI$4:BI$200,"&lt;&gt;-",$D$4:$D$200,"&lt;&gt;是",$E$4:$E$200,"&lt;&gt;封闭期",$H$4:$H$200,"&gt;10",$BN$4:$BN$200,"&gt;-6",$BR$4:$BR$200,"&gt;=70",$C$4:$C$200,"&lt;20190630",$K$4:$K$200,"&lt;=30"))</f>
        <v>0.25641025641025639</v>
      </c>
      <c r="BN43" s="21">
        <f>[1]!f_risk_maxdownside(A43,$AM$2,$E$1)</f>
        <v>-4.1042974408498401</v>
      </c>
      <c r="BO43" s="14">
        <f>IF(C43&lt;20190930,[1]!f_return_2y(A43,"0","20210930"),"-")</f>
        <v>19.253208868144693</v>
      </c>
      <c r="BP43" s="12" t="str">
        <f>IFERROR(RANK(BO43,BO:BO)&amp;"/"&amp;COUNT(BO:BO),"-")</f>
        <v>41/197</v>
      </c>
      <c r="BQ43" s="25">
        <f>IFERROR(RANK(BO43,BO:BO)/COUNT(BO:BO),"-")</f>
        <v>0.20812182741116753</v>
      </c>
      <c r="BR43" s="12">
        <f>IF(C43&lt;20190930,[1]!f_absolute_profitmonthper(A43,"20190930","20210930"),"-")</f>
        <v>75</v>
      </c>
      <c r="BS43" s="12" t="str">
        <f>IFERROR(RANK(BR43,BR:BR)&amp;"/"&amp;COUNT(BR:BR),"-")</f>
        <v>26/198</v>
      </c>
      <c r="BT43" s="25">
        <f>IFERROR(RANK(BR43,BR:BR)/COUNT(BR:BR),"-")</f>
        <v>0.13131313131313133</v>
      </c>
      <c r="BU43" s="17"/>
      <c r="BV43" s="12">
        <f>X43-3/M43</f>
        <v>1.099122023007888</v>
      </c>
      <c r="BW43" s="76">
        <f>IFERROR(RANK(BV43,BV:BV)/COUNT(BV:BV),"-")</f>
        <v>0.57868020304568524</v>
      </c>
      <c r="BX43" s="76">
        <f>IFERROR(RANK(L43,L:L)/COUNT(L:L),"-")</f>
        <v>0.36363636363636365</v>
      </c>
      <c r="BY43" s="12">
        <f>AY43-3/AN43</f>
        <v>3.7965086301297566</v>
      </c>
      <c r="BZ43" s="76">
        <f>IFERROR(RANK(BY43,BY:BY)/COUNT(BY:BY),"-")</f>
        <v>7.1065989847715741E-2</v>
      </c>
      <c r="CA43" s="76">
        <f>IFERROR(RANK(AM43,AM:AM)/COUNT(AM:AM),"-")</f>
        <v>0.20707070707070707</v>
      </c>
      <c r="CC43" s="77">
        <f>AV43+BF43+BZ43+CA43</f>
        <v>0.36443111316207766</v>
      </c>
      <c r="CD43" s="77">
        <f>BW43+BX43+AE43+U43</f>
        <v>1.8763267189663129</v>
      </c>
      <c r="CE43" s="77">
        <f>CC43+CD43</f>
        <v>2.2407578321283905</v>
      </c>
    </row>
    <row r="44" spans="1:83" s="2" customFormat="1" x14ac:dyDescent="0.35">
      <c r="A44" s="3" t="s">
        <v>95</v>
      </c>
      <c r="B44" s="3" t="s">
        <v>96</v>
      </c>
      <c r="C44" s="4">
        <v>20101203</v>
      </c>
      <c r="D44" s="4" t="str">
        <f>[1]!f_info_regulopenfundornot(A44)</f>
        <v>否</v>
      </c>
      <c r="E44" s="4" t="str">
        <f>[1]!f_dq_status(A44,$E$1)</f>
        <v>开放申购|开放赎回</v>
      </c>
      <c r="F44" s="17" t="str">
        <f>[1]!f_info_fundmanager(A44)</f>
        <v>贾鹏,孙慧</v>
      </c>
      <c r="G44" s="4">
        <v>20190628</v>
      </c>
      <c r="H44" s="11">
        <f>[1]!f_netasset_total(A44,$E$1,100000000)</f>
        <v>27.903862555500002</v>
      </c>
      <c r="I44" s="11">
        <f>[1]!f_prt_convertiblebondtonav(A44,$E$1)</f>
        <v>8.2375583648681641</v>
      </c>
      <c r="J44" s="11">
        <f>[1]!f_prt_stocktonav(A44,$E$1)+0.5*I44</f>
        <v>19.115042686462402</v>
      </c>
      <c r="K44" s="12">
        <v>18.493210356581521</v>
      </c>
      <c r="L44" s="19">
        <f>[1]!f_return($A44,"1",L$2,$E$1)</f>
        <v>4.6632543855498199</v>
      </c>
      <c r="M44" s="19">
        <f>[1]!f_risk_stdevyearly($A44,L$2,$E$1,1,1)</f>
        <v>4.1569940315078746</v>
      </c>
      <c r="N44" s="12">
        <f>IFERROR(L44/M44,"-")</f>
        <v>1.1217852010863505</v>
      </c>
      <c r="O44" s="12" t="str">
        <f>IFERROR(RANK(N44,N:N)&amp;"/"&amp;COUNT(N:N),"-")</f>
        <v>131/197</v>
      </c>
      <c r="P44" s="26">
        <f>IF(O44="-","-",RANK(N44,N:N)/COUNT(N:N))</f>
        <v>0.6649746192893401</v>
      </c>
      <c r="Q44" s="58">
        <v>0.61928934010152281</v>
      </c>
      <c r="R44" s="33">
        <f>IF(OR($C44&gt;20190630,$K44&gt;30,N44="-",$D44="是",$E44="封闭期",$H44&lt;10,$BN44&lt;-6,$BR44&lt;70),"-",COUNTIFS(N$4:N$200,"&lt;&gt;-",$D$4:$D$200,"&lt;&gt;是",$E$4:$E$200,"&lt;&gt;封闭期",$H$4:$H$200,"&gt;10",$BN$4:$BN$200,"&gt;-6",$BR$4:$BR$200,"&gt;=70",$K$4:$K$200,"&lt;=30",$C$4:$C$200,"&lt;20190630",N$4:N$200,"&gt;="&amp;N44)/COUNTIFS(N$4:N$200,"&lt;&gt;-",$D$4:$D$200,"&lt;&gt;是",$E$4:$E$200,"&lt;&gt;封闭期",$H$4:$H$200,"&gt;10",$BN$4:$BN$200,"&gt;-6",$BR$4:$BR$200,"&gt;=70",$C$4:$C$200,"&lt;20190630",$K$4:$K$200,"&lt;=30"))</f>
        <v>0.94871794871794868</v>
      </c>
      <c r="S44" s="12">
        <f>IFERROR((L44-3)/M44,"-")</f>
        <v>0.40010988058756108</v>
      </c>
      <c r="T44" s="12" t="str">
        <f>IFERROR(RANK(S44,S:S)&amp;"/"&amp;COUNT(S:S),"-")</f>
        <v>128/197</v>
      </c>
      <c r="U44" s="26">
        <f>IFERROR(RANK(S44,S:S)/COUNT(S:S),"-")</f>
        <v>0.64974619289340096</v>
      </c>
      <c r="V44" s="13" t="str">
        <f>IF(OR($C44&gt;20190630,$K44&gt;30,S44="-",$D44="是",$E44="封闭期",$H44&lt;10,$BN44&lt;-6,$BR44&lt;70),"-",COUNTIFS(S$4:S$200,"&lt;&gt;-",$D$4:$D$200,"&lt;&gt;是",$E$4:$E$200,"&lt;&gt;封闭期",$H$4:$H$200,"&gt;10",$BN$4:$BN$200,"&gt;-6",$BR$4:$BR$200,"&gt;=70",$K$4:$K$200,"&lt;=30",$C$4:$C$200,"&lt;20190630",S$4:S$200,"&gt;="&amp;S44)&amp;"/"&amp;COUNTIFS(S$4:S$200,"&lt;&gt;-",$D$4:$D$200,"&lt;&gt;是",$E$4:$E$200,"&lt;&gt;封闭期",$H$4:$H$200,"&gt;10",$BN$4:$BN$200,"&gt;-6",$BR$4:$BR$200,"&gt;=70",$C$4:$C$200,"&lt;20190630",$K$4:$K$200,"&lt;=30"))</f>
        <v>37/39</v>
      </c>
      <c r="W44" s="33">
        <f>IF(OR($C44&gt;20190630,$K44&gt;30,S44="-",$D44="是",$E44="封闭期",$H44&lt;10,$BN44&lt;-6,$BR44&lt;70),"-",COUNTIFS(S$4:S$200,"&lt;&gt;-",$D$4:$D$200,"&lt;&gt;是",$E$4:$E$200,"&lt;&gt;封闭期",$H$4:$H$200,"&gt;10",$BN$4:$BN$200,"&gt;-6",$BR$4:$BR$200,"&gt;=70",$K$4:$K$200,"&lt;=30",$C$4:$C$200,"&lt;20190630",S$4:S$200,"&gt;="&amp;S44)/COUNTIFS(S$4:S$200,"&lt;&gt;-",$D$4:$D$200,"&lt;&gt;是",$E$4:$E$200,"&lt;&gt;封闭期",$H$4:$H$200,"&gt;10",$BN$4:$BN$200,"&gt;-6",$BR$4:$BR$200,"&gt;=70",$C$4:$C$200,"&lt;20190630",$K$4:$K$200,"&lt;=30"))</f>
        <v>0.94871794871794868</v>
      </c>
      <c r="X44" s="19">
        <f>[1]!f_risk_calmar(A44,$L$2,$E$1)</f>
        <v>1.3812115370533267</v>
      </c>
      <c r="Y44" s="12" t="str">
        <f>IFERROR(RANK(X44,X:X)&amp;"/"&amp;COUNT(X:X),"-")</f>
        <v>136/197</v>
      </c>
      <c r="Z44" s="26">
        <f>IFERROR(RANK(X44,X:X)/COUNT(X:X),"-")</f>
        <v>0.69035532994923854</v>
      </c>
      <c r="AA44" s="13" t="str">
        <f>IF(OR($C44&gt;20190630,$K44&gt;30,X44="-",$D44="是",$E44="封闭期",$H44&lt;10,$BN44&lt;-6,$BR44&lt;70),"-",COUNTIFS(X$4:X$200,"&lt;&gt;-",$D$4:$D$200,"&lt;&gt;是",$E$4:$E$200,"&lt;&gt;封闭期",$H$4:$H$200,"&gt;10",$BN$4:$BN$200,"&gt;-6",$BR$4:$BR$200,"&gt;=70",$K$4:$K$200,"&lt;=30",$C$4:$C$200,"&lt;20190630",X$4:X$200,"&gt;="&amp;X44)&amp;"/"&amp;COUNTIFS(X$4:X$200,"&lt;&gt;-",$D$4:$D$200,"&lt;&gt;是",$E$4:$E$200,"&lt;&gt;封闭期",$H$4:$H$200,"&gt;10",$BN$4:$BN$200,"&gt;-6",$BR$4:$BR$200,"&gt;=70",$C$4:$C$200,"&lt;20190630",$K$4:$K$200,"&lt;=30"))</f>
        <v>37/39</v>
      </c>
      <c r="AB44" s="33">
        <f>IF(OR($C44&gt;20190630,$K44&gt;30,X44="-",$D44="是",$E44="封闭期",$H44&lt;10,$BN44&lt;-6,$BR44&lt;70),"-",COUNTIFS(X$4:X$200,"&lt;&gt;-",$D$4:$D$200,"&lt;&gt;是",$E$4:$E$200,"&lt;&gt;封闭期",$H$4:$H$200,"&gt;10",$BN$4:$BN$200,"&gt;-6",$BR$4:$BR$200,"&gt;=70",$K$4:$K$200,"&lt;=30",$C$4:$C$200,"&lt;20190630",X$4:X$200,"&gt;="&amp;X44)/COUNTIFS(X$4:X$200,"&lt;&gt;-",$D$4:$D$200,"&lt;&gt;是",$E$4:$E$200,"&lt;&gt;封闭期",$H$4:$H$200,"&gt;10",$BN$4:$BN$200,"&gt;-6",$BR$4:$BR$200,"&gt;=70",$C$4:$C$200,"&lt;20190630",$K$4:$K$200,"&lt;=30"))</f>
        <v>0.94871794871794868</v>
      </c>
      <c r="AC44" s="20">
        <v>0.95798319327731096</v>
      </c>
      <c r="AD44" s="12" t="str">
        <f>IFERROR(RANK(AC44,AC:AC)&amp;"/"&amp;COUNT(AC:AC),"-")</f>
        <v>107/197</v>
      </c>
      <c r="AE44" s="26">
        <f>IFERROR(RANK(AC44,AC:AC)/COUNT(AC:AC),"-")</f>
        <v>0.54314720812182737</v>
      </c>
      <c r="AF44" s="13" t="str">
        <f>IF(OR($C44&gt;20190630,$K44&gt;30,AC44="-",$D44="是",$E44="封闭期",$H44&lt;10,$BN44&lt;-6,$BR44&lt;70),"-",COUNTIFS(AC$4:AC$200,"&lt;&gt;-",$D$4:$D$200,"&lt;&gt;是",$E$4:$E$200,"&lt;&gt;封闭期",$H$4:$H$200,"&gt;10",$BN$4:$BN$200,"&gt;-6",$BR$4:$BR$200,"&gt;=70",$K$4:$K$200,"&lt;=30",$C$4:$C$200,"&lt;20190630",AC$4:AC$200,"&gt;="&amp;AC44)&amp;"/"&amp;COUNTIFS(AC$4:AC$200,"&lt;&gt;-",$D$4:$D$200,"&lt;&gt;是",$E$4:$E$200,"&lt;&gt;封闭期",$H$4:$H$200,"&gt;10",$BN$4:$BN$200,"&gt;-6",$BR$4:$BR$200,"&gt;=70",$C$4:$C$200,"&lt;20190630",$K$4:$K$200,"&lt;=30"))</f>
        <v>33/39</v>
      </c>
      <c r="AG44" s="33">
        <f>IF(OR($C44&gt;20190630,$K44&gt;30,AC44="-",$D44="是",$E44="封闭期",$H44&lt;10,$BN44&lt;-6,$BR44&lt;70),"-",COUNTIFS(AC$4:AC$200,"&lt;&gt;-",$D$4:$D$200,"&lt;&gt;是",$E$4:$E$200,"&lt;&gt;封闭期",$H$4:$H$200,"&gt;10",$BN$4:$BN$200,"&gt;-6",$BR$4:$BR$200,"&gt;=70",$K$4:$K$200,"&lt;=30",$C$4:$C$200,"&lt;20190630",AC$4:AC$200,"&gt;="&amp;AC44)/COUNTIFS(AC$4:AC$200,"&lt;&gt;-",$D$4:$D$200,"&lt;&gt;是",$E$4:$E$200,"&lt;&gt;封闭期",$H$4:$H$200,"&gt;10",$BN$4:$BN$200,"&gt;-6",$BR$4:$BR$200,"&gt;=70",$C$4:$C$200,"&lt;20190630",$K$4:$K$200,"&lt;=30"))</f>
        <v>0.84615384615384615</v>
      </c>
      <c r="AH44" s="21">
        <f>[1]!f_risk_maxdownside(A44,$L$2,$E$1)</f>
        <v>-3.3762057877813527</v>
      </c>
      <c r="AI44" s="19" t="str">
        <f>IFERROR(RANK(AH44,AH:AH)&amp;"/"&amp;COUNT(AH:AH),"-")</f>
        <v>110/197</v>
      </c>
      <c r="AJ44" s="26">
        <f>IFERROR(RANK(AH44,AH:AH)/COUNT(AH:AH),"-")</f>
        <v>0.55837563451776651</v>
      </c>
      <c r="AK44" s="34" t="str">
        <f>IF(OR($C44&gt;20190630,$K44&gt;30,AH44="-",$D44="是",$E44="封闭期",$H44&lt;10,$BN44&lt;-6,$BR44&lt;70),"-",COUNTIFS(AH$4:AH$200,"&lt;&gt;-",$D$4:$D$200,"&lt;&gt;是",$E$4:$E$200,"&lt;&gt;封闭期",$H$4:$H$200,"&gt;10",$BN$4:$BN$200,"&gt;-6",$BR$4:$BR$200,"&gt;=70",$K$4:$K$200,"&lt;=30",$C$4:$C$200,"&lt;20190630",AH$4:AH$200,"&gt;="&amp;AH44)&amp;"/"&amp;COUNTIFS(AH$4:AH$200,"&lt;&gt;-",$D$4:$D$200,"&lt;&gt;是",$E$4:$E$200,"&lt;&gt;封闭期",$H$4:$H$200,"&gt;10",$BN$4:$BN$200,"&gt;-6",$BR$4:$BR$200,"&gt;=70",$C$4:$C$200,"&lt;20190630",$K$4:$K$200,"&lt;=30"))</f>
        <v>30/39</v>
      </c>
      <c r="AL44" s="33">
        <f>IF(OR($C44&gt;20190630,$K44&gt;30,AH44="-",$D44="是",$E44="封闭期",$H44&lt;10,$BN44&lt;-6,$BR44&lt;70),"-",COUNTIFS(AH$4:AH$200,"&lt;&gt;-",$D$4:$D$200,"&lt;&gt;是",$E$4:$E$200,"&lt;&gt;封闭期",$H$4:$H$200,"&gt;10",$BN$4:$BN$200,"&gt;-6",$BR$4:$BR$200,"&gt;=70",$K$4:$K$200,"&lt;=30",$C$4:$C$200,"&lt;20190630",AH$4:AH$200,"&gt;="&amp;AH44)/COUNTIFS(AH$4:AH$200,"&lt;&gt;-",$D$4:$D$200,"&lt;&gt;是",$E$4:$E$200,"&lt;&gt;封闭期",$H$4:$H$200,"&gt;10",$BN$4:$BN$200,"&gt;-6",$BR$4:$BR$200,"&gt;=70",$C$4:$C$200,"&lt;20190630",$K$4:$K$200,"&lt;=30"))</f>
        <v>0.76923076923076927</v>
      </c>
      <c r="AM44" s="19">
        <f>[1]!f_return($A44,"1",AM$2,$L$2)</f>
        <v>11.076862532418307</v>
      </c>
      <c r="AN44" s="19">
        <f>[1]!f_risk_stdevyearly($A44,AM$2,$L$2,1,1)</f>
        <v>5.2832045464911968</v>
      </c>
      <c r="AO44" s="12">
        <f>IFERROR(AM44/AN44,"-")</f>
        <v>2.0966181481227957</v>
      </c>
      <c r="AP44" s="12" t="str">
        <f>IFERROR(RANK(AO44,AO:AO)&amp;"/"&amp;COUNT(AO:AO),"-")</f>
        <v>41/197</v>
      </c>
      <c r="AQ44" s="26">
        <f>IF(AP44="-","-",RANK(AO44,AO:AO)/COUNT(AO:AO))</f>
        <v>0.20812182741116753</v>
      </c>
      <c r="AR44" s="60">
        <v>0.20812182741116753</v>
      </c>
      <c r="AS44" s="35">
        <f>IF(OR($C44&gt;20190630,$K44&gt;30,AO44="-",$D44="是",$E44="封闭期",$H44&lt;10,$BN44&lt;-6,$BR44&lt;70),"-",COUNTIFS(AO$4:AO$200,"&lt;&gt;-",$D$4:$D$200,"&lt;&gt;是",$E$4:$E$200,"&lt;&gt;封闭期",$H$4:$H$200,"&gt;10",$BN$4:$BN$200,"&gt;-6",$BR$4:$BR$200,"&gt;=70",$K$4:$K$200,"&lt;=30",$C$4:$C$200,"&lt;20190630",AO$4:AO$200,"&gt;="&amp;AO44)/COUNTIFS(AO$4:AO$200,"&lt;&gt;-",$D$4:$D$200,"&lt;&gt;是",$E$4:$E$200,"&lt;&gt;封闭期",$H$4:$H$200,"&gt;10",$BN$4:$BN$200,"&gt;-6",$BR$4:$BR$200,"&gt;=70",$C$4:$C$200,"&lt;20190630",$K$4:$K$200,"&lt;=30"))</f>
        <v>0.38461538461538464</v>
      </c>
      <c r="AT44" s="12">
        <f>IFERROR((AM44-3)/AN44,"-")</f>
        <v>1.5287809626417925</v>
      </c>
      <c r="AU44" s="12" t="str">
        <f>IFERROR(RANK(AT44,AT:AT)&amp;"/"&amp;COUNT(AT:AT),"-")</f>
        <v>29/197</v>
      </c>
      <c r="AV44" s="26">
        <f>IFERROR(RANK(AT44,AT:AT)/COUNT(AT:AT),"-")</f>
        <v>0.14720812182741116</v>
      </c>
      <c r="AW44" s="13" t="str">
        <f>IF(OR($C44&gt;20190630,$K44&gt;30,AT44="-",$D44="是",$E44="封闭期",$H44&lt;10,$BN44&lt;-6,$BR44&lt;70),"-",COUNTIFS(AT$4:AT$200,"&lt;&gt;-",$D$4:$D$200,"&lt;&gt;是",$E$4:$E$200,"&lt;&gt;封闭期",$H$4:$H$200,"&gt;10",$BN$4:$BN$200,"&gt;-6",$BR$4:$BR$200,"&gt;=70",$K$4:$K$200,"&lt;=30",$C$4:$C$200,"&lt;20190630",AT$4:AT$200,"&gt;="&amp;AT44)&amp;"/"&amp;COUNTIFS(AT$4:AT$200,"&lt;&gt;-",$D$4:$D$200,"&lt;&gt;是",$E$4:$E$200,"&lt;&gt;封闭期",$H$4:$H$200,"&gt;10",$BN$4:$BN$200,"&gt;-6",$BR$4:$BR$200,"&gt;=70",$C$4:$C$200,"&lt;20190630",$K$4:$K$200,"&lt;=30"))</f>
        <v>13/39</v>
      </c>
      <c r="AX44" s="33">
        <f>IF(OR($C44&gt;20190630,$K44&gt;30,AT44="-",$D44="是",$E44="封闭期",$H44&lt;10,$BN44&lt;-6,$BR44&lt;70),"-",COUNTIFS(AT$4:AT$200,"&lt;&gt;-",$D$4:$D$200,"&lt;&gt;是",$E$4:$E$200,"&lt;&gt;封闭期",$H$4:$H$200,"&gt;10",$BN$4:$BN$200,"&gt;-6",$BR$4:$BR$200,"&gt;=70",$K$4:$K$200,"&lt;=30",$C$4:$C$200,"&lt;20190630",AT$4:AT$200,"&gt;="&amp;AT44)/COUNTIFS(AT$4:AT$200,"&lt;&gt;-",$D$4:$D$200,"&lt;&gt;是",$E$4:$E$200,"&lt;&gt;封闭期",$H$4:$H$200,"&gt;10",$BN$4:$BN$200,"&gt;-6",$BR$4:$BR$200,"&gt;=70",$C$4:$C$200,"&lt;20190630",$K$4:$K$200,"&lt;=30"))</f>
        <v>0.33333333333333331</v>
      </c>
      <c r="AY44" s="19">
        <f>[1]!f_risk_calmar(A44,$AM$2,$L$2)</f>
        <v>2.9759837337097177</v>
      </c>
      <c r="AZ44" s="12" t="str">
        <f>IFERROR(RANK(AY44,AY:AY)&amp;"/"&amp;COUNT(AY:AY),"-")</f>
        <v>51/197</v>
      </c>
      <c r="BA44" s="26">
        <f>IFERROR(RANK(AY44,AY:AY)/COUNT(AY:AY),"-")</f>
        <v>0.25888324873096447</v>
      </c>
      <c r="BB44" s="13" t="str">
        <f>IF(OR($C44&gt;20190630,$K44&gt;30,AY44="-",$D44="是",$E44="封闭期",$H44&lt;10,$BN44&lt;-6,$BR44&lt;70),"-",COUNTIFS(AY$4:AY$200,"&lt;&gt;-",$D$4:$D$200,"&lt;&gt;是",$E$4:$E$200,"&lt;&gt;封闭期",$H$4:$H$200,"&gt;10",$BN$4:$BN$200,"&gt;-6",$BR$4:$BR$200,"&gt;=70",$K$4:$K$200,"&lt;=30",$C$4:$C$200,"&lt;20190630",AY$4:AY$200,"&gt;="&amp;AY44)&amp;"/"&amp;COUNTIFS(AY$4:AY$200,"&lt;&gt;-",$D$4:$D$200,"&lt;&gt;是",$E$4:$E$200,"&lt;&gt;封闭期",$H$4:$H$200,"&gt;10",$BN$4:$BN$200,"&gt;-6",$BR$4:$BR$200,"&gt;=70",$C$4:$C$200,"&lt;20190630",$K$4:$K$200,"&lt;=30"))</f>
        <v>18/39</v>
      </c>
      <c r="BC44" s="33">
        <f>IF(OR($C44&gt;20190630,$K44&gt;30,AY44="-",$D44="是",$E44="封闭期",$H44&lt;10,$BN44&lt;-6,$BR44&lt;70),"-",COUNTIFS(AY$4:AY$200,"&lt;&gt;-",$D$4:$D$200,"&lt;&gt;是",$E$4:$E$200,"&lt;&gt;封闭期",$H$4:$H$200,"&gt;10",$BN$4:$BN$200,"&gt;-6",$BR$4:$BR$200,"&gt;=70",$K$4:$K$200,"&lt;=30",$C$4:$C$200,"&lt;20190630",AY$4:AY$200,"&gt;="&amp;AY44)/COUNTIFS(AY$4:AY$200,"&lt;&gt;-",$D$4:$D$200,"&lt;&gt;是",$E$4:$E$200,"&lt;&gt;封闭期",$H$4:$H$200,"&gt;10",$BN$4:$BN$200,"&gt;-6",$BR$4:$BR$200,"&gt;=70",$C$4:$C$200,"&lt;20190630",$K$4:$K$200,"&lt;=30"))</f>
        <v>0.46153846153846156</v>
      </c>
      <c r="BD44" s="20">
        <v>1</v>
      </c>
      <c r="BE44" s="12" t="str">
        <f>IFERROR(RANK(BD44,BD:BD)&amp;"/"&amp;COUNT(BD:BD),"-")</f>
        <v>1/197</v>
      </c>
      <c r="BF44" s="26">
        <f>IFERROR(RANK(BD44,BD:BD)/COUNT(BD:BD),"-")</f>
        <v>5.076142131979695E-3</v>
      </c>
      <c r="BG44" s="13" t="str">
        <f>IF(OR($C44&gt;20190630,$K44&gt;30,BD44="-",$D44="是",$E44="封闭期",$H44&lt;10,$BN44&lt;-6,$BR44&lt;70),"-",COUNTIFS(BD$4:BD$200,"&lt;&gt;-",$D$4:$D$200,"&lt;&gt;是",$E$4:$E$200,"&lt;&gt;封闭期",$H$4:$H$200,"&gt;10",$BN$4:$BN$200,"&gt;-6",$BR$4:$BR$200,"&gt;=70",$K$4:$K$200,"&lt;=30",$C$4:$C$200,"&lt;20190630",BD$4:BD$200,"&gt;="&amp;BD44)&amp;"/"&amp;COUNTIFS(BD$4:BD$200,"&lt;&gt;-",$D$4:$D$200,"&lt;&gt;是",$E$4:$E$200,"&lt;&gt;封闭期",$H$4:$H$200,"&gt;10",$BN$4:$BN$200,"&gt;-6",$BR$4:$BR$200,"&gt;=70",$C$4:$C$200,"&lt;20190630",$K$4:$K$200,"&lt;=30"))</f>
        <v>35/39</v>
      </c>
      <c r="BH44" s="33">
        <f>IF(OR($C44&gt;20190630,$K44&gt;30,BD44="-",$D44="是",$E44="封闭期",$H44&lt;10,$BN44&lt;-6,$BR44&lt;70),"-",COUNTIFS(BD$4:BD$200,"&lt;&gt;-",$D$4:$D$200,"&lt;&gt;是",$E$4:$E$200,"&lt;&gt;封闭期",$H$4:$H$200,"&gt;10",$BN$4:$BN$200,"&gt;-6",$BR$4:$BR$200,"&gt;=70",$K$4:$K$200,"&lt;=30",$C$4:$C$200,"&lt;20190630",BD$4:BD$200,"&gt;="&amp;BD44)/COUNTIFS(BD$4:BD$200,"&lt;&gt;-",$D$4:$D$200,"&lt;&gt;是",$E$4:$E$200,"&lt;&gt;封闭期",$H$4:$H$200,"&gt;10",$BN$4:$BN$200,"&gt;-6",$BR$4:$BR$200,"&gt;=70",$C$4:$C$200,"&lt;20190630",$K$4:$K$200,"&lt;=30"))</f>
        <v>0.89743589743589747</v>
      </c>
      <c r="BI44" s="21">
        <f>[1]!f_risk_maxdownside(A44,$AM$2,$L$2)</f>
        <v>-3.7220843672456585</v>
      </c>
      <c r="BJ44" s="19" t="str">
        <f>IFERROR(RANK(BI44,BI:BI)&amp;"/"&amp;COUNT(BI:BI),"-")</f>
        <v>120/197</v>
      </c>
      <c r="BK44" s="26">
        <f>IFERROR(RANK(BI44,BI:BI)/COUNT(BI:BI),"-")</f>
        <v>0.6091370558375635</v>
      </c>
      <c r="BL44" s="34" t="str">
        <f>IF(OR($C44&gt;20190630,$K44&gt;30,BI44="-",$D44="是",$E44="封闭期",$H44&lt;10,$BN44&lt;-6,$BR44&lt;70),"-",COUNTIFS(BI$4:BI$200,"&lt;&gt;-",$D$4:$D$200,"&lt;&gt;是",$E$4:$E$200,"&lt;&gt;封闭期",$H$4:$H$200,"&gt;10",$BN$4:$BN$200,"&gt;-6",$BR$4:$BR$200,"&gt;=70",$K$4:$K$200,"&lt;=30",$C$4:$C$200,"&lt;20190630",BI$4:BI$200,"&gt;="&amp;BI44)&amp;"/"&amp;COUNTIFS(BI$4:BI$200,"&lt;&gt;-",$D$4:$D$200,"&lt;&gt;是",$E$4:$E$200,"&lt;&gt;封闭期",$H$4:$H$200,"&gt;10",$BN$4:$BN$200,"&gt;-6",$BR$4:$BR$200,"&gt;=70",$C$4:$C$200,"&lt;20190630",$K$4:$K$200,"&lt;=30"))</f>
        <v>30/39</v>
      </c>
      <c r="BM44" s="33">
        <f>IF(OR($C44&gt;20190630,$K44&gt;30,BI44="-",$D44="是",$E44="封闭期",$H44&lt;10,$BN44&lt;-6,$BR44&lt;70),"-",COUNTIFS(BI$4:BI$200,"&lt;&gt;-",$D$4:$D$200,"&lt;&gt;是",$E$4:$E$200,"&lt;&gt;封闭期",$H$4:$H$200,"&gt;10",$BN$4:$BN$200,"&gt;-6",$BR$4:$BR$200,"&gt;=70",$K$4:$K$200,"&lt;=30",$C$4:$C$200,"&lt;20190630",BI$4:BI$200,"&gt;="&amp;BI44)/COUNTIFS(BI$4:BI$200,"&lt;&gt;-",$D$4:$D$200,"&lt;&gt;是",$E$4:$E$200,"&lt;&gt;封闭期",$H$4:$H$200,"&gt;10",$BN$4:$BN$200,"&gt;-6",$BR$4:$BR$200,"&gt;=70",$C$4:$C$200,"&lt;20190630",$K$4:$K$200,"&lt;=30"))</f>
        <v>0.76923076923076927</v>
      </c>
      <c r="BN44" s="21">
        <f>[1]!f_risk_maxdownside(A44,$AM$2,$E$1)</f>
        <v>-3.7220843672456585</v>
      </c>
      <c r="BO44" s="14">
        <f>IF(C44&lt;20190930,[1]!f_return_2y(A44,"0","20210930"),"-")</f>
        <v>16.348528508528364</v>
      </c>
      <c r="BP44" s="12" t="str">
        <f>IFERROR(RANK(BO44,BO:BO)&amp;"/"&amp;COUNT(BO:BO),"-")</f>
        <v>74/197</v>
      </c>
      <c r="BQ44" s="25">
        <f>IFERROR(RANK(BO44,BO:BO)/COUNT(BO:BO),"-")</f>
        <v>0.37563451776649748</v>
      </c>
      <c r="BR44" s="12">
        <f>IF(C44&lt;20190930,[1]!f_absolute_profitmonthper(A44,"20190930","20210930"),"-")</f>
        <v>75</v>
      </c>
      <c r="BS44" s="12" t="str">
        <f>IFERROR(RANK(BR44,BR:BR)&amp;"/"&amp;COUNT(BR:BR),"-")</f>
        <v>26/198</v>
      </c>
      <c r="BT44" s="25">
        <f>IFERROR(RANK(BR44,BR:BR)/COUNT(BR:BR),"-")</f>
        <v>0.13131313131313133</v>
      </c>
      <c r="BU44" s="17"/>
      <c r="BV44" s="12">
        <f>X44-3/M44</f>
        <v>0.65953621655453731</v>
      </c>
      <c r="BW44" s="76">
        <f>IFERROR(RANK(BV44,BV:BV)/COUNT(BV:BV),"-")</f>
        <v>0.69543147208121825</v>
      </c>
      <c r="BX44" s="76">
        <f>IFERROR(RANK(L44,L:L)/COUNT(L:L),"-")</f>
        <v>0.62121212121212122</v>
      </c>
      <c r="BY44" s="12">
        <f>AY44-3/AN44</f>
        <v>2.4081465482287148</v>
      </c>
      <c r="BZ44" s="76">
        <f>IFERROR(RANK(BY44,BY:BY)/COUNT(BY:BY),"-")</f>
        <v>0.21319796954314721</v>
      </c>
      <c r="CA44" s="76">
        <f>IFERROR(RANK(AM44,AM:AM)/COUNT(AM:AM),"-")</f>
        <v>0.21212121212121213</v>
      </c>
      <c r="CC44" s="77">
        <f>AV44+BF44+BZ44+CA44</f>
        <v>0.57760344562375021</v>
      </c>
      <c r="CD44" s="77">
        <f>BW44+BX44+AE44+U44</f>
        <v>2.5095369943085677</v>
      </c>
      <c r="CE44" s="77">
        <f>CC44+CD44</f>
        <v>3.0871404399323179</v>
      </c>
    </row>
    <row r="45" spans="1:83" s="2" customFormat="1" hidden="1" x14ac:dyDescent="0.35">
      <c r="A45" s="15" t="s">
        <v>259</v>
      </c>
      <c r="B45" s="15" t="s">
        <v>260</v>
      </c>
      <c r="C45" s="16">
        <v>20160727</v>
      </c>
      <c r="D45" s="16" t="str">
        <f>[1]!f_info_regulopenfundornot(A45)</f>
        <v>否</v>
      </c>
      <c r="E45" s="16" t="str">
        <f>[1]!f_dq_status(A45,$E$1)</f>
        <v>开放申购|开放赎回</v>
      </c>
      <c r="F45" s="17" t="str">
        <f>[1]!f_info_fundmanager(A45)</f>
        <v>静鹏</v>
      </c>
      <c r="G45" s="16">
        <v>20160727</v>
      </c>
      <c r="H45" s="18">
        <f>[1]!f_netasset_total(A45,$E$1,100000000)</f>
        <v>3.1295720411000003</v>
      </c>
      <c r="I45" s="18">
        <f>[1]!f_prt_convertiblebondtonav(A45,$E$1)</f>
        <v>22.076652526855469</v>
      </c>
      <c r="J45" s="18">
        <f>[1]!f_prt_stocktonav(A45,$E$1)+0.5*I45</f>
        <v>30.864646911621094</v>
      </c>
      <c r="K45" s="19">
        <v>16.24215686120893</v>
      </c>
      <c r="L45" s="19">
        <f>[1]!f_return($A45,"1",L$2,$E$1)</f>
        <v>5.176556713447833</v>
      </c>
      <c r="M45" s="19">
        <f>[1]!f_risk_stdevyearly($A45,L$2,$E$1,1,1)</f>
        <v>4.7024938281708391</v>
      </c>
      <c r="N45" s="19">
        <f>IFERROR(L45/M45,"-")</f>
        <v>1.1008109532089261</v>
      </c>
      <c r="O45" s="19" t="str">
        <f>IFERROR(RANK(N45,N:N)&amp;"/"&amp;COUNT(N:N),"-")</f>
        <v>133/197</v>
      </c>
      <c r="P45" s="26">
        <f>IF(O45="-","-",RANK(N45,N:N)/COUNT(N:N))</f>
        <v>0.67512690355329952</v>
      </c>
      <c r="Q45" s="56">
        <v>0.5532994923857868</v>
      </c>
      <c r="R45" s="33" t="str">
        <f>IF(OR($C45&gt;20190630,$K45&gt;30,N45="-",$D45="是",$E45="封闭期",$H45&lt;10,$BN45&lt;-6,$BR45&lt;70),"-",COUNTIFS(N$4:N$200,"&lt;&gt;-",$D$4:$D$200,"&lt;&gt;是",$E$4:$E$200,"&lt;&gt;封闭期",$H$4:$H$200,"&gt;10",$BN$4:$BN$200,"&gt;-6",$BR$4:$BR$200,"&gt;=70",$K$4:$K$200,"&lt;=30",$C$4:$C$200,"&lt;20190630",N$4:N$200,"&gt;="&amp;N45)/COUNTIFS(N$4:N$200,"&lt;&gt;-",$D$4:$D$200,"&lt;&gt;是",$E$4:$E$200,"&lt;&gt;封闭期",$H$4:$H$200,"&gt;10",$BN$4:$BN$200,"&gt;-6",$BR$4:$BR$200,"&gt;=70",$C$4:$C$200,"&lt;20190630",$K$4:$K$200,"&lt;=30"))</f>
        <v>-</v>
      </c>
      <c r="S45" s="19">
        <f>IFERROR((L45-3)/M45,"-")</f>
        <v>0.46285158321929432</v>
      </c>
      <c r="T45" s="19" t="str">
        <f>IFERROR(RANK(S45,S:S)&amp;"/"&amp;COUNT(S:S),"-")</f>
        <v>122/197</v>
      </c>
      <c r="U45" s="26">
        <f>IFERROR(RANK(S45,S:S)/COUNT(S:S),"-")</f>
        <v>0.61928934010152281</v>
      </c>
      <c r="V45" s="34" t="str">
        <f>IF(OR($C45&gt;20190630,$K45&gt;30,S45="-",$D45="是",$E45="封闭期",$H45&lt;10,$BN45&lt;-6,$BR45&lt;70),"-",COUNTIFS(S$4:S$200,"&lt;&gt;-",$D$4:$D$200,"&lt;&gt;是",$E$4:$E$200,"&lt;&gt;封闭期",$H$4:$H$200,"&gt;10",$BN$4:$BN$200,"&gt;-6",$BR$4:$BR$200,"&gt;=70",$K$4:$K$200,"&lt;=30",$C$4:$C$200,"&lt;20190630",S$4:S$200,"&gt;="&amp;S45)&amp;"/"&amp;COUNTIFS(S$4:S$200,"&lt;&gt;-",$D$4:$D$200,"&lt;&gt;是",$E$4:$E$200,"&lt;&gt;封闭期",$H$4:$H$200,"&gt;10",$BN$4:$BN$200,"&gt;-6",$BR$4:$BR$200,"&gt;=70",$C$4:$C$200,"&lt;20190630",$K$4:$K$200,"&lt;=30"))</f>
        <v>-</v>
      </c>
      <c r="W45" s="33" t="str">
        <f>IF(OR($C45&gt;20190630,$K45&gt;30,S45="-",$D45="是",$E45="封闭期",$H45&lt;10,$BN45&lt;-6,$BR45&lt;70),"-",COUNTIFS(S$4:S$200,"&lt;&gt;-",$D$4:$D$200,"&lt;&gt;是",$E$4:$E$200,"&lt;&gt;封闭期",$H$4:$H$200,"&gt;10",$BN$4:$BN$200,"&gt;-6",$BR$4:$BR$200,"&gt;=70",$K$4:$K$200,"&lt;=30",$C$4:$C$200,"&lt;20190630",S$4:S$200,"&gt;="&amp;S45)/COUNTIFS(S$4:S$200,"&lt;&gt;-",$D$4:$D$200,"&lt;&gt;是",$E$4:$E$200,"&lt;&gt;封闭期",$H$4:$H$200,"&gt;10",$BN$4:$BN$200,"&gt;-6",$BR$4:$BR$200,"&gt;=70",$C$4:$C$200,"&lt;20190630",$K$4:$K$200,"&lt;=30"))</f>
        <v>-</v>
      </c>
      <c r="X45" s="19">
        <f>[1]!f_risk_calmar(A45,$L$2,$E$1)</f>
        <v>2.1656099881792974</v>
      </c>
      <c r="Y45" s="19" t="str">
        <f>IFERROR(RANK(X45,X:X)&amp;"/"&amp;COUNT(X:X),"-")</f>
        <v>90/197</v>
      </c>
      <c r="Z45" s="26">
        <f>IFERROR(RANK(X45,X:X)/COUNT(X:X),"-")</f>
        <v>0.45685279187817257</v>
      </c>
      <c r="AA45" s="34" t="str">
        <f>IF(OR($C45&gt;20190630,$K45&gt;30,X45="-",$D45="是",$E45="封闭期",$H45&lt;10,$BN45&lt;-6,$BR45&lt;70),"-",COUNTIFS(X$4:X$200,"&lt;&gt;-",$D$4:$D$200,"&lt;&gt;是",$E$4:$E$200,"&lt;&gt;封闭期",$H$4:$H$200,"&gt;10",$BN$4:$BN$200,"&gt;-6",$BR$4:$BR$200,"&gt;=70",$K$4:$K$200,"&lt;=30",$C$4:$C$200,"&lt;20190630",X$4:X$200,"&gt;="&amp;X45)&amp;"/"&amp;COUNTIFS(X$4:X$200,"&lt;&gt;-",$D$4:$D$200,"&lt;&gt;是",$E$4:$E$200,"&lt;&gt;封闭期",$H$4:$H$200,"&gt;10",$BN$4:$BN$200,"&gt;-6",$BR$4:$BR$200,"&gt;=70",$C$4:$C$200,"&lt;20190630",$K$4:$K$200,"&lt;=30"))</f>
        <v>-</v>
      </c>
      <c r="AB45" s="33" t="str">
        <f>IF(OR($C45&gt;20190630,$K45&gt;30,X45="-",$D45="是",$E45="封闭期",$H45&lt;10,$BN45&lt;-6,$BR45&lt;70),"-",COUNTIFS(X$4:X$200,"&lt;&gt;-",$D$4:$D$200,"&lt;&gt;是",$E$4:$E$200,"&lt;&gt;封闭期",$H$4:$H$200,"&gt;10",$BN$4:$BN$200,"&gt;-6",$BR$4:$BR$200,"&gt;=70",$K$4:$K$200,"&lt;=30",$C$4:$C$200,"&lt;20190630",X$4:X$200,"&gt;="&amp;X45)/COUNTIFS(X$4:X$200,"&lt;&gt;-",$D$4:$D$200,"&lt;&gt;是",$E$4:$E$200,"&lt;&gt;封闭期",$H$4:$H$200,"&gt;10",$BN$4:$BN$200,"&gt;-6",$BR$4:$BR$200,"&gt;=70",$C$4:$C$200,"&lt;20190630",$K$4:$K$200,"&lt;=30"))</f>
        <v>-</v>
      </c>
      <c r="AC45" s="20">
        <v>0.76470588235294112</v>
      </c>
      <c r="AD45" s="19" t="str">
        <f>IFERROR(RANK(AC45,AC:AC)&amp;"/"&amp;COUNT(AC:AC),"-")</f>
        <v>155/197</v>
      </c>
      <c r="AE45" s="26">
        <f>IFERROR(RANK(AC45,AC:AC)/COUNT(AC:AC),"-")</f>
        <v>0.78680203045685282</v>
      </c>
      <c r="AF45" s="34" t="str">
        <f>IF(OR($C45&gt;20190630,$K45&gt;30,AC45="-",$D45="是",$E45="封闭期",$H45&lt;10,$BN45&lt;-6,$BR45&lt;70),"-",COUNTIFS(AC$4:AC$200,"&lt;&gt;-",$D$4:$D$200,"&lt;&gt;是",$E$4:$E$200,"&lt;&gt;封闭期",$H$4:$H$200,"&gt;10",$BN$4:$BN$200,"&gt;-6",$BR$4:$BR$200,"&gt;=70",$K$4:$K$200,"&lt;=30",$C$4:$C$200,"&lt;20190630",AC$4:AC$200,"&gt;="&amp;AC45)&amp;"/"&amp;COUNTIFS(AC$4:AC$200,"&lt;&gt;-",$D$4:$D$200,"&lt;&gt;是",$E$4:$E$200,"&lt;&gt;封闭期",$H$4:$H$200,"&gt;10",$BN$4:$BN$200,"&gt;-6",$BR$4:$BR$200,"&gt;=70",$C$4:$C$200,"&lt;20190630",$K$4:$K$200,"&lt;=30"))</f>
        <v>-</v>
      </c>
      <c r="AG45" s="33" t="str">
        <f>IF(OR($C45&gt;20190630,$K45&gt;30,AC45="-",$D45="是",$E45="封闭期",$H45&lt;10,$BN45&lt;-6,$BR45&lt;70),"-",COUNTIFS(AC$4:AC$200,"&lt;&gt;-",$D$4:$D$200,"&lt;&gt;是",$E$4:$E$200,"&lt;&gt;封闭期",$H$4:$H$200,"&gt;10",$BN$4:$BN$200,"&gt;-6",$BR$4:$BR$200,"&gt;=70",$K$4:$K$200,"&lt;=30",$C$4:$C$200,"&lt;20190630",AC$4:AC$200,"&gt;="&amp;AC45)/COUNTIFS(AC$4:AC$200,"&lt;&gt;-",$D$4:$D$200,"&lt;&gt;是",$E$4:$E$200,"&lt;&gt;封闭期",$H$4:$H$200,"&gt;10",$BN$4:$BN$200,"&gt;-6",$BR$4:$BR$200,"&gt;=70",$C$4:$C$200,"&lt;20190630",$K$4:$K$200,"&lt;=30"))</f>
        <v>-</v>
      </c>
      <c r="AH45" s="21">
        <f>[1]!f_risk_maxdownside(A45,$L$2,$E$1)</f>
        <v>-2.3903457878858148</v>
      </c>
      <c r="AI45" s="19" t="str">
        <f>IFERROR(RANK(AH45,AH:AH)&amp;"/"&amp;COUNT(AH:AH),"-")</f>
        <v>72/197</v>
      </c>
      <c r="AJ45" s="26">
        <f>IFERROR(RANK(AH45,AH:AH)/COUNT(AH:AH),"-")</f>
        <v>0.36548223350253806</v>
      </c>
      <c r="AK45" s="34" t="str">
        <f>IF(OR($C45&gt;20190630,$K45&gt;30,AH45="-",$D45="是",$E45="封闭期",$H45&lt;10,$BN45&lt;-6,$BR45&lt;70),"-",COUNTIFS(AH$4:AH$200,"&lt;&gt;-",$D$4:$D$200,"&lt;&gt;是",$E$4:$E$200,"&lt;&gt;封闭期",$H$4:$H$200,"&gt;10",$BN$4:$BN$200,"&gt;-6",$BR$4:$BR$200,"&gt;=70",$K$4:$K$200,"&lt;=30",$C$4:$C$200,"&lt;20190630",AH$4:AH$200,"&gt;="&amp;AH45)&amp;"/"&amp;COUNTIFS(AH$4:AH$200,"&lt;&gt;-",$D$4:$D$200,"&lt;&gt;是",$E$4:$E$200,"&lt;&gt;封闭期",$H$4:$H$200,"&gt;10",$BN$4:$BN$200,"&gt;-6",$BR$4:$BR$200,"&gt;=70",$C$4:$C$200,"&lt;20190630",$K$4:$K$200,"&lt;=30"))</f>
        <v>-</v>
      </c>
      <c r="AL45" s="33" t="str">
        <f>IF(OR($C45&gt;20190630,$K45&gt;30,AH45="-",$D45="是",$E45="封闭期",$H45&lt;10,$BN45&lt;-6,$BR45&lt;70),"-",COUNTIFS(AH$4:AH$200,"&lt;&gt;-",$D$4:$D$200,"&lt;&gt;是",$E$4:$E$200,"&lt;&gt;封闭期",$H$4:$H$200,"&gt;10",$BN$4:$BN$200,"&gt;-6",$BR$4:$BR$200,"&gt;=70",$K$4:$K$200,"&lt;=30",$C$4:$C$200,"&lt;20190630",AH$4:AH$200,"&gt;="&amp;AH45)/COUNTIFS(AH$4:AH$200,"&lt;&gt;-",$D$4:$D$200,"&lt;&gt;是",$E$4:$E$200,"&lt;&gt;封闭期",$H$4:$H$200,"&gt;10",$BN$4:$BN$200,"&gt;-6",$BR$4:$BR$200,"&gt;=70",$C$4:$C$200,"&lt;20190630",$K$4:$K$200,"&lt;=30"))</f>
        <v>-</v>
      </c>
      <c r="AM45" s="19">
        <f>[1]!f_return($A45,"1",AM$2,$L$2)</f>
        <v>11.070345503317824</v>
      </c>
      <c r="AN45" s="19">
        <f>[1]!f_risk_stdevyearly($A45,AM$2,$L$2,1,1)</f>
        <v>7.293338566245648</v>
      </c>
      <c r="AO45" s="19">
        <f>IFERROR(AM45/AN45,"-")</f>
        <v>1.5178707806809586</v>
      </c>
      <c r="AP45" s="19" t="str">
        <f>IFERROR(RANK(AO45,AO:AO)&amp;"/"&amp;COUNT(AO:AO),"-")</f>
        <v>106/197</v>
      </c>
      <c r="AQ45" s="26">
        <f>IF(AP45="-","-",RANK(AO45,AO:AO)/COUNT(AO:AO))</f>
        <v>0.53807106598984766</v>
      </c>
      <c r="AR45" s="57">
        <v>0.21319796954314721</v>
      </c>
      <c r="AS45" s="33" t="str">
        <f>IF(OR($C45&gt;20190630,$K45&gt;30,AO45="-",$D45="是",$E45="封闭期",$H45&lt;10,$BN45&lt;-6,$BR45&lt;70),"-",COUNTIFS(AO$4:AO$200,"&lt;&gt;-",$D$4:$D$200,"&lt;&gt;是",$E$4:$E$200,"&lt;&gt;封闭期",$H$4:$H$200,"&gt;10",$BN$4:$BN$200,"&gt;-6",$BR$4:$BR$200,"&gt;=70",$K$4:$K$200,"&lt;=30",$C$4:$C$200,"&lt;20190630",AO$4:AO$200,"&gt;="&amp;AO45)/COUNTIFS(AO$4:AO$200,"&lt;&gt;-",$D$4:$D$200,"&lt;&gt;是",$E$4:$E$200,"&lt;&gt;封闭期",$H$4:$H$200,"&gt;10",$BN$4:$BN$200,"&gt;-6",$BR$4:$BR$200,"&gt;=70",$C$4:$C$200,"&lt;20190630",$K$4:$K$200,"&lt;=30"))</f>
        <v>-</v>
      </c>
      <c r="AT45" s="19">
        <f>IFERROR((AM45-3)/AN45,"-")</f>
        <v>1.1065365237078459</v>
      </c>
      <c r="AU45" s="19" t="str">
        <f>IFERROR(RANK(AT45,AT:AT)&amp;"/"&amp;COUNT(AT:AT),"-")</f>
        <v>71/197</v>
      </c>
      <c r="AV45" s="26">
        <f>IFERROR(RANK(AT45,AT:AT)/COUNT(AT:AT),"-")</f>
        <v>0.3604060913705584</v>
      </c>
      <c r="AW45" s="34" t="str">
        <f>IF(OR($C45&gt;20190630,$K45&gt;30,AT45="-",$D45="是",$E45="封闭期",$H45&lt;10,$BN45&lt;-6,$BR45&lt;70),"-",COUNTIFS(AT$4:AT$200,"&lt;&gt;-",$D$4:$D$200,"&lt;&gt;是",$E$4:$E$200,"&lt;&gt;封闭期",$H$4:$H$200,"&gt;10",$BN$4:$BN$200,"&gt;-6",$BR$4:$BR$200,"&gt;=70",$K$4:$K$200,"&lt;=30",$C$4:$C$200,"&lt;20190630",AT$4:AT$200,"&gt;="&amp;AT45)&amp;"/"&amp;COUNTIFS(AT$4:AT$200,"&lt;&gt;-",$D$4:$D$200,"&lt;&gt;是",$E$4:$E$200,"&lt;&gt;封闭期",$H$4:$H$200,"&gt;10",$BN$4:$BN$200,"&gt;-6",$BR$4:$BR$200,"&gt;=70",$C$4:$C$200,"&lt;20190630",$K$4:$K$200,"&lt;=30"))</f>
        <v>-</v>
      </c>
      <c r="AX45" s="33" t="str">
        <f>IF(OR($C45&gt;20190630,$K45&gt;30,AT45="-",$D45="是",$E45="封闭期",$H45&lt;10,$BN45&lt;-6,$BR45&lt;70),"-",COUNTIFS(AT$4:AT$200,"&lt;&gt;-",$D$4:$D$200,"&lt;&gt;是",$E$4:$E$200,"&lt;&gt;封闭期",$H$4:$H$200,"&gt;10",$BN$4:$BN$200,"&gt;-6",$BR$4:$BR$200,"&gt;=70",$K$4:$K$200,"&lt;=30",$C$4:$C$200,"&lt;20190630",AT$4:AT$200,"&gt;="&amp;AT45)/COUNTIFS(AT$4:AT$200,"&lt;&gt;-",$D$4:$D$200,"&lt;&gt;是",$E$4:$E$200,"&lt;&gt;封闭期",$H$4:$H$200,"&gt;10",$BN$4:$BN$200,"&gt;-6",$BR$4:$BR$200,"&gt;=70",$C$4:$C$200,"&lt;20190630",$K$4:$K$200,"&lt;=30"))</f>
        <v>-</v>
      </c>
      <c r="AY45" s="19">
        <f>[1]!f_risk_calmar(A45,$AM$2,$L$2)</f>
        <v>2.0837162209652287</v>
      </c>
      <c r="AZ45" s="19" t="str">
        <f>IFERROR(RANK(AY45,AY:AY)&amp;"/"&amp;COUNT(AY:AY),"-")</f>
        <v>107/197</v>
      </c>
      <c r="BA45" s="26">
        <f>IFERROR(RANK(AY45,AY:AY)/COUNT(AY:AY),"-")</f>
        <v>0.54314720812182737</v>
      </c>
      <c r="BB45" s="34" t="str">
        <f>IF(OR($C45&gt;20190630,$K45&gt;30,AY45="-",$D45="是",$E45="封闭期",$H45&lt;10,$BN45&lt;-6,$BR45&lt;70),"-",COUNTIFS(AY$4:AY$200,"&lt;&gt;-",$D$4:$D$200,"&lt;&gt;是",$E$4:$E$200,"&lt;&gt;封闭期",$H$4:$H$200,"&gt;10",$BN$4:$BN$200,"&gt;-6",$BR$4:$BR$200,"&gt;=70",$K$4:$K$200,"&lt;=30",$C$4:$C$200,"&lt;20190630",AY$4:AY$200,"&gt;="&amp;AY45)&amp;"/"&amp;COUNTIFS(AY$4:AY$200,"&lt;&gt;-",$D$4:$D$200,"&lt;&gt;是",$E$4:$E$200,"&lt;&gt;封闭期",$H$4:$H$200,"&gt;10",$BN$4:$BN$200,"&gt;-6",$BR$4:$BR$200,"&gt;=70",$C$4:$C$200,"&lt;20190630",$K$4:$K$200,"&lt;=30"))</f>
        <v>-</v>
      </c>
      <c r="BC45" s="33" t="str">
        <f>IF(OR($C45&gt;20190630,$K45&gt;30,AY45="-",$D45="是",$E45="封闭期",$H45&lt;10,$BN45&lt;-6,$BR45&lt;70),"-",COUNTIFS(AY$4:AY$200,"&lt;&gt;-",$D$4:$D$200,"&lt;&gt;是",$E$4:$E$200,"&lt;&gt;封闭期",$H$4:$H$200,"&gt;10",$BN$4:$BN$200,"&gt;-6",$BR$4:$BR$200,"&gt;=70",$K$4:$K$200,"&lt;=30",$C$4:$C$200,"&lt;20190630",AY$4:AY$200,"&gt;="&amp;AY45)/COUNTIFS(AY$4:AY$200,"&lt;&gt;-",$D$4:$D$200,"&lt;&gt;是",$E$4:$E$200,"&lt;&gt;封闭期",$H$4:$H$200,"&gt;10",$BN$4:$BN$200,"&gt;-6",$BR$4:$BR$200,"&gt;=70",$C$4:$C$200,"&lt;20190630",$K$4:$K$200,"&lt;=30"))</f>
        <v>-</v>
      </c>
      <c r="BD45" s="20">
        <v>1</v>
      </c>
      <c r="BE45" s="19" t="str">
        <f>IFERROR(RANK(BD45,BD:BD)&amp;"/"&amp;COUNT(BD:BD),"-")</f>
        <v>1/197</v>
      </c>
      <c r="BF45" s="26">
        <f>IFERROR(RANK(BD45,BD:BD)/COUNT(BD:BD),"-")</f>
        <v>5.076142131979695E-3</v>
      </c>
      <c r="BG45" s="34" t="str">
        <f>IF(OR($C45&gt;20190630,$K45&gt;30,BD45="-",$D45="是",$E45="封闭期",$H45&lt;10,$BN45&lt;-6,$BR45&lt;70),"-",COUNTIFS(BD$4:BD$200,"&lt;&gt;-",$D$4:$D$200,"&lt;&gt;是",$E$4:$E$200,"&lt;&gt;封闭期",$H$4:$H$200,"&gt;10",$BN$4:$BN$200,"&gt;-6",$BR$4:$BR$200,"&gt;=70",$K$4:$K$200,"&lt;=30",$C$4:$C$200,"&lt;20190630",BD$4:BD$200,"&gt;="&amp;BD45)&amp;"/"&amp;COUNTIFS(BD$4:BD$200,"&lt;&gt;-",$D$4:$D$200,"&lt;&gt;是",$E$4:$E$200,"&lt;&gt;封闭期",$H$4:$H$200,"&gt;10",$BN$4:$BN$200,"&gt;-6",$BR$4:$BR$200,"&gt;=70",$C$4:$C$200,"&lt;20190630",$K$4:$K$200,"&lt;=30"))</f>
        <v>-</v>
      </c>
      <c r="BH45" s="33" t="str">
        <f>IF(OR($C45&gt;20190630,$K45&gt;30,BD45="-",$D45="是",$E45="封闭期",$H45&lt;10,$BN45&lt;-6,$BR45&lt;70),"-",COUNTIFS(BD$4:BD$200,"&lt;&gt;-",$D$4:$D$200,"&lt;&gt;是",$E$4:$E$200,"&lt;&gt;封闭期",$H$4:$H$200,"&gt;10",$BN$4:$BN$200,"&gt;-6",$BR$4:$BR$200,"&gt;=70",$K$4:$K$200,"&lt;=30",$C$4:$C$200,"&lt;20190630",BD$4:BD$200,"&gt;="&amp;BD45)/COUNTIFS(BD$4:BD$200,"&lt;&gt;-",$D$4:$D$200,"&lt;&gt;是",$E$4:$E$200,"&lt;&gt;封闭期",$H$4:$H$200,"&gt;10",$BN$4:$BN$200,"&gt;-6",$BR$4:$BR$200,"&gt;=70",$C$4:$C$200,"&lt;20190630",$K$4:$K$200,"&lt;=30"))</f>
        <v>-</v>
      </c>
      <c r="BI45" s="21">
        <f>[1]!f_risk_maxdownside(A45,$AM$2,$L$2)</f>
        <v>-5.3127894249389529</v>
      </c>
      <c r="BJ45" s="19" t="str">
        <f>IFERROR(RANK(BI45,BI:BI)&amp;"/"&amp;COUNT(BI:BI),"-")</f>
        <v>159/197</v>
      </c>
      <c r="BK45" s="26">
        <f>IFERROR(RANK(BI45,BI:BI)/COUNT(BI:BI),"-")</f>
        <v>0.80710659898477155</v>
      </c>
      <c r="BL45" s="34" t="str">
        <f>IF(OR($C45&gt;20190630,$K45&gt;30,BI45="-",$D45="是",$E45="封闭期",$H45&lt;10,$BN45&lt;-6,$BR45&lt;70),"-",COUNTIFS(BI$4:BI$200,"&lt;&gt;-",$D$4:$D$200,"&lt;&gt;是",$E$4:$E$200,"&lt;&gt;封闭期",$H$4:$H$200,"&gt;10",$BN$4:$BN$200,"&gt;-6",$BR$4:$BR$200,"&gt;=70",$K$4:$K$200,"&lt;=30",$C$4:$C$200,"&lt;20190630",BI$4:BI$200,"&gt;="&amp;BI45)&amp;"/"&amp;COUNTIFS(BI$4:BI$200,"&lt;&gt;-",$D$4:$D$200,"&lt;&gt;是",$E$4:$E$200,"&lt;&gt;封闭期",$H$4:$H$200,"&gt;10",$BN$4:$BN$200,"&gt;-6",$BR$4:$BR$200,"&gt;=70",$C$4:$C$200,"&lt;20190630",$K$4:$K$200,"&lt;=30"))</f>
        <v>-</v>
      </c>
      <c r="BM45" s="33" t="str">
        <f>IF(OR($C45&gt;20190630,$K45&gt;30,BI45="-",$D45="是",$E45="封闭期",$H45&lt;10,$BN45&lt;-6,$BR45&lt;70),"-",COUNTIFS(BI$4:BI$200,"&lt;&gt;-",$D$4:$D$200,"&lt;&gt;是",$E$4:$E$200,"&lt;&gt;封闭期",$H$4:$H$200,"&gt;10",$BN$4:$BN$200,"&gt;-6",$BR$4:$BR$200,"&gt;=70",$K$4:$K$200,"&lt;=30",$C$4:$C$200,"&lt;20190630",BI$4:BI$200,"&gt;="&amp;BI45)/COUNTIFS(BI$4:BI$200,"&lt;&gt;-",$D$4:$D$200,"&lt;&gt;是",$E$4:$E$200,"&lt;&gt;封闭期",$H$4:$H$200,"&gt;10",$BN$4:$BN$200,"&gt;-6",$BR$4:$BR$200,"&gt;=70",$C$4:$C$200,"&lt;20190630",$K$4:$K$200,"&lt;=30"))</f>
        <v>-</v>
      </c>
      <c r="BN45" s="21">
        <f>[1]!f_risk_maxdownside(A45,$AM$2,$E$1)</f>
        <v>-5.3127894249389529</v>
      </c>
      <c r="BO45" s="21">
        <f>IF(C45&lt;20190930,[1]!f_return_2y(A45,"0","20210930"),"-")</f>
        <v>17.058130044436375</v>
      </c>
      <c r="BP45" s="19" t="str">
        <f>IFERROR(RANK(BO45,BO:BO)&amp;"/"&amp;COUNT(BO:BO),"-")</f>
        <v>63/197</v>
      </c>
      <c r="BQ45" s="25">
        <f>IFERROR(RANK(BO45,BO:BO)/COUNT(BO:BO),"-")</f>
        <v>0.31979695431472083</v>
      </c>
      <c r="BR45" s="19">
        <f>IF(C45&lt;20190930,[1]!f_absolute_profitmonthper(A45,"20190930","20210930"),"-")</f>
        <v>75</v>
      </c>
      <c r="BS45" s="19" t="str">
        <f>IFERROR(RANK(BR45,BR:BR)&amp;"/"&amp;COUNT(BR:BR),"-")</f>
        <v>26/198</v>
      </c>
      <c r="BT45" s="25">
        <f>IFERROR(RANK(BR45,BR:BR)/COUNT(BR:BR),"-")</f>
        <v>0.13131313131313133</v>
      </c>
      <c r="BU45" s="17"/>
      <c r="BV45" s="12">
        <f>X45-3/M45</f>
        <v>1.5276506181896656</v>
      </c>
      <c r="BW45" s="76">
        <f>IFERROR(RANK(BV45,BV:BV)/COUNT(BV:BV),"-")</f>
        <v>0.44162436548223349</v>
      </c>
      <c r="BX45" s="76">
        <f>IFERROR(RANK(L45,L:L)/COUNT(L:L),"-")</f>
        <v>0.55555555555555558</v>
      </c>
      <c r="BY45" s="12">
        <f>AY45-3/AN45</f>
        <v>1.672381963992116</v>
      </c>
      <c r="BZ45" s="76">
        <f>IFERROR(RANK(BY45,BY:BY)/COUNT(BY:BY),"-")</f>
        <v>0.47715736040609136</v>
      </c>
      <c r="CA45" s="76">
        <f>IFERROR(RANK(AM45,AM:AM)/COUNT(AM:AM),"-")</f>
        <v>0.21717171717171718</v>
      </c>
      <c r="CC45" s="77">
        <f>AV45+BF45+BZ45+CA45</f>
        <v>1.0598113110803467</v>
      </c>
      <c r="CD45" s="77">
        <f>BW45+BX45+AE45+U45</f>
        <v>2.4032712915961647</v>
      </c>
      <c r="CE45" s="77">
        <f>CC45+CD45</f>
        <v>3.4630826026765114</v>
      </c>
    </row>
    <row r="46" spans="1:83" s="17" customFormat="1" x14ac:dyDescent="0.35">
      <c r="A46" s="3" t="s">
        <v>137</v>
      </c>
      <c r="B46" s="3" t="s">
        <v>138</v>
      </c>
      <c r="C46" s="4">
        <v>20100531</v>
      </c>
      <c r="D46" s="4" t="str">
        <f>[1]!f_info_regulopenfundornot(A46)</f>
        <v>否</v>
      </c>
      <c r="E46" s="4" t="str">
        <f>[1]!f_dq_status(A46,$E$1)</f>
        <v>开放申购|开放赎回</v>
      </c>
      <c r="F46" s="17" t="str">
        <f>[1]!f_info_fundmanager(A46)</f>
        <v>方昶</v>
      </c>
      <c r="G46" s="4">
        <v>20181010</v>
      </c>
      <c r="H46" s="11">
        <f>[1]!f_netasset_total(A46,$E$1,100000000)</f>
        <v>35.667470433699997</v>
      </c>
      <c r="I46" s="11">
        <f>[1]!f_prt_convertiblebondtonav(A46,$E$1)</f>
        <v>5.1119799613952637</v>
      </c>
      <c r="J46" s="11">
        <f>[1]!f_prt_stocktonav(A46,$E$1)+0.5*I46</f>
        <v>22.446767568588257</v>
      </c>
      <c r="K46" s="12">
        <v>1.961198794011128</v>
      </c>
      <c r="L46" s="19">
        <f>[1]!f_return($A46,"1",L$2,$E$1)</f>
        <v>8.100430623171718</v>
      </c>
      <c r="M46" s="19">
        <f>[1]!f_risk_stdevyearly($A46,L$2,$E$1,1,1)</f>
        <v>5.2678293889620669</v>
      </c>
      <c r="N46" s="12">
        <f>IFERROR(L46/M46,"-")</f>
        <v>1.5377169655769292</v>
      </c>
      <c r="O46" s="12" t="str">
        <f>IFERROR(RANK(N46,N:N)&amp;"/"&amp;COUNT(N:N),"-")</f>
        <v>85/197</v>
      </c>
      <c r="P46" s="26">
        <f>IF(O46="-","-",RANK(N46,N:N)/COUNT(N:N))</f>
        <v>0.43147208121827413</v>
      </c>
      <c r="Q46" s="58">
        <v>0.27411167512690354</v>
      </c>
      <c r="R46" s="33">
        <f>IF(OR($C46&gt;20190630,$K46&gt;30,N46="-",$D46="是",$E46="封闭期",$H46&lt;10,$BN46&lt;-6,$BR46&lt;70),"-",COUNTIFS(N$4:N$200,"&lt;&gt;-",$D$4:$D$200,"&lt;&gt;是",$E$4:$E$200,"&lt;&gt;封闭期",$H$4:$H$200,"&gt;10",$BN$4:$BN$200,"&gt;-6",$BR$4:$BR$200,"&gt;=70",$K$4:$K$200,"&lt;=30",$C$4:$C$200,"&lt;20190630",N$4:N$200,"&gt;="&amp;N46)/COUNTIFS(N$4:N$200,"&lt;&gt;-",$D$4:$D$200,"&lt;&gt;是",$E$4:$E$200,"&lt;&gt;封闭期",$H$4:$H$200,"&gt;10",$BN$4:$BN$200,"&gt;-6",$BR$4:$BR$200,"&gt;=70",$C$4:$C$200,"&lt;20190630",$K$4:$K$200,"&lt;=30"))</f>
        <v>0.66666666666666663</v>
      </c>
      <c r="S46" s="12">
        <f>IFERROR((L46-3)/M46,"-")</f>
        <v>0.96822243975078093</v>
      </c>
      <c r="T46" s="12" t="str">
        <f>IFERROR(RANK(S46,S:S)&amp;"/"&amp;COUNT(S:S),"-")</f>
        <v>75/197</v>
      </c>
      <c r="U46" s="26">
        <f>IFERROR(RANK(S46,S:S)/COUNT(S:S),"-")</f>
        <v>0.38071065989847713</v>
      </c>
      <c r="V46" s="13" t="str">
        <f>IF(OR($C46&gt;20190630,$K46&gt;30,S46="-",$D46="是",$E46="封闭期",$H46&lt;10,$BN46&lt;-6,$BR46&lt;70),"-",COUNTIFS(S$4:S$200,"&lt;&gt;-",$D$4:$D$200,"&lt;&gt;是",$E$4:$E$200,"&lt;&gt;封闭期",$H$4:$H$200,"&gt;10",$BN$4:$BN$200,"&gt;-6",$BR$4:$BR$200,"&gt;=70",$K$4:$K$200,"&lt;=30",$C$4:$C$200,"&lt;20190630",S$4:S$200,"&gt;="&amp;S46)&amp;"/"&amp;COUNTIFS(S$4:S$200,"&lt;&gt;-",$D$4:$D$200,"&lt;&gt;是",$E$4:$E$200,"&lt;&gt;封闭期",$H$4:$H$200,"&gt;10",$BN$4:$BN$200,"&gt;-6",$BR$4:$BR$200,"&gt;=70",$C$4:$C$200,"&lt;20190630",$K$4:$K$200,"&lt;=30"))</f>
        <v>22/39</v>
      </c>
      <c r="W46" s="33">
        <f>IF(OR($C46&gt;20190630,$K46&gt;30,S46="-",$D46="是",$E46="封闭期",$H46&lt;10,$BN46&lt;-6,$BR46&lt;70),"-",COUNTIFS(S$4:S$200,"&lt;&gt;-",$D$4:$D$200,"&lt;&gt;是",$E$4:$E$200,"&lt;&gt;封闭期",$H$4:$H$200,"&gt;10",$BN$4:$BN$200,"&gt;-6",$BR$4:$BR$200,"&gt;=70",$K$4:$K$200,"&lt;=30",$C$4:$C$200,"&lt;20190630",S$4:S$200,"&gt;="&amp;S46)/COUNTIFS(S$4:S$200,"&lt;&gt;-",$D$4:$D$200,"&lt;&gt;是",$E$4:$E$200,"&lt;&gt;封闭期",$H$4:$H$200,"&gt;10",$BN$4:$BN$200,"&gt;-6",$BR$4:$BR$200,"&gt;=70",$C$4:$C$200,"&lt;20190630",$K$4:$K$200,"&lt;=30"))</f>
        <v>0.5641025641025641</v>
      </c>
      <c r="X46" s="19">
        <f>[1]!f_risk_calmar(A46,$L$2,$E$1)</f>
        <v>2.0281481852487016</v>
      </c>
      <c r="Y46" s="12" t="str">
        <f>IFERROR(RANK(X46,X:X)&amp;"/"&amp;COUNT(X:X),"-")</f>
        <v>97/197</v>
      </c>
      <c r="Z46" s="26">
        <f>IFERROR(RANK(X46,X:X)/COUNT(X:X),"-")</f>
        <v>0.49238578680203043</v>
      </c>
      <c r="AA46" s="13" t="str">
        <f>IF(OR($C46&gt;20190630,$K46&gt;30,X46="-",$D46="是",$E46="封闭期",$H46&lt;10,$BN46&lt;-6,$BR46&lt;70),"-",COUNTIFS(X$4:X$200,"&lt;&gt;-",$D$4:$D$200,"&lt;&gt;是",$E$4:$E$200,"&lt;&gt;封闭期",$H$4:$H$200,"&gt;10",$BN$4:$BN$200,"&gt;-6",$BR$4:$BR$200,"&gt;=70",$K$4:$K$200,"&lt;=30",$C$4:$C$200,"&lt;20190630",X$4:X$200,"&gt;="&amp;X46)&amp;"/"&amp;COUNTIFS(X$4:X$200,"&lt;&gt;-",$D$4:$D$200,"&lt;&gt;是",$E$4:$E$200,"&lt;&gt;封闭期",$H$4:$H$200,"&gt;10",$BN$4:$BN$200,"&gt;-6",$BR$4:$BR$200,"&gt;=70",$C$4:$C$200,"&lt;20190630",$K$4:$K$200,"&lt;=30"))</f>
        <v>28/39</v>
      </c>
      <c r="AB46" s="33">
        <f>IF(OR($C46&gt;20190630,$K46&gt;30,X46="-",$D46="是",$E46="封闭期",$H46&lt;10,$BN46&lt;-6,$BR46&lt;70),"-",COUNTIFS(X$4:X$200,"&lt;&gt;-",$D$4:$D$200,"&lt;&gt;是",$E$4:$E$200,"&lt;&gt;封闭期",$H$4:$H$200,"&gt;10",$BN$4:$BN$200,"&gt;-6",$BR$4:$BR$200,"&gt;=70",$K$4:$K$200,"&lt;=30",$C$4:$C$200,"&lt;20190630",X$4:X$200,"&gt;="&amp;X46)/COUNTIFS(X$4:X$200,"&lt;&gt;-",$D$4:$D$200,"&lt;&gt;是",$E$4:$E$200,"&lt;&gt;封闭期",$H$4:$H$200,"&gt;10",$BN$4:$BN$200,"&gt;-6",$BR$4:$BR$200,"&gt;=70",$C$4:$C$200,"&lt;20190630",$K$4:$K$200,"&lt;=30"))</f>
        <v>0.71794871794871795</v>
      </c>
      <c r="AC46" s="20">
        <v>1</v>
      </c>
      <c r="AD46" s="12" t="str">
        <f>IFERROR(RANK(AC46,AC:AC)&amp;"/"&amp;COUNT(AC:AC),"-")</f>
        <v>1/197</v>
      </c>
      <c r="AE46" s="26">
        <f>IFERROR(RANK(AC46,AC:AC)/COUNT(AC:AC),"-")</f>
        <v>5.076142131979695E-3</v>
      </c>
      <c r="AF46" s="13" t="str">
        <f>IF(OR($C46&gt;20190630,$K46&gt;30,AC46="-",$D46="是",$E46="封闭期",$H46&lt;10,$BN46&lt;-6,$BR46&lt;70),"-",COUNTIFS(AC$4:AC$200,"&lt;&gt;-",$D$4:$D$200,"&lt;&gt;是",$E$4:$E$200,"&lt;&gt;封闭期",$H$4:$H$200,"&gt;10",$BN$4:$BN$200,"&gt;-6",$BR$4:$BR$200,"&gt;=70",$K$4:$K$200,"&lt;=30",$C$4:$C$200,"&lt;20190630",AC$4:AC$200,"&gt;="&amp;AC46)&amp;"/"&amp;COUNTIFS(AC$4:AC$200,"&lt;&gt;-",$D$4:$D$200,"&lt;&gt;是",$E$4:$E$200,"&lt;&gt;封闭期",$H$4:$H$200,"&gt;10",$BN$4:$BN$200,"&gt;-6",$BR$4:$BR$200,"&gt;=70",$C$4:$C$200,"&lt;20190630",$K$4:$K$200,"&lt;=30"))</f>
        <v>28/39</v>
      </c>
      <c r="AG46" s="33">
        <f>IF(OR($C46&gt;20190630,$K46&gt;30,AC46="-",$D46="是",$E46="封闭期",$H46&lt;10,$BN46&lt;-6,$BR46&lt;70),"-",COUNTIFS(AC$4:AC$200,"&lt;&gt;-",$D$4:$D$200,"&lt;&gt;是",$E$4:$E$200,"&lt;&gt;封闭期",$H$4:$H$200,"&gt;10",$BN$4:$BN$200,"&gt;-6",$BR$4:$BR$200,"&gt;=70",$K$4:$K$200,"&lt;=30",$C$4:$C$200,"&lt;20190630",AC$4:AC$200,"&gt;="&amp;AC46)/COUNTIFS(AC$4:AC$200,"&lt;&gt;-",$D$4:$D$200,"&lt;&gt;是",$E$4:$E$200,"&lt;&gt;封闭期",$H$4:$H$200,"&gt;10",$BN$4:$BN$200,"&gt;-6",$BR$4:$BR$200,"&gt;=70",$C$4:$C$200,"&lt;20190630",$K$4:$K$200,"&lt;=30"))</f>
        <v>0.71794871794871795</v>
      </c>
      <c r="AH46" s="21">
        <f>[1]!f_risk_maxdownside(A46,$L$2,$E$1)</f>
        <v>-3.994003338655653</v>
      </c>
      <c r="AI46" s="19" t="str">
        <f>IFERROR(RANK(AH46,AH:AH)&amp;"/"&amp;COUNT(AH:AH),"-")</f>
        <v>123/197</v>
      </c>
      <c r="AJ46" s="26">
        <f>IFERROR(RANK(AH46,AH:AH)/COUNT(AH:AH),"-")</f>
        <v>0.62436548223350252</v>
      </c>
      <c r="AK46" s="34" t="str">
        <f>IF(OR($C46&gt;20190630,$K46&gt;30,AH46="-",$D46="是",$E46="封闭期",$H46&lt;10,$BN46&lt;-6,$BR46&lt;70),"-",COUNTIFS(AH$4:AH$200,"&lt;&gt;-",$D$4:$D$200,"&lt;&gt;是",$E$4:$E$200,"&lt;&gt;封闭期",$H$4:$H$200,"&gt;10",$BN$4:$BN$200,"&gt;-6",$BR$4:$BR$200,"&gt;=70",$K$4:$K$200,"&lt;=30",$C$4:$C$200,"&lt;20190630",AH$4:AH$200,"&gt;="&amp;AH46)&amp;"/"&amp;COUNTIFS(AH$4:AH$200,"&lt;&gt;-",$D$4:$D$200,"&lt;&gt;是",$E$4:$E$200,"&lt;&gt;封闭期",$H$4:$H$200,"&gt;10",$BN$4:$BN$200,"&gt;-6",$BR$4:$BR$200,"&gt;=70",$C$4:$C$200,"&lt;20190630",$K$4:$K$200,"&lt;=30"))</f>
        <v>34/39</v>
      </c>
      <c r="AL46" s="33">
        <f>IF(OR($C46&gt;20190630,$K46&gt;30,AH46="-",$D46="是",$E46="封闭期",$H46&lt;10,$BN46&lt;-6,$BR46&lt;70),"-",COUNTIFS(AH$4:AH$200,"&lt;&gt;-",$D$4:$D$200,"&lt;&gt;是",$E$4:$E$200,"&lt;&gt;封闭期",$H$4:$H$200,"&gt;10",$BN$4:$BN$200,"&gt;-6",$BR$4:$BR$200,"&gt;=70",$K$4:$K$200,"&lt;=30",$C$4:$C$200,"&lt;20190630",AH$4:AH$200,"&gt;="&amp;AH46)/COUNTIFS(AH$4:AH$200,"&lt;&gt;-",$D$4:$D$200,"&lt;&gt;是",$E$4:$E$200,"&lt;&gt;封闭期",$H$4:$H$200,"&gt;10",$BN$4:$BN$200,"&gt;-6",$BR$4:$BR$200,"&gt;=70",$C$4:$C$200,"&lt;20190630",$K$4:$K$200,"&lt;=30"))</f>
        <v>0.87179487179487181</v>
      </c>
      <c r="AM46" s="19">
        <f>[1]!f_return($A46,"1",AM$2,$L$2)</f>
        <v>10.894718401429969</v>
      </c>
      <c r="AN46" s="19">
        <f>[1]!f_risk_stdevyearly($A46,AM$2,$L$2,1,1)</f>
        <v>6.0655152597429884</v>
      </c>
      <c r="AO46" s="12">
        <f>IFERROR(AM46/AN46,"-")</f>
        <v>1.7961736035417388</v>
      </c>
      <c r="AP46" s="12" t="str">
        <f>IFERROR(RANK(AO46,AO:AO)&amp;"/"&amp;COUNT(AO:AO),"-")</f>
        <v>69/197</v>
      </c>
      <c r="AQ46" s="26">
        <f>IF(AP46="-","-",RANK(AO46,AO:AO)/COUNT(AO:AO))</f>
        <v>0.35025380710659898</v>
      </c>
      <c r="AR46" s="60">
        <v>0.21827411167512689</v>
      </c>
      <c r="AS46" s="35">
        <f>IF(OR($C46&gt;20190630,$K46&gt;30,AO46="-",$D46="是",$E46="封闭期",$H46&lt;10,$BN46&lt;-6,$BR46&lt;70),"-",COUNTIFS(AO$4:AO$200,"&lt;&gt;-",$D$4:$D$200,"&lt;&gt;是",$E$4:$E$200,"&lt;&gt;封闭期",$H$4:$H$200,"&gt;10",$BN$4:$BN$200,"&gt;-6",$BR$4:$BR$200,"&gt;=70",$K$4:$K$200,"&lt;=30",$C$4:$C$200,"&lt;20190630",AO$4:AO$200,"&gt;="&amp;AO46)/COUNTIFS(AO$4:AO$200,"&lt;&gt;-",$D$4:$D$200,"&lt;&gt;是",$E$4:$E$200,"&lt;&gt;封闭期",$H$4:$H$200,"&gt;10",$BN$4:$BN$200,"&gt;-6",$BR$4:$BR$200,"&gt;=70",$C$4:$C$200,"&lt;20190630",$K$4:$K$200,"&lt;=30"))</f>
        <v>0.61538461538461542</v>
      </c>
      <c r="AT46" s="12">
        <f>IFERROR((AM46-3)/AN46,"-")</f>
        <v>1.301574237860295</v>
      </c>
      <c r="AU46" s="12" t="str">
        <f>IFERROR(RANK(AT46,AT:AT)&amp;"/"&amp;COUNT(AT:AT),"-")</f>
        <v>42/197</v>
      </c>
      <c r="AV46" s="26">
        <f>IFERROR(RANK(AT46,AT:AT)/COUNT(AT:AT),"-")</f>
        <v>0.21319796954314721</v>
      </c>
      <c r="AW46" s="13" t="str">
        <f>IF(OR($C46&gt;20190630,$K46&gt;30,AT46="-",$D46="是",$E46="封闭期",$H46&lt;10,$BN46&lt;-6,$BR46&lt;70),"-",COUNTIFS(AT$4:AT$200,"&lt;&gt;-",$D$4:$D$200,"&lt;&gt;是",$E$4:$E$200,"&lt;&gt;封闭期",$H$4:$H$200,"&gt;10",$BN$4:$BN$200,"&gt;-6",$BR$4:$BR$200,"&gt;=70",$K$4:$K$200,"&lt;=30",$C$4:$C$200,"&lt;20190630",AT$4:AT$200,"&gt;="&amp;AT46)&amp;"/"&amp;COUNTIFS(AT$4:AT$200,"&lt;&gt;-",$D$4:$D$200,"&lt;&gt;是",$E$4:$E$200,"&lt;&gt;封闭期",$H$4:$H$200,"&gt;10",$BN$4:$BN$200,"&gt;-6",$BR$4:$BR$200,"&gt;=70",$C$4:$C$200,"&lt;20190630",$K$4:$K$200,"&lt;=30"))</f>
        <v>17/39</v>
      </c>
      <c r="AX46" s="33">
        <f>IF(OR($C46&gt;20190630,$K46&gt;30,AT46="-",$D46="是",$E46="封闭期",$H46&lt;10,$BN46&lt;-6,$BR46&lt;70),"-",COUNTIFS(AT$4:AT$200,"&lt;&gt;-",$D$4:$D$200,"&lt;&gt;是",$E$4:$E$200,"&lt;&gt;封闭期",$H$4:$H$200,"&gt;10",$BN$4:$BN$200,"&gt;-6",$BR$4:$BR$200,"&gt;=70",$K$4:$K$200,"&lt;=30",$C$4:$C$200,"&lt;20190630",AT$4:AT$200,"&gt;="&amp;AT46)/COUNTIFS(AT$4:AT$200,"&lt;&gt;-",$D$4:$D$200,"&lt;&gt;是",$E$4:$E$200,"&lt;&gt;封闭期",$H$4:$H$200,"&gt;10",$BN$4:$BN$200,"&gt;-6",$BR$4:$BR$200,"&gt;=70",$C$4:$C$200,"&lt;20190630",$K$4:$K$200,"&lt;=30"))</f>
        <v>0.4358974358974359</v>
      </c>
      <c r="AY46" s="19">
        <f>[1]!f_risk_calmar(A46,$AM$2,$L$2)</f>
        <v>2.2864252071162485</v>
      </c>
      <c r="AZ46" s="12" t="str">
        <f>IFERROR(RANK(AY46,AY:AY)&amp;"/"&amp;COUNT(AY:AY),"-")</f>
        <v>91/197</v>
      </c>
      <c r="BA46" s="26">
        <f>IFERROR(RANK(AY46,AY:AY)/COUNT(AY:AY),"-")</f>
        <v>0.46192893401015228</v>
      </c>
      <c r="BB46" s="13" t="str">
        <f>IF(OR($C46&gt;20190630,$K46&gt;30,AY46="-",$D46="是",$E46="封闭期",$H46&lt;10,$BN46&lt;-6,$BR46&lt;70),"-",COUNTIFS(AY$4:AY$200,"&lt;&gt;-",$D$4:$D$200,"&lt;&gt;是",$E$4:$E$200,"&lt;&gt;封闭期",$H$4:$H$200,"&gt;10",$BN$4:$BN$200,"&gt;-6",$BR$4:$BR$200,"&gt;=70",$K$4:$K$200,"&lt;=30",$C$4:$C$200,"&lt;20190630",AY$4:AY$200,"&gt;="&amp;AY46)&amp;"/"&amp;COUNTIFS(AY$4:AY$200,"&lt;&gt;-",$D$4:$D$200,"&lt;&gt;是",$E$4:$E$200,"&lt;&gt;封闭期",$H$4:$H$200,"&gt;10",$BN$4:$BN$200,"&gt;-6",$BR$4:$BR$200,"&gt;=70",$C$4:$C$200,"&lt;20190630",$K$4:$K$200,"&lt;=30"))</f>
        <v>28/39</v>
      </c>
      <c r="BC46" s="33">
        <f>IF(OR($C46&gt;20190630,$K46&gt;30,AY46="-",$D46="是",$E46="封闭期",$H46&lt;10,$BN46&lt;-6,$BR46&lt;70),"-",COUNTIFS(AY$4:AY$200,"&lt;&gt;-",$D$4:$D$200,"&lt;&gt;是",$E$4:$E$200,"&lt;&gt;封闭期",$H$4:$H$200,"&gt;10",$BN$4:$BN$200,"&gt;-6",$BR$4:$BR$200,"&gt;=70",$K$4:$K$200,"&lt;=30",$C$4:$C$200,"&lt;20190630",AY$4:AY$200,"&gt;="&amp;AY46)/COUNTIFS(AY$4:AY$200,"&lt;&gt;-",$D$4:$D$200,"&lt;&gt;是",$E$4:$E$200,"&lt;&gt;封闭期",$H$4:$H$200,"&gt;10",$BN$4:$BN$200,"&gt;-6",$BR$4:$BR$200,"&gt;=70",$C$4:$C$200,"&lt;20190630",$K$4:$K$200,"&lt;=30"))</f>
        <v>0.71794871794871795</v>
      </c>
      <c r="BD46" s="20">
        <v>1</v>
      </c>
      <c r="BE46" s="12" t="str">
        <f>IFERROR(RANK(BD46,BD:BD)&amp;"/"&amp;COUNT(BD:BD),"-")</f>
        <v>1/197</v>
      </c>
      <c r="BF46" s="26">
        <f>IFERROR(RANK(BD46,BD:BD)/COUNT(BD:BD),"-")</f>
        <v>5.076142131979695E-3</v>
      </c>
      <c r="BG46" s="13" t="str">
        <f>IF(OR($C46&gt;20190630,$K46&gt;30,BD46="-",$D46="是",$E46="封闭期",$H46&lt;10,$BN46&lt;-6,$BR46&lt;70),"-",COUNTIFS(BD$4:BD$200,"&lt;&gt;-",$D$4:$D$200,"&lt;&gt;是",$E$4:$E$200,"&lt;&gt;封闭期",$H$4:$H$200,"&gt;10",$BN$4:$BN$200,"&gt;-6",$BR$4:$BR$200,"&gt;=70",$K$4:$K$200,"&lt;=30",$C$4:$C$200,"&lt;20190630",BD$4:BD$200,"&gt;="&amp;BD46)&amp;"/"&amp;COUNTIFS(BD$4:BD$200,"&lt;&gt;-",$D$4:$D$200,"&lt;&gt;是",$E$4:$E$200,"&lt;&gt;封闭期",$H$4:$H$200,"&gt;10",$BN$4:$BN$200,"&gt;-6",$BR$4:$BR$200,"&gt;=70",$C$4:$C$200,"&lt;20190630",$K$4:$K$200,"&lt;=30"))</f>
        <v>35/39</v>
      </c>
      <c r="BH46" s="33">
        <f>IF(OR($C46&gt;20190630,$K46&gt;30,BD46="-",$D46="是",$E46="封闭期",$H46&lt;10,$BN46&lt;-6,$BR46&lt;70),"-",COUNTIFS(BD$4:BD$200,"&lt;&gt;-",$D$4:$D$200,"&lt;&gt;是",$E$4:$E$200,"&lt;&gt;封闭期",$H$4:$H$200,"&gt;10",$BN$4:$BN$200,"&gt;-6",$BR$4:$BR$200,"&gt;=70",$K$4:$K$200,"&lt;=30",$C$4:$C$200,"&lt;20190630",BD$4:BD$200,"&gt;="&amp;BD46)/COUNTIFS(BD$4:BD$200,"&lt;&gt;-",$D$4:$D$200,"&lt;&gt;是",$E$4:$E$200,"&lt;&gt;封闭期",$H$4:$H$200,"&gt;10",$BN$4:$BN$200,"&gt;-6",$BR$4:$BR$200,"&gt;=70",$C$4:$C$200,"&lt;20190630",$K$4:$K$200,"&lt;=30"))</f>
        <v>0.89743589743589747</v>
      </c>
      <c r="BI46" s="21">
        <f>[1]!f_risk_maxdownside(A46,$AM$2,$L$2)</f>
        <v>-4.7649572649572569</v>
      </c>
      <c r="BJ46" s="19" t="str">
        <f>IFERROR(RANK(BI46,BI:BI)&amp;"/"&amp;COUNT(BI:BI),"-")</f>
        <v>155/197</v>
      </c>
      <c r="BK46" s="26">
        <f>IFERROR(RANK(BI46,BI:BI)/COUNT(BI:BI),"-")</f>
        <v>0.78680203045685282</v>
      </c>
      <c r="BL46" s="34" t="str">
        <f>IF(OR($C46&gt;20190630,$K46&gt;30,BI46="-",$D46="是",$E46="封闭期",$H46&lt;10,$BN46&lt;-6,$BR46&lt;70),"-",COUNTIFS(BI$4:BI$200,"&lt;&gt;-",$D$4:$D$200,"&lt;&gt;是",$E$4:$E$200,"&lt;&gt;封闭期",$H$4:$H$200,"&gt;10",$BN$4:$BN$200,"&gt;-6",$BR$4:$BR$200,"&gt;=70",$K$4:$K$200,"&lt;=30",$C$4:$C$200,"&lt;20190630",BI$4:BI$200,"&gt;="&amp;BI46)&amp;"/"&amp;COUNTIFS(BI$4:BI$200,"&lt;&gt;-",$D$4:$D$200,"&lt;&gt;是",$E$4:$E$200,"&lt;&gt;封闭期",$H$4:$H$200,"&gt;10",$BN$4:$BN$200,"&gt;-6",$BR$4:$BR$200,"&gt;=70",$C$4:$C$200,"&lt;20190630",$K$4:$K$200,"&lt;=30"))</f>
        <v>37/39</v>
      </c>
      <c r="BM46" s="33">
        <f>IF(OR($C46&gt;20190630,$K46&gt;30,BI46="-",$D46="是",$E46="封闭期",$H46&lt;10,$BN46&lt;-6,$BR46&lt;70),"-",COUNTIFS(BI$4:BI$200,"&lt;&gt;-",$D$4:$D$200,"&lt;&gt;是",$E$4:$E$200,"&lt;&gt;封闭期",$H$4:$H$200,"&gt;10",$BN$4:$BN$200,"&gt;-6",$BR$4:$BR$200,"&gt;=70",$K$4:$K$200,"&lt;=30",$C$4:$C$200,"&lt;20190630",BI$4:BI$200,"&gt;="&amp;BI46)/COUNTIFS(BI$4:BI$200,"&lt;&gt;-",$D$4:$D$200,"&lt;&gt;是",$E$4:$E$200,"&lt;&gt;封闭期",$H$4:$H$200,"&gt;10",$BN$4:$BN$200,"&gt;-6",$BR$4:$BR$200,"&gt;=70",$C$4:$C$200,"&lt;20190630",$K$4:$K$200,"&lt;=30"))</f>
        <v>0.94871794871794868</v>
      </c>
      <c r="BN46" s="21">
        <f>[1]!f_risk_maxdownside(A46,$AM$2,$E$1)</f>
        <v>-4.7649572649572569</v>
      </c>
      <c r="BO46" s="14">
        <f>IF(C46&lt;20190930,[1]!f_return_2y(A46,"0","20210930"),"-")</f>
        <v>20.058351314957338</v>
      </c>
      <c r="BP46" s="12" t="str">
        <f>IFERROR(RANK(BO46,BO:BO)&amp;"/"&amp;COUNT(BO:BO),"-")</f>
        <v>36/197</v>
      </c>
      <c r="BQ46" s="25">
        <f>IFERROR(RANK(BO46,BO:BO)/COUNT(BO:BO),"-")</f>
        <v>0.18274111675126903</v>
      </c>
      <c r="BR46" s="12">
        <f>IF(C46&lt;20190930,[1]!f_absolute_profitmonthper(A46,"20190930","20210930"),"-")</f>
        <v>70.833333333333343</v>
      </c>
      <c r="BS46" s="12" t="str">
        <f>IFERROR(RANK(BR46,BR:BR)&amp;"/"&amp;COUNT(BR:BR),"-")</f>
        <v>55/198</v>
      </c>
      <c r="BT46" s="25">
        <f>IFERROR(RANK(BR46,BR:BR)/COUNT(BR:BR),"-")</f>
        <v>0.27777777777777779</v>
      </c>
      <c r="BV46" s="12">
        <f>X46-3/M46</f>
        <v>1.4586536594225534</v>
      </c>
      <c r="BW46" s="76">
        <f>IFERROR(RANK(BV46,BV:BV)/COUNT(BV:BV),"-")</f>
        <v>0.47715736040609136</v>
      </c>
      <c r="BX46" s="76">
        <f>IFERROR(RANK(L46,L:L)/COUNT(L:L),"-")</f>
        <v>0.27777777777777779</v>
      </c>
      <c r="BY46" s="12">
        <f>AY46-3/AN46</f>
        <v>1.7918258414348047</v>
      </c>
      <c r="BZ46" s="76">
        <f>IFERROR(RANK(BY46,BY:BY)/COUNT(BY:BY),"-")</f>
        <v>0.41116751269035534</v>
      </c>
      <c r="CA46" s="76">
        <f>IFERROR(RANK(AM46,AM:AM)/COUNT(AM:AM),"-")</f>
        <v>0.22222222222222221</v>
      </c>
      <c r="CB46" s="2"/>
      <c r="CC46" s="77">
        <f>AV46+BF46+BZ46+CA46</f>
        <v>0.85166384658770444</v>
      </c>
      <c r="CD46" s="77">
        <f>BW46+BX46+AE46+U46</f>
        <v>1.140721940214326</v>
      </c>
      <c r="CE46" s="77">
        <f>CC46+CD46</f>
        <v>1.9923857868020305</v>
      </c>
    </row>
    <row r="47" spans="1:83" s="17" customFormat="1" x14ac:dyDescent="0.35">
      <c r="A47" s="15" t="s">
        <v>189</v>
      </c>
      <c r="B47" s="15" t="s">
        <v>190</v>
      </c>
      <c r="C47" s="16">
        <v>20150130</v>
      </c>
      <c r="D47" s="16" t="str">
        <f>[1]!f_info_regulopenfundornot(A47)</f>
        <v>是</v>
      </c>
      <c r="E47" s="16" t="str">
        <f>[1]!f_dq_status(A47,$E$1)</f>
        <v>暂停申购|暂停赎回</v>
      </c>
      <c r="F47" s="17" t="str">
        <f>[1]!f_info_fundmanager(A47)</f>
        <v>李建</v>
      </c>
      <c r="G47" s="16">
        <v>20150130</v>
      </c>
      <c r="H47" s="18">
        <f>[1]!f_netasset_total(A47,$E$1,100000000)</f>
        <v>33.065689739500002</v>
      </c>
      <c r="I47" s="18">
        <f>[1]!f_prt_convertiblebondtonav(A47,$E$1)</f>
        <v>0</v>
      </c>
      <c r="J47" s="18">
        <f>[1]!f_prt_stocktonav(A47,$E$1)+0.5*I47</f>
        <v>15.719645500183105</v>
      </c>
      <c r="K47" s="19">
        <v>13.70916510652696</v>
      </c>
      <c r="L47" s="19">
        <f>[1]!f_return($A47,"1",L$2,$E$1)</f>
        <v>7.2829369549785694</v>
      </c>
      <c r="M47" s="19">
        <f>[1]!f_risk_stdevyearly($A47,L$2,$E$1,1,1)</f>
        <v>9.8189920504976129</v>
      </c>
      <c r="N47" s="19">
        <f>IFERROR(L47/M47,"-")</f>
        <v>0.74171940638341594</v>
      </c>
      <c r="O47" s="19" t="str">
        <f>IFERROR(RANK(N47,N:N)&amp;"/"&amp;COUNT(N:N),"-")</f>
        <v>162/197</v>
      </c>
      <c r="P47" s="26">
        <f>IF(O47="-","-",RANK(N47,N:N)/COUNT(N:N))</f>
        <v>0.82233502538071068</v>
      </c>
      <c r="Q47" s="56">
        <v>0.3350253807106599</v>
      </c>
      <c r="R47" s="33" t="str">
        <f>IF(OR($C47&gt;20190630,$K47&gt;30,N47="-",$D47="是",$E47="封闭期",$H47&lt;10,$BN47&lt;-6,$BR47&lt;70),"-",COUNTIFS(N$4:N$200,"&lt;&gt;-",$D$4:$D$200,"&lt;&gt;是",$E$4:$E$200,"&lt;&gt;封闭期",$H$4:$H$200,"&gt;10",$BN$4:$BN$200,"&gt;-6",$BR$4:$BR$200,"&gt;=70",$K$4:$K$200,"&lt;=30",$C$4:$C$200,"&lt;20190630",N$4:N$200,"&gt;="&amp;N47)/COUNTIFS(N$4:N$200,"&lt;&gt;-",$D$4:$D$200,"&lt;&gt;是",$E$4:$E$200,"&lt;&gt;封闭期",$H$4:$H$200,"&gt;10",$BN$4:$BN$200,"&gt;-6",$BR$4:$BR$200,"&gt;=70",$C$4:$C$200,"&lt;20190630",$K$4:$K$200,"&lt;=30"))</f>
        <v>-</v>
      </c>
      <c r="S47" s="19">
        <f>IFERROR((L47-3)/M47,"-")</f>
        <v>0.43618906431047738</v>
      </c>
      <c r="T47" s="19" t="str">
        <f>IFERROR(RANK(S47,S:S)&amp;"/"&amp;COUNT(S:S),"-")</f>
        <v>125/197</v>
      </c>
      <c r="U47" s="26">
        <f>IFERROR(RANK(S47,S:S)/COUNT(S:S),"-")</f>
        <v>0.63451776649746194</v>
      </c>
      <c r="V47" s="34" t="str">
        <f>IF(OR($C47&gt;20190630,$K47&gt;30,S47="-",$D47="是",$E47="封闭期",$H47&lt;10,$BN47&lt;-6,$BR47&lt;70),"-",COUNTIFS(S$4:S$200,"&lt;&gt;-",$D$4:$D$200,"&lt;&gt;是",$E$4:$E$200,"&lt;&gt;封闭期",$H$4:$H$200,"&gt;10",$BN$4:$BN$200,"&gt;-6",$BR$4:$BR$200,"&gt;=70",$K$4:$K$200,"&lt;=30",$C$4:$C$200,"&lt;20190630",S$4:S$200,"&gt;="&amp;S47)&amp;"/"&amp;COUNTIFS(S$4:S$200,"&lt;&gt;-",$D$4:$D$200,"&lt;&gt;是",$E$4:$E$200,"&lt;&gt;封闭期",$H$4:$H$200,"&gt;10",$BN$4:$BN$200,"&gt;-6",$BR$4:$BR$200,"&gt;=70",$C$4:$C$200,"&lt;20190630",$K$4:$K$200,"&lt;=30"))</f>
        <v>-</v>
      </c>
      <c r="W47" s="33" t="str">
        <f>IF(OR($C47&gt;20190630,$K47&gt;30,S47="-",$D47="是",$E47="封闭期",$H47&lt;10,$BN47&lt;-6,$BR47&lt;70),"-",COUNTIFS(S$4:S$200,"&lt;&gt;-",$D$4:$D$200,"&lt;&gt;是",$E$4:$E$200,"&lt;&gt;封闭期",$H$4:$H$200,"&gt;10",$BN$4:$BN$200,"&gt;-6",$BR$4:$BR$200,"&gt;=70",$K$4:$K$200,"&lt;=30",$C$4:$C$200,"&lt;20190630",S$4:S$200,"&gt;="&amp;S47)/COUNTIFS(S$4:S$200,"&lt;&gt;-",$D$4:$D$200,"&lt;&gt;是",$E$4:$E$200,"&lt;&gt;封闭期",$H$4:$H$200,"&gt;10",$BN$4:$BN$200,"&gt;-6",$BR$4:$BR$200,"&gt;=70",$C$4:$C$200,"&lt;20190630",$K$4:$K$200,"&lt;=30"))</f>
        <v>-</v>
      </c>
      <c r="X47" s="19">
        <f>[1]!f_risk_calmar(A47,$L$2,$E$1)</f>
        <v>2.3458723244457218</v>
      </c>
      <c r="Y47" s="19" t="str">
        <f>IFERROR(RANK(X47,X:X)&amp;"/"&amp;COUNT(X:X),"-")</f>
        <v>78/197</v>
      </c>
      <c r="Z47" s="26">
        <f>IFERROR(RANK(X47,X:X)/COUNT(X:X),"-")</f>
        <v>0.39593908629441626</v>
      </c>
      <c r="AA47" s="34" t="str">
        <f>IF(OR($C47&gt;20190630,$K47&gt;30,X47="-",$D47="是",$E47="封闭期",$H47&lt;10,$BN47&lt;-6,$BR47&lt;70),"-",COUNTIFS(X$4:X$200,"&lt;&gt;-",$D$4:$D$200,"&lt;&gt;是",$E$4:$E$200,"&lt;&gt;封闭期",$H$4:$H$200,"&gt;10",$BN$4:$BN$200,"&gt;-6",$BR$4:$BR$200,"&gt;=70",$K$4:$K$200,"&lt;=30",$C$4:$C$200,"&lt;20190630",X$4:X$200,"&gt;="&amp;X47)&amp;"/"&amp;COUNTIFS(X$4:X$200,"&lt;&gt;-",$D$4:$D$200,"&lt;&gt;是",$E$4:$E$200,"&lt;&gt;封闭期",$H$4:$H$200,"&gt;10",$BN$4:$BN$200,"&gt;-6",$BR$4:$BR$200,"&gt;=70",$C$4:$C$200,"&lt;20190630",$K$4:$K$200,"&lt;=30"))</f>
        <v>-</v>
      </c>
      <c r="AB47" s="33" t="str">
        <f>IF(OR($C47&gt;20190630,$K47&gt;30,X47="-",$D47="是",$E47="封闭期",$H47&lt;10,$BN47&lt;-6,$BR47&lt;70),"-",COUNTIFS(X$4:X$200,"&lt;&gt;-",$D$4:$D$200,"&lt;&gt;是",$E$4:$E$200,"&lt;&gt;封闭期",$H$4:$H$200,"&gt;10",$BN$4:$BN$200,"&gt;-6",$BR$4:$BR$200,"&gt;=70",$K$4:$K$200,"&lt;=30",$C$4:$C$200,"&lt;20190630",X$4:X$200,"&gt;="&amp;X47)/COUNTIFS(X$4:X$200,"&lt;&gt;-",$D$4:$D$200,"&lt;&gt;是",$E$4:$E$200,"&lt;&gt;封闭期",$H$4:$H$200,"&gt;10",$BN$4:$BN$200,"&gt;-6",$BR$4:$BR$200,"&gt;=70",$C$4:$C$200,"&lt;20190630",$K$4:$K$200,"&lt;=30"))</f>
        <v>-</v>
      </c>
      <c r="AC47" s="20">
        <v>1</v>
      </c>
      <c r="AD47" s="19" t="str">
        <f>IFERROR(RANK(AC47,AC:AC)&amp;"/"&amp;COUNT(AC:AC),"-")</f>
        <v>1/197</v>
      </c>
      <c r="AE47" s="26">
        <f>IFERROR(RANK(AC47,AC:AC)/COUNT(AC:AC),"-")</f>
        <v>5.076142131979695E-3</v>
      </c>
      <c r="AF47" s="34" t="str">
        <f>IF(OR($C47&gt;20190630,$K47&gt;30,AC47="-",$D47="是",$E47="封闭期",$H47&lt;10,$BN47&lt;-6,$BR47&lt;70),"-",COUNTIFS(AC$4:AC$200,"&lt;&gt;-",$D$4:$D$200,"&lt;&gt;是",$E$4:$E$200,"&lt;&gt;封闭期",$H$4:$H$200,"&gt;10",$BN$4:$BN$200,"&gt;-6",$BR$4:$BR$200,"&gt;=70",$K$4:$K$200,"&lt;=30",$C$4:$C$200,"&lt;20190630",AC$4:AC$200,"&gt;="&amp;AC47)&amp;"/"&amp;COUNTIFS(AC$4:AC$200,"&lt;&gt;-",$D$4:$D$200,"&lt;&gt;是",$E$4:$E$200,"&lt;&gt;封闭期",$H$4:$H$200,"&gt;10",$BN$4:$BN$200,"&gt;-6",$BR$4:$BR$200,"&gt;=70",$C$4:$C$200,"&lt;20190630",$K$4:$K$200,"&lt;=30"))</f>
        <v>-</v>
      </c>
      <c r="AG47" s="33" t="str">
        <f>IF(OR($C47&gt;20190630,$K47&gt;30,AC47="-",$D47="是",$E47="封闭期",$H47&lt;10,$BN47&lt;-6,$BR47&lt;70),"-",COUNTIFS(AC$4:AC$200,"&lt;&gt;-",$D$4:$D$200,"&lt;&gt;是",$E$4:$E$200,"&lt;&gt;封闭期",$H$4:$H$200,"&gt;10",$BN$4:$BN$200,"&gt;-6",$BR$4:$BR$200,"&gt;=70",$K$4:$K$200,"&lt;=30",$C$4:$C$200,"&lt;20190630",AC$4:AC$200,"&gt;="&amp;AC47)/COUNTIFS(AC$4:AC$200,"&lt;&gt;-",$D$4:$D$200,"&lt;&gt;是",$E$4:$E$200,"&lt;&gt;封闭期",$H$4:$H$200,"&gt;10",$BN$4:$BN$200,"&gt;-6",$BR$4:$BR$200,"&gt;=70",$C$4:$C$200,"&lt;20190630",$K$4:$K$200,"&lt;=30"))</f>
        <v>-</v>
      </c>
      <c r="AH47" s="21">
        <f>[1]!f_risk_maxdownside(A47,$L$2,$E$1)</f>
        <v>-3.1045751633987018</v>
      </c>
      <c r="AI47" s="19" t="str">
        <f>IFERROR(RANK(AH47,AH:AH)&amp;"/"&amp;COUNT(AH:AH),"-")</f>
        <v>96/197</v>
      </c>
      <c r="AJ47" s="26">
        <f>IFERROR(RANK(AH47,AH:AH)/COUNT(AH:AH),"-")</f>
        <v>0.48730964467005078</v>
      </c>
      <c r="AK47" s="34" t="str">
        <f>IF(OR($C47&gt;20190630,$K47&gt;30,AH47="-",$D47="是",$E47="封闭期",$H47&lt;10,$BN47&lt;-6,$BR47&lt;70),"-",COUNTIFS(AH$4:AH$200,"&lt;&gt;-",$D$4:$D$200,"&lt;&gt;是",$E$4:$E$200,"&lt;&gt;封闭期",$H$4:$H$200,"&gt;10",$BN$4:$BN$200,"&gt;-6",$BR$4:$BR$200,"&gt;=70",$K$4:$K$200,"&lt;=30",$C$4:$C$200,"&lt;20190630",AH$4:AH$200,"&gt;="&amp;AH47)&amp;"/"&amp;COUNTIFS(AH$4:AH$200,"&lt;&gt;-",$D$4:$D$200,"&lt;&gt;是",$E$4:$E$200,"&lt;&gt;封闭期",$H$4:$H$200,"&gt;10",$BN$4:$BN$200,"&gt;-6",$BR$4:$BR$200,"&gt;=70",$C$4:$C$200,"&lt;20190630",$K$4:$K$200,"&lt;=30"))</f>
        <v>-</v>
      </c>
      <c r="AL47" s="33" t="str">
        <f>IF(OR($C47&gt;20190630,$K47&gt;30,AH47="-",$D47="是",$E47="封闭期",$H47&lt;10,$BN47&lt;-6,$BR47&lt;70),"-",COUNTIFS(AH$4:AH$200,"&lt;&gt;-",$D$4:$D$200,"&lt;&gt;是",$E$4:$E$200,"&lt;&gt;封闭期",$H$4:$H$200,"&gt;10",$BN$4:$BN$200,"&gt;-6",$BR$4:$BR$200,"&gt;=70",$K$4:$K$200,"&lt;=30",$C$4:$C$200,"&lt;20190630",AH$4:AH$200,"&gt;="&amp;AH47)/COUNTIFS(AH$4:AH$200,"&lt;&gt;-",$D$4:$D$200,"&lt;&gt;是",$E$4:$E$200,"&lt;&gt;封闭期",$H$4:$H$200,"&gt;10",$BN$4:$BN$200,"&gt;-6",$BR$4:$BR$200,"&gt;=70",$C$4:$C$200,"&lt;20190630",$K$4:$K$200,"&lt;=30"))</f>
        <v>-</v>
      </c>
      <c r="AM47" s="19">
        <f>[1]!f_return($A47,"1",AM$2,$L$2)</f>
        <v>10.753935677332716</v>
      </c>
      <c r="AN47" s="19">
        <f>[1]!f_risk_stdevyearly($A47,AM$2,$L$2,1,1)</f>
        <v>8.164752232143158</v>
      </c>
      <c r="AO47" s="19">
        <f>IFERROR(AM47/AN47,"-")</f>
        <v>1.3171172096314705</v>
      </c>
      <c r="AP47" s="19" t="str">
        <f>IFERROR(RANK(AO47,AO:AO)&amp;"/"&amp;COUNT(AO:AO),"-")</f>
        <v>133/197</v>
      </c>
      <c r="AQ47" s="26">
        <f>IF(AP47="-","-",RANK(AO47,AO:AO)/COUNT(AO:AO))</f>
        <v>0.67512690355329952</v>
      </c>
      <c r="AR47" s="57">
        <v>0.2233502538071066</v>
      </c>
      <c r="AS47" s="33" t="str">
        <f>IF(OR($C47&gt;20190630,$K47&gt;30,AO47="-",$D47="是",$E47="封闭期",$H47&lt;10,$BN47&lt;-6,$BR47&lt;70),"-",COUNTIFS(AO$4:AO$200,"&lt;&gt;-",$D$4:$D$200,"&lt;&gt;是",$E$4:$E$200,"&lt;&gt;封闭期",$H$4:$H$200,"&gt;10",$BN$4:$BN$200,"&gt;-6",$BR$4:$BR$200,"&gt;=70",$K$4:$K$200,"&lt;=30",$C$4:$C$200,"&lt;20190630",AO$4:AO$200,"&gt;="&amp;AO47)/COUNTIFS(AO$4:AO$200,"&lt;&gt;-",$D$4:$D$200,"&lt;&gt;是",$E$4:$E$200,"&lt;&gt;封闭期",$H$4:$H$200,"&gt;10",$BN$4:$BN$200,"&gt;-6",$BR$4:$BR$200,"&gt;=70",$C$4:$C$200,"&lt;20190630",$K$4:$K$200,"&lt;=30"))</f>
        <v>-</v>
      </c>
      <c r="AT47" s="19">
        <f>IFERROR((AM47-3)/AN47,"-")</f>
        <v>0.94968413699155119</v>
      </c>
      <c r="AU47" s="19" t="str">
        <f>IFERROR(RANK(AT47,AT:AT)&amp;"/"&amp;COUNT(AT:AT),"-")</f>
        <v>91/197</v>
      </c>
      <c r="AV47" s="26">
        <f>IFERROR(RANK(AT47,AT:AT)/COUNT(AT:AT),"-")</f>
        <v>0.46192893401015228</v>
      </c>
      <c r="AW47" s="34" t="str">
        <f>IF(OR($C47&gt;20190630,$K47&gt;30,AT47="-",$D47="是",$E47="封闭期",$H47&lt;10,$BN47&lt;-6,$BR47&lt;70),"-",COUNTIFS(AT$4:AT$200,"&lt;&gt;-",$D$4:$D$200,"&lt;&gt;是",$E$4:$E$200,"&lt;&gt;封闭期",$H$4:$H$200,"&gt;10",$BN$4:$BN$200,"&gt;-6",$BR$4:$BR$200,"&gt;=70",$K$4:$K$200,"&lt;=30",$C$4:$C$200,"&lt;20190630",AT$4:AT$200,"&gt;="&amp;AT47)&amp;"/"&amp;COUNTIFS(AT$4:AT$200,"&lt;&gt;-",$D$4:$D$200,"&lt;&gt;是",$E$4:$E$200,"&lt;&gt;封闭期",$H$4:$H$200,"&gt;10",$BN$4:$BN$200,"&gt;-6",$BR$4:$BR$200,"&gt;=70",$C$4:$C$200,"&lt;20190630",$K$4:$K$200,"&lt;=30"))</f>
        <v>-</v>
      </c>
      <c r="AX47" s="33" t="str">
        <f>IF(OR($C47&gt;20190630,$K47&gt;30,AT47="-",$D47="是",$E47="封闭期",$H47&lt;10,$BN47&lt;-6,$BR47&lt;70),"-",COUNTIFS(AT$4:AT$200,"&lt;&gt;-",$D$4:$D$200,"&lt;&gt;是",$E$4:$E$200,"&lt;&gt;封闭期",$H$4:$H$200,"&gt;10",$BN$4:$BN$200,"&gt;-6",$BR$4:$BR$200,"&gt;=70",$K$4:$K$200,"&lt;=30",$C$4:$C$200,"&lt;20190630",AT$4:AT$200,"&gt;="&amp;AT47)/COUNTIFS(AT$4:AT$200,"&lt;&gt;-",$D$4:$D$200,"&lt;&gt;是",$E$4:$E$200,"&lt;&gt;封闭期",$H$4:$H$200,"&gt;10",$BN$4:$BN$200,"&gt;-6",$BR$4:$BR$200,"&gt;=70",$C$4:$C$200,"&lt;20190630",$K$4:$K$200,"&lt;=30"))</f>
        <v>-</v>
      </c>
      <c r="AY47" s="19">
        <f>[1]!f_risk_calmar(A47,$AM$2,$L$2)</f>
        <v>5.6688603784796987</v>
      </c>
      <c r="AZ47" s="19" t="str">
        <f>IFERROR(RANK(AY47,AY:AY)&amp;"/"&amp;COUNT(AY:AY),"-")</f>
        <v>9/197</v>
      </c>
      <c r="BA47" s="26">
        <f>IFERROR(RANK(AY47,AY:AY)/COUNT(AY:AY),"-")</f>
        <v>4.5685279187817257E-2</v>
      </c>
      <c r="BB47" s="34" t="str">
        <f>IF(OR($C47&gt;20190630,$K47&gt;30,AY47="-",$D47="是",$E47="封闭期",$H47&lt;10,$BN47&lt;-6,$BR47&lt;70),"-",COUNTIFS(AY$4:AY$200,"&lt;&gt;-",$D$4:$D$200,"&lt;&gt;是",$E$4:$E$200,"&lt;&gt;封闭期",$H$4:$H$200,"&gt;10",$BN$4:$BN$200,"&gt;-6",$BR$4:$BR$200,"&gt;=70",$K$4:$K$200,"&lt;=30",$C$4:$C$200,"&lt;20190630",AY$4:AY$200,"&gt;="&amp;AY47)&amp;"/"&amp;COUNTIFS(AY$4:AY$200,"&lt;&gt;-",$D$4:$D$200,"&lt;&gt;是",$E$4:$E$200,"&lt;&gt;封闭期",$H$4:$H$200,"&gt;10",$BN$4:$BN$200,"&gt;-6",$BR$4:$BR$200,"&gt;=70",$C$4:$C$200,"&lt;20190630",$K$4:$K$200,"&lt;=30"))</f>
        <v>-</v>
      </c>
      <c r="BC47" s="33" t="str">
        <f>IF(OR($C47&gt;20190630,$K47&gt;30,AY47="-",$D47="是",$E47="封闭期",$H47&lt;10,$BN47&lt;-6,$BR47&lt;70),"-",COUNTIFS(AY$4:AY$200,"&lt;&gt;-",$D$4:$D$200,"&lt;&gt;是",$E$4:$E$200,"&lt;&gt;封闭期",$H$4:$H$200,"&gt;10",$BN$4:$BN$200,"&gt;-6",$BR$4:$BR$200,"&gt;=70",$K$4:$K$200,"&lt;=30",$C$4:$C$200,"&lt;20190630",AY$4:AY$200,"&gt;="&amp;AY47)/COUNTIFS(AY$4:AY$200,"&lt;&gt;-",$D$4:$D$200,"&lt;&gt;是",$E$4:$E$200,"&lt;&gt;封闭期",$H$4:$H$200,"&gt;10",$BN$4:$BN$200,"&gt;-6",$BR$4:$BR$200,"&gt;=70",$C$4:$C$200,"&lt;20190630",$K$4:$K$200,"&lt;=30"))</f>
        <v>-</v>
      </c>
      <c r="BD47" s="20">
        <v>1</v>
      </c>
      <c r="BE47" s="19" t="str">
        <f>IFERROR(RANK(BD47,BD:BD)&amp;"/"&amp;COUNT(BD:BD),"-")</f>
        <v>1/197</v>
      </c>
      <c r="BF47" s="26">
        <f>IFERROR(RANK(BD47,BD:BD)/COUNT(BD:BD),"-")</f>
        <v>5.076142131979695E-3</v>
      </c>
      <c r="BG47" s="34" t="str">
        <f>IF(OR($C47&gt;20190630,$K47&gt;30,BD47="-",$D47="是",$E47="封闭期",$H47&lt;10,$BN47&lt;-6,$BR47&lt;70),"-",COUNTIFS(BD$4:BD$200,"&lt;&gt;-",$D$4:$D$200,"&lt;&gt;是",$E$4:$E$200,"&lt;&gt;封闭期",$H$4:$H$200,"&gt;10",$BN$4:$BN$200,"&gt;-6",$BR$4:$BR$200,"&gt;=70",$K$4:$K$200,"&lt;=30",$C$4:$C$200,"&lt;20190630",BD$4:BD$200,"&gt;="&amp;BD47)&amp;"/"&amp;COUNTIFS(BD$4:BD$200,"&lt;&gt;-",$D$4:$D$200,"&lt;&gt;是",$E$4:$E$200,"&lt;&gt;封闭期",$H$4:$H$200,"&gt;10",$BN$4:$BN$200,"&gt;-6",$BR$4:$BR$200,"&gt;=70",$C$4:$C$200,"&lt;20190630",$K$4:$K$200,"&lt;=30"))</f>
        <v>-</v>
      </c>
      <c r="BH47" s="33" t="str">
        <f>IF(OR($C47&gt;20190630,$K47&gt;30,BD47="-",$D47="是",$E47="封闭期",$H47&lt;10,$BN47&lt;-6,$BR47&lt;70),"-",COUNTIFS(BD$4:BD$200,"&lt;&gt;-",$D$4:$D$200,"&lt;&gt;是",$E$4:$E$200,"&lt;&gt;封闭期",$H$4:$H$200,"&gt;10",$BN$4:$BN$200,"&gt;-6",$BR$4:$BR$200,"&gt;=70",$K$4:$K$200,"&lt;=30",$C$4:$C$200,"&lt;20190630",BD$4:BD$200,"&gt;="&amp;BD47)/COUNTIFS(BD$4:BD$200,"&lt;&gt;-",$D$4:$D$200,"&lt;&gt;是",$E$4:$E$200,"&lt;&gt;封闭期",$H$4:$H$200,"&gt;10",$BN$4:$BN$200,"&gt;-6",$BR$4:$BR$200,"&gt;=70",$C$4:$C$200,"&lt;20190630",$K$4:$K$200,"&lt;=30"))</f>
        <v>-</v>
      </c>
      <c r="BI47" s="21">
        <f>[1]!f_risk_maxdownside(A47,$AM$2,$L$2)</f>
        <v>-1.8970189701896938</v>
      </c>
      <c r="BJ47" s="19" t="str">
        <f>IFERROR(RANK(BI47,BI:BI)&amp;"/"&amp;COUNT(BI:BI),"-")</f>
        <v>31/197</v>
      </c>
      <c r="BK47" s="26">
        <f>IFERROR(RANK(BI47,BI:BI)/COUNT(BI:BI),"-")</f>
        <v>0.15736040609137056</v>
      </c>
      <c r="BL47" s="34" t="str">
        <f>IF(OR($C47&gt;20190630,$K47&gt;30,BI47="-",$D47="是",$E47="封闭期",$H47&lt;10,$BN47&lt;-6,$BR47&lt;70),"-",COUNTIFS(BI$4:BI$200,"&lt;&gt;-",$D$4:$D$200,"&lt;&gt;是",$E$4:$E$200,"&lt;&gt;封闭期",$H$4:$H$200,"&gt;10",$BN$4:$BN$200,"&gt;-6",$BR$4:$BR$200,"&gt;=70",$K$4:$K$200,"&lt;=30",$C$4:$C$200,"&lt;20190630",BI$4:BI$200,"&gt;="&amp;BI47)&amp;"/"&amp;COUNTIFS(BI$4:BI$200,"&lt;&gt;-",$D$4:$D$200,"&lt;&gt;是",$E$4:$E$200,"&lt;&gt;封闭期",$H$4:$H$200,"&gt;10",$BN$4:$BN$200,"&gt;-6",$BR$4:$BR$200,"&gt;=70",$C$4:$C$200,"&lt;20190630",$K$4:$K$200,"&lt;=30"))</f>
        <v>-</v>
      </c>
      <c r="BM47" s="33" t="str">
        <f>IF(OR($C47&gt;20190630,$K47&gt;30,BI47="-",$D47="是",$E47="封闭期",$H47&lt;10,$BN47&lt;-6,$BR47&lt;70),"-",COUNTIFS(BI$4:BI$200,"&lt;&gt;-",$D$4:$D$200,"&lt;&gt;是",$E$4:$E$200,"&lt;&gt;封闭期",$H$4:$H$200,"&gt;10",$BN$4:$BN$200,"&gt;-6",$BR$4:$BR$200,"&gt;=70",$K$4:$K$200,"&lt;=30",$C$4:$C$200,"&lt;20190630",BI$4:BI$200,"&gt;="&amp;BI47)/COUNTIFS(BI$4:BI$200,"&lt;&gt;-",$D$4:$D$200,"&lt;&gt;是",$E$4:$E$200,"&lt;&gt;封闭期",$H$4:$H$200,"&gt;10",$BN$4:$BN$200,"&gt;-6",$BR$4:$BR$200,"&gt;=70",$C$4:$C$200,"&lt;20190630",$K$4:$K$200,"&lt;=30"))</f>
        <v>-</v>
      </c>
      <c r="BN47" s="21">
        <f>[1]!f_risk_maxdownside(A47,$AM$2,$E$1)</f>
        <v>-3.1045751633987018</v>
      </c>
      <c r="BO47" s="21">
        <f>IF(C47&lt;20190930,[1]!f_return_2y(A47,"0","20210930"),"-")</f>
        <v>18.716710404488154</v>
      </c>
      <c r="BP47" s="19" t="str">
        <f>IFERROR(RANK(BO47,BO:BO)&amp;"/"&amp;COUNT(BO:BO),"-")</f>
        <v>46/197</v>
      </c>
      <c r="BQ47" s="25">
        <f>IFERROR(RANK(BO47,BO:BO)/COUNT(BO:BO),"-")</f>
        <v>0.233502538071066</v>
      </c>
      <c r="BR47" s="19">
        <f>IF(C47&lt;20190930,[1]!f_absolute_profitmonthper(A47,"20190930","20210930"),"-")</f>
        <v>83.333333333333343</v>
      </c>
      <c r="BS47" s="19" t="str">
        <f>IFERROR(RANK(BR47,BR:BR)&amp;"/"&amp;COUNT(BR:BR),"-")</f>
        <v>4/198</v>
      </c>
      <c r="BT47" s="25">
        <f>IFERROR(RANK(BR47,BR:BR)/COUNT(BR:BR),"-")</f>
        <v>2.0202020202020204E-2</v>
      </c>
      <c r="BV47" s="12">
        <f>X47-3/M47</f>
        <v>2.0403419823727833</v>
      </c>
      <c r="BW47" s="76">
        <f>IFERROR(RANK(BV47,BV:BV)/COUNT(BV:BV),"-")</f>
        <v>0.3350253807106599</v>
      </c>
      <c r="BX47" s="76">
        <f>IFERROR(RANK(L47,L:L)/COUNT(L:L),"-")</f>
        <v>0.3383838383838384</v>
      </c>
      <c r="BY47" s="12">
        <f>AY47-3/AN47</f>
        <v>5.3014273058397796</v>
      </c>
      <c r="BZ47" s="76">
        <f>IFERROR(RANK(BY47,BY:BY)/COUNT(BY:BY),"-")</f>
        <v>2.5380710659898477E-2</v>
      </c>
      <c r="CA47" s="76">
        <f>IFERROR(RANK(AM47,AM:AM)/COUNT(AM:AM),"-")</f>
        <v>0.22727272727272727</v>
      </c>
      <c r="CB47" s="2"/>
      <c r="CC47" s="77">
        <f>AV47+BF47+BZ47+CA47</f>
        <v>0.71965851407475778</v>
      </c>
      <c r="CD47" s="77">
        <f>BW47+BX47+AE47+U47</f>
        <v>1.31300312772394</v>
      </c>
      <c r="CE47" s="77">
        <f>CC47+CD47</f>
        <v>2.0326616417986978</v>
      </c>
    </row>
    <row r="48" spans="1:83" s="17" customFormat="1" x14ac:dyDescent="0.35">
      <c r="A48" s="15" t="s">
        <v>41</v>
      </c>
      <c r="B48" s="15" t="s">
        <v>42</v>
      </c>
      <c r="C48" s="16">
        <v>20080927</v>
      </c>
      <c r="D48" s="16" t="str">
        <f>[1]!f_info_regulopenfundornot(A48)</f>
        <v>否</v>
      </c>
      <c r="E48" s="16" t="str">
        <f>[1]!f_dq_status(A48,$E$1)</f>
        <v>开放申购|开放赎回</v>
      </c>
      <c r="F48" s="17" t="str">
        <f>[1]!f_info_fundmanager(A48)</f>
        <v>宋海娟,韩海平</v>
      </c>
      <c r="G48" s="16">
        <v>20140211</v>
      </c>
      <c r="H48" s="18">
        <f>[1]!f_netasset_total(A48,$E$1,100000000)</f>
        <v>20.1257658165</v>
      </c>
      <c r="I48" s="18">
        <f>[1]!f_prt_convertiblebondtonav(A48,$E$1)</f>
        <v>1.113016065210104E-2</v>
      </c>
      <c r="J48" s="18">
        <f>[1]!f_prt_stocktonav(A48,$E$1)+0.5*I48</f>
        <v>16.346949968021363</v>
      </c>
      <c r="K48" s="19">
        <v>20.078242173955388</v>
      </c>
      <c r="L48" s="19">
        <f>[1]!f_return($A48,"1",L$2,$E$1)</f>
        <v>5.9382968099290334</v>
      </c>
      <c r="M48" s="19">
        <f>[1]!f_risk_stdevyearly($A48,L$2,$E$1,1,1)</f>
        <v>5.7127360207949485</v>
      </c>
      <c r="N48" s="19">
        <f>IFERROR(L48/M48,"-")</f>
        <v>1.0394838459738067</v>
      </c>
      <c r="O48" s="19" t="str">
        <f>IFERROR(RANK(N48,N:N)&amp;"/"&amp;COUNT(N:N),"-")</f>
        <v>137/197</v>
      </c>
      <c r="P48" s="26">
        <f>IF(O48="-","-",RANK(N48,N:N)/COUNT(N:N))</f>
        <v>0.69543147208121825</v>
      </c>
      <c r="Q48" s="56">
        <v>0.48223350253807107</v>
      </c>
      <c r="R48" s="33" t="str">
        <f>IF(OR($C48&gt;20190630,$K48&gt;30,N48="-",$D48="是",$E48="封闭期",$H48&lt;10,$BN48&lt;-6,$BR48&lt;70),"-",COUNTIFS(N$4:N$200,"&lt;&gt;-",$D$4:$D$200,"&lt;&gt;是",$E$4:$E$200,"&lt;&gt;封闭期",$H$4:$H$200,"&gt;10",$BN$4:$BN$200,"&gt;-6",$BR$4:$BR$200,"&gt;=70",$K$4:$K$200,"&lt;=30",$C$4:$C$200,"&lt;20190630",N$4:N$200,"&gt;="&amp;N48)/COUNTIFS(N$4:N$200,"&lt;&gt;-",$D$4:$D$200,"&lt;&gt;是",$E$4:$E$200,"&lt;&gt;封闭期",$H$4:$H$200,"&gt;10",$BN$4:$BN$200,"&gt;-6",$BR$4:$BR$200,"&gt;=70",$C$4:$C$200,"&lt;20190630",$K$4:$K$200,"&lt;=30"))</f>
        <v>-</v>
      </c>
      <c r="S48" s="19">
        <f>IFERROR((L48-3)/M48,"-")</f>
        <v>0.51434142926144844</v>
      </c>
      <c r="T48" s="19" t="str">
        <f>IFERROR(RANK(S48,S:S)&amp;"/"&amp;COUNT(S:S),"-")</f>
        <v>116/197</v>
      </c>
      <c r="U48" s="26">
        <f>IFERROR(RANK(S48,S:S)/COUNT(S:S),"-")</f>
        <v>0.58883248730964466</v>
      </c>
      <c r="V48" s="34" t="str">
        <f>IF(OR($C48&gt;20190630,$K48&gt;30,S48="-",$D48="是",$E48="封闭期",$H48&lt;10,$BN48&lt;-6,$BR48&lt;70),"-",COUNTIFS(S$4:S$200,"&lt;&gt;-",$D$4:$D$200,"&lt;&gt;是",$E$4:$E$200,"&lt;&gt;封闭期",$H$4:$H$200,"&gt;10",$BN$4:$BN$200,"&gt;-6",$BR$4:$BR$200,"&gt;=70",$K$4:$K$200,"&lt;=30",$C$4:$C$200,"&lt;20190630",S$4:S$200,"&gt;="&amp;S48)&amp;"/"&amp;COUNTIFS(S$4:S$200,"&lt;&gt;-",$D$4:$D$200,"&lt;&gt;是",$E$4:$E$200,"&lt;&gt;封闭期",$H$4:$H$200,"&gt;10",$BN$4:$BN$200,"&gt;-6",$BR$4:$BR$200,"&gt;=70",$C$4:$C$200,"&lt;20190630",$K$4:$K$200,"&lt;=30"))</f>
        <v>-</v>
      </c>
      <c r="W48" s="33" t="str">
        <f>IF(OR($C48&gt;20190630,$K48&gt;30,S48="-",$D48="是",$E48="封闭期",$H48&lt;10,$BN48&lt;-6,$BR48&lt;70),"-",COUNTIFS(S$4:S$200,"&lt;&gt;-",$D$4:$D$200,"&lt;&gt;是",$E$4:$E$200,"&lt;&gt;封闭期",$H$4:$H$200,"&gt;10",$BN$4:$BN$200,"&gt;-6",$BR$4:$BR$200,"&gt;=70",$K$4:$K$200,"&lt;=30",$C$4:$C$200,"&lt;20190630",S$4:S$200,"&gt;="&amp;S48)/COUNTIFS(S$4:S$200,"&lt;&gt;-",$D$4:$D$200,"&lt;&gt;是",$E$4:$E$200,"&lt;&gt;封闭期",$H$4:$H$200,"&gt;10",$BN$4:$BN$200,"&gt;-6",$BR$4:$BR$200,"&gt;=70",$C$4:$C$200,"&lt;20190630",$K$4:$K$200,"&lt;=30"))</f>
        <v>-</v>
      </c>
      <c r="X48" s="19">
        <f>[1]!f_risk_calmar(A48,$L$2,$E$1)</f>
        <v>1.1547703335000485</v>
      </c>
      <c r="Y48" s="19" t="str">
        <f>IFERROR(RANK(X48,X:X)&amp;"/"&amp;COUNT(X:X),"-")</f>
        <v>147/197</v>
      </c>
      <c r="Z48" s="26">
        <f>IFERROR(RANK(X48,X:X)/COUNT(X:X),"-")</f>
        <v>0.74619289340101524</v>
      </c>
      <c r="AA48" s="34" t="str">
        <f>IF(OR($C48&gt;20190630,$K48&gt;30,X48="-",$D48="是",$E48="封闭期",$H48&lt;10,$BN48&lt;-6,$BR48&lt;70),"-",COUNTIFS(X$4:X$200,"&lt;&gt;-",$D$4:$D$200,"&lt;&gt;是",$E$4:$E$200,"&lt;&gt;封闭期",$H$4:$H$200,"&gt;10",$BN$4:$BN$200,"&gt;-6",$BR$4:$BR$200,"&gt;=70",$K$4:$K$200,"&lt;=30",$C$4:$C$200,"&lt;20190630",X$4:X$200,"&gt;="&amp;X48)&amp;"/"&amp;COUNTIFS(X$4:X$200,"&lt;&gt;-",$D$4:$D$200,"&lt;&gt;是",$E$4:$E$200,"&lt;&gt;封闭期",$H$4:$H$200,"&gt;10",$BN$4:$BN$200,"&gt;-6",$BR$4:$BR$200,"&gt;=70",$C$4:$C$200,"&lt;20190630",$K$4:$K$200,"&lt;=30"))</f>
        <v>-</v>
      </c>
      <c r="AB48" s="33" t="str">
        <f>IF(OR($C48&gt;20190630,$K48&gt;30,X48="-",$D48="是",$E48="封闭期",$H48&lt;10,$BN48&lt;-6,$BR48&lt;70),"-",COUNTIFS(X$4:X$200,"&lt;&gt;-",$D$4:$D$200,"&lt;&gt;是",$E$4:$E$200,"&lt;&gt;封闭期",$H$4:$H$200,"&gt;10",$BN$4:$BN$200,"&gt;-6",$BR$4:$BR$200,"&gt;=70",$K$4:$K$200,"&lt;=30",$C$4:$C$200,"&lt;20190630",X$4:X$200,"&gt;="&amp;X48)/COUNTIFS(X$4:X$200,"&lt;&gt;-",$D$4:$D$200,"&lt;&gt;是",$E$4:$E$200,"&lt;&gt;封闭期",$H$4:$H$200,"&gt;10",$BN$4:$BN$200,"&gt;-6",$BR$4:$BR$200,"&gt;=70",$C$4:$C$200,"&lt;20190630",$K$4:$K$200,"&lt;=30"))</f>
        <v>-</v>
      </c>
      <c r="AC48" s="20">
        <v>0.84873949579831931</v>
      </c>
      <c r="AD48" s="19" t="str">
        <f>IFERROR(RANK(AC48,AC:AC)&amp;"/"&amp;COUNT(AC:AC),"-")</f>
        <v>138/197</v>
      </c>
      <c r="AE48" s="26">
        <f>IFERROR(RANK(AC48,AC:AC)/COUNT(AC:AC),"-")</f>
        <v>0.70050761421319796</v>
      </c>
      <c r="AF48" s="34" t="str">
        <f>IF(OR($C48&gt;20190630,$K48&gt;30,AC48="-",$D48="是",$E48="封闭期",$H48&lt;10,$BN48&lt;-6,$BR48&lt;70),"-",COUNTIFS(AC$4:AC$200,"&lt;&gt;-",$D$4:$D$200,"&lt;&gt;是",$E$4:$E$200,"&lt;&gt;封闭期",$H$4:$H$200,"&gt;10",$BN$4:$BN$200,"&gt;-6",$BR$4:$BR$200,"&gt;=70",$K$4:$K$200,"&lt;=30",$C$4:$C$200,"&lt;20190630",AC$4:AC$200,"&gt;="&amp;AC48)&amp;"/"&amp;COUNTIFS(AC$4:AC$200,"&lt;&gt;-",$D$4:$D$200,"&lt;&gt;是",$E$4:$E$200,"&lt;&gt;封闭期",$H$4:$H$200,"&gt;10",$BN$4:$BN$200,"&gt;-6",$BR$4:$BR$200,"&gt;=70",$C$4:$C$200,"&lt;20190630",$K$4:$K$200,"&lt;=30"))</f>
        <v>-</v>
      </c>
      <c r="AG48" s="33" t="str">
        <f>IF(OR($C48&gt;20190630,$K48&gt;30,AC48="-",$D48="是",$E48="封闭期",$H48&lt;10,$BN48&lt;-6,$BR48&lt;70),"-",COUNTIFS(AC$4:AC$200,"&lt;&gt;-",$D$4:$D$200,"&lt;&gt;是",$E$4:$E$200,"&lt;&gt;封闭期",$H$4:$H$200,"&gt;10",$BN$4:$BN$200,"&gt;-6",$BR$4:$BR$200,"&gt;=70",$K$4:$K$200,"&lt;=30",$C$4:$C$200,"&lt;20190630",AC$4:AC$200,"&gt;="&amp;AC48)/COUNTIFS(AC$4:AC$200,"&lt;&gt;-",$D$4:$D$200,"&lt;&gt;是",$E$4:$E$200,"&lt;&gt;封闭期",$H$4:$H$200,"&gt;10",$BN$4:$BN$200,"&gt;-6",$BR$4:$BR$200,"&gt;=70",$C$4:$C$200,"&lt;20190630",$K$4:$K$200,"&lt;=30"))</f>
        <v>-</v>
      </c>
      <c r="AH48" s="21">
        <f>[1]!f_risk_maxdownside(A48,$L$2,$E$1)</f>
        <v>-5.1424050632911271</v>
      </c>
      <c r="AI48" s="19" t="str">
        <f>IFERROR(RANK(AH48,AH:AH)&amp;"/"&amp;COUNT(AH:AH),"-")</f>
        <v>158/197</v>
      </c>
      <c r="AJ48" s="26">
        <f>IFERROR(RANK(AH48,AH:AH)/COUNT(AH:AH),"-")</f>
        <v>0.80203045685279184</v>
      </c>
      <c r="AK48" s="34" t="str">
        <f>IF(OR($C48&gt;20190630,$K48&gt;30,AH48="-",$D48="是",$E48="封闭期",$H48&lt;10,$BN48&lt;-6,$BR48&lt;70),"-",COUNTIFS(AH$4:AH$200,"&lt;&gt;-",$D$4:$D$200,"&lt;&gt;是",$E$4:$E$200,"&lt;&gt;封闭期",$H$4:$H$200,"&gt;10",$BN$4:$BN$200,"&gt;-6",$BR$4:$BR$200,"&gt;=70",$K$4:$K$200,"&lt;=30",$C$4:$C$200,"&lt;20190630",AH$4:AH$200,"&gt;="&amp;AH48)&amp;"/"&amp;COUNTIFS(AH$4:AH$200,"&lt;&gt;-",$D$4:$D$200,"&lt;&gt;是",$E$4:$E$200,"&lt;&gt;封闭期",$H$4:$H$200,"&gt;10",$BN$4:$BN$200,"&gt;-6",$BR$4:$BR$200,"&gt;=70",$C$4:$C$200,"&lt;20190630",$K$4:$K$200,"&lt;=30"))</f>
        <v>-</v>
      </c>
      <c r="AL48" s="33" t="str">
        <f>IF(OR($C48&gt;20190630,$K48&gt;30,AH48="-",$D48="是",$E48="封闭期",$H48&lt;10,$BN48&lt;-6,$BR48&lt;70),"-",COUNTIFS(AH$4:AH$200,"&lt;&gt;-",$D$4:$D$200,"&lt;&gt;是",$E$4:$E$200,"&lt;&gt;封闭期",$H$4:$H$200,"&gt;10",$BN$4:$BN$200,"&gt;-6",$BR$4:$BR$200,"&gt;=70",$K$4:$K$200,"&lt;=30",$C$4:$C$200,"&lt;20190630",AH$4:AH$200,"&gt;="&amp;AH48)/COUNTIFS(AH$4:AH$200,"&lt;&gt;-",$D$4:$D$200,"&lt;&gt;是",$E$4:$E$200,"&lt;&gt;封闭期",$H$4:$H$200,"&gt;10",$BN$4:$BN$200,"&gt;-6",$BR$4:$BR$200,"&gt;=70",$C$4:$C$200,"&lt;20190630",$K$4:$K$200,"&lt;=30"))</f>
        <v>-</v>
      </c>
      <c r="AM48" s="19">
        <f>[1]!f_return($A48,"1",AM$2,$L$2)</f>
        <v>10.736837463452709</v>
      </c>
      <c r="AN48" s="19">
        <f>[1]!f_risk_stdevyearly($A48,AM$2,$L$2,1,1)</f>
        <v>4.0931252230542929</v>
      </c>
      <c r="AO48" s="19">
        <f>IFERROR(AM48/AN48,"-")</f>
        <v>2.6231392587204732</v>
      </c>
      <c r="AP48" s="19" t="str">
        <f>IFERROR(RANK(AO48,AO:AO)&amp;"/"&amp;COUNT(AO:AO),"-")</f>
        <v>18/197</v>
      </c>
      <c r="AQ48" s="26">
        <f>IF(AP48="-","-",RANK(AO48,AO:AO)/COUNT(AO:AO))</f>
        <v>9.1370558375634514E-2</v>
      </c>
      <c r="AR48" s="57">
        <v>0.22842639593908629</v>
      </c>
      <c r="AS48" s="33" t="str">
        <f>IF(OR($C48&gt;20190630,$K48&gt;30,AO48="-",$D48="是",$E48="封闭期",$H48&lt;10,$BN48&lt;-6,$BR48&lt;70),"-",COUNTIFS(AO$4:AO$200,"&lt;&gt;-",$D$4:$D$200,"&lt;&gt;是",$E$4:$E$200,"&lt;&gt;封闭期",$H$4:$H$200,"&gt;10",$BN$4:$BN$200,"&gt;-6",$BR$4:$BR$200,"&gt;=70",$K$4:$K$200,"&lt;=30",$C$4:$C$200,"&lt;20190630",AO$4:AO$200,"&gt;="&amp;AO48)/COUNTIFS(AO$4:AO$200,"&lt;&gt;-",$D$4:$D$200,"&lt;&gt;是",$E$4:$E$200,"&lt;&gt;封闭期",$H$4:$H$200,"&gt;10",$BN$4:$BN$200,"&gt;-6",$BR$4:$BR$200,"&gt;=70",$C$4:$C$200,"&lt;20190630",$K$4:$K$200,"&lt;=30"))</f>
        <v>-</v>
      </c>
      <c r="AT48" s="19">
        <f>IFERROR((AM48-3)/AN48,"-")</f>
        <v>1.8902029725050715</v>
      </c>
      <c r="AU48" s="19" t="str">
        <f>IFERROR(RANK(AT48,AT:AT)&amp;"/"&amp;COUNT(AT:AT),"-")</f>
        <v>12/197</v>
      </c>
      <c r="AV48" s="26">
        <f>IFERROR(RANK(AT48,AT:AT)/COUNT(AT:AT),"-")</f>
        <v>6.0913705583756347E-2</v>
      </c>
      <c r="AW48" s="34" t="str">
        <f>IF(OR($C48&gt;20190630,$K48&gt;30,AT48="-",$D48="是",$E48="封闭期",$H48&lt;10,$BN48&lt;-6,$BR48&lt;70),"-",COUNTIFS(AT$4:AT$200,"&lt;&gt;-",$D$4:$D$200,"&lt;&gt;是",$E$4:$E$200,"&lt;&gt;封闭期",$H$4:$H$200,"&gt;10",$BN$4:$BN$200,"&gt;-6",$BR$4:$BR$200,"&gt;=70",$K$4:$K$200,"&lt;=30",$C$4:$C$200,"&lt;20190630",AT$4:AT$200,"&gt;="&amp;AT48)&amp;"/"&amp;COUNTIFS(AT$4:AT$200,"&lt;&gt;-",$D$4:$D$200,"&lt;&gt;是",$E$4:$E$200,"&lt;&gt;封闭期",$H$4:$H$200,"&gt;10",$BN$4:$BN$200,"&gt;-6",$BR$4:$BR$200,"&gt;=70",$C$4:$C$200,"&lt;20190630",$K$4:$K$200,"&lt;=30"))</f>
        <v>-</v>
      </c>
      <c r="AX48" s="33" t="str">
        <f>IF(OR($C48&gt;20190630,$K48&gt;30,AT48="-",$D48="是",$E48="封闭期",$H48&lt;10,$BN48&lt;-6,$BR48&lt;70),"-",COUNTIFS(AT$4:AT$200,"&lt;&gt;-",$D$4:$D$200,"&lt;&gt;是",$E$4:$E$200,"&lt;&gt;封闭期",$H$4:$H$200,"&gt;10",$BN$4:$BN$200,"&gt;-6",$BR$4:$BR$200,"&gt;=70",$K$4:$K$200,"&lt;=30",$C$4:$C$200,"&lt;20190630",AT$4:AT$200,"&gt;="&amp;AT48)/COUNTIFS(AT$4:AT$200,"&lt;&gt;-",$D$4:$D$200,"&lt;&gt;是",$E$4:$E$200,"&lt;&gt;封闭期",$H$4:$H$200,"&gt;10",$BN$4:$BN$200,"&gt;-6",$BR$4:$BR$200,"&gt;=70",$C$4:$C$200,"&lt;20190630",$K$4:$K$200,"&lt;=30"))</f>
        <v>-</v>
      </c>
      <c r="AY48" s="19">
        <f>[1]!f_risk_calmar(A48,$AM$2,$L$2)</f>
        <v>3.4706101638620273</v>
      </c>
      <c r="AZ48" s="19" t="str">
        <f>IFERROR(RANK(AY48,AY:AY)&amp;"/"&amp;COUNT(AY:AY),"-")</f>
        <v>32/197</v>
      </c>
      <c r="BA48" s="26">
        <f>IFERROR(RANK(AY48,AY:AY)/COUNT(AY:AY),"-")</f>
        <v>0.16243654822335024</v>
      </c>
      <c r="BB48" s="34" t="str">
        <f>IF(OR($C48&gt;20190630,$K48&gt;30,AY48="-",$D48="是",$E48="封闭期",$H48&lt;10,$BN48&lt;-6,$BR48&lt;70),"-",COUNTIFS(AY$4:AY$200,"&lt;&gt;-",$D$4:$D$200,"&lt;&gt;是",$E$4:$E$200,"&lt;&gt;封闭期",$H$4:$H$200,"&gt;10",$BN$4:$BN$200,"&gt;-6",$BR$4:$BR$200,"&gt;=70",$K$4:$K$200,"&lt;=30",$C$4:$C$200,"&lt;20190630",AY$4:AY$200,"&gt;="&amp;AY48)&amp;"/"&amp;COUNTIFS(AY$4:AY$200,"&lt;&gt;-",$D$4:$D$200,"&lt;&gt;是",$E$4:$E$200,"&lt;&gt;封闭期",$H$4:$H$200,"&gt;10",$BN$4:$BN$200,"&gt;-6",$BR$4:$BR$200,"&gt;=70",$C$4:$C$200,"&lt;20190630",$K$4:$K$200,"&lt;=30"))</f>
        <v>-</v>
      </c>
      <c r="BC48" s="33" t="str">
        <f>IF(OR($C48&gt;20190630,$K48&gt;30,AY48="-",$D48="是",$E48="封闭期",$H48&lt;10,$BN48&lt;-6,$BR48&lt;70),"-",COUNTIFS(AY$4:AY$200,"&lt;&gt;-",$D$4:$D$200,"&lt;&gt;是",$E$4:$E$200,"&lt;&gt;封闭期",$H$4:$H$200,"&gt;10",$BN$4:$BN$200,"&gt;-6",$BR$4:$BR$200,"&gt;=70",$K$4:$K$200,"&lt;=30",$C$4:$C$200,"&lt;20190630",AY$4:AY$200,"&gt;="&amp;AY48)/COUNTIFS(AY$4:AY$200,"&lt;&gt;-",$D$4:$D$200,"&lt;&gt;是",$E$4:$E$200,"&lt;&gt;封闭期",$H$4:$H$200,"&gt;10",$BN$4:$BN$200,"&gt;-6",$BR$4:$BR$200,"&gt;=70",$C$4:$C$200,"&lt;20190630",$K$4:$K$200,"&lt;=30"))</f>
        <v>-</v>
      </c>
      <c r="BD48" s="20">
        <v>1</v>
      </c>
      <c r="BE48" s="19" t="str">
        <f>IFERROR(RANK(BD48,BD:BD)&amp;"/"&amp;COUNT(BD:BD),"-")</f>
        <v>1/197</v>
      </c>
      <c r="BF48" s="26">
        <f>IFERROR(RANK(BD48,BD:BD)/COUNT(BD:BD),"-")</f>
        <v>5.076142131979695E-3</v>
      </c>
      <c r="BG48" s="34" t="str">
        <f>IF(OR($C48&gt;20190630,$K48&gt;30,BD48="-",$D48="是",$E48="封闭期",$H48&lt;10,$BN48&lt;-6,$BR48&lt;70),"-",COUNTIFS(BD$4:BD$200,"&lt;&gt;-",$D$4:$D$200,"&lt;&gt;是",$E$4:$E$200,"&lt;&gt;封闭期",$H$4:$H$200,"&gt;10",$BN$4:$BN$200,"&gt;-6",$BR$4:$BR$200,"&gt;=70",$K$4:$K$200,"&lt;=30",$C$4:$C$200,"&lt;20190630",BD$4:BD$200,"&gt;="&amp;BD48)&amp;"/"&amp;COUNTIFS(BD$4:BD$200,"&lt;&gt;-",$D$4:$D$200,"&lt;&gt;是",$E$4:$E$200,"&lt;&gt;封闭期",$H$4:$H$200,"&gt;10",$BN$4:$BN$200,"&gt;-6",$BR$4:$BR$200,"&gt;=70",$C$4:$C$200,"&lt;20190630",$K$4:$K$200,"&lt;=30"))</f>
        <v>-</v>
      </c>
      <c r="BH48" s="33" t="str">
        <f>IF(OR($C48&gt;20190630,$K48&gt;30,BD48="-",$D48="是",$E48="封闭期",$H48&lt;10,$BN48&lt;-6,$BR48&lt;70),"-",COUNTIFS(BD$4:BD$200,"&lt;&gt;-",$D$4:$D$200,"&lt;&gt;是",$E$4:$E$200,"&lt;&gt;封闭期",$H$4:$H$200,"&gt;10",$BN$4:$BN$200,"&gt;-6",$BR$4:$BR$200,"&gt;=70",$K$4:$K$200,"&lt;=30",$C$4:$C$200,"&lt;20190630",BD$4:BD$200,"&gt;="&amp;BD48)/COUNTIFS(BD$4:BD$200,"&lt;&gt;-",$D$4:$D$200,"&lt;&gt;是",$E$4:$E$200,"&lt;&gt;封闭期",$H$4:$H$200,"&gt;10",$BN$4:$BN$200,"&gt;-6",$BR$4:$BR$200,"&gt;=70",$C$4:$C$200,"&lt;20190630",$K$4:$K$200,"&lt;=30"))</f>
        <v>-</v>
      </c>
      <c r="BI48" s="21">
        <f>[1]!f_risk_maxdownside(A48,$AM$2,$L$2)</f>
        <v>-3.0936454849498181</v>
      </c>
      <c r="BJ48" s="19" t="str">
        <f>IFERROR(RANK(BI48,BI:BI)&amp;"/"&amp;COUNT(BI:BI),"-")</f>
        <v>91/197</v>
      </c>
      <c r="BK48" s="26">
        <f>IFERROR(RANK(BI48,BI:BI)/COUNT(BI:BI),"-")</f>
        <v>0.46192893401015228</v>
      </c>
      <c r="BL48" s="34" t="str">
        <f>IF(OR($C48&gt;20190630,$K48&gt;30,BI48="-",$D48="是",$E48="封闭期",$H48&lt;10,$BN48&lt;-6,$BR48&lt;70),"-",COUNTIFS(BI$4:BI$200,"&lt;&gt;-",$D$4:$D$200,"&lt;&gt;是",$E$4:$E$200,"&lt;&gt;封闭期",$H$4:$H$200,"&gt;10",$BN$4:$BN$200,"&gt;-6",$BR$4:$BR$200,"&gt;=70",$K$4:$K$200,"&lt;=30",$C$4:$C$200,"&lt;20190630",BI$4:BI$200,"&gt;="&amp;BI48)&amp;"/"&amp;COUNTIFS(BI$4:BI$200,"&lt;&gt;-",$D$4:$D$200,"&lt;&gt;是",$E$4:$E$200,"&lt;&gt;封闭期",$H$4:$H$200,"&gt;10",$BN$4:$BN$200,"&gt;-6",$BR$4:$BR$200,"&gt;=70",$C$4:$C$200,"&lt;20190630",$K$4:$K$200,"&lt;=30"))</f>
        <v>-</v>
      </c>
      <c r="BM48" s="33" t="str">
        <f>IF(OR($C48&gt;20190630,$K48&gt;30,BI48="-",$D48="是",$E48="封闭期",$H48&lt;10,$BN48&lt;-6,$BR48&lt;70),"-",COUNTIFS(BI$4:BI$200,"&lt;&gt;-",$D$4:$D$200,"&lt;&gt;是",$E$4:$E$200,"&lt;&gt;封闭期",$H$4:$H$200,"&gt;10",$BN$4:$BN$200,"&gt;-6",$BR$4:$BR$200,"&gt;=70",$K$4:$K$200,"&lt;=30",$C$4:$C$200,"&lt;20190630",BI$4:BI$200,"&gt;="&amp;BI48)/COUNTIFS(BI$4:BI$200,"&lt;&gt;-",$D$4:$D$200,"&lt;&gt;是",$E$4:$E$200,"&lt;&gt;封闭期",$H$4:$H$200,"&gt;10",$BN$4:$BN$200,"&gt;-6",$BR$4:$BR$200,"&gt;=70",$C$4:$C$200,"&lt;20190630",$K$4:$K$200,"&lt;=30"))</f>
        <v>-</v>
      </c>
      <c r="BN48" s="21">
        <f>[1]!f_risk_maxdownside(A48,$AM$2,$E$1)</f>
        <v>-5.1424050632911271</v>
      </c>
      <c r="BO48" s="21">
        <f>IF(C48&lt;20190930,[1]!f_return_2y(A48,"0","20210930"),"-")</f>
        <v>17.304558719268709</v>
      </c>
      <c r="BP48" s="19" t="str">
        <f>IFERROR(RANK(BO48,BO:BO)&amp;"/"&amp;COUNT(BO:BO),"-")</f>
        <v>60/197</v>
      </c>
      <c r="BQ48" s="25">
        <f>IFERROR(RANK(BO48,BO:BO)/COUNT(BO:BO),"-")</f>
        <v>0.30456852791878175</v>
      </c>
      <c r="BR48" s="19">
        <f>IF(C48&lt;20190930,[1]!f_absolute_profitmonthper(A48,"20190930","20210930"),"-")</f>
        <v>58.333333333333336</v>
      </c>
      <c r="BS48" s="19" t="str">
        <f>IFERROR(RANK(BR48,BR:BR)&amp;"/"&amp;COUNT(BR:BR),"-")</f>
        <v>165/198</v>
      </c>
      <c r="BT48" s="25">
        <f>IFERROR(RANK(BR48,BR:BR)/COUNT(BR:BR),"-")</f>
        <v>0.83333333333333337</v>
      </c>
      <c r="BV48" s="12">
        <f>X48-3/M48</f>
        <v>0.62962791678769026</v>
      </c>
      <c r="BW48" s="76">
        <f>IFERROR(RANK(BV48,BV:BV)/COUNT(BV:BV),"-")</f>
        <v>0.70558375634517767</v>
      </c>
      <c r="BX48" s="76">
        <f>IFERROR(RANK(L48,L:L)/COUNT(L:L),"-")</f>
        <v>0.48484848484848486</v>
      </c>
      <c r="BY48" s="12">
        <f>AY48-3/AN48</f>
        <v>2.7376738776466256</v>
      </c>
      <c r="BZ48" s="76">
        <f>IFERROR(RANK(BY48,BY:BY)/COUNT(BY:BY),"-")</f>
        <v>0.16751269035532995</v>
      </c>
      <c r="CA48" s="76">
        <f>IFERROR(RANK(AM48,AM:AM)/COUNT(AM:AM),"-")</f>
        <v>0.23232323232323232</v>
      </c>
      <c r="CB48" s="2"/>
      <c r="CC48" s="77">
        <f>AV48+BF48+BZ48+CA48</f>
        <v>0.46582577039429829</v>
      </c>
      <c r="CD48" s="77">
        <f>BW48+BX48+AE48+U48</f>
        <v>2.479772342716505</v>
      </c>
      <c r="CE48" s="77">
        <f>CC48+CD48</f>
        <v>2.9455981131108033</v>
      </c>
    </row>
    <row r="49" spans="1:83" s="17" customFormat="1" hidden="1" x14ac:dyDescent="0.35">
      <c r="A49" s="15" t="s">
        <v>279</v>
      </c>
      <c r="B49" s="15" t="s">
        <v>280</v>
      </c>
      <c r="C49" s="16">
        <v>20161017</v>
      </c>
      <c r="D49" s="16" t="str">
        <f>[1]!f_info_regulopenfundornot(A49)</f>
        <v>否</v>
      </c>
      <c r="E49" s="16" t="str">
        <f>[1]!f_dq_status(A49,$E$1)</f>
        <v>开放申购|开放赎回</v>
      </c>
      <c r="F49" s="17" t="str">
        <f>[1]!f_info_fundmanager(A49)</f>
        <v>漆志伟</v>
      </c>
      <c r="G49" s="16">
        <v>20161017</v>
      </c>
      <c r="H49" s="18">
        <f>[1]!f_netasset_total(A49,$E$1,100000000)</f>
        <v>3.3306749225000001</v>
      </c>
      <c r="I49" s="18">
        <f>[1]!f_prt_convertiblebondtonav(A49,$E$1)</f>
        <v>11.594389915466309</v>
      </c>
      <c r="J49" s="18">
        <f>[1]!f_prt_stocktonav(A49,$E$1)+0.5*I49</f>
        <v>19.278387546539307</v>
      </c>
      <c r="K49" s="19">
        <v>4.4774708871336877</v>
      </c>
      <c r="L49" s="19">
        <f>[1]!f_return($A49,"1",L$2,$E$1)</f>
        <v>9.2436151934422117</v>
      </c>
      <c r="M49" s="19">
        <f>[1]!f_risk_stdevyearly($A49,L$2,$E$1,1,1)</f>
        <v>5.4789639540266002</v>
      </c>
      <c r="N49" s="19">
        <f>IFERROR(L49/M49,"-")</f>
        <v>1.6871100578511553</v>
      </c>
      <c r="O49" s="19" t="str">
        <f>IFERROR(RANK(N49,N:N)&amp;"/"&amp;COUNT(N:N),"-")</f>
        <v>68/197</v>
      </c>
      <c r="P49" s="26">
        <f>IF(O49="-","-",RANK(N49,N:N)/COUNT(N:N))</f>
        <v>0.34517766497461927</v>
      </c>
      <c r="Q49" s="56">
        <v>0.20812182741116753</v>
      </c>
      <c r="R49" s="33" t="str">
        <f>IF(OR($C49&gt;20190630,$K49&gt;30,N49="-",$D49="是",$E49="封闭期",$H49&lt;10,$BN49&lt;-6,$BR49&lt;70),"-",COUNTIFS(N$4:N$200,"&lt;&gt;-",$D$4:$D$200,"&lt;&gt;是",$E$4:$E$200,"&lt;&gt;封闭期",$H$4:$H$200,"&gt;10",$BN$4:$BN$200,"&gt;-6",$BR$4:$BR$200,"&gt;=70",$K$4:$K$200,"&lt;=30",$C$4:$C$200,"&lt;20190630",N$4:N$200,"&gt;="&amp;N49)/COUNTIFS(N$4:N$200,"&lt;&gt;-",$D$4:$D$200,"&lt;&gt;是",$E$4:$E$200,"&lt;&gt;封闭期",$H$4:$H$200,"&gt;10",$BN$4:$BN$200,"&gt;-6",$BR$4:$BR$200,"&gt;=70",$C$4:$C$200,"&lt;20190630",$K$4:$K$200,"&lt;=30"))</f>
        <v>-</v>
      </c>
      <c r="S49" s="19">
        <f>IFERROR((L49-3)/M49,"-")</f>
        <v>1.1395612830877733</v>
      </c>
      <c r="T49" s="19" t="str">
        <f>IFERROR(RANK(S49,S:S)&amp;"/"&amp;COUNT(S:S),"-")</f>
        <v>64/197</v>
      </c>
      <c r="U49" s="26">
        <f>IFERROR(RANK(S49,S:S)/COUNT(S:S),"-")</f>
        <v>0.32487309644670048</v>
      </c>
      <c r="V49" s="34" t="str">
        <f>IF(OR($C49&gt;20190630,$K49&gt;30,S49="-",$D49="是",$E49="封闭期",$H49&lt;10,$BN49&lt;-6,$BR49&lt;70),"-",COUNTIFS(S$4:S$200,"&lt;&gt;-",$D$4:$D$200,"&lt;&gt;是",$E$4:$E$200,"&lt;&gt;封闭期",$H$4:$H$200,"&gt;10",$BN$4:$BN$200,"&gt;-6",$BR$4:$BR$200,"&gt;=70",$K$4:$K$200,"&lt;=30",$C$4:$C$200,"&lt;20190630",S$4:S$200,"&gt;="&amp;S49)&amp;"/"&amp;COUNTIFS(S$4:S$200,"&lt;&gt;-",$D$4:$D$200,"&lt;&gt;是",$E$4:$E$200,"&lt;&gt;封闭期",$H$4:$H$200,"&gt;10",$BN$4:$BN$200,"&gt;-6",$BR$4:$BR$200,"&gt;=70",$C$4:$C$200,"&lt;20190630",$K$4:$K$200,"&lt;=30"))</f>
        <v>-</v>
      </c>
      <c r="W49" s="33" t="str">
        <f>IF(OR($C49&gt;20190630,$K49&gt;30,S49="-",$D49="是",$E49="封闭期",$H49&lt;10,$BN49&lt;-6,$BR49&lt;70),"-",COUNTIFS(S$4:S$200,"&lt;&gt;-",$D$4:$D$200,"&lt;&gt;是",$E$4:$E$200,"&lt;&gt;封闭期",$H$4:$H$200,"&gt;10",$BN$4:$BN$200,"&gt;-6",$BR$4:$BR$200,"&gt;=70",$K$4:$K$200,"&lt;=30",$C$4:$C$200,"&lt;20190630",S$4:S$200,"&gt;="&amp;S49)/COUNTIFS(S$4:S$200,"&lt;&gt;-",$D$4:$D$200,"&lt;&gt;是",$E$4:$E$200,"&lt;&gt;封闭期",$H$4:$H$200,"&gt;10",$BN$4:$BN$200,"&gt;-6",$BR$4:$BR$200,"&gt;=70",$C$4:$C$200,"&lt;20190630",$K$4:$K$200,"&lt;=30"))</f>
        <v>-</v>
      </c>
      <c r="X49" s="19">
        <f>[1]!f_risk_calmar(A49,$L$2,$E$1)</f>
        <v>2.2633074497501893</v>
      </c>
      <c r="Y49" s="19" t="str">
        <f>IFERROR(RANK(X49,X:X)&amp;"/"&amp;COUNT(X:X),"-")</f>
        <v>84/197</v>
      </c>
      <c r="Z49" s="26">
        <f>IFERROR(RANK(X49,X:X)/COUNT(X:X),"-")</f>
        <v>0.42639593908629442</v>
      </c>
      <c r="AA49" s="34" t="str">
        <f>IF(OR($C49&gt;20190630,$K49&gt;30,X49="-",$D49="是",$E49="封闭期",$H49&lt;10,$BN49&lt;-6,$BR49&lt;70),"-",COUNTIFS(X$4:X$200,"&lt;&gt;-",$D$4:$D$200,"&lt;&gt;是",$E$4:$E$200,"&lt;&gt;封闭期",$H$4:$H$200,"&gt;10",$BN$4:$BN$200,"&gt;-6",$BR$4:$BR$200,"&gt;=70",$K$4:$K$200,"&lt;=30",$C$4:$C$200,"&lt;20190630",X$4:X$200,"&gt;="&amp;X49)&amp;"/"&amp;COUNTIFS(X$4:X$200,"&lt;&gt;-",$D$4:$D$200,"&lt;&gt;是",$E$4:$E$200,"&lt;&gt;封闭期",$H$4:$H$200,"&gt;10",$BN$4:$BN$200,"&gt;-6",$BR$4:$BR$200,"&gt;=70",$C$4:$C$200,"&lt;20190630",$K$4:$K$200,"&lt;=30"))</f>
        <v>-</v>
      </c>
      <c r="AB49" s="33" t="str">
        <f>IF(OR($C49&gt;20190630,$K49&gt;30,X49="-",$D49="是",$E49="封闭期",$H49&lt;10,$BN49&lt;-6,$BR49&lt;70),"-",COUNTIFS(X$4:X$200,"&lt;&gt;-",$D$4:$D$200,"&lt;&gt;是",$E$4:$E$200,"&lt;&gt;封闭期",$H$4:$H$200,"&gt;10",$BN$4:$BN$200,"&gt;-6",$BR$4:$BR$200,"&gt;=70",$K$4:$K$200,"&lt;=30",$C$4:$C$200,"&lt;20190630",X$4:X$200,"&gt;="&amp;X49)/COUNTIFS(X$4:X$200,"&lt;&gt;-",$D$4:$D$200,"&lt;&gt;是",$E$4:$E$200,"&lt;&gt;封闭期",$H$4:$H$200,"&gt;10",$BN$4:$BN$200,"&gt;-6",$BR$4:$BR$200,"&gt;=70",$C$4:$C$200,"&lt;20190630",$K$4:$K$200,"&lt;=30"))</f>
        <v>-</v>
      </c>
      <c r="AC49" s="20">
        <v>1</v>
      </c>
      <c r="AD49" s="19" t="str">
        <f>IFERROR(RANK(AC49,AC:AC)&amp;"/"&amp;COUNT(AC:AC),"-")</f>
        <v>1/197</v>
      </c>
      <c r="AE49" s="26">
        <f>IFERROR(RANK(AC49,AC:AC)/COUNT(AC:AC),"-")</f>
        <v>5.076142131979695E-3</v>
      </c>
      <c r="AF49" s="34" t="str">
        <f>IF(OR($C49&gt;20190630,$K49&gt;30,AC49="-",$D49="是",$E49="封闭期",$H49&lt;10,$BN49&lt;-6,$BR49&lt;70),"-",COUNTIFS(AC$4:AC$200,"&lt;&gt;-",$D$4:$D$200,"&lt;&gt;是",$E$4:$E$200,"&lt;&gt;封闭期",$H$4:$H$200,"&gt;10",$BN$4:$BN$200,"&gt;-6",$BR$4:$BR$200,"&gt;=70",$K$4:$K$200,"&lt;=30",$C$4:$C$200,"&lt;20190630",AC$4:AC$200,"&gt;="&amp;AC49)&amp;"/"&amp;COUNTIFS(AC$4:AC$200,"&lt;&gt;-",$D$4:$D$200,"&lt;&gt;是",$E$4:$E$200,"&lt;&gt;封闭期",$H$4:$H$200,"&gt;10",$BN$4:$BN$200,"&gt;-6",$BR$4:$BR$200,"&gt;=70",$C$4:$C$200,"&lt;20190630",$K$4:$K$200,"&lt;=30"))</f>
        <v>-</v>
      </c>
      <c r="AG49" s="33" t="str">
        <f>IF(OR($C49&gt;20190630,$K49&gt;30,AC49="-",$D49="是",$E49="封闭期",$H49&lt;10,$BN49&lt;-6,$BR49&lt;70),"-",COUNTIFS(AC$4:AC$200,"&lt;&gt;-",$D$4:$D$200,"&lt;&gt;是",$E$4:$E$200,"&lt;&gt;封闭期",$H$4:$H$200,"&gt;10",$BN$4:$BN$200,"&gt;-6",$BR$4:$BR$200,"&gt;=70",$K$4:$K$200,"&lt;=30",$C$4:$C$200,"&lt;20190630",AC$4:AC$200,"&gt;="&amp;AC49)/COUNTIFS(AC$4:AC$200,"&lt;&gt;-",$D$4:$D$200,"&lt;&gt;是",$E$4:$E$200,"&lt;&gt;封闭期",$H$4:$H$200,"&gt;10",$BN$4:$BN$200,"&gt;-6",$BR$4:$BR$200,"&gt;=70",$C$4:$C$200,"&lt;20190630",$K$4:$K$200,"&lt;=30"))</f>
        <v>-</v>
      </c>
      <c r="AH49" s="21">
        <f>[1]!f_risk_maxdownside(A49,$L$2,$E$1)</f>
        <v>-4.0841182202013551</v>
      </c>
      <c r="AI49" s="19" t="str">
        <f>IFERROR(RANK(AH49,AH:AH)&amp;"/"&amp;COUNT(AH:AH),"-")</f>
        <v>125/197</v>
      </c>
      <c r="AJ49" s="26">
        <f>IFERROR(RANK(AH49,AH:AH)/COUNT(AH:AH),"-")</f>
        <v>0.63451776649746194</v>
      </c>
      <c r="AK49" s="34" t="str">
        <f>IF(OR($C49&gt;20190630,$K49&gt;30,AH49="-",$D49="是",$E49="封闭期",$H49&lt;10,$BN49&lt;-6,$BR49&lt;70),"-",COUNTIFS(AH$4:AH$200,"&lt;&gt;-",$D$4:$D$200,"&lt;&gt;是",$E$4:$E$200,"&lt;&gt;封闭期",$H$4:$H$200,"&gt;10",$BN$4:$BN$200,"&gt;-6",$BR$4:$BR$200,"&gt;=70",$K$4:$K$200,"&lt;=30",$C$4:$C$200,"&lt;20190630",AH$4:AH$200,"&gt;="&amp;AH49)&amp;"/"&amp;COUNTIFS(AH$4:AH$200,"&lt;&gt;-",$D$4:$D$200,"&lt;&gt;是",$E$4:$E$200,"&lt;&gt;封闭期",$H$4:$H$200,"&gt;10",$BN$4:$BN$200,"&gt;-6",$BR$4:$BR$200,"&gt;=70",$C$4:$C$200,"&lt;20190630",$K$4:$K$200,"&lt;=30"))</f>
        <v>-</v>
      </c>
      <c r="AL49" s="33" t="str">
        <f>IF(OR($C49&gt;20190630,$K49&gt;30,AH49="-",$D49="是",$E49="封闭期",$H49&lt;10,$BN49&lt;-6,$BR49&lt;70),"-",COUNTIFS(AH$4:AH$200,"&lt;&gt;-",$D$4:$D$200,"&lt;&gt;是",$E$4:$E$200,"&lt;&gt;封闭期",$H$4:$H$200,"&gt;10",$BN$4:$BN$200,"&gt;-6",$BR$4:$BR$200,"&gt;=70",$K$4:$K$200,"&lt;=30",$C$4:$C$200,"&lt;20190630",AH$4:AH$200,"&gt;="&amp;AH49)/COUNTIFS(AH$4:AH$200,"&lt;&gt;-",$D$4:$D$200,"&lt;&gt;是",$E$4:$E$200,"&lt;&gt;封闭期",$H$4:$H$200,"&gt;10",$BN$4:$BN$200,"&gt;-6",$BR$4:$BR$200,"&gt;=70",$C$4:$C$200,"&lt;20190630",$K$4:$K$200,"&lt;=30"))</f>
        <v>-</v>
      </c>
      <c r="AM49" s="19">
        <f>[1]!f_return($A49,"1",AM$2,$L$2)</f>
        <v>10.673897104532815</v>
      </c>
      <c r="AN49" s="19">
        <f>[1]!f_risk_stdevyearly($A49,AM$2,$L$2,1,1)</f>
        <v>6.9818775687225232</v>
      </c>
      <c r="AO49" s="19">
        <f>IFERROR(AM49/AN49,"-")</f>
        <v>1.5288003834885093</v>
      </c>
      <c r="AP49" s="19" t="str">
        <f>IFERROR(RANK(AO49,AO:AO)&amp;"/"&amp;COUNT(AO:AO),"-")</f>
        <v>104/197</v>
      </c>
      <c r="AQ49" s="26">
        <f>IF(AP49="-","-",RANK(AO49,AO:AO)/COUNT(AO:AO))</f>
        <v>0.52791878172588835</v>
      </c>
      <c r="AR49" s="57">
        <v>0.233502538071066</v>
      </c>
      <c r="AS49" s="33" t="str">
        <f>IF(OR($C49&gt;20190630,$K49&gt;30,AO49="-",$D49="是",$E49="封闭期",$H49&lt;10,$BN49&lt;-6,$BR49&lt;70),"-",COUNTIFS(AO$4:AO$200,"&lt;&gt;-",$D$4:$D$200,"&lt;&gt;是",$E$4:$E$200,"&lt;&gt;封闭期",$H$4:$H$200,"&gt;10",$BN$4:$BN$200,"&gt;-6",$BR$4:$BR$200,"&gt;=70",$K$4:$K$200,"&lt;=30",$C$4:$C$200,"&lt;20190630",AO$4:AO$200,"&gt;="&amp;AO49)/COUNTIFS(AO$4:AO$200,"&lt;&gt;-",$D$4:$D$200,"&lt;&gt;是",$E$4:$E$200,"&lt;&gt;封闭期",$H$4:$H$200,"&gt;10",$BN$4:$BN$200,"&gt;-6",$BR$4:$BR$200,"&gt;=70",$C$4:$C$200,"&lt;20190630",$K$4:$K$200,"&lt;=30"))</f>
        <v>-</v>
      </c>
      <c r="AT49" s="19">
        <f>IFERROR((AM49-3)/AN49,"-")</f>
        <v>1.0991165383521486</v>
      </c>
      <c r="AU49" s="19" t="str">
        <f>IFERROR(RANK(AT49,AT:AT)&amp;"/"&amp;COUNT(AT:AT),"-")</f>
        <v>74/197</v>
      </c>
      <c r="AV49" s="26">
        <f>IFERROR(RANK(AT49,AT:AT)/COUNT(AT:AT),"-")</f>
        <v>0.37563451776649748</v>
      </c>
      <c r="AW49" s="34" t="str">
        <f>IF(OR($C49&gt;20190630,$K49&gt;30,AT49="-",$D49="是",$E49="封闭期",$H49&lt;10,$BN49&lt;-6,$BR49&lt;70),"-",COUNTIFS(AT$4:AT$200,"&lt;&gt;-",$D$4:$D$200,"&lt;&gt;是",$E$4:$E$200,"&lt;&gt;封闭期",$H$4:$H$200,"&gt;10",$BN$4:$BN$200,"&gt;-6",$BR$4:$BR$200,"&gt;=70",$K$4:$K$200,"&lt;=30",$C$4:$C$200,"&lt;20190630",AT$4:AT$200,"&gt;="&amp;AT49)&amp;"/"&amp;COUNTIFS(AT$4:AT$200,"&lt;&gt;-",$D$4:$D$200,"&lt;&gt;是",$E$4:$E$200,"&lt;&gt;封闭期",$H$4:$H$200,"&gt;10",$BN$4:$BN$200,"&gt;-6",$BR$4:$BR$200,"&gt;=70",$C$4:$C$200,"&lt;20190630",$K$4:$K$200,"&lt;=30"))</f>
        <v>-</v>
      </c>
      <c r="AX49" s="33" t="str">
        <f>IF(OR($C49&gt;20190630,$K49&gt;30,AT49="-",$D49="是",$E49="封闭期",$H49&lt;10,$BN49&lt;-6,$BR49&lt;70),"-",COUNTIFS(AT$4:AT$200,"&lt;&gt;-",$D$4:$D$200,"&lt;&gt;是",$E$4:$E$200,"&lt;&gt;封闭期",$H$4:$H$200,"&gt;10",$BN$4:$BN$200,"&gt;-6",$BR$4:$BR$200,"&gt;=70",$K$4:$K$200,"&lt;=30",$C$4:$C$200,"&lt;20190630",AT$4:AT$200,"&gt;="&amp;AT49)/COUNTIFS(AT$4:AT$200,"&lt;&gt;-",$D$4:$D$200,"&lt;&gt;是",$E$4:$E$200,"&lt;&gt;封闭期",$H$4:$H$200,"&gt;10",$BN$4:$BN$200,"&gt;-6",$BR$4:$BR$200,"&gt;=70",$C$4:$C$200,"&lt;20190630",$K$4:$K$200,"&lt;=30"))</f>
        <v>-</v>
      </c>
      <c r="AY49" s="19">
        <f>[1]!f_risk_calmar(A49,$AM$2,$L$2)</f>
        <v>2.6262281149615654</v>
      </c>
      <c r="AZ49" s="19" t="str">
        <f>IFERROR(RANK(AY49,AY:AY)&amp;"/"&amp;COUNT(AY:AY),"-")</f>
        <v>73/197</v>
      </c>
      <c r="BA49" s="26">
        <f>IFERROR(RANK(AY49,AY:AY)/COUNT(AY:AY),"-")</f>
        <v>0.37055837563451777</v>
      </c>
      <c r="BB49" s="34" t="str">
        <f>IF(OR($C49&gt;20190630,$K49&gt;30,AY49="-",$D49="是",$E49="封闭期",$H49&lt;10,$BN49&lt;-6,$BR49&lt;70),"-",COUNTIFS(AY$4:AY$200,"&lt;&gt;-",$D$4:$D$200,"&lt;&gt;是",$E$4:$E$200,"&lt;&gt;封闭期",$H$4:$H$200,"&gt;10",$BN$4:$BN$200,"&gt;-6",$BR$4:$BR$200,"&gt;=70",$K$4:$K$200,"&lt;=30",$C$4:$C$200,"&lt;20190630",AY$4:AY$200,"&gt;="&amp;AY49)&amp;"/"&amp;COUNTIFS(AY$4:AY$200,"&lt;&gt;-",$D$4:$D$200,"&lt;&gt;是",$E$4:$E$200,"&lt;&gt;封闭期",$H$4:$H$200,"&gt;10",$BN$4:$BN$200,"&gt;-6",$BR$4:$BR$200,"&gt;=70",$C$4:$C$200,"&lt;20190630",$K$4:$K$200,"&lt;=30"))</f>
        <v>-</v>
      </c>
      <c r="BC49" s="33" t="str">
        <f>IF(OR($C49&gt;20190630,$K49&gt;30,AY49="-",$D49="是",$E49="封闭期",$H49&lt;10,$BN49&lt;-6,$BR49&lt;70),"-",COUNTIFS(AY$4:AY$200,"&lt;&gt;-",$D$4:$D$200,"&lt;&gt;是",$E$4:$E$200,"&lt;&gt;封闭期",$H$4:$H$200,"&gt;10",$BN$4:$BN$200,"&gt;-6",$BR$4:$BR$200,"&gt;=70",$K$4:$K$200,"&lt;=30",$C$4:$C$200,"&lt;20190630",AY$4:AY$200,"&gt;="&amp;AY49)/COUNTIFS(AY$4:AY$200,"&lt;&gt;-",$D$4:$D$200,"&lt;&gt;是",$E$4:$E$200,"&lt;&gt;封闭期",$H$4:$H$200,"&gt;10",$BN$4:$BN$200,"&gt;-6",$BR$4:$BR$200,"&gt;=70",$C$4:$C$200,"&lt;20190630",$K$4:$K$200,"&lt;=30"))</f>
        <v>-</v>
      </c>
      <c r="BD49" s="20">
        <v>1</v>
      </c>
      <c r="BE49" s="19" t="str">
        <f>IFERROR(RANK(BD49,BD:BD)&amp;"/"&amp;COUNT(BD:BD),"-")</f>
        <v>1/197</v>
      </c>
      <c r="BF49" s="26">
        <f>IFERROR(RANK(BD49,BD:BD)/COUNT(BD:BD),"-")</f>
        <v>5.076142131979695E-3</v>
      </c>
      <c r="BG49" s="34" t="str">
        <f>IF(OR($C49&gt;20190630,$K49&gt;30,BD49="-",$D49="是",$E49="封闭期",$H49&lt;10,$BN49&lt;-6,$BR49&lt;70),"-",COUNTIFS(BD$4:BD$200,"&lt;&gt;-",$D$4:$D$200,"&lt;&gt;是",$E$4:$E$200,"&lt;&gt;封闭期",$H$4:$H$200,"&gt;10",$BN$4:$BN$200,"&gt;-6",$BR$4:$BR$200,"&gt;=70",$K$4:$K$200,"&lt;=30",$C$4:$C$200,"&lt;20190630",BD$4:BD$200,"&gt;="&amp;BD49)&amp;"/"&amp;COUNTIFS(BD$4:BD$200,"&lt;&gt;-",$D$4:$D$200,"&lt;&gt;是",$E$4:$E$200,"&lt;&gt;封闭期",$H$4:$H$200,"&gt;10",$BN$4:$BN$200,"&gt;-6",$BR$4:$BR$200,"&gt;=70",$C$4:$C$200,"&lt;20190630",$K$4:$K$200,"&lt;=30"))</f>
        <v>-</v>
      </c>
      <c r="BH49" s="33" t="str">
        <f>IF(OR($C49&gt;20190630,$K49&gt;30,BD49="-",$D49="是",$E49="封闭期",$H49&lt;10,$BN49&lt;-6,$BR49&lt;70),"-",COUNTIFS(BD$4:BD$200,"&lt;&gt;-",$D$4:$D$200,"&lt;&gt;是",$E$4:$E$200,"&lt;&gt;封闭期",$H$4:$H$200,"&gt;10",$BN$4:$BN$200,"&gt;-6",$BR$4:$BR$200,"&gt;=70",$K$4:$K$200,"&lt;=30",$C$4:$C$200,"&lt;20190630",BD$4:BD$200,"&gt;="&amp;BD49)/COUNTIFS(BD$4:BD$200,"&lt;&gt;-",$D$4:$D$200,"&lt;&gt;是",$E$4:$E$200,"&lt;&gt;封闭期",$H$4:$H$200,"&gt;10",$BN$4:$BN$200,"&gt;-6",$BR$4:$BR$200,"&gt;=70",$C$4:$C$200,"&lt;20190630",$K$4:$K$200,"&lt;=30"))</f>
        <v>-</v>
      </c>
      <c r="BI49" s="21">
        <f>[1]!f_risk_maxdownside(A49,$AM$2,$L$2)</f>
        <v>-4.0643449987165434</v>
      </c>
      <c r="BJ49" s="19" t="str">
        <f>IFERROR(RANK(BI49,BI:BI)&amp;"/"&amp;COUNT(BI:BI),"-")</f>
        <v>131/197</v>
      </c>
      <c r="BK49" s="26">
        <f>IFERROR(RANK(BI49,BI:BI)/COUNT(BI:BI),"-")</f>
        <v>0.6649746192893401</v>
      </c>
      <c r="BL49" s="34" t="str">
        <f>IF(OR($C49&gt;20190630,$K49&gt;30,BI49="-",$D49="是",$E49="封闭期",$H49&lt;10,$BN49&lt;-6,$BR49&lt;70),"-",COUNTIFS(BI$4:BI$200,"&lt;&gt;-",$D$4:$D$200,"&lt;&gt;是",$E$4:$E$200,"&lt;&gt;封闭期",$H$4:$H$200,"&gt;10",$BN$4:$BN$200,"&gt;-6",$BR$4:$BR$200,"&gt;=70",$K$4:$K$200,"&lt;=30",$C$4:$C$200,"&lt;20190630",BI$4:BI$200,"&gt;="&amp;BI49)&amp;"/"&amp;COUNTIFS(BI$4:BI$200,"&lt;&gt;-",$D$4:$D$200,"&lt;&gt;是",$E$4:$E$200,"&lt;&gt;封闭期",$H$4:$H$200,"&gt;10",$BN$4:$BN$200,"&gt;-6",$BR$4:$BR$200,"&gt;=70",$C$4:$C$200,"&lt;20190630",$K$4:$K$200,"&lt;=30"))</f>
        <v>-</v>
      </c>
      <c r="BM49" s="33" t="str">
        <f>IF(OR($C49&gt;20190630,$K49&gt;30,BI49="-",$D49="是",$E49="封闭期",$H49&lt;10,$BN49&lt;-6,$BR49&lt;70),"-",COUNTIFS(BI$4:BI$200,"&lt;&gt;-",$D$4:$D$200,"&lt;&gt;是",$E$4:$E$200,"&lt;&gt;封闭期",$H$4:$H$200,"&gt;10",$BN$4:$BN$200,"&gt;-6",$BR$4:$BR$200,"&gt;=70",$K$4:$K$200,"&lt;=30",$C$4:$C$200,"&lt;20190630",BI$4:BI$200,"&gt;="&amp;BI49)/COUNTIFS(BI$4:BI$200,"&lt;&gt;-",$D$4:$D$200,"&lt;&gt;是",$E$4:$E$200,"&lt;&gt;封闭期",$H$4:$H$200,"&gt;10",$BN$4:$BN$200,"&gt;-6",$BR$4:$BR$200,"&gt;=70",$C$4:$C$200,"&lt;20190630",$K$4:$K$200,"&lt;=30"))</f>
        <v>-</v>
      </c>
      <c r="BN49" s="21">
        <f>[1]!f_risk_maxdownside(A49,$AM$2,$E$1)</f>
        <v>-4.0841182202013551</v>
      </c>
      <c r="BO49" s="21">
        <f>IF(C49&lt;20190930,[1]!f_return_2y(A49,"0","20210930"),"-")</f>
        <v>21.139681239493854</v>
      </c>
      <c r="BP49" s="19" t="str">
        <f>IFERROR(RANK(BO49,BO:BO)&amp;"/"&amp;COUNT(BO:BO),"-")</f>
        <v>34/197</v>
      </c>
      <c r="BQ49" s="25">
        <f>IFERROR(RANK(BO49,BO:BO)/COUNT(BO:BO),"-")</f>
        <v>0.17258883248730963</v>
      </c>
      <c r="BR49" s="19">
        <f>IF(C49&lt;20190930,[1]!f_absolute_profitmonthper(A49,"20190930","20210930"),"-")</f>
        <v>70.833333333333343</v>
      </c>
      <c r="BS49" s="19" t="str">
        <f>IFERROR(RANK(BR49,BR:BR)&amp;"/"&amp;COUNT(BR:BR),"-")</f>
        <v>55/198</v>
      </c>
      <c r="BT49" s="25">
        <f>IFERROR(RANK(BR49,BR:BR)/COUNT(BR:BR),"-")</f>
        <v>0.27777777777777779</v>
      </c>
      <c r="BV49" s="12">
        <f>X49-3/M49</f>
        <v>1.7157586749868072</v>
      </c>
      <c r="BW49" s="76">
        <f>IFERROR(RANK(BV49,BV:BV)/COUNT(BV:BV),"-")</f>
        <v>0.38578680203045684</v>
      </c>
      <c r="BX49" s="76">
        <f>IFERROR(RANK(L49,L:L)/COUNT(L:L),"-")</f>
        <v>0.21212121212121213</v>
      </c>
      <c r="BY49" s="12">
        <f>AY49-3/AN49</f>
        <v>2.1965442698252047</v>
      </c>
      <c r="BZ49" s="76">
        <f>IFERROR(RANK(BY49,BY:BY)/COUNT(BY:BY),"-")</f>
        <v>0.27411167512690354</v>
      </c>
      <c r="CA49" s="76">
        <f>IFERROR(RANK(AM49,AM:AM)/COUNT(AM:AM),"-")</f>
        <v>0.23737373737373738</v>
      </c>
      <c r="CB49" s="2"/>
      <c r="CC49" s="77">
        <f>AV49+BF49+BZ49+CA49</f>
        <v>0.89219607239911813</v>
      </c>
      <c r="CD49" s="77">
        <f>BW49+BX49+AE49+U49</f>
        <v>0.92785725273034914</v>
      </c>
      <c r="CE49" s="77">
        <f>CC49+CD49</f>
        <v>1.8200533251294673</v>
      </c>
    </row>
    <row r="50" spans="1:83" s="17" customFormat="1" x14ac:dyDescent="0.35">
      <c r="A50" s="15" t="s">
        <v>75</v>
      </c>
      <c r="B50" s="15" t="s">
        <v>76</v>
      </c>
      <c r="C50" s="16">
        <v>20100901</v>
      </c>
      <c r="D50" s="16" t="str">
        <f>[1]!f_info_regulopenfundornot(A50)</f>
        <v>否</v>
      </c>
      <c r="E50" s="16" t="str">
        <f>[1]!f_dq_status(A50,$E$1)</f>
        <v>开放申购|开放赎回</v>
      </c>
      <c r="F50" s="17" t="str">
        <f>[1]!f_info_fundmanager(A50)</f>
        <v>胡永青</v>
      </c>
      <c r="G50" s="16">
        <v>20150418</v>
      </c>
      <c r="H50" s="18">
        <f>[1]!f_netasset_total(A50,$E$1,100000000)</f>
        <v>50.138554453400005</v>
      </c>
      <c r="I50" s="18">
        <f>[1]!f_prt_convertiblebondtonav(A50,$E$1)</f>
        <v>14.679477691650391</v>
      </c>
      <c r="J50" s="18">
        <f>[1]!f_prt_stocktonav(A50,$E$1)+0.5*I50</f>
        <v>22.547824859619141</v>
      </c>
      <c r="K50" s="19">
        <v>3.855077237610562</v>
      </c>
      <c r="L50" s="19">
        <f>[1]!f_return($A50,"1",L$2,$E$1)</f>
        <v>7.2723740491916322</v>
      </c>
      <c r="M50" s="19">
        <f>[1]!f_risk_stdevyearly($A50,L$2,$E$1,1,1)</f>
        <v>5.6693856830527949</v>
      </c>
      <c r="N50" s="19">
        <f>IFERROR(L50/M50,"-")</f>
        <v>1.2827446315622111</v>
      </c>
      <c r="O50" s="19" t="str">
        <f>IFERROR(RANK(N50,N:N)&amp;"/"&amp;COUNT(N:N),"-")</f>
        <v>114/197</v>
      </c>
      <c r="P50" s="26">
        <f>IF(O50="-","-",RANK(N50,N:N)/COUNT(N:N))</f>
        <v>0.57868020304568524</v>
      </c>
      <c r="Q50" s="56">
        <v>0.34010152284263961</v>
      </c>
      <c r="R50" s="33" t="str">
        <f>IF(OR($C50&gt;20190630,$K50&gt;30,N50="-",$D50="是",$E50="封闭期",$H50&lt;10,$BN50&lt;-6,$BR50&lt;70),"-",COUNTIFS(N$4:N$200,"&lt;&gt;-",$D$4:$D$200,"&lt;&gt;是",$E$4:$E$200,"&lt;&gt;封闭期",$H$4:$H$200,"&gt;10",$BN$4:$BN$200,"&gt;-6",$BR$4:$BR$200,"&gt;=70",$K$4:$K$200,"&lt;=30",$C$4:$C$200,"&lt;20190630",N$4:N$200,"&gt;="&amp;N50)/COUNTIFS(N$4:N$200,"&lt;&gt;-",$D$4:$D$200,"&lt;&gt;是",$E$4:$E$200,"&lt;&gt;封闭期",$H$4:$H$200,"&gt;10",$BN$4:$BN$200,"&gt;-6",$BR$4:$BR$200,"&gt;=70",$C$4:$C$200,"&lt;20190630",$K$4:$K$200,"&lt;=30"))</f>
        <v>-</v>
      </c>
      <c r="S50" s="19">
        <f>IFERROR((L50-3)/M50,"-")</f>
        <v>0.75358677077885561</v>
      </c>
      <c r="T50" s="19" t="str">
        <f>IFERROR(RANK(S50,S:S)&amp;"/"&amp;COUNT(S:S),"-")</f>
        <v>96/197</v>
      </c>
      <c r="U50" s="26">
        <f>IFERROR(RANK(S50,S:S)/COUNT(S:S),"-")</f>
        <v>0.48730964467005078</v>
      </c>
      <c r="V50" s="34" t="str">
        <f>IF(OR($C50&gt;20190630,$K50&gt;30,S50="-",$D50="是",$E50="封闭期",$H50&lt;10,$BN50&lt;-6,$BR50&lt;70),"-",COUNTIFS(S$4:S$200,"&lt;&gt;-",$D$4:$D$200,"&lt;&gt;是",$E$4:$E$200,"&lt;&gt;封闭期",$H$4:$H$200,"&gt;10",$BN$4:$BN$200,"&gt;-6",$BR$4:$BR$200,"&gt;=70",$K$4:$K$200,"&lt;=30",$C$4:$C$200,"&lt;20190630",S$4:S$200,"&gt;="&amp;S50)&amp;"/"&amp;COUNTIFS(S$4:S$200,"&lt;&gt;-",$D$4:$D$200,"&lt;&gt;是",$E$4:$E$200,"&lt;&gt;封闭期",$H$4:$H$200,"&gt;10",$BN$4:$BN$200,"&gt;-6",$BR$4:$BR$200,"&gt;=70",$C$4:$C$200,"&lt;20190630",$K$4:$K$200,"&lt;=30"))</f>
        <v>-</v>
      </c>
      <c r="W50" s="33" t="str">
        <f>IF(OR($C50&gt;20190630,$K50&gt;30,S50="-",$D50="是",$E50="封闭期",$H50&lt;10,$BN50&lt;-6,$BR50&lt;70),"-",COUNTIFS(S$4:S$200,"&lt;&gt;-",$D$4:$D$200,"&lt;&gt;是",$E$4:$E$200,"&lt;&gt;封闭期",$H$4:$H$200,"&gt;10",$BN$4:$BN$200,"&gt;-6",$BR$4:$BR$200,"&gt;=70",$K$4:$K$200,"&lt;=30",$C$4:$C$200,"&lt;20190630",S$4:S$200,"&gt;="&amp;S50)/COUNTIFS(S$4:S$200,"&lt;&gt;-",$D$4:$D$200,"&lt;&gt;是",$E$4:$E$200,"&lt;&gt;封闭期",$H$4:$H$200,"&gt;10",$BN$4:$BN$200,"&gt;-6",$BR$4:$BR$200,"&gt;=70",$C$4:$C$200,"&lt;20190630",$K$4:$K$200,"&lt;=30"))</f>
        <v>-</v>
      </c>
      <c r="X50" s="19">
        <f>[1]!f_risk_calmar(A50,$L$2,$E$1)</f>
        <v>1.9441479958172208</v>
      </c>
      <c r="Y50" s="19" t="str">
        <f>IFERROR(RANK(X50,X:X)&amp;"/"&amp;COUNT(X:X),"-")</f>
        <v>102/197</v>
      </c>
      <c r="Z50" s="26">
        <f>IFERROR(RANK(X50,X:X)/COUNT(X:X),"-")</f>
        <v>0.51776649746192893</v>
      </c>
      <c r="AA50" s="34" t="str">
        <f>IF(OR($C50&gt;20190630,$K50&gt;30,X50="-",$D50="是",$E50="封闭期",$H50&lt;10,$BN50&lt;-6,$BR50&lt;70),"-",COUNTIFS(X$4:X$200,"&lt;&gt;-",$D$4:$D$200,"&lt;&gt;是",$E$4:$E$200,"&lt;&gt;封闭期",$H$4:$H$200,"&gt;10",$BN$4:$BN$200,"&gt;-6",$BR$4:$BR$200,"&gt;=70",$K$4:$K$200,"&lt;=30",$C$4:$C$200,"&lt;20190630",X$4:X$200,"&gt;="&amp;X50)&amp;"/"&amp;COUNTIFS(X$4:X$200,"&lt;&gt;-",$D$4:$D$200,"&lt;&gt;是",$E$4:$E$200,"&lt;&gt;封闭期",$H$4:$H$200,"&gt;10",$BN$4:$BN$200,"&gt;-6",$BR$4:$BR$200,"&gt;=70",$C$4:$C$200,"&lt;20190630",$K$4:$K$200,"&lt;=30"))</f>
        <v>-</v>
      </c>
      <c r="AB50" s="33" t="str">
        <f>IF(OR($C50&gt;20190630,$K50&gt;30,X50="-",$D50="是",$E50="封闭期",$H50&lt;10,$BN50&lt;-6,$BR50&lt;70),"-",COUNTIFS(X$4:X$200,"&lt;&gt;-",$D$4:$D$200,"&lt;&gt;是",$E$4:$E$200,"&lt;&gt;封闭期",$H$4:$H$200,"&gt;10",$BN$4:$BN$200,"&gt;-6",$BR$4:$BR$200,"&gt;=70",$K$4:$K$200,"&lt;=30",$C$4:$C$200,"&lt;20190630",X$4:X$200,"&gt;="&amp;X50)/COUNTIFS(X$4:X$200,"&lt;&gt;-",$D$4:$D$200,"&lt;&gt;是",$E$4:$E$200,"&lt;&gt;封闭期",$H$4:$H$200,"&gt;10",$BN$4:$BN$200,"&gt;-6",$BR$4:$BR$200,"&gt;=70",$C$4:$C$200,"&lt;20190630",$K$4:$K$200,"&lt;=30"))</f>
        <v>-</v>
      </c>
      <c r="AC50" s="20">
        <v>0.89915966386554624</v>
      </c>
      <c r="AD50" s="19" t="str">
        <f>IFERROR(RANK(AC50,AC:AC)&amp;"/"&amp;COUNT(AC:AC),"-")</f>
        <v>130/197</v>
      </c>
      <c r="AE50" s="26">
        <f>IFERROR(RANK(AC50,AC:AC)/COUNT(AC:AC),"-")</f>
        <v>0.65989847715736039</v>
      </c>
      <c r="AF50" s="34" t="str">
        <f>IF(OR($C50&gt;20190630,$K50&gt;30,AC50="-",$D50="是",$E50="封闭期",$H50&lt;10,$BN50&lt;-6,$BR50&lt;70),"-",COUNTIFS(AC$4:AC$200,"&lt;&gt;-",$D$4:$D$200,"&lt;&gt;是",$E$4:$E$200,"&lt;&gt;封闭期",$H$4:$H$200,"&gt;10",$BN$4:$BN$200,"&gt;-6",$BR$4:$BR$200,"&gt;=70",$K$4:$K$200,"&lt;=30",$C$4:$C$200,"&lt;20190630",AC$4:AC$200,"&gt;="&amp;AC50)&amp;"/"&amp;COUNTIFS(AC$4:AC$200,"&lt;&gt;-",$D$4:$D$200,"&lt;&gt;是",$E$4:$E$200,"&lt;&gt;封闭期",$H$4:$H$200,"&gt;10",$BN$4:$BN$200,"&gt;-6",$BR$4:$BR$200,"&gt;=70",$C$4:$C$200,"&lt;20190630",$K$4:$K$200,"&lt;=30"))</f>
        <v>-</v>
      </c>
      <c r="AG50" s="33" t="str">
        <f>IF(OR($C50&gt;20190630,$K50&gt;30,AC50="-",$D50="是",$E50="封闭期",$H50&lt;10,$BN50&lt;-6,$BR50&lt;70),"-",COUNTIFS(AC$4:AC$200,"&lt;&gt;-",$D$4:$D$200,"&lt;&gt;是",$E$4:$E$200,"&lt;&gt;封闭期",$H$4:$H$200,"&gt;10",$BN$4:$BN$200,"&gt;-6",$BR$4:$BR$200,"&gt;=70",$K$4:$K$200,"&lt;=30",$C$4:$C$200,"&lt;20190630",AC$4:AC$200,"&gt;="&amp;AC50)/COUNTIFS(AC$4:AC$200,"&lt;&gt;-",$D$4:$D$200,"&lt;&gt;是",$E$4:$E$200,"&lt;&gt;封闭期",$H$4:$H$200,"&gt;10",$BN$4:$BN$200,"&gt;-6",$BR$4:$BR$200,"&gt;=70",$C$4:$C$200,"&lt;20190630",$K$4:$K$200,"&lt;=30"))</f>
        <v>-</v>
      </c>
      <c r="AH50" s="21">
        <f>[1]!f_risk_maxdownside(A50,$L$2,$E$1)</f>
        <v>-3.7406483790523861</v>
      </c>
      <c r="AI50" s="19" t="str">
        <f>IFERROR(RANK(AH50,AH:AH)&amp;"/"&amp;COUNT(AH:AH),"-")</f>
        <v>117/197</v>
      </c>
      <c r="AJ50" s="26">
        <f>IFERROR(RANK(AH50,AH:AH)/COUNT(AH:AH),"-")</f>
        <v>0.59390862944162437</v>
      </c>
      <c r="AK50" s="34" t="str">
        <f>IF(OR($C50&gt;20190630,$K50&gt;30,AH50="-",$D50="是",$E50="封闭期",$H50&lt;10,$BN50&lt;-6,$BR50&lt;70),"-",COUNTIFS(AH$4:AH$200,"&lt;&gt;-",$D$4:$D$200,"&lt;&gt;是",$E$4:$E$200,"&lt;&gt;封闭期",$H$4:$H$200,"&gt;10",$BN$4:$BN$200,"&gt;-6",$BR$4:$BR$200,"&gt;=70",$K$4:$K$200,"&lt;=30",$C$4:$C$200,"&lt;20190630",AH$4:AH$200,"&gt;="&amp;AH50)&amp;"/"&amp;COUNTIFS(AH$4:AH$200,"&lt;&gt;-",$D$4:$D$200,"&lt;&gt;是",$E$4:$E$200,"&lt;&gt;封闭期",$H$4:$H$200,"&gt;10",$BN$4:$BN$200,"&gt;-6",$BR$4:$BR$200,"&gt;=70",$C$4:$C$200,"&lt;20190630",$K$4:$K$200,"&lt;=30"))</f>
        <v>-</v>
      </c>
      <c r="AL50" s="33" t="str">
        <f>IF(OR($C50&gt;20190630,$K50&gt;30,AH50="-",$D50="是",$E50="封闭期",$H50&lt;10,$BN50&lt;-6,$BR50&lt;70),"-",COUNTIFS(AH$4:AH$200,"&lt;&gt;-",$D$4:$D$200,"&lt;&gt;是",$E$4:$E$200,"&lt;&gt;封闭期",$H$4:$H$200,"&gt;10",$BN$4:$BN$200,"&gt;-6",$BR$4:$BR$200,"&gt;=70",$K$4:$K$200,"&lt;=30",$C$4:$C$200,"&lt;20190630",AH$4:AH$200,"&gt;="&amp;AH50)/COUNTIFS(AH$4:AH$200,"&lt;&gt;-",$D$4:$D$200,"&lt;&gt;是",$E$4:$E$200,"&lt;&gt;封闭期",$H$4:$H$200,"&gt;10",$BN$4:$BN$200,"&gt;-6",$BR$4:$BR$200,"&gt;=70",$C$4:$C$200,"&lt;20190630",$K$4:$K$200,"&lt;=30"))</f>
        <v>-</v>
      </c>
      <c r="AM50" s="19">
        <f>[1]!f_return($A50,"1",AM$2,$L$2)</f>
        <v>10.496232233785975</v>
      </c>
      <c r="AN50" s="19">
        <f>[1]!f_risk_stdevyearly($A50,AM$2,$L$2,1,1)</f>
        <v>6.0306072830726256</v>
      </c>
      <c r="AO50" s="19">
        <f>IFERROR(AM50/AN50,"-")</f>
        <v>1.7404934098839362</v>
      </c>
      <c r="AP50" s="19" t="str">
        <f>IFERROR(RANK(AO50,AO:AO)&amp;"/"&amp;COUNT(AO:AO),"-")</f>
        <v>74/197</v>
      </c>
      <c r="AQ50" s="26">
        <f>IF(AP50="-","-",RANK(AO50,AO:AO)/COUNT(AO:AO))</f>
        <v>0.37563451776649748</v>
      </c>
      <c r="AR50" s="57">
        <v>0.23857868020304568</v>
      </c>
      <c r="AS50" s="33" t="str">
        <f>IF(OR($C50&gt;20190630,$K50&gt;30,AO50="-",$D50="是",$E50="封闭期",$H50&lt;10,$BN50&lt;-6,$BR50&lt;70),"-",COUNTIFS(AO$4:AO$200,"&lt;&gt;-",$D$4:$D$200,"&lt;&gt;是",$E$4:$E$200,"&lt;&gt;封闭期",$H$4:$H$200,"&gt;10",$BN$4:$BN$200,"&gt;-6",$BR$4:$BR$200,"&gt;=70",$K$4:$K$200,"&lt;=30",$C$4:$C$200,"&lt;20190630",AO$4:AO$200,"&gt;="&amp;AO50)/COUNTIFS(AO$4:AO$200,"&lt;&gt;-",$D$4:$D$200,"&lt;&gt;是",$E$4:$E$200,"&lt;&gt;封闭期",$H$4:$H$200,"&gt;10",$BN$4:$BN$200,"&gt;-6",$BR$4:$BR$200,"&gt;=70",$C$4:$C$200,"&lt;20190630",$K$4:$K$200,"&lt;=30"))</f>
        <v>-</v>
      </c>
      <c r="AT50" s="19">
        <f>IFERROR((AM50-3)/AN50,"-")</f>
        <v>1.2430310716513122</v>
      </c>
      <c r="AU50" s="19" t="str">
        <f>IFERROR(RANK(AT50,AT:AT)&amp;"/"&amp;COUNT(AT:AT),"-")</f>
        <v>49/197</v>
      </c>
      <c r="AV50" s="26">
        <f>IFERROR(RANK(AT50,AT:AT)/COUNT(AT:AT),"-")</f>
        <v>0.24873096446700507</v>
      </c>
      <c r="AW50" s="34" t="str">
        <f>IF(OR($C50&gt;20190630,$K50&gt;30,AT50="-",$D50="是",$E50="封闭期",$H50&lt;10,$BN50&lt;-6,$BR50&lt;70),"-",COUNTIFS(AT$4:AT$200,"&lt;&gt;-",$D$4:$D$200,"&lt;&gt;是",$E$4:$E$200,"&lt;&gt;封闭期",$H$4:$H$200,"&gt;10",$BN$4:$BN$200,"&gt;-6",$BR$4:$BR$200,"&gt;=70",$K$4:$K$200,"&lt;=30",$C$4:$C$200,"&lt;20190630",AT$4:AT$200,"&gt;="&amp;AT50)&amp;"/"&amp;COUNTIFS(AT$4:AT$200,"&lt;&gt;-",$D$4:$D$200,"&lt;&gt;是",$E$4:$E$200,"&lt;&gt;封闭期",$H$4:$H$200,"&gt;10",$BN$4:$BN$200,"&gt;-6",$BR$4:$BR$200,"&gt;=70",$C$4:$C$200,"&lt;20190630",$K$4:$K$200,"&lt;=30"))</f>
        <v>-</v>
      </c>
      <c r="AX50" s="33" t="str">
        <f>IF(OR($C50&gt;20190630,$K50&gt;30,AT50="-",$D50="是",$E50="封闭期",$H50&lt;10,$BN50&lt;-6,$BR50&lt;70),"-",COUNTIFS(AT$4:AT$200,"&lt;&gt;-",$D$4:$D$200,"&lt;&gt;是",$E$4:$E$200,"&lt;&gt;封闭期",$H$4:$H$200,"&gt;10",$BN$4:$BN$200,"&gt;-6",$BR$4:$BR$200,"&gt;=70",$K$4:$K$200,"&lt;=30",$C$4:$C$200,"&lt;20190630",AT$4:AT$200,"&gt;="&amp;AT50)/COUNTIFS(AT$4:AT$200,"&lt;&gt;-",$D$4:$D$200,"&lt;&gt;是",$E$4:$E$200,"&lt;&gt;封闭期",$H$4:$H$200,"&gt;10",$BN$4:$BN$200,"&gt;-6",$BR$4:$BR$200,"&gt;=70",$C$4:$C$200,"&lt;20190630",$K$4:$K$200,"&lt;=30"))</f>
        <v>-</v>
      </c>
      <c r="AY50" s="19">
        <f>[1]!f_risk_calmar(A50,$AM$2,$L$2)</f>
        <v>2.3050753714201071</v>
      </c>
      <c r="AZ50" s="19" t="str">
        <f>IFERROR(RANK(AY50,AY:AY)&amp;"/"&amp;COUNT(AY:AY),"-")</f>
        <v>90/197</v>
      </c>
      <c r="BA50" s="26">
        <f>IFERROR(RANK(AY50,AY:AY)/COUNT(AY:AY),"-")</f>
        <v>0.45685279187817257</v>
      </c>
      <c r="BB50" s="34" t="str">
        <f>IF(OR($C50&gt;20190630,$K50&gt;30,AY50="-",$D50="是",$E50="封闭期",$H50&lt;10,$BN50&lt;-6,$BR50&lt;70),"-",COUNTIFS(AY$4:AY$200,"&lt;&gt;-",$D$4:$D$200,"&lt;&gt;是",$E$4:$E$200,"&lt;&gt;封闭期",$H$4:$H$200,"&gt;10",$BN$4:$BN$200,"&gt;-6",$BR$4:$BR$200,"&gt;=70",$K$4:$K$200,"&lt;=30",$C$4:$C$200,"&lt;20190630",AY$4:AY$200,"&gt;="&amp;AY50)&amp;"/"&amp;COUNTIFS(AY$4:AY$200,"&lt;&gt;-",$D$4:$D$200,"&lt;&gt;是",$E$4:$E$200,"&lt;&gt;封闭期",$H$4:$H$200,"&gt;10",$BN$4:$BN$200,"&gt;-6",$BR$4:$BR$200,"&gt;=70",$C$4:$C$200,"&lt;20190630",$K$4:$K$200,"&lt;=30"))</f>
        <v>-</v>
      </c>
      <c r="BC50" s="33" t="str">
        <f>IF(OR($C50&gt;20190630,$K50&gt;30,AY50="-",$D50="是",$E50="封闭期",$H50&lt;10,$BN50&lt;-6,$BR50&lt;70),"-",COUNTIFS(AY$4:AY$200,"&lt;&gt;-",$D$4:$D$200,"&lt;&gt;是",$E$4:$E$200,"&lt;&gt;封闭期",$H$4:$H$200,"&gt;10",$BN$4:$BN$200,"&gt;-6",$BR$4:$BR$200,"&gt;=70",$K$4:$K$200,"&lt;=30",$C$4:$C$200,"&lt;20190630",AY$4:AY$200,"&gt;="&amp;AY50)/COUNTIFS(AY$4:AY$200,"&lt;&gt;-",$D$4:$D$200,"&lt;&gt;是",$E$4:$E$200,"&lt;&gt;封闭期",$H$4:$H$200,"&gt;10",$BN$4:$BN$200,"&gt;-6",$BR$4:$BR$200,"&gt;=70",$C$4:$C$200,"&lt;20190630",$K$4:$K$200,"&lt;=30"))</f>
        <v>-</v>
      </c>
      <c r="BD50" s="20">
        <v>1</v>
      </c>
      <c r="BE50" s="19" t="str">
        <f>IFERROR(RANK(BD50,BD:BD)&amp;"/"&amp;COUNT(BD:BD),"-")</f>
        <v>1/197</v>
      </c>
      <c r="BF50" s="26">
        <f>IFERROR(RANK(BD50,BD:BD)/COUNT(BD:BD),"-")</f>
        <v>5.076142131979695E-3</v>
      </c>
      <c r="BG50" s="34" t="str">
        <f>IF(OR($C50&gt;20190630,$K50&gt;30,BD50="-",$D50="是",$E50="封闭期",$H50&lt;10,$BN50&lt;-6,$BR50&lt;70),"-",COUNTIFS(BD$4:BD$200,"&lt;&gt;-",$D$4:$D$200,"&lt;&gt;是",$E$4:$E$200,"&lt;&gt;封闭期",$H$4:$H$200,"&gt;10",$BN$4:$BN$200,"&gt;-6",$BR$4:$BR$200,"&gt;=70",$K$4:$K$200,"&lt;=30",$C$4:$C$200,"&lt;20190630",BD$4:BD$200,"&gt;="&amp;BD50)&amp;"/"&amp;COUNTIFS(BD$4:BD$200,"&lt;&gt;-",$D$4:$D$200,"&lt;&gt;是",$E$4:$E$200,"&lt;&gt;封闭期",$H$4:$H$200,"&gt;10",$BN$4:$BN$200,"&gt;-6",$BR$4:$BR$200,"&gt;=70",$C$4:$C$200,"&lt;20190630",$K$4:$K$200,"&lt;=30"))</f>
        <v>-</v>
      </c>
      <c r="BH50" s="33" t="str">
        <f>IF(OR($C50&gt;20190630,$K50&gt;30,BD50="-",$D50="是",$E50="封闭期",$H50&lt;10,$BN50&lt;-6,$BR50&lt;70),"-",COUNTIFS(BD$4:BD$200,"&lt;&gt;-",$D$4:$D$200,"&lt;&gt;是",$E$4:$E$200,"&lt;&gt;封闭期",$H$4:$H$200,"&gt;10",$BN$4:$BN$200,"&gt;-6",$BR$4:$BR$200,"&gt;=70",$K$4:$K$200,"&lt;=30",$C$4:$C$200,"&lt;20190630",BD$4:BD$200,"&gt;="&amp;BD50)/COUNTIFS(BD$4:BD$200,"&lt;&gt;-",$D$4:$D$200,"&lt;&gt;是",$E$4:$E$200,"&lt;&gt;封闭期",$H$4:$H$200,"&gt;10",$BN$4:$BN$200,"&gt;-6",$BR$4:$BR$200,"&gt;=70",$C$4:$C$200,"&lt;20190630",$K$4:$K$200,"&lt;=30"))</f>
        <v>-</v>
      </c>
      <c r="BI50" s="21">
        <f>[1]!f_risk_maxdownside(A50,$AM$2,$L$2)</f>
        <v>-4.5535310315338942</v>
      </c>
      <c r="BJ50" s="19" t="str">
        <f>IFERROR(RANK(BI50,BI:BI)&amp;"/"&amp;COUNT(BI:BI),"-")</f>
        <v>147/197</v>
      </c>
      <c r="BK50" s="26">
        <f>IFERROR(RANK(BI50,BI:BI)/COUNT(BI:BI),"-")</f>
        <v>0.74619289340101524</v>
      </c>
      <c r="BL50" s="34" t="str">
        <f>IF(OR($C50&gt;20190630,$K50&gt;30,BI50="-",$D50="是",$E50="封闭期",$H50&lt;10,$BN50&lt;-6,$BR50&lt;70),"-",COUNTIFS(BI$4:BI$200,"&lt;&gt;-",$D$4:$D$200,"&lt;&gt;是",$E$4:$E$200,"&lt;&gt;封闭期",$H$4:$H$200,"&gt;10",$BN$4:$BN$200,"&gt;-6",$BR$4:$BR$200,"&gt;=70",$K$4:$K$200,"&lt;=30",$C$4:$C$200,"&lt;20190630",BI$4:BI$200,"&gt;="&amp;BI50)&amp;"/"&amp;COUNTIFS(BI$4:BI$200,"&lt;&gt;-",$D$4:$D$200,"&lt;&gt;是",$E$4:$E$200,"&lt;&gt;封闭期",$H$4:$H$200,"&gt;10",$BN$4:$BN$200,"&gt;-6",$BR$4:$BR$200,"&gt;=70",$C$4:$C$200,"&lt;20190630",$K$4:$K$200,"&lt;=30"))</f>
        <v>-</v>
      </c>
      <c r="BM50" s="33" t="str">
        <f>IF(OR($C50&gt;20190630,$K50&gt;30,BI50="-",$D50="是",$E50="封闭期",$H50&lt;10,$BN50&lt;-6,$BR50&lt;70),"-",COUNTIFS(BI$4:BI$200,"&lt;&gt;-",$D$4:$D$200,"&lt;&gt;是",$E$4:$E$200,"&lt;&gt;封闭期",$H$4:$H$200,"&gt;10",$BN$4:$BN$200,"&gt;-6",$BR$4:$BR$200,"&gt;=70",$K$4:$K$200,"&lt;=30",$C$4:$C$200,"&lt;20190630",BI$4:BI$200,"&gt;="&amp;BI50)/COUNTIFS(BI$4:BI$200,"&lt;&gt;-",$D$4:$D$200,"&lt;&gt;是",$E$4:$E$200,"&lt;&gt;封闭期",$H$4:$H$200,"&gt;10",$BN$4:$BN$200,"&gt;-6",$BR$4:$BR$200,"&gt;=70",$C$4:$C$200,"&lt;20190630",$K$4:$K$200,"&lt;=30"))</f>
        <v>-</v>
      </c>
      <c r="BN50" s="21">
        <f>[1]!f_risk_maxdownside(A50,$AM$2,$E$1)</f>
        <v>-4.5535310315338942</v>
      </c>
      <c r="BO50" s="21">
        <f>IF(C50&lt;20190930,[1]!f_return_2y(A50,"0","20210930"),"-")</f>
        <v>18.619314901779934</v>
      </c>
      <c r="BP50" s="19" t="str">
        <f>IFERROR(RANK(BO50,BO:BO)&amp;"/"&amp;COUNT(BO:BO),"-")</f>
        <v>47/197</v>
      </c>
      <c r="BQ50" s="25">
        <f>IFERROR(RANK(BO50,BO:BO)/COUNT(BO:BO),"-")</f>
        <v>0.23857868020304568</v>
      </c>
      <c r="BR50" s="19">
        <f>IF(C50&lt;20190930,[1]!f_absolute_profitmonthper(A50,"20190930","20210930"),"-")</f>
        <v>66.666666666666657</v>
      </c>
      <c r="BS50" s="19" t="str">
        <f>IFERROR(RANK(BR50,BR:BR)&amp;"/"&amp;COUNT(BR:BR),"-")</f>
        <v>115/198</v>
      </c>
      <c r="BT50" s="25">
        <f>IFERROR(RANK(BR50,BR:BR)/COUNT(BR:BR),"-")</f>
        <v>0.58080808080808077</v>
      </c>
      <c r="BV50" s="12">
        <f>X50-3/M50</f>
        <v>1.4149901350338652</v>
      </c>
      <c r="BW50" s="76">
        <f>IFERROR(RANK(BV50,BV:BV)/COUNT(BV:BV),"-")</f>
        <v>0.49238578680203043</v>
      </c>
      <c r="BX50" s="76">
        <f>IFERROR(RANK(L50,L:L)/COUNT(L:L),"-")</f>
        <v>0.34343434343434343</v>
      </c>
      <c r="BY50" s="12">
        <f>AY50-3/AN50</f>
        <v>1.8076130331874831</v>
      </c>
      <c r="BZ50" s="76">
        <f>IFERROR(RANK(BY50,BY:BY)/COUNT(BY:BY),"-")</f>
        <v>0.39086294416243655</v>
      </c>
      <c r="CA50" s="76">
        <f>IFERROR(RANK(AM50,AM:AM)/COUNT(AM:AM),"-")</f>
        <v>0.24242424242424243</v>
      </c>
      <c r="CB50" s="2"/>
      <c r="CC50" s="77">
        <f>AV50+BF50+BZ50+CA50</f>
        <v>0.8870942931856638</v>
      </c>
      <c r="CD50" s="77">
        <f>BW50+BX50+AE50+U50</f>
        <v>1.983028252063785</v>
      </c>
      <c r="CE50" s="77">
        <f>CC50+CD50</f>
        <v>2.8701225452494485</v>
      </c>
    </row>
    <row r="51" spans="1:83" s="2" customFormat="1" x14ac:dyDescent="0.35">
      <c r="A51" s="15" t="s">
        <v>135</v>
      </c>
      <c r="B51" s="15" t="s">
        <v>136</v>
      </c>
      <c r="C51" s="16">
        <v>20130313</v>
      </c>
      <c r="D51" s="16" t="str">
        <f>[1]!f_info_regulopenfundornot(A51)</f>
        <v>否</v>
      </c>
      <c r="E51" s="16" t="str">
        <f>[1]!f_dq_status(A51,$E$1)</f>
        <v>开放申购|开放赎回</v>
      </c>
      <c r="F51" s="17" t="str">
        <f>[1]!f_info_fundmanager(A51)</f>
        <v>陈大烨,杨雅洁</v>
      </c>
      <c r="G51" s="16">
        <v>20210807</v>
      </c>
      <c r="H51" s="18">
        <f>[1]!f_netasset_total(A51,$E$1,100000000)</f>
        <v>18.3174994594</v>
      </c>
      <c r="I51" s="18">
        <f>[1]!f_prt_convertiblebondtonav(A51,$E$1)</f>
        <v>0</v>
      </c>
      <c r="J51" s="18">
        <f>[1]!f_prt_stocktonav(A51,$E$1)+0.5*I51</f>
        <v>8.4121799468994141</v>
      </c>
      <c r="K51" s="19">
        <v>17.54185939583072</v>
      </c>
      <c r="L51" s="19">
        <f>[1]!f_return($A51,"1",L$2,$E$1)</f>
        <v>10.365983300422531</v>
      </c>
      <c r="M51" s="19">
        <f>[1]!f_risk_stdevyearly($A51,L$2,$E$1,1,1)</f>
        <v>7.2586496707731598</v>
      </c>
      <c r="N51" s="19">
        <f>IFERROR(L51/M51,"-")</f>
        <v>1.428087009373245</v>
      </c>
      <c r="O51" s="19" t="str">
        <f>IFERROR(RANK(N51,N:N)&amp;"/"&amp;COUNT(N:N),"-")</f>
        <v>95/197</v>
      </c>
      <c r="P51" s="26">
        <f>IF(O51="-","-",RANK(N51,N:N)/COUNT(N:N))</f>
        <v>0.48223350253807107</v>
      </c>
      <c r="Q51" s="56">
        <v>0.14213197969543148</v>
      </c>
      <c r="R51" s="33" t="str">
        <f>IF(OR($C51&gt;20190630,$K51&gt;30,N51="-",$D51="是",$E51="封闭期",$H51&lt;10,$BN51&lt;-6,$BR51&lt;70),"-",COUNTIFS(N$4:N$200,"&lt;&gt;-",$D$4:$D$200,"&lt;&gt;是",$E$4:$E$200,"&lt;&gt;封闭期",$H$4:$H$200,"&gt;10",$BN$4:$BN$200,"&gt;-6",$BR$4:$BR$200,"&gt;=70",$K$4:$K$200,"&lt;=30",$C$4:$C$200,"&lt;20190630",N$4:N$200,"&gt;="&amp;N51)/COUNTIFS(N$4:N$200,"&lt;&gt;-",$D$4:$D$200,"&lt;&gt;是",$E$4:$E$200,"&lt;&gt;封闭期",$H$4:$H$200,"&gt;10",$BN$4:$BN$200,"&gt;-6",$BR$4:$BR$200,"&gt;=70",$C$4:$C$200,"&lt;20190630",$K$4:$K$200,"&lt;=30"))</f>
        <v>-</v>
      </c>
      <c r="S51" s="19">
        <f>IFERROR((L51-3)/M51,"-")</f>
        <v>1.0147869968269096</v>
      </c>
      <c r="T51" s="19" t="str">
        <f>IFERROR(RANK(S51,S:S)&amp;"/"&amp;COUNT(S:S),"-")</f>
        <v>73/197</v>
      </c>
      <c r="U51" s="26">
        <f>IFERROR(RANK(S51,S:S)/COUNT(S:S),"-")</f>
        <v>0.37055837563451777</v>
      </c>
      <c r="V51" s="34" t="str">
        <f>IF(OR($C51&gt;20190630,$K51&gt;30,S51="-",$D51="是",$E51="封闭期",$H51&lt;10,$BN51&lt;-6,$BR51&lt;70),"-",COUNTIFS(S$4:S$200,"&lt;&gt;-",$D$4:$D$200,"&lt;&gt;是",$E$4:$E$200,"&lt;&gt;封闭期",$H$4:$H$200,"&gt;10",$BN$4:$BN$200,"&gt;-6",$BR$4:$BR$200,"&gt;=70",$K$4:$K$200,"&lt;=30",$C$4:$C$200,"&lt;20190630",S$4:S$200,"&gt;="&amp;S51)&amp;"/"&amp;COUNTIFS(S$4:S$200,"&lt;&gt;-",$D$4:$D$200,"&lt;&gt;是",$E$4:$E$200,"&lt;&gt;封闭期",$H$4:$H$200,"&gt;10",$BN$4:$BN$200,"&gt;-6",$BR$4:$BR$200,"&gt;=70",$C$4:$C$200,"&lt;20190630",$K$4:$K$200,"&lt;=30"))</f>
        <v>-</v>
      </c>
      <c r="W51" s="33" t="str">
        <f>IF(OR($C51&gt;20190630,$K51&gt;30,S51="-",$D51="是",$E51="封闭期",$H51&lt;10,$BN51&lt;-6,$BR51&lt;70),"-",COUNTIFS(S$4:S$200,"&lt;&gt;-",$D$4:$D$200,"&lt;&gt;是",$E$4:$E$200,"&lt;&gt;封闭期",$H$4:$H$200,"&gt;10",$BN$4:$BN$200,"&gt;-6",$BR$4:$BR$200,"&gt;=70",$K$4:$K$200,"&lt;=30",$C$4:$C$200,"&lt;20190630",S$4:S$200,"&gt;="&amp;S51)/COUNTIFS(S$4:S$200,"&lt;&gt;-",$D$4:$D$200,"&lt;&gt;是",$E$4:$E$200,"&lt;&gt;封闭期",$H$4:$H$200,"&gt;10",$BN$4:$BN$200,"&gt;-6",$BR$4:$BR$200,"&gt;=70",$C$4:$C$200,"&lt;20190630",$K$4:$K$200,"&lt;=30"))</f>
        <v>-</v>
      </c>
      <c r="X51" s="19">
        <f>[1]!f_risk_calmar(A51,$L$2,$E$1)</f>
        <v>1.6288391506875528</v>
      </c>
      <c r="Y51" s="19" t="str">
        <f>IFERROR(RANK(X51,X:X)&amp;"/"&amp;COUNT(X:X),"-")</f>
        <v>122/197</v>
      </c>
      <c r="Z51" s="26">
        <f>IFERROR(RANK(X51,X:X)/COUNT(X:X),"-")</f>
        <v>0.61928934010152281</v>
      </c>
      <c r="AA51" s="34" t="str">
        <f>IF(OR($C51&gt;20190630,$K51&gt;30,X51="-",$D51="是",$E51="封闭期",$H51&lt;10,$BN51&lt;-6,$BR51&lt;70),"-",COUNTIFS(X$4:X$200,"&lt;&gt;-",$D$4:$D$200,"&lt;&gt;是",$E$4:$E$200,"&lt;&gt;封闭期",$H$4:$H$200,"&gt;10",$BN$4:$BN$200,"&gt;-6",$BR$4:$BR$200,"&gt;=70",$K$4:$K$200,"&lt;=30",$C$4:$C$200,"&lt;20190630",X$4:X$200,"&gt;="&amp;X51)&amp;"/"&amp;COUNTIFS(X$4:X$200,"&lt;&gt;-",$D$4:$D$200,"&lt;&gt;是",$E$4:$E$200,"&lt;&gt;封闭期",$H$4:$H$200,"&gt;10",$BN$4:$BN$200,"&gt;-6",$BR$4:$BR$200,"&gt;=70",$C$4:$C$200,"&lt;20190630",$K$4:$K$200,"&lt;=30"))</f>
        <v>-</v>
      </c>
      <c r="AB51" s="33" t="str">
        <f>IF(OR($C51&gt;20190630,$K51&gt;30,X51="-",$D51="是",$E51="封闭期",$H51&lt;10,$BN51&lt;-6,$BR51&lt;70),"-",COUNTIFS(X$4:X$200,"&lt;&gt;-",$D$4:$D$200,"&lt;&gt;是",$E$4:$E$200,"&lt;&gt;封闭期",$H$4:$H$200,"&gt;10",$BN$4:$BN$200,"&gt;-6",$BR$4:$BR$200,"&gt;=70",$K$4:$K$200,"&lt;=30",$C$4:$C$200,"&lt;20190630",X$4:X$200,"&gt;="&amp;X51)/COUNTIFS(X$4:X$200,"&lt;&gt;-",$D$4:$D$200,"&lt;&gt;是",$E$4:$E$200,"&lt;&gt;封闭期",$H$4:$H$200,"&gt;10",$BN$4:$BN$200,"&gt;-6",$BR$4:$BR$200,"&gt;=70",$C$4:$C$200,"&lt;20190630",$K$4:$K$200,"&lt;=30"))</f>
        <v>-</v>
      </c>
      <c r="AC51" s="20">
        <v>0.94117647058823528</v>
      </c>
      <c r="AD51" s="19" t="str">
        <f>IFERROR(RANK(AC51,AC:AC)&amp;"/"&amp;COUNT(AC:AC),"-")</f>
        <v>115/197</v>
      </c>
      <c r="AE51" s="26">
        <f>IFERROR(RANK(AC51,AC:AC)/COUNT(AC:AC),"-")</f>
        <v>0.58375634517766495</v>
      </c>
      <c r="AF51" s="34" t="str">
        <f>IF(OR($C51&gt;20190630,$K51&gt;30,AC51="-",$D51="是",$E51="封闭期",$H51&lt;10,$BN51&lt;-6,$BR51&lt;70),"-",COUNTIFS(AC$4:AC$200,"&lt;&gt;-",$D$4:$D$200,"&lt;&gt;是",$E$4:$E$200,"&lt;&gt;封闭期",$H$4:$H$200,"&gt;10",$BN$4:$BN$200,"&gt;-6",$BR$4:$BR$200,"&gt;=70",$K$4:$K$200,"&lt;=30",$C$4:$C$200,"&lt;20190630",AC$4:AC$200,"&gt;="&amp;AC51)&amp;"/"&amp;COUNTIFS(AC$4:AC$200,"&lt;&gt;-",$D$4:$D$200,"&lt;&gt;是",$E$4:$E$200,"&lt;&gt;封闭期",$H$4:$H$200,"&gt;10",$BN$4:$BN$200,"&gt;-6",$BR$4:$BR$200,"&gt;=70",$C$4:$C$200,"&lt;20190630",$K$4:$K$200,"&lt;=30"))</f>
        <v>-</v>
      </c>
      <c r="AG51" s="33" t="str">
        <f>IF(OR($C51&gt;20190630,$K51&gt;30,AC51="-",$D51="是",$E51="封闭期",$H51&lt;10,$BN51&lt;-6,$BR51&lt;70),"-",COUNTIFS(AC$4:AC$200,"&lt;&gt;-",$D$4:$D$200,"&lt;&gt;是",$E$4:$E$200,"&lt;&gt;封闭期",$H$4:$H$200,"&gt;10",$BN$4:$BN$200,"&gt;-6",$BR$4:$BR$200,"&gt;=70",$K$4:$K$200,"&lt;=30",$C$4:$C$200,"&lt;20190630",AC$4:AC$200,"&gt;="&amp;AC51)/COUNTIFS(AC$4:AC$200,"&lt;&gt;-",$D$4:$D$200,"&lt;&gt;是",$E$4:$E$200,"&lt;&gt;封闭期",$H$4:$H$200,"&gt;10",$BN$4:$BN$200,"&gt;-6",$BR$4:$BR$200,"&gt;=70",$C$4:$C$200,"&lt;20190630",$K$4:$K$200,"&lt;=30"))</f>
        <v>-</v>
      </c>
      <c r="AH51" s="21">
        <f>[1]!f_risk_maxdownside(A51,$L$2,$E$1)</f>
        <v>-6.3640312771503087</v>
      </c>
      <c r="AI51" s="19" t="str">
        <f>IFERROR(RANK(AH51,AH:AH)&amp;"/"&amp;COUNT(AH:AH),"-")</f>
        <v>182/197</v>
      </c>
      <c r="AJ51" s="26">
        <f>IFERROR(RANK(AH51,AH:AH)/COUNT(AH:AH),"-")</f>
        <v>0.92385786802030456</v>
      </c>
      <c r="AK51" s="34" t="str">
        <f>IF(OR($C51&gt;20190630,$K51&gt;30,AH51="-",$D51="是",$E51="封闭期",$H51&lt;10,$BN51&lt;-6,$BR51&lt;70),"-",COUNTIFS(AH$4:AH$200,"&lt;&gt;-",$D$4:$D$200,"&lt;&gt;是",$E$4:$E$200,"&lt;&gt;封闭期",$H$4:$H$200,"&gt;10",$BN$4:$BN$200,"&gt;-6",$BR$4:$BR$200,"&gt;=70",$K$4:$K$200,"&lt;=30",$C$4:$C$200,"&lt;20190630",AH$4:AH$200,"&gt;="&amp;AH51)&amp;"/"&amp;COUNTIFS(AH$4:AH$200,"&lt;&gt;-",$D$4:$D$200,"&lt;&gt;是",$E$4:$E$200,"&lt;&gt;封闭期",$H$4:$H$200,"&gt;10",$BN$4:$BN$200,"&gt;-6",$BR$4:$BR$200,"&gt;=70",$C$4:$C$200,"&lt;20190630",$K$4:$K$200,"&lt;=30"))</f>
        <v>-</v>
      </c>
      <c r="AL51" s="33" t="str">
        <f>IF(OR($C51&gt;20190630,$K51&gt;30,AH51="-",$D51="是",$E51="封闭期",$H51&lt;10,$BN51&lt;-6,$BR51&lt;70),"-",COUNTIFS(AH$4:AH$200,"&lt;&gt;-",$D$4:$D$200,"&lt;&gt;是",$E$4:$E$200,"&lt;&gt;封闭期",$H$4:$H$200,"&gt;10",$BN$4:$BN$200,"&gt;-6",$BR$4:$BR$200,"&gt;=70",$K$4:$K$200,"&lt;=30",$C$4:$C$200,"&lt;20190630",AH$4:AH$200,"&gt;="&amp;AH51)/COUNTIFS(AH$4:AH$200,"&lt;&gt;-",$D$4:$D$200,"&lt;&gt;是",$E$4:$E$200,"&lt;&gt;封闭期",$H$4:$H$200,"&gt;10",$BN$4:$BN$200,"&gt;-6",$BR$4:$BR$200,"&gt;=70",$C$4:$C$200,"&lt;20190630",$K$4:$K$200,"&lt;=30"))</f>
        <v>-</v>
      </c>
      <c r="AM51" s="19">
        <f>[1]!f_return($A51,"1",AM$2,$L$2)</f>
        <v>10.368673471213308</v>
      </c>
      <c r="AN51" s="19">
        <f>[1]!f_risk_stdevyearly($A51,AM$2,$L$2,1,1)</f>
        <v>6.7394856768160842</v>
      </c>
      <c r="AO51" s="19">
        <f>IFERROR(AM51/AN51,"-")</f>
        <v>1.5384962545260206</v>
      </c>
      <c r="AP51" s="19" t="str">
        <f>IFERROR(RANK(AO51,AO:AO)&amp;"/"&amp;COUNT(AO:AO),"-")</f>
        <v>103/197</v>
      </c>
      <c r="AQ51" s="26">
        <f>IF(AP51="-","-",RANK(AO51,AO:AO)/COUNT(AO:AO))</f>
        <v>0.52284263959390864</v>
      </c>
      <c r="AR51" s="57">
        <v>0.24365482233502539</v>
      </c>
      <c r="AS51" s="33" t="str">
        <f>IF(OR($C51&gt;20190630,$K51&gt;30,AO51="-",$D51="是",$E51="封闭期",$H51&lt;10,$BN51&lt;-6,$BR51&lt;70),"-",COUNTIFS(AO$4:AO$200,"&lt;&gt;-",$D$4:$D$200,"&lt;&gt;是",$E$4:$E$200,"&lt;&gt;封闭期",$H$4:$H$200,"&gt;10",$BN$4:$BN$200,"&gt;-6",$BR$4:$BR$200,"&gt;=70",$K$4:$K$200,"&lt;=30",$C$4:$C$200,"&lt;20190630",AO$4:AO$200,"&gt;="&amp;AO51)/COUNTIFS(AO$4:AO$200,"&lt;&gt;-",$D$4:$D$200,"&lt;&gt;是",$E$4:$E$200,"&lt;&gt;封闭期",$H$4:$H$200,"&gt;10",$BN$4:$BN$200,"&gt;-6",$BR$4:$BR$200,"&gt;=70",$C$4:$C$200,"&lt;20190630",$K$4:$K$200,"&lt;=30"))</f>
        <v>-</v>
      </c>
      <c r="AT51" s="19">
        <f>IFERROR((AM51-3)/AN51,"-")</f>
        <v>1.0933584289023177</v>
      </c>
      <c r="AU51" s="19" t="str">
        <f>IFERROR(RANK(AT51,AT:AT)&amp;"/"&amp;COUNT(AT:AT),"-")</f>
        <v>77/197</v>
      </c>
      <c r="AV51" s="26">
        <f>IFERROR(RANK(AT51,AT:AT)/COUNT(AT:AT),"-")</f>
        <v>0.39086294416243655</v>
      </c>
      <c r="AW51" s="34" t="str">
        <f>IF(OR($C51&gt;20190630,$K51&gt;30,AT51="-",$D51="是",$E51="封闭期",$H51&lt;10,$BN51&lt;-6,$BR51&lt;70),"-",COUNTIFS(AT$4:AT$200,"&lt;&gt;-",$D$4:$D$200,"&lt;&gt;是",$E$4:$E$200,"&lt;&gt;封闭期",$H$4:$H$200,"&gt;10",$BN$4:$BN$200,"&gt;-6",$BR$4:$BR$200,"&gt;=70",$K$4:$K$200,"&lt;=30",$C$4:$C$200,"&lt;20190630",AT$4:AT$200,"&gt;="&amp;AT51)&amp;"/"&amp;COUNTIFS(AT$4:AT$200,"&lt;&gt;-",$D$4:$D$200,"&lt;&gt;是",$E$4:$E$200,"&lt;&gt;封闭期",$H$4:$H$200,"&gt;10",$BN$4:$BN$200,"&gt;-6",$BR$4:$BR$200,"&gt;=70",$C$4:$C$200,"&lt;20190630",$K$4:$K$200,"&lt;=30"))</f>
        <v>-</v>
      </c>
      <c r="AX51" s="33" t="str">
        <f>IF(OR($C51&gt;20190630,$K51&gt;30,AT51="-",$D51="是",$E51="封闭期",$H51&lt;10,$BN51&lt;-6,$BR51&lt;70),"-",COUNTIFS(AT$4:AT$200,"&lt;&gt;-",$D$4:$D$200,"&lt;&gt;是",$E$4:$E$200,"&lt;&gt;封闭期",$H$4:$H$200,"&gt;10",$BN$4:$BN$200,"&gt;-6",$BR$4:$BR$200,"&gt;=70",$K$4:$K$200,"&lt;=30",$C$4:$C$200,"&lt;20190630",AT$4:AT$200,"&gt;="&amp;AT51)/COUNTIFS(AT$4:AT$200,"&lt;&gt;-",$D$4:$D$200,"&lt;&gt;是",$E$4:$E$200,"&lt;&gt;封闭期",$H$4:$H$200,"&gt;10",$BN$4:$BN$200,"&gt;-6",$BR$4:$BR$200,"&gt;=70",$C$4:$C$200,"&lt;20190630",$K$4:$K$200,"&lt;=30"))</f>
        <v>-</v>
      </c>
      <c r="AY51" s="19">
        <f>[1]!f_risk_calmar(A51,$AM$2,$L$2)</f>
        <v>1.8910695530902215</v>
      </c>
      <c r="AZ51" s="19" t="str">
        <f>IFERROR(RANK(AY51,AY:AY)&amp;"/"&amp;COUNT(AY:AY),"-")</f>
        <v>122/197</v>
      </c>
      <c r="BA51" s="26">
        <f>IFERROR(RANK(AY51,AY:AY)/COUNT(AY:AY),"-")</f>
        <v>0.61928934010152281</v>
      </c>
      <c r="BB51" s="34" t="str">
        <f>IF(OR($C51&gt;20190630,$K51&gt;30,AY51="-",$D51="是",$E51="封闭期",$H51&lt;10,$BN51&lt;-6,$BR51&lt;70),"-",COUNTIFS(AY$4:AY$200,"&lt;&gt;-",$D$4:$D$200,"&lt;&gt;是",$E$4:$E$200,"&lt;&gt;封闭期",$H$4:$H$200,"&gt;10",$BN$4:$BN$200,"&gt;-6",$BR$4:$BR$200,"&gt;=70",$K$4:$K$200,"&lt;=30",$C$4:$C$200,"&lt;20190630",AY$4:AY$200,"&gt;="&amp;AY51)&amp;"/"&amp;COUNTIFS(AY$4:AY$200,"&lt;&gt;-",$D$4:$D$200,"&lt;&gt;是",$E$4:$E$200,"&lt;&gt;封闭期",$H$4:$H$200,"&gt;10",$BN$4:$BN$200,"&gt;-6",$BR$4:$BR$200,"&gt;=70",$C$4:$C$200,"&lt;20190630",$K$4:$K$200,"&lt;=30"))</f>
        <v>-</v>
      </c>
      <c r="BC51" s="33" t="str">
        <f>IF(OR($C51&gt;20190630,$K51&gt;30,AY51="-",$D51="是",$E51="封闭期",$H51&lt;10,$BN51&lt;-6,$BR51&lt;70),"-",COUNTIFS(AY$4:AY$200,"&lt;&gt;-",$D$4:$D$200,"&lt;&gt;是",$E$4:$E$200,"&lt;&gt;封闭期",$H$4:$H$200,"&gt;10",$BN$4:$BN$200,"&gt;-6",$BR$4:$BR$200,"&gt;=70",$K$4:$K$200,"&lt;=30",$C$4:$C$200,"&lt;20190630",AY$4:AY$200,"&gt;="&amp;AY51)/COUNTIFS(AY$4:AY$200,"&lt;&gt;-",$D$4:$D$200,"&lt;&gt;是",$E$4:$E$200,"&lt;&gt;封闭期",$H$4:$H$200,"&gt;10",$BN$4:$BN$200,"&gt;-6",$BR$4:$BR$200,"&gt;=70",$C$4:$C$200,"&lt;20190630",$K$4:$K$200,"&lt;=30"))</f>
        <v>-</v>
      </c>
      <c r="BD51" s="20">
        <v>1</v>
      </c>
      <c r="BE51" s="19" t="str">
        <f>IFERROR(RANK(BD51,BD:BD)&amp;"/"&amp;COUNT(BD:BD),"-")</f>
        <v>1/197</v>
      </c>
      <c r="BF51" s="26">
        <f>IFERROR(RANK(BD51,BD:BD)/COUNT(BD:BD),"-")</f>
        <v>5.076142131979695E-3</v>
      </c>
      <c r="BG51" s="34" t="str">
        <f>IF(OR($C51&gt;20190630,$K51&gt;30,BD51="-",$D51="是",$E51="封闭期",$H51&lt;10,$BN51&lt;-6,$BR51&lt;70),"-",COUNTIFS(BD$4:BD$200,"&lt;&gt;-",$D$4:$D$200,"&lt;&gt;是",$E$4:$E$200,"&lt;&gt;封闭期",$H$4:$H$200,"&gt;10",$BN$4:$BN$200,"&gt;-6",$BR$4:$BR$200,"&gt;=70",$K$4:$K$200,"&lt;=30",$C$4:$C$200,"&lt;20190630",BD$4:BD$200,"&gt;="&amp;BD51)&amp;"/"&amp;COUNTIFS(BD$4:BD$200,"&lt;&gt;-",$D$4:$D$200,"&lt;&gt;是",$E$4:$E$200,"&lt;&gt;封闭期",$H$4:$H$200,"&gt;10",$BN$4:$BN$200,"&gt;-6",$BR$4:$BR$200,"&gt;=70",$C$4:$C$200,"&lt;20190630",$K$4:$K$200,"&lt;=30"))</f>
        <v>-</v>
      </c>
      <c r="BH51" s="33" t="str">
        <f>IF(OR($C51&gt;20190630,$K51&gt;30,BD51="-",$D51="是",$E51="封闭期",$H51&lt;10,$BN51&lt;-6,$BR51&lt;70),"-",COUNTIFS(BD$4:BD$200,"&lt;&gt;-",$D$4:$D$200,"&lt;&gt;是",$E$4:$E$200,"&lt;&gt;封闭期",$H$4:$H$200,"&gt;10",$BN$4:$BN$200,"&gt;-6",$BR$4:$BR$200,"&gt;=70",$K$4:$K$200,"&lt;=30",$C$4:$C$200,"&lt;20190630",BD$4:BD$200,"&gt;="&amp;BD51)/COUNTIFS(BD$4:BD$200,"&lt;&gt;-",$D$4:$D$200,"&lt;&gt;是",$E$4:$E$200,"&lt;&gt;封闭期",$H$4:$H$200,"&gt;10",$BN$4:$BN$200,"&gt;-6",$BR$4:$BR$200,"&gt;=70",$C$4:$C$200,"&lt;20190630",$K$4:$K$200,"&lt;=30"))</f>
        <v>-</v>
      </c>
      <c r="BI51" s="21">
        <f>[1]!f_risk_maxdownside(A51,$AM$2,$L$2)</f>
        <v>-5.4829678021465273</v>
      </c>
      <c r="BJ51" s="19" t="str">
        <f>IFERROR(RANK(BI51,BI:BI)&amp;"/"&amp;COUNT(BI:BI),"-")</f>
        <v>163/197</v>
      </c>
      <c r="BK51" s="26">
        <f>IFERROR(RANK(BI51,BI:BI)/COUNT(BI:BI),"-")</f>
        <v>0.82741116751269039</v>
      </c>
      <c r="BL51" s="34" t="str">
        <f>IF(OR($C51&gt;20190630,$K51&gt;30,BI51="-",$D51="是",$E51="封闭期",$H51&lt;10,$BN51&lt;-6,$BR51&lt;70),"-",COUNTIFS(BI$4:BI$200,"&lt;&gt;-",$D$4:$D$200,"&lt;&gt;是",$E$4:$E$200,"&lt;&gt;封闭期",$H$4:$H$200,"&gt;10",$BN$4:$BN$200,"&gt;-6",$BR$4:$BR$200,"&gt;=70",$K$4:$K$200,"&lt;=30",$C$4:$C$200,"&lt;20190630",BI$4:BI$200,"&gt;="&amp;BI51)&amp;"/"&amp;COUNTIFS(BI$4:BI$200,"&lt;&gt;-",$D$4:$D$200,"&lt;&gt;是",$E$4:$E$200,"&lt;&gt;封闭期",$H$4:$H$200,"&gt;10",$BN$4:$BN$200,"&gt;-6",$BR$4:$BR$200,"&gt;=70",$C$4:$C$200,"&lt;20190630",$K$4:$K$200,"&lt;=30"))</f>
        <v>-</v>
      </c>
      <c r="BM51" s="33" t="str">
        <f>IF(OR($C51&gt;20190630,$K51&gt;30,BI51="-",$D51="是",$E51="封闭期",$H51&lt;10,$BN51&lt;-6,$BR51&lt;70),"-",COUNTIFS(BI$4:BI$200,"&lt;&gt;-",$D$4:$D$200,"&lt;&gt;是",$E$4:$E$200,"&lt;&gt;封闭期",$H$4:$H$200,"&gt;10",$BN$4:$BN$200,"&gt;-6",$BR$4:$BR$200,"&gt;=70",$K$4:$K$200,"&lt;=30",$C$4:$C$200,"&lt;20190630",BI$4:BI$200,"&gt;="&amp;BI51)/COUNTIFS(BI$4:BI$200,"&lt;&gt;-",$D$4:$D$200,"&lt;&gt;是",$E$4:$E$200,"&lt;&gt;封闭期",$H$4:$H$200,"&gt;10",$BN$4:$BN$200,"&gt;-6",$BR$4:$BR$200,"&gt;=70",$C$4:$C$200,"&lt;20190630",$K$4:$K$200,"&lt;=30"))</f>
        <v>-</v>
      </c>
      <c r="BN51" s="21">
        <f>[1]!f_risk_maxdownside(A51,$AM$2,$E$1)</f>
        <v>-6.3640312771503087</v>
      </c>
      <c r="BO51" s="21">
        <f>IF(C51&lt;20190930,[1]!f_return_2y(A51,"0","20210930"),"-")</f>
        <v>22.112436115843266</v>
      </c>
      <c r="BP51" s="19" t="str">
        <f>IFERROR(RANK(BO51,BO:BO)&amp;"/"&amp;COUNT(BO:BO),"-")</f>
        <v>29/197</v>
      </c>
      <c r="BQ51" s="25">
        <f>IFERROR(RANK(BO51,BO:BO)/COUNT(BO:BO),"-")</f>
        <v>0.14720812182741116</v>
      </c>
      <c r="BR51" s="19">
        <f>IF(C51&lt;20190930,[1]!f_absolute_profitmonthper(A51,"20190930","20210930"),"-")</f>
        <v>70.833333333333343</v>
      </c>
      <c r="BS51" s="19" t="str">
        <f>IFERROR(RANK(BR51,BR:BR)&amp;"/"&amp;COUNT(BR:BR),"-")</f>
        <v>55/198</v>
      </c>
      <c r="BT51" s="25">
        <f>IFERROR(RANK(BR51,BR:BR)/COUNT(BR:BR),"-")</f>
        <v>0.27777777777777779</v>
      </c>
      <c r="BU51" s="17"/>
      <c r="BV51" s="12">
        <f>X51-3/M51</f>
        <v>1.2155391381412175</v>
      </c>
      <c r="BW51" s="76">
        <f>IFERROR(RANK(BV51,BV:BV)/COUNT(BV:BV),"-")</f>
        <v>0.54822335025380708</v>
      </c>
      <c r="BX51" s="76">
        <f>IFERROR(RANK(L51,L:L)/COUNT(L:L),"-")</f>
        <v>0.14646464646464646</v>
      </c>
      <c r="BY51" s="12">
        <f>AY51-3/AN51</f>
        <v>1.4459317274665189</v>
      </c>
      <c r="BZ51" s="76">
        <f>IFERROR(RANK(BY51,BY:BY)/COUNT(BY:BY),"-")</f>
        <v>0.54822335025380708</v>
      </c>
      <c r="CA51" s="76">
        <f>IFERROR(RANK(AM51,AM:AM)/COUNT(AM:AM),"-")</f>
        <v>0.24747474747474749</v>
      </c>
      <c r="CC51" s="77">
        <f>AV51+BF51+BZ51+CA51</f>
        <v>1.1916371840229707</v>
      </c>
      <c r="CD51" s="77">
        <f>BW51+BX51+AE51+U51</f>
        <v>1.6490027175306361</v>
      </c>
      <c r="CE51" s="77">
        <f>CC51+CD51</f>
        <v>2.8406399015536068</v>
      </c>
    </row>
    <row r="52" spans="1:83" s="17" customFormat="1" x14ac:dyDescent="0.35">
      <c r="A52" s="15" t="s">
        <v>49</v>
      </c>
      <c r="B52" s="15" t="s">
        <v>50</v>
      </c>
      <c r="C52" s="16">
        <v>20081229</v>
      </c>
      <c r="D52" s="16" t="str">
        <f>[1]!f_info_regulopenfundornot(A52)</f>
        <v>否</v>
      </c>
      <c r="E52" s="16" t="str">
        <f>[1]!f_dq_status(A52,$E$1)</f>
        <v>开放申购|开放赎回</v>
      </c>
      <c r="F52" s="17" t="str">
        <f>[1]!f_info_fundmanager(A52)</f>
        <v>李家春,吴晖</v>
      </c>
      <c r="G52" s="16">
        <v>20181204</v>
      </c>
      <c r="H52" s="18">
        <f>[1]!f_netasset_total(A52,$E$1,100000000)</f>
        <v>13.058647094100001</v>
      </c>
      <c r="I52" s="18">
        <f>[1]!f_prt_convertiblebondtonav(A52,$E$1)</f>
        <v>4.8234286308288574</v>
      </c>
      <c r="J52" s="18">
        <f>[1]!f_prt_stocktonav(A52,$E$1)+0.5*I52</f>
        <v>21.017724752426147</v>
      </c>
      <c r="K52" s="19">
        <v>11.63099047746093</v>
      </c>
      <c r="L52" s="19">
        <f>[1]!f_return($A52,"1",L$2,$E$1)</f>
        <v>7.0976085670894085</v>
      </c>
      <c r="M52" s="19">
        <f>[1]!f_risk_stdevyearly($A52,L$2,$E$1,1,1)</f>
        <v>5.8113033059621682</v>
      </c>
      <c r="N52" s="19">
        <f>IFERROR(L52/M52,"-")</f>
        <v>1.2213454010923062</v>
      </c>
      <c r="O52" s="19" t="str">
        <f>IFERROR(RANK(N52,N:N)&amp;"/"&amp;COUNT(N:N),"-")</f>
        <v>119/197</v>
      </c>
      <c r="P52" s="26">
        <f>IF(O52="-","-",RANK(N52,N:N)/COUNT(N:N))</f>
        <v>0.60406091370558379</v>
      </c>
      <c r="Q52" s="56">
        <v>0.36548223350253806</v>
      </c>
      <c r="R52" s="33" t="str">
        <f>IF(OR($C52&gt;20190630,$K52&gt;30,N52="-",$D52="是",$E52="封闭期",$H52&lt;10,$BN52&lt;-6,$BR52&lt;70),"-",COUNTIFS(N$4:N$200,"&lt;&gt;-",$D$4:$D$200,"&lt;&gt;是",$E$4:$E$200,"&lt;&gt;封闭期",$H$4:$H$200,"&gt;10",$BN$4:$BN$200,"&gt;-6",$BR$4:$BR$200,"&gt;=70",$K$4:$K$200,"&lt;=30",$C$4:$C$200,"&lt;20190630",N$4:N$200,"&gt;="&amp;N52)/COUNTIFS(N$4:N$200,"&lt;&gt;-",$D$4:$D$200,"&lt;&gt;是",$E$4:$E$200,"&lt;&gt;封闭期",$H$4:$H$200,"&gt;10",$BN$4:$BN$200,"&gt;-6",$BR$4:$BR$200,"&gt;=70",$C$4:$C$200,"&lt;20190630",$K$4:$K$200,"&lt;=30"))</f>
        <v>-</v>
      </c>
      <c r="S52" s="19">
        <f>IFERROR((L52-3)/M52,"-")</f>
        <v>0.70511008483852899</v>
      </c>
      <c r="T52" s="19" t="str">
        <f>IFERROR(RANK(S52,S:S)&amp;"/"&amp;COUNT(S:S),"-")</f>
        <v>104/197</v>
      </c>
      <c r="U52" s="26">
        <f>IFERROR(RANK(S52,S:S)/COUNT(S:S),"-")</f>
        <v>0.52791878172588835</v>
      </c>
      <c r="V52" s="34" t="str">
        <f>IF(OR($C52&gt;20190630,$K52&gt;30,S52="-",$D52="是",$E52="封闭期",$H52&lt;10,$BN52&lt;-6,$BR52&lt;70),"-",COUNTIFS(S$4:S$200,"&lt;&gt;-",$D$4:$D$200,"&lt;&gt;是",$E$4:$E$200,"&lt;&gt;封闭期",$H$4:$H$200,"&gt;10",$BN$4:$BN$200,"&gt;-6",$BR$4:$BR$200,"&gt;=70",$K$4:$K$200,"&lt;=30",$C$4:$C$200,"&lt;20190630",S$4:S$200,"&gt;="&amp;S52)&amp;"/"&amp;COUNTIFS(S$4:S$200,"&lt;&gt;-",$D$4:$D$200,"&lt;&gt;是",$E$4:$E$200,"&lt;&gt;封闭期",$H$4:$H$200,"&gt;10",$BN$4:$BN$200,"&gt;-6",$BR$4:$BR$200,"&gt;=70",$C$4:$C$200,"&lt;20190630",$K$4:$K$200,"&lt;=30"))</f>
        <v>-</v>
      </c>
      <c r="W52" s="33" t="str">
        <f>IF(OR($C52&gt;20190630,$K52&gt;30,S52="-",$D52="是",$E52="封闭期",$H52&lt;10,$BN52&lt;-6,$BR52&lt;70),"-",COUNTIFS(S$4:S$200,"&lt;&gt;-",$D$4:$D$200,"&lt;&gt;是",$E$4:$E$200,"&lt;&gt;封闭期",$H$4:$H$200,"&gt;10",$BN$4:$BN$200,"&gt;-6",$BR$4:$BR$200,"&gt;=70",$K$4:$K$200,"&lt;=30",$C$4:$C$200,"&lt;20190630",S$4:S$200,"&gt;="&amp;S52)/COUNTIFS(S$4:S$200,"&lt;&gt;-",$D$4:$D$200,"&lt;&gt;是",$E$4:$E$200,"&lt;&gt;封闭期",$H$4:$H$200,"&gt;10",$BN$4:$BN$200,"&gt;-6",$BR$4:$BR$200,"&gt;=70",$C$4:$C$200,"&lt;20190630",$K$4:$K$200,"&lt;=30"))</f>
        <v>-</v>
      </c>
      <c r="X52" s="19">
        <f>[1]!f_risk_calmar(A52,$L$2,$E$1)</f>
        <v>1.6621116181736271</v>
      </c>
      <c r="Y52" s="19" t="str">
        <f>IFERROR(RANK(X52,X:X)&amp;"/"&amp;COUNT(X:X),"-")</f>
        <v>119/197</v>
      </c>
      <c r="Z52" s="26">
        <f>IFERROR(RANK(X52,X:X)/COUNT(X:X),"-")</f>
        <v>0.60406091370558379</v>
      </c>
      <c r="AA52" s="34" t="str">
        <f>IF(OR($C52&gt;20190630,$K52&gt;30,X52="-",$D52="是",$E52="封闭期",$H52&lt;10,$BN52&lt;-6,$BR52&lt;70),"-",COUNTIFS(X$4:X$200,"&lt;&gt;-",$D$4:$D$200,"&lt;&gt;是",$E$4:$E$200,"&lt;&gt;封闭期",$H$4:$H$200,"&gt;10",$BN$4:$BN$200,"&gt;-6",$BR$4:$BR$200,"&gt;=70",$K$4:$K$200,"&lt;=30",$C$4:$C$200,"&lt;20190630",X$4:X$200,"&gt;="&amp;X52)&amp;"/"&amp;COUNTIFS(X$4:X$200,"&lt;&gt;-",$D$4:$D$200,"&lt;&gt;是",$E$4:$E$200,"&lt;&gt;封闭期",$H$4:$H$200,"&gt;10",$BN$4:$BN$200,"&gt;-6",$BR$4:$BR$200,"&gt;=70",$C$4:$C$200,"&lt;20190630",$K$4:$K$200,"&lt;=30"))</f>
        <v>-</v>
      </c>
      <c r="AB52" s="33" t="str">
        <f>IF(OR($C52&gt;20190630,$K52&gt;30,X52="-",$D52="是",$E52="封闭期",$H52&lt;10,$BN52&lt;-6,$BR52&lt;70),"-",COUNTIFS(X$4:X$200,"&lt;&gt;-",$D$4:$D$200,"&lt;&gt;是",$E$4:$E$200,"&lt;&gt;封闭期",$H$4:$H$200,"&gt;10",$BN$4:$BN$200,"&gt;-6",$BR$4:$BR$200,"&gt;=70",$K$4:$K$200,"&lt;=30",$C$4:$C$200,"&lt;20190630",X$4:X$200,"&gt;="&amp;X52)/COUNTIFS(X$4:X$200,"&lt;&gt;-",$D$4:$D$200,"&lt;&gt;是",$E$4:$E$200,"&lt;&gt;封闭期",$H$4:$H$200,"&gt;10",$BN$4:$BN$200,"&gt;-6",$BR$4:$BR$200,"&gt;=70",$C$4:$C$200,"&lt;20190630",$K$4:$K$200,"&lt;=30"))</f>
        <v>-</v>
      </c>
      <c r="AC52" s="20">
        <v>0.89915966386554624</v>
      </c>
      <c r="AD52" s="19" t="str">
        <f>IFERROR(RANK(AC52,AC:AC)&amp;"/"&amp;COUNT(AC:AC),"-")</f>
        <v>130/197</v>
      </c>
      <c r="AE52" s="26">
        <f>IFERROR(RANK(AC52,AC:AC)/COUNT(AC:AC),"-")</f>
        <v>0.65989847715736039</v>
      </c>
      <c r="AF52" s="34" t="str">
        <f>IF(OR($C52&gt;20190630,$K52&gt;30,AC52="-",$D52="是",$E52="封闭期",$H52&lt;10,$BN52&lt;-6,$BR52&lt;70),"-",COUNTIFS(AC$4:AC$200,"&lt;&gt;-",$D$4:$D$200,"&lt;&gt;是",$E$4:$E$200,"&lt;&gt;封闭期",$H$4:$H$200,"&gt;10",$BN$4:$BN$200,"&gt;-6",$BR$4:$BR$200,"&gt;=70",$K$4:$K$200,"&lt;=30",$C$4:$C$200,"&lt;20190630",AC$4:AC$200,"&gt;="&amp;AC52)&amp;"/"&amp;COUNTIFS(AC$4:AC$200,"&lt;&gt;-",$D$4:$D$200,"&lt;&gt;是",$E$4:$E$200,"&lt;&gt;封闭期",$H$4:$H$200,"&gt;10",$BN$4:$BN$200,"&gt;-6",$BR$4:$BR$200,"&gt;=70",$C$4:$C$200,"&lt;20190630",$K$4:$K$200,"&lt;=30"))</f>
        <v>-</v>
      </c>
      <c r="AG52" s="33" t="str">
        <f>IF(OR($C52&gt;20190630,$K52&gt;30,AC52="-",$D52="是",$E52="封闭期",$H52&lt;10,$BN52&lt;-6,$BR52&lt;70),"-",COUNTIFS(AC$4:AC$200,"&lt;&gt;-",$D$4:$D$200,"&lt;&gt;是",$E$4:$E$200,"&lt;&gt;封闭期",$H$4:$H$200,"&gt;10",$BN$4:$BN$200,"&gt;-6",$BR$4:$BR$200,"&gt;=70",$K$4:$K$200,"&lt;=30",$C$4:$C$200,"&lt;20190630",AC$4:AC$200,"&gt;="&amp;AC52)/COUNTIFS(AC$4:AC$200,"&lt;&gt;-",$D$4:$D$200,"&lt;&gt;是",$E$4:$E$200,"&lt;&gt;封闭期",$H$4:$H$200,"&gt;10",$BN$4:$BN$200,"&gt;-6",$BR$4:$BR$200,"&gt;=70",$C$4:$C$200,"&lt;20190630",$K$4:$K$200,"&lt;=30"))</f>
        <v>-</v>
      </c>
      <c r="AH52" s="21">
        <f>[1]!f_risk_maxdownside(A52,$L$2,$E$1)</f>
        <v>-4.2702358189929814</v>
      </c>
      <c r="AI52" s="19" t="str">
        <f>IFERROR(RANK(AH52,AH:AH)&amp;"/"&amp;COUNT(AH:AH),"-")</f>
        <v>131/197</v>
      </c>
      <c r="AJ52" s="26">
        <f>IFERROR(RANK(AH52,AH:AH)/COUNT(AH:AH),"-")</f>
        <v>0.6649746192893401</v>
      </c>
      <c r="AK52" s="34" t="str">
        <f>IF(OR($C52&gt;20190630,$K52&gt;30,AH52="-",$D52="是",$E52="封闭期",$H52&lt;10,$BN52&lt;-6,$BR52&lt;70),"-",COUNTIFS(AH$4:AH$200,"&lt;&gt;-",$D$4:$D$200,"&lt;&gt;是",$E$4:$E$200,"&lt;&gt;封闭期",$H$4:$H$200,"&gt;10",$BN$4:$BN$200,"&gt;-6",$BR$4:$BR$200,"&gt;=70",$K$4:$K$200,"&lt;=30",$C$4:$C$200,"&lt;20190630",AH$4:AH$200,"&gt;="&amp;AH52)&amp;"/"&amp;COUNTIFS(AH$4:AH$200,"&lt;&gt;-",$D$4:$D$200,"&lt;&gt;是",$E$4:$E$200,"&lt;&gt;封闭期",$H$4:$H$200,"&gt;10",$BN$4:$BN$200,"&gt;-6",$BR$4:$BR$200,"&gt;=70",$C$4:$C$200,"&lt;20190630",$K$4:$K$200,"&lt;=30"))</f>
        <v>-</v>
      </c>
      <c r="AL52" s="33" t="str">
        <f>IF(OR($C52&gt;20190630,$K52&gt;30,AH52="-",$D52="是",$E52="封闭期",$H52&lt;10,$BN52&lt;-6,$BR52&lt;70),"-",COUNTIFS(AH$4:AH$200,"&lt;&gt;-",$D$4:$D$200,"&lt;&gt;是",$E$4:$E$200,"&lt;&gt;封闭期",$H$4:$H$200,"&gt;10",$BN$4:$BN$200,"&gt;-6",$BR$4:$BR$200,"&gt;=70",$K$4:$K$200,"&lt;=30",$C$4:$C$200,"&lt;20190630",AH$4:AH$200,"&gt;="&amp;AH52)/COUNTIFS(AH$4:AH$200,"&lt;&gt;-",$D$4:$D$200,"&lt;&gt;是",$E$4:$E$200,"&lt;&gt;封闭期",$H$4:$H$200,"&gt;10",$BN$4:$BN$200,"&gt;-6",$BR$4:$BR$200,"&gt;=70",$C$4:$C$200,"&lt;20190630",$K$4:$K$200,"&lt;=30"))</f>
        <v>-</v>
      </c>
      <c r="AM52" s="19">
        <f>[1]!f_return($A52,"1",AM$2,$L$2)</f>
        <v>10.366587449828412</v>
      </c>
      <c r="AN52" s="19">
        <f>[1]!f_risk_stdevyearly($A52,AM$2,$L$2,1,1)</f>
        <v>6.6573869056183606</v>
      </c>
      <c r="AO52" s="19">
        <f>IFERROR(AM52/AN52,"-")</f>
        <v>1.5571556222877403</v>
      </c>
      <c r="AP52" s="19" t="str">
        <f>IFERROR(RANK(AO52,AO:AO)&amp;"/"&amp;COUNT(AO:AO),"-")</f>
        <v>102/197</v>
      </c>
      <c r="AQ52" s="26">
        <f>IF(AP52="-","-",RANK(AO52,AO:AO)/COUNT(AO:AO))</f>
        <v>0.51776649746192893</v>
      </c>
      <c r="AR52" s="57">
        <v>0.24873096446700507</v>
      </c>
      <c r="AS52" s="33" t="str">
        <f>IF(OR($C52&gt;20190630,$K52&gt;30,AO52="-",$D52="是",$E52="封闭期",$H52&lt;10,$BN52&lt;-6,$BR52&lt;70),"-",COUNTIFS(AO$4:AO$200,"&lt;&gt;-",$D$4:$D$200,"&lt;&gt;是",$E$4:$E$200,"&lt;&gt;封闭期",$H$4:$H$200,"&gt;10",$BN$4:$BN$200,"&gt;-6",$BR$4:$BR$200,"&gt;=70",$K$4:$K$200,"&lt;=30",$C$4:$C$200,"&lt;20190630",AO$4:AO$200,"&gt;="&amp;AO52)/COUNTIFS(AO$4:AO$200,"&lt;&gt;-",$D$4:$D$200,"&lt;&gt;是",$E$4:$E$200,"&lt;&gt;封闭期",$H$4:$H$200,"&gt;10",$BN$4:$BN$200,"&gt;-6",$BR$4:$BR$200,"&gt;=70",$C$4:$C$200,"&lt;20190630",$K$4:$K$200,"&lt;=30"))</f>
        <v>-</v>
      </c>
      <c r="AT52" s="19">
        <f>IFERROR((AM52-3)/AN52,"-")</f>
        <v>1.1065283652977322</v>
      </c>
      <c r="AU52" s="19" t="str">
        <f>IFERROR(RANK(AT52,AT:AT)&amp;"/"&amp;COUNT(AT:AT),"-")</f>
        <v>72/197</v>
      </c>
      <c r="AV52" s="26">
        <f>IFERROR(RANK(AT52,AT:AT)/COUNT(AT:AT),"-")</f>
        <v>0.36548223350253806</v>
      </c>
      <c r="AW52" s="34" t="str">
        <f>IF(OR($C52&gt;20190630,$K52&gt;30,AT52="-",$D52="是",$E52="封闭期",$H52&lt;10,$BN52&lt;-6,$BR52&lt;70),"-",COUNTIFS(AT$4:AT$200,"&lt;&gt;-",$D$4:$D$200,"&lt;&gt;是",$E$4:$E$200,"&lt;&gt;封闭期",$H$4:$H$200,"&gt;10",$BN$4:$BN$200,"&gt;-6",$BR$4:$BR$200,"&gt;=70",$K$4:$K$200,"&lt;=30",$C$4:$C$200,"&lt;20190630",AT$4:AT$200,"&gt;="&amp;AT52)&amp;"/"&amp;COUNTIFS(AT$4:AT$200,"&lt;&gt;-",$D$4:$D$200,"&lt;&gt;是",$E$4:$E$200,"&lt;&gt;封闭期",$H$4:$H$200,"&gt;10",$BN$4:$BN$200,"&gt;-6",$BR$4:$BR$200,"&gt;=70",$C$4:$C$200,"&lt;20190630",$K$4:$K$200,"&lt;=30"))</f>
        <v>-</v>
      </c>
      <c r="AX52" s="33" t="str">
        <f>IF(OR($C52&gt;20190630,$K52&gt;30,AT52="-",$D52="是",$E52="封闭期",$H52&lt;10,$BN52&lt;-6,$BR52&lt;70),"-",COUNTIFS(AT$4:AT$200,"&lt;&gt;-",$D$4:$D$200,"&lt;&gt;是",$E$4:$E$200,"&lt;&gt;封闭期",$H$4:$H$200,"&gt;10",$BN$4:$BN$200,"&gt;-6",$BR$4:$BR$200,"&gt;=70",$K$4:$K$200,"&lt;=30",$C$4:$C$200,"&lt;20190630",AT$4:AT$200,"&gt;="&amp;AT52)/COUNTIFS(AT$4:AT$200,"&lt;&gt;-",$D$4:$D$200,"&lt;&gt;是",$E$4:$E$200,"&lt;&gt;封闭期",$H$4:$H$200,"&gt;10",$BN$4:$BN$200,"&gt;-6",$BR$4:$BR$200,"&gt;=70",$C$4:$C$200,"&lt;20190630",$K$4:$K$200,"&lt;=30"))</f>
        <v>-</v>
      </c>
      <c r="AY52" s="19">
        <f>[1]!f_risk_calmar(A52,$AM$2,$L$2)</f>
        <v>2.9311017848338343</v>
      </c>
      <c r="AZ52" s="19" t="str">
        <f>IFERROR(RANK(AY52,AY:AY)&amp;"/"&amp;COUNT(AY:AY),"-")</f>
        <v>53/197</v>
      </c>
      <c r="BA52" s="26">
        <f>IFERROR(RANK(AY52,AY:AY)/COUNT(AY:AY),"-")</f>
        <v>0.26903553299492383</v>
      </c>
      <c r="BB52" s="34" t="str">
        <f>IF(OR($C52&gt;20190630,$K52&gt;30,AY52="-",$D52="是",$E52="封闭期",$H52&lt;10,$BN52&lt;-6,$BR52&lt;70),"-",COUNTIFS(AY$4:AY$200,"&lt;&gt;-",$D$4:$D$200,"&lt;&gt;是",$E$4:$E$200,"&lt;&gt;封闭期",$H$4:$H$200,"&gt;10",$BN$4:$BN$200,"&gt;-6",$BR$4:$BR$200,"&gt;=70",$K$4:$K$200,"&lt;=30",$C$4:$C$200,"&lt;20190630",AY$4:AY$200,"&gt;="&amp;AY52)&amp;"/"&amp;COUNTIFS(AY$4:AY$200,"&lt;&gt;-",$D$4:$D$200,"&lt;&gt;是",$E$4:$E$200,"&lt;&gt;封闭期",$H$4:$H$200,"&gt;10",$BN$4:$BN$200,"&gt;-6",$BR$4:$BR$200,"&gt;=70",$C$4:$C$200,"&lt;20190630",$K$4:$K$200,"&lt;=30"))</f>
        <v>-</v>
      </c>
      <c r="BC52" s="33" t="str">
        <f>IF(OR($C52&gt;20190630,$K52&gt;30,AY52="-",$D52="是",$E52="封闭期",$H52&lt;10,$BN52&lt;-6,$BR52&lt;70),"-",COUNTIFS(AY$4:AY$200,"&lt;&gt;-",$D$4:$D$200,"&lt;&gt;是",$E$4:$E$200,"&lt;&gt;封闭期",$H$4:$H$200,"&gt;10",$BN$4:$BN$200,"&gt;-6",$BR$4:$BR$200,"&gt;=70",$K$4:$K$200,"&lt;=30",$C$4:$C$200,"&lt;20190630",AY$4:AY$200,"&gt;="&amp;AY52)/COUNTIFS(AY$4:AY$200,"&lt;&gt;-",$D$4:$D$200,"&lt;&gt;是",$E$4:$E$200,"&lt;&gt;封闭期",$H$4:$H$200,"&gt;10",$BN$4:$BN$200,"&gt;-6",$BR$4:$BR$200,"&gt;=70",$C$4:$C$200,"&lt;20190630",$K$4:$K$200,"&lt;=30"))</f>
        <v>-</v>
      </c>
      <c r="BD52" s="20">
        <v>1</v>
      </c>
      <c r="BE52" s="19" t="str">
        <f>IFERROR(RANK(BD52,BD:BD)&amp;"/"&amp;COUNT(BD:BD),"-")</f>
        <v>1/197</v>
      </c>
      <c r="BF52" s="26">
        <f>IFERROR(RANK(BD52,BD:BD)/COUNT(BD:BD),"-")</f>
        <v>5.076142131979695E-3</v>
      </c>
      <c r="BG52" s="34" t="str">
        <f>IF(OR($C52&gt;20190630,$K52&gt;30,BD52="-",$D52="是",$E52="封闭期",$H52&lt;10,$BN52&lt;-6,$BR52&lt;70),"-",COUNTIFS(BD$4:BD$200,"&lt;&gt;-",$D$4:$D$200,"&lt;&gt;是",$E$4:$E$200,"&lt;&gt;封闭期",$H$4:$H$200,"&gt;10",$BN$4:$BN$200,"&gt;-6",$BR$4:$BR$200,"&gt;=70",$K$4:$K$200,"&lt;=30",$C$4:$C$200,"&lt;20190630",BD$4:BD$200,"&gt;="&amp;BD52)&amp;"/"&amp;COUNTIFS(BD$4:BD$200,"&lt;&gt;-",$D$4:$D$200,"&lt;&gt;是",$E$4:$E$200,"&lt;&gt;封闭期",$H$4:$H$200,"&gt;10",$BN$4:$BN$200,"&gt;-6",$BR$4:$BR$200,"&gt;=70",$C$4:$C$200,"&lt;20190630",$K$4:$K$200,"&lt;=30"))</f>
        <v>-</v>
      </c>
      <c r="BH52" s="33" t="str">
        <f>IF(OR($C52&gt;20190630,$K52&gt;30,BD52="-",$D52="是",$E52="封闭期",$H52&lt;10,$BN52&lt;-6,$BR52&lt;70),"-",COUNTIFS(BD$4:BD$200,"&lt;&gt;-",$D$4:$D$200,"&lt;&gt;是",$E$4:$E$200,"&lt;&gt;封闭期",$H$4:$H$200,"&gt;10",$BN$4:$BN$200,"&gt;-6",$BR$4:$BR$200,"&gt;=70",$K$4:$K$200,"&lt;=30",$C$4:$C$200,"&lt;20190630",BD$4:BD$200,"&gt;="&amp;BD52)/COUNTIFS(BD$4:BD$200,"&lt;&gt;-",$D$4:$D$200,"&lt;&gt;是",$E$4:$E$200,"&lt;&gt;封闭期",$H$4:$H$200,"&gt;10",$BN$4:$BN$200,"&gt;-6",$BR$4:$BR$200,"&gt;=70",$C$4:$C$200,"&lt;20190630",$K$4:$K$200,"&lt;=30"))</f>
        <v>-</v>
      </c>
      <c r="BI52" s="21">
        <f>[1]!f_risk_maxdownside(A52,$AM$2,$L$2)</f>
        <v>-3.5367545076282974</v>
      </c>
      <c r="BJ52" s="19" t="str">
        <f>IFERROR(RANK(BI52,BI:BI)&amp;"/"&amp;COUNT(BI:BI),"-")</f>
        <v>113/197</v>
      </c>
      <c r="BK52" s="26">
        <f>IFERROR(RANK(BI52,BI:BI)/COUNT(BI:BI),"-")</f>
        <v>0.57360406091370564</v>
      </c>
      <c r="BL52" s="34" t="str">
        <f>IF(OR($C52&gt;20190630,$K52&gt;30,BI52="-",$D52="是",$E52="封闭期",$H52&lt;10,$BN52&lt;-6,$BR52&lt;70),"-",COUNTIFS(BI$4:BI$200,"&lt;&gt;-",$D$4:$D$200,"&lt;&gt;是",$E$4:$E$200,"&lt;&gt;封闭期",$H$4:$H$200,"&gt;10",$BN$4:$BN$200,"&gt;-6",$BR$4:$BR$200,"&gt;=70",$K$4:$K$200,"&lt;=30",$C$4:$C$200,"&lt;20190630",BI$4:BI$200,"&gt;="&amp;BI52)&amp;"/"&amp;COUNTIFS(BI$4:BI$200,"&lt;&gt;-",$D$4:$D$200,"&lt;&gt;是",$E$4:$E$200,"&lt;&gt;封闭期",$H$4:$H$200,"&gt;10",$BN$4:$BN$200,"&gt;-6",$BR$4:$BR$200,"&gt;=70",$C$4:$C$200,"&lt;20190630",$K$4:$K$200,"&lt;=30"))</f>
        <v>-</v>
      </c>
      <c r="BM52" s="33" t="str">
        <f>IF(OR($C52&gt;20190630,$K52&gt;30,BI52="-",$D52="是",$E52="封闭期",$H52&lt;10,$BN52&lt;-6,$BR52&lt;70),"-",COUNTIFS(BI$4:BI$200,"&lt;&gt;-",$D$4:$D$200,"&lt;&gt;是",$E$4:$E$200,"&lt;&gt;封闭期",$H$4:$H$200,"&gt;10",$BN$4:$BN$200,"&gt;-6",$BR$4:$BR$200,"&gt;=70",$K$4:$K$200,"&lt;=30",$C$4:$C$200,"&lt;20190630",BI$4:BI$200,"&gt;="&amp;BI52)/COUNTIFS(BI$4:BI$200,"&lt;&gt;-",$D$4:$D$200,"&lt;&gt;是",$E$4:$E$200,"&lt;&gt;封闭期",$H$4:$H$200,"&gt;10",$BN$4:$BN$200,"&gt;-6",$BR$4:$BR$200,"&gt;=70",$C$4:$C$200,"&lt;20190630",$K$4:$K$200,"&lt;=30"))</f>
        <v>-</v>
      </c>
      <c r="BN52" s="21">
        <f>[1]!f_risk_maxdownside(A52,$AM$2,$E$1)</f>
        <v>-4.2702358189929814</v>
      </c>
      <c r="BO52" s="21">
        <f>IF(C52&lt;20190930,[1]!f_return_2y(A52,"0","20210930"),"-")</f>
        <v>18.55012869301758</v>
      </c>
      <c r="BP52" s="19" t="str">
        <f>IFERROR(RANK(BO52,BO:BO)&amp;"/"&amp;COUNT(BO:BO),"-")</f>
        <v>49/197</v>
      </c>
      <c r="BQ52" s="25">
        <f>IFERROR(RANK(BO52,BO:BO)/COUNT(BO:BO),"-")</f>
        <v>0.24873096446700507</v>
      </c>
      <c r="BR52" s="19">
        <f>IF(C52&lt;20190930,[1]!f_absolute_profitmonthper(A52,"20190930","20210930"),"-")</f>
        <v>66.666666666666657</v>
      </c>
      <c r="BS52" s="19" t="str">
        <f>IFERROR(RANK(BR52,BR:BR)&amp;"/"&amp;COUNT(BR:BR),"-")</f>
        <v>115/198</v>
      </c>
      <c r="BT52" s="25">
        <f>IFERROR(RANK(BR52,BR:BR)/COUNT(BR:BR),"-")</f>
        <v>0.58080808080808077</v>
      </c>
      <c r="BV52" s="12">
        <f>X52-3/M52</f>
        <v>1.1458763019198499</v>
      </c>
      <c r="BW52" s="76">
        <f>IFERROR(RANK(BV52,BV:BV)/COUNT(BV:BV),"-")</f>
        <v>0.56852791878172593</v>
      </c>
      <c r="BX52" s="76">
        <f>IFERROR(RANK(L52,L:L)/COUNT(L:L),"-")</f>
        <v>0.36868686868686867</v>
      </c>
      <c r="BY52" s="12">
        <f>AY52-3/AN52</f>
        <v>2.480474527843826</v>
      </c>
      <c r="BZ52" s="76">
        <f>IFERROR(RANK(BY52,BY:BY)/COUNT(BY:BY),"-")</f>
        <v>0.19289340101522842</v>
      </c>
      <c r="CA52" s="76">
        <f>IFERROR(RANK(AM52,AM:AM)/COUNT(AM:AM),"-")</f>
        <v>0.25252525252525254</v>
      </c>
      <c r="CB52" s="2"/>
      <c r="CC52" s="77">
        <f>AV52+BF52+BZ52+CA52</f>
        <v>0.81597702917499881</v>
      </c>
      <c r="CD52" s="77">
        <f>BW52+BX52+AE52+U52</f>
        <v>2.1250320463518433</v>
      </c>
      <c r="CE52" s="77">
        <f>CC52+CD52</f>
        <v>2.9410090755268419</v>
      </c>
    </row>
    <row r="53" spans="1:83" s="2" customFormat="1" x14ac:dyDescent="0.35">
      <c r="A53" s="15" t="s">
        <v>379</v>
      </c>
      <c r="B53" s="15" t="s">
        <v>380</v>
      </c>
      <c r="C53" s="16">
        <v>20180906</v>
      </c>
      <c r="D53" s="16" t="str">
        <f>[1]!f_info_regulopenfundornot(A53)</f>
        <v>否</v>
      </c>
      <c r="E53" s="16" t="str">
        <f>[1]!f_dq_status(A53,$E$1)</f>
        <v>开放申购|开放赎回</v>
      </c>
      <c r="F53" s="17" t="str">
        <f>[1]!f_info_fundmanager(A53)</f>
        <v>黄波</v>
      </c>
      <c r="G53" s="16">
        <v>20201024</v>
      </c>
      <c r="H53" s="18">
        <f>[1]!f_netasset_total(A53,$E$1,100000000)</f>
        <v>12.936793766500001</v>
      </c>
      <c r="I53" s="18">
        <f>[1]!f_prt_convertiblebondtonav(A53,$E$1)</f>
        <v>9.8399925231933594</v>
      </c>
      <c r="J53" s="18">
        <f>[1]!f_prt_stocktonav(A53,$E$1)+0.5*I53</f>
        <v>22.632352828979492</v>
      </c>
      <c r="K53" s="19">
        <v>16.43676198585089</v>
      </c>
      <c r="L53" s="19">
        <f>[1]!f_return($A53,"1",L$2,$E$1)</f>
        <v>2.5913989704599238</v>
      </c>
      <c r="M53" s="19">
        <f>[1]!f_risk_stdevyearly($A53,L$2,$E$1,1,1)</f>
        <v>3.3839903226010457</v>
      </c>
      <c r="N53" s="19">
        <f>IFERROR(L53/M53,"-")</f>
        <v>0.76578202755263491</v>
      </c>
      <c r="O53" s="19" t="str">
        <f>IFERROR(RANK(N53,N:N)&amp;"/"&amp;COUNT(N:N),"-")</f>
        <v>159/197</v>
      </c>
      <c r="P53" s="26">
        <f>IF(O53="-","-",RANK(N53,N:N)/COUNT(N:N))</f>
        <v>0.80710659898477155</v>
      </c>
      <c r="Q53" s="56">
        <v>0.86294416243654826</v>
      </c>
      <c r="R53" s="33" t="str">
        <f>IF(OR($C53&gt;20190630,$K53&gt;30,N53="-",$D53="是",$E53="封闭期",$H53&lt;10,$BN53&lt;-6,$BR53&lt;70),"-",COUNTIFS(N$4:N$200,"&lt;&gt;-",$D$4:$D$200,"&lt;&gt;是",$E$4:$E$200,"&lt;&gt;封闭期",$H$4:$H$200,"&gt;10",$BN$4:$BN$200,"&gt;-6",$BR$4:$BR$200,"&gt;=70",$K$4:$K$200,"&lt;=30",$C$4:$C$200,"&lt;20190630",N$4:N$200,"&gt;="&amp;N53)/COUNTIFS(N$4:N$200,"&lt;&gt;-",$D$4:$D$200,"&lt;&gt;是",$E$4:$E$200,"&lt;&gt;封闭期",$H$4:$H$200,"&gt;10",$BN$4:$BN$200,"&gt;-6",$BR$4:$BR$200,"&gt;=70",$C$4:$C$200,"&lt;20190630",$K$4:$K$200,"&lt;=30"))</f>
        <v>-</v>
      </c>
      <c r="S53" s="19">
        <f>IFERROR((L53-3)/M53,"-")</f>
        <v>-0.12074533039031035</v>
      </c>
      <c r="T53" s="19" t="str">
        <f>IFERROR(RANK(S53,S:S)&amp;"/"&amp;COUNT(S:S),"-")</f>
        <v>171/197</v>
      </c>
      <c r="U53" s="26">
        <f>IFERROR(RANK(S53,S:S)/COUNT(S:S),"-")</f>
        <v>0.86802030456852797</v>
      </c>
      <c r="V53" s="34" t="str">
        <f>IF(OR($C53&gt;20190630,$K53&gt;30,S53="-",$D53="是",$E53="封闭期",$H53&lt;10,$BN53&lt;-6,$BR53&lt;70),"-",COUNTIFS(S$4:S$200,"&lt;&gt;-",$D$4:$D$200,"&lt;&gt;是",$E$4:$E$200,"&lt;&gt;封闭期",$H$4:$H$200,"&gt;10",$BN$4:$BN$200,"&gt;-6",$BR$4:$BR$200,"&gt;=70",$K$4:$K$200,"&lt;=30",$C$4:$C$200,"&lt;20190630",S$4:S$200,"&gt;="&amp;S53)&amp;"/"&amp;COUNTIFS(S$4:S$200,"&lt;&gt;-",$D$4:$D$200,"&lt;&gt;是",$E$4:$E$200,"&lt;&gt;封闭期",$H$4:$H$200,"&gt;10",$BN$4:$BN$200,"&gt;-6",$BR$4:$BR$200,"&gt;=70",$C$4:$C$200,"&lt;20190630",$K$4:$K$200,"&lt;=30"))</f>
        <v>-</v>
      </c>
      <c r="W53" s="33" t="str">
        <f>IF(OR($C53&gt;20190630,$K53&gt;30,S53="-",$D53="是",$E53="封闭期",$H53&lt;10,$BN53&lt;-6,$BR53&lt;70),"-",COUNTIFS(S$4:S$200,"&lt;&gt;-",$D$4:$D$200,"&lt;&gt;是",$E$4:$E$200,"&lt;&gt;封闭期",$H$4:$H$200,"&gt;10",$BN$4:$BN$200,"&gt;-6",$BR$4:$BR$200,"&gt;=70",$K$4:$K$200,"&lt;=30",$C$4:$C$200,"&lt;20190630",S$4:S$200,"&gt;="&amp;S53)/COUNTIFS(S$4:S$200,"&lt;&gt;-",$D$4:$D$200,"&lt;&gt;是",$E$4:$E$200,"&lt;&gt;封闭期",$H$4:$H$200,"&gt;10",$BN$4:$BN$200,"&gt;-6",$BR$4:$BR$200,"&gt;=70",$C$4:$C$200,"&lt;20190630",$K$4:$K$200,"&lt;=30"))</f>
        <v>-</v>
      </c>
      <c r="X53" s="19">
        <f>[1]!f_risk_calmar(A53,$L$2,$E$1)</f>
        <v>1.0688792832088068</v>
      </c>
      <c r="Y53" s="19" t="str">
        <f>IFERROR(RANK(X53,X:X)&amp;"/"&amp;COUNT(X:X),"-")</f>
        <v>154/197</v>
      </c>
      <c r="Z53" s="26">
        <f>IFERROR(RANK(X53,X:X)/COUNT(X:X),"-")</f>
        <v>0.78172588832487311</v>
      </c>
      <c r="AA53" s="34" t="str">
        <f>IF(OR($C53&gt;20190630,$K53&gt;30,X53="-",$D53="是",$E53="封闭期",$H53&lt;10,$BN53&lt;-6,$BR53&lt;70),"-",COUNTIFS(X$4:X$200,"&lt;&gt;-",$D$4:$D$200,"&lt;&gt;是",$E$4:$E$200,"&lt;&gt;封闭期",$H$4:$H$200,"&gt;10",$BN$4:$BN$200,"&gt;-6",$BR$4:$BR$200,"&gt;=70",$K$4:$K$200,"&lt;=30",$C$4:$C$200,"&lt;20190630",X$4:X$200,"&gt;="&amp;X53)&amp;"/"&amp;COUNTIFS(X$4:X$200,"&lt;&gt;-",$D$4:$D$200,"&lt;&gt;是",$E$4:$E$200,"&lt;&gt;封闭期",$H$4:$H$200,"&gt;10",$BN$4:$BN$200,"&gt;-6",$BR$4:$BR$200,"&gt;=70",$C$4:$C$200,"&lt;20190630",$K$4:$K$200,"&lt;=30"))</f>
        <v>-</v>
      </c>
      <c r="AB53" s="33" t="str">
        <f>IF(OR($C53&gt;20190630,$K53&gt;30,X53="-",$D53="是",$E53="封闭期",$H53&lt;10,$BN53&lt;-6,$BR53&lt;70),"-",COUNTIFS(X$4:X$200,"&lt;&gt;-",$D$4:$D$200,"&lt;&gt;是",$E$4:$E$200,"&lt;&gt;封闭期",$H$4:$H$200,"&gt;10",$BN$4:$BN$200,"&gt;-6",$BR$4:$BR$200,"&gt;=70",$K$4:$K$200,"&lt;=30",$C$4:$C$200,"&lt;20190630",X$4:X$200,"&gt;="&amp;X53)/COUNTIFS(X$4:X$200,"&lt;&gt;-",$D$4:$D$200,"&lt;&gt;是",$E$4:$E$200,"&lt;&gt;封闭期",$H$4:$H$200,"&gt;10",$BN$4:$BN$200,"&gt;-6",$BR$4:$BR$200,"&gt;=70",$C$4:$C$200,"&lt;20190630",$K$4:$K$200,"&lt;=30"))</f>
        <v>-</v>
      </c>
      <c r="AC53" s="20">
        <v>0.94117647058823528</v>
      </c>
      <c r="AD53" s="19" t="str">
        <f>IFERROR(RANK(AC53,AC:AC)&amp;"/"&amp;COUNT(AC:AC),"-")</f>
        <v>115/197</v>
      </c>
      <c r="AE53" s="26">
        <f>IFERROR(RANK(AC53,AC:AC)/COUNT(AC:AC),"-")</f>
        <v>0.58375634517766495</v>
      </c>
      <c r="AF53" s="34" t="str">
        <f>IF(OR($C53&gt;20190630,$K53&gt;30,AC53="-",$D53="是",$E53="封闭期",$H53&lt;10,$BN53&lt;-6,$BR53&lt;70),"-",COUNTIFS(AC$4:AC$200,"&lt;&gt;-",$D$4:$D$200,"&lt;&gt;是",$E$4:$E$200,"&lt;&gt;封闭期",$H$4:$H$200,"&gt;10",$BN$4:$BN$200,"&gt;-6",$BR$4:$BR$200,"&gt;=70",$K$4:$K$200,"&lt;=30",$C$4:$C$200,"&lt;20190630",AC$4:AC$200,"&gt;="&amp;AC53)&amp;"/"&amp;COUNTIFS(AC$4:AC$200,"&lt;&gt;-",$D$4:$D$200,"&lt;&gt;是",$E$4:$E$200,"&lt;&gt;封闭期",$H$4:$H$200,"&gt;10",$BN$4:$BN$200,"&gt;-6",$BR$4:$BR$200,"&gt;=70",$C$4:$C$200,"&lt;20190630",$K$4:$K$200,"&lt;=30"))</f>
        <v>-</v>
      </c>
      <c r="AG53" s="33" t="str">
        <f>IF(OR($C53&gt;20190630,$K53&gt;30,AC53="-",$D53="是",$E53="封闭期",$H53&lt;10,$BN53&lt;-6,$BR53&lt;70),"-",COUNTIFS(AC$4:AC$200,"&lt;&gt;-",$D$4:$D$200,"&lt;&gt;是",$E$4:$E$200,"&lt;&gt;封闭期",$H$4:$H$200,"&gt;10",$BN$4:$BN$200,"&gt;-6",$BR$4:$BR$200,"&gt;=70",$K$4:$K$200,"&lt;=30",$C$4:$C$200,"&lt;20190630",AC$4:AC$200,"&gt;="&amp;AC53)/COUNTIFS(AC$4:AC$200,"&lt;&gt;-",$D$4:$D$200,"&lt;&gt;是",$E$4:$E$200,"&lt;&gt;封闭期",$H$4:$H$200,"&gt;10",$BN$4:$BN$200,"&gt;-6",$BR$4:$BR$200,"&gt;=70",$C$4:$C$200,"&lt;20190630",$K$4:$K$200,"&lt;=30"))</f>
        <v>-</v>
      </c>
      <c r="AH53" s="21">
        <f>[1]!f_risk_maxdownside(A53,$L$2,$E$1)</f>
        <v>-2.4244075183873606</v>
      </c>
      <c r="AI53" s="19" t="str">
        <f>IFERROR(RANK(AH53,AH:AH)&amp;"/"&amp;COUNT(AH:AH),"-")</f>
        <v>74/197</v>
      </c>
      <c r="AJ53" s="26">
        <f>IFERROR(RANK(AH53,AH:AH)/COUNT(AH:AH),"-")</f>
        <v>0.37563451776649748</v>
      </c>
      <c r="AK53" s="34" t="str">
        <f>IF(OR($C53&gt;20190630,$K53&gt;30,AH53="-",$D53="是",$E53="封闭期",$H53&lt;10,$BN53&lt;-6,$BR53&lt;70),"-",COUNTIFS(AH$4:AH$200,"&lt;&gt;-",$D$4:$D$200,"&lt;&gt;是",$E$4:$E$200,"&lt;&gt;封闭期",$H$4:$H$200,"&gt;10",$BN$4:$BN$200,"&gt;-6",$BR$4:$BR$200,"&gt;=70",$K$4:$K$200,"&lt;=30",$C$4:$C$200,"&lt;20190630",AH$4:AH$200,"&gt;="&amp;AH53)&amp;"/"&amp;COUNTIFS(AH$4:AH$200,"&lt;&gt;-",$D$4:$D$200,"&lt;&gt;是",$E$4:$E$200,"&lt;&gt;封闭期",$H$4:$H$200,"&gt;10",$BN$4:$BN$200,"&gt;-6",$BR$4:$BR$200,"&gt;=70",$C$4:$C$200,"&lt;20190630",$K$4:$K$200,"&lt;=30"))</f>
        <v>-</v>
      </c>
      <c r="AL53" s="33" t="str">
        <f>IF(OR($C53&gt;20190630,$K53&gt;30,AH53="-",$D53="是",$E53="封闭期",$H53&lt;10,$BN53&lt;-6,$BR53&lt;70),"-",COUNTIFS(AH$4:AH$200,"&lt;&gt;-",$D$4:$D$200,"&lt;&gt;是",$E$4:$E$200,"&lt;&gt;封闭期",$H$4:$H$200,"&gt;10",$BN$4:$BN$200,"&gt;-6",$BR$4:$BR$200,"&gt;=70",$K$4:$K$200,"&lt;=30",$C$4:$C$200,"&lt;20190630",AH$4:AH$200,"&gt;="&amp;AH53)/COUNTIFS(AH$4:AH$200,"&lt;&gt;-",$D$4:$D$200,"&lt;&gt;是",$E$4:$E$200,"&lt;&gt;封闭期",$H$4:$H$200,"&gt;10",$BN$4:$BN$200,"&gt;-6",$BR$4:$BR$200,"&gt;=70",$C$4:$C$200,"&lt;20190630",$K$4:$K$200,"&lt;=30"))</f>
        <v>-</v>
      </c>
      <c r="AM53" s="19">
        <f>[1]!f_return($A53,"1",AM$2,$L$2)</f>
        <v>10.361016801383837</v>
      </c>
      <c r="AN53" s="19">
        <f>[1]!f_risk_stdevyearly($A53,AM$2,$L$2,1,1)</f>
        <v>3.3370323852082002</v>
      </c>
      <c r="AO53" s="19">
        <f>IFERROR(AM53/AN53,"-")</f>
        <v>3.1048595294760393</v>
      </c>
      <c r="AP53" s="19" t="str">
        <f>IFERROR(RANK(AO53,AO:AO)&amp;"/"&amp;COUNT(AO:AO),"-")</f>
        <v>7/197</v>
      </c>
      <c r="AQ53" s="26">
        <f>IF(AP53="-","-",RANK(AO53,AO:AO)/COUNT(AO:AO))</f>
        <v>3.553299492385787E-2</v>
      </c>
      <c r="AR53" s="57">
        <v>0.25380710659898476</v>
      </c>
      <c r="AS53" s="33" t="str">
        <f>IF(OR($C53&gt;20190630,$K53&gt;30,AO53="-",$D53="是",$E53="封闭期",$H53&lt;10,$BN53&lt;-6,$BR53&lt;70),"-",COUNTIFS(AO$4:AO$200,"&lt;&gt;-",$D$4:$D$200,"&lt;&gt;是",$E$4:$E$200,"&lt;&gt;封闭期",$H$4:$H$200,"&gt;10",$BN$4:$BN$200,"&gt;-6",$BR$4:$BR$200,"&gt;=70",$K$4:$K$200,"&lt;=30",$C$4:$C$200,"&lt;20190630",AO$4:AO$200,"&gt;="&amp;AO53)/COUNTIFS(AO$4:AO$200,"&lt;&gt;-",$D$4:$D$200,"&lt;&gt;是",$E$4:$E$200,"&lt;&gt;封闭期",$H$4:$H$200,"&gt;10",$BN$4:$BN$200,"&gt;-6",$BR$4:$BR$200,"&gt;=70",$C$4:$C$200,"&lt;20190630",$K$4:$K$200,"&lt;=30"))</f>
        <v>-</v>
      </c>
      <c r="AT53" s="19">
        <f>IFERROR((AM53-3)/AN53,"-")</f>
        <v>2.2058571663890452</v>
      </c>
      <c r="AU53" s="19" t="str">
        <f>IFERROR(RANK(AT53,AT:AT)&amp;"/"&amp;COUNT(AT:AT),"-")</f>
        <v>5/197</v>
      </c>
      <c r="AV53" s="26">
        <f>IFERROR(RANK(AT53,AT:AT)/COUNT(AT:AT),"-")</f>
        <v>2.5380710659898477E-2</v>
      </c>
      <c r="AW53" s="34" t="str">
        <f>IF(OR($C53&gt;20190630,$K53&gt;30,AT53="-",$D53="是",$E53="封闭期",$H53&lt;10,$BN53&lt;-6,$BR53&lt;70),"-",COUNTIFS(AT$4:AT$200,"&lt;&gt;-",$D$4:$D$200,"&lt;&gt;是",$E$4:$E$200,"&lt;&gt;封闭期",$H$4:$H$200,"&gt;10",$BN$4:$BN$200,"&gt;-6",$BR$4:$BR$200,"&gt;=70",$K$4:$K$200,"&lt;=30",$C$4:$C$200,"&lt;20190630",AT$4:AT$200,"&gt;="&amp;AT53)&amp;"/"&amp;COUNTIFS(AT$4:AT$200,"&lt;&gt;-",$D$4:$D$200,"&lt;&gt;是",$E$4:$E$200,"&lt;&gt;封闭期",$H$4:$H$200,"&gt;10",$BN$4:$BN$200,"&gt;-6",$BR$4:$BR$200,"&gt;=70",$C$4:$C$200,"&lt;20190630",$K$4:$K$200,"&lt;=30"))</f>
        <v>-</v>
      </c>
      <c r="AX53" s="33" t="str">
        <f>IF(OR($C53&gt;20190630,$K53&gt;30,AT53="-",$D53="是",$E53="封闭期",$H53&lt;10,$BN53&lt;-6,$BR53&lt;70),"-",COUNTIFS(AT$4:AT$200,"&lt;&gt;-",$D$4:$D$200,"&lt;&gt;是",$E$4:$E$200,"&lt;&gt;封闭期",$H$4:$H$200,"&gt;10",$BN$4:$BN$200,"&gt;-6",$BR$4:$BR$200,"&gt;=70",$K$4:$K$200,"&lt;=30",$C$4:$C$200,"&lt;20190630",AT$4:AT$200,"&gt;="&amp;AT53)/COUNTIFS(AT$4:AT$200,"&lt;&gt;-",$D$4:$D$200,"&lt;&gt;是",$E$4:$E$200,"&lt;&gt;封闭期",$H$4:$H$200,"&gt;10",$BN$4:$BN$200,"&gt;-6",$BR$4:$BR$200,"&gt;=70",$C$4:$C$200,"&lt;20190630",$K$4:$K$200,"&lt;=30"))</f>
        <v>-</v>
      </c>
      <c r="AY53" s="19">
        <f>[1]!f_risk_calmar(A53,$AM$2,$L$2)</f>
        <v>6.1927852828378285</v>
      </c>
      <c r="AZ53" s="19" t="str">
        <f>IFERROR(RANK(AY53,AY:AY)&amp;"/"&amp;COUNT(AY:AY),"-")</f>
        <v>5/197</v>
      </c>
      <c r="BA53" s="26">
        <f>IFERROR(RANK(AY53,AY:AY)/COUNT(AY:AY),"-")</f>
        <v>2.5380710659898477E-2</v>
      </c>
      <c r="BB53" s="34" t="str">
        <f>IF(OR($C53&gt;20190630,$K53&gt;30,AY53="-",$D53="是",$E53="封闭期",$H53&lt;10,$BN53&lt;-6,$BR53&lt;70),"-",COUNTIFS(AY$4:AY$200,"&lt;&gt;-",$D$4:$D$200,"&lt;&gt;是",$E$4:$E$200,"&lt;&gt;封闭期",$H$4:$H$200,"&gt;10",$BN$4:$BN$200,"&gt;-6",$BR$4:$BR$200,"&gt;=70",$K$4:$K$200,"&lt;=30",$C$4:$C$200,"&lt;20190630",AY$4:AY$200,"&gt;="&amp;AY53)&amp;"/"&amp;COUNTIFS(AY$4:AY$200,"&lt;&gt;-",$D$4:$D$200,"&lt;&gt;是",$E$4:$E$200,"&lt;&gt;封闭期",$H$4:$H$200,"&gt;10",$BN$4:$BN$200,"&gt;-6",$BR$4:$BR$200,"&gt;=70",$C$4:$C$200,"&lt;20190630",$K$4:$K$200,"&lt;=30"))</f>
        <v>-</v>
      </c>
      <c r="BC53" s="33" t="str">
        <f>IF(OR($C53&gt;20190630,$K53&gt;30,AY53="-",$D53="是",$E53="封闭期",$H53&lt;10,$BN53&lt;-6,$BR53&lt;70),"-",COUNTIFS(AY$4:AY$200,"&lt;&gt;-",$D$4:$D$200,"&lt;&gt;是",$E$4:$E$200,"&lt;&gt;封闭期",$H$4:$H$200,"&gt;10",$BN$4:$BN$200,"&gt;-6",$BR$4:$BR$200,"&gt;=70",$K$4:$K$200,"&lt;=30",$C$4:$C$200,"&lt;20190630",AY$4:AY$200,"&gt;="&amp;AY53)/COUNTIFS(AY$4:AY$200,"&lt;&gt;-",$D$4:$D$200,"&lt;&gt;是",$E$4:$E$200,"&lt;&gt;封闭期",$H$4:$H$200,"&gt;10",$BN$4:$BN$200,"&gt;-6",$BR$4:$BR$200,"&gt;=70",$C$4:$C$200,"&lt;20190630",$K$4:$K$200,"&lt;=30"))</f>
        <v>-</v>
      </c>
      <c r="BD53" s="20">
        <v>1</v>
      </c>
      <c r="BE53" s="19" t="str">
        <f>IFERROR(RANK(BD53,BD:BD)&amp;"/"&amp;COUNT(BD:BD),"-")</f>
        <v>1/197</v>
      </c>
      <c r="BF53" s="26">
        <f>IFERROR(RANK(BD53,BD:BD)/COUNT(BD:BD),"-")</f>
        <v>5.076142131979695E-3</v>
      </c>
      <c r="BG53" s="34" t="str">
        <f>IF(OR($C53&gt;20190630,$K53&gt;30,BD53="-",$D53="是",$E53="封闭期",$H53&lt;10,$BN53&lt;-6,$BR53&lt;70),"-",COUNTIFS(BD$4:BD$200,"&lt;&gt;-",$D$4:$D$200,"&lt;&gt;是",$E$4:$E$200,"&lt;&gt;封闭期",$H$4:$H$200,"&gt;10",$BN$4:$BN$200,"&gt;-6",$BR$4:$BR$200,"&gt;=70",$K$4:$K$200,"&lt;=30",$C$4:$C$200,"&lt;20190630",BD$4:BD$200,"&gt;="&amp;BD53)&amp;"/"&amp;COUNTIFS(BD$4:BD$200,"&lt;&gt;-",$D$4:$D$200,"&lt;&gt;是",$E$4:$E$200,"&lt;&gt;封闭期",$H$4:$H$200,"&gt;10",$BN$4:$BN$200,"&gt;-6",$BR$4:$BR$200,"&gt;=70",$C$4:$C$200,"&lt;20190630",$K$4:$K$200,"&lt;=30"))</f>
        <v>-</v>
      </c>
      <c r="BH53" s="33" t="str">
        <f>IF(OR($C53&gt;20190630,$K53&gt;30,BD53="-",$D53="是",$E53="封闭期",$H53&lt;10,$BN53&lt;-6,$BR53&lt;70),"-",COUNTIFS(BD$4:BD$200,"&lt;&gt;-",$D$4:$D$200,"&lt;&gt;是",$E$4:$E$200,"&lt;&gt;封闭期",$H$4:$H$200,"&gt;10",$BN$4:$BN$200,"&gt;-6",$BR$4:$BR$200,"&gt;=70",$K$4:$K$200,"&lt;=30",$C$4:$C$200,"&lt;20190630",BD$4:BD$200,"&gt;="&amp;BD53)/COUNTIFS(BD$4:BD$200,"&lt;&gt;-",$D$4:$D$200,"&lt;&gt;是",$E$4:$E$200,"&lt;&gt;封闭期",$H$4:$H$200,"&gt;10",$BN$4:$BN$200,"&gt;-6",$BR$4:$BR$200,"&gt;=70",$C$4:$C$200,"&lt;20190630",$K$4:$K$200,"&lt;=30"))</f>
        <v>-</v>
      </c>
      <c r="BI53" s="21">
        <f>[1]!f_risk_maxdownside(A53,$AM$2,$L$2)</f>
        <v>-1.6730786436431924</v>
      </c>
      <c r="BJ53" s="19" t="str">
        <f>IFERROR(RANK(BI53,BI:BI)&amp;"/"&amp;COUNT(BI:BI),"-")</f>
        <v>24/197</v>
      </c>
      <c r="BK53" s="26">
        <f>IFERROR(RANK(BI53,BI:BI)/COUNT(BI:BI),"-")</f>
        <v>0.12182741116751269</v>
      </c>
      <c r="BL53" s="34" t="str">
        <f>IF(OR($C53&gt;20190630,$K53&gt;30,BI53="-",$D53="是",$E53="封闭期",$H53&lt;10,$BN53&lt;-6,$BR53&lt;70),"-",COUNTIFS(BI$4:BI$200,"&lt;&gt;-",$D$4:$D$200,"&lt;&gt;是",$E$4:$E$200,"&lt;&gt;封闭期",$H$4:$H$200,"&gt;10",$BN$4:$BN$200,"&gt;-6",$BR$4:$BR$200,"&gt;=70",$K$4:$K$200,"&lt;=30",$C$4:$C$200,"&lt;20190630",BI$4:BI$200,"&gt;="&amp;BI53)&amp;"/"&amp;COUNTIFS(BI$4:BI$200,"&lt;&gt;-",$D$4:$D$200,"&lt;&gt;是",$E$4:$E$200,"&lt;&gt;封闭期",$H$4:$H$200,"&gt;10",$BN$4:$BN$200,"&gt;-6",$BR$4:$BR$200,"&gt;=70",$C$4:$C$200,"&lt;20190630",$K$4:$K$200,"&lt;=30"))</f>
        <v>-</v>
      </c>
      <c r="BM53" s="33" t="str">
        <f>IF(OR($C53&gt;20190630,$K53&gt;30,BI53="-",$D53="是",$E53="封闭期",$H53&lt;10,$BN53&lt;-6,$BR53&lt;70),"-",COUNTIFS(BI$4:BI$200,"&lt;&gt;-",$D$4:$D$200,"&lt;&gt;是",$E$4:$E$200,"&lt;&gt;封闭期",$H$4:$H$200,"&gt;10",$BN$4:$BN$200,"&gt;-6",$BR$4:$BR$200,"&gt;=70",$K$4:$K$200,"&lt;=30",$C$4:$C$200,"&lt;20190630",BI$4:BI$200,"&gt;="&amp;BI53)/COUNTIFS(BI$4:BI$200,"&lt;&gt;-",$D$4:$D$200,"&lt;&gt;是",$E$4:$E$200,"&lt;&gt;封闭期",$H$4:$H$200,"&gt;10",$BN$4:$BN$200,"&gt;-6",$BR$4:$BR$200,"&gt;=70",$C$4:$C$200,"&lt;20190630",$K$4:$K$200,"&lt;=30"))</f>
        <v>-</v>
      </c>
      <c r="BN53" s="21">
        <f>[1]!f_risk_maxdownside(A53,$AM$2,$E$1)</f>
        <v>-2.4244075183873606</v>
      </c>
      <c r="BO53" s="21">
        <f>IF(C53&lt;20190930,[1]!f_return_2y(A53,"0","20210930"),"-")</f>
        <v>13.424787888627007</v>
      </c>
      <c r="BP53" s="19" t="str">
        <f>IFERROR(RANK(BO53,BO:BO)&amp;"/"&amp;COUNT(BO:BO),"-")</f>
        <v>99/197</v>
      </c>
      <c r="BQ53" s="25">
        <f>IFERROR(RANK(BO53,BO:BO)/COUNT(BO:BO),"-")</f>
        <v>0.5025380710659898</v>
      </c>
      <c r="BR53" s="19">
        <f>IF(C53&lt;20190930,[1]!f_absolute_profitmonthper(A53,"20190930","20210930"),"-")</f>
        <v>62.5</v>
      </c>
      <c r="BS53" s="19" t="str">
        <f>IFERROR(RANK(BR53,BR:BR)&amp;"/"&amp;COUNT(BR:BR),"-")</f>
        <v>142/198</v>
      </c>
      <c r="BT53" s="25">
        <f>IFERROR(RANK(BR53,BR:BR)/COUNT(BR:BR),"-")</f>
        <v>0.71717171717171713</v>
      </c>
      <c r="BU53" s="17"/>
      <c r="BV53" s="12">
        <f>X53-3/M53</f>
        <v>0.18235192526586153</v>
      </c>
      <c r="BW53" s="76">
        <f>IFERROR(RANK(BV53,BV:BV)/COUNT(BV:BV),"-")</f>
        <v>0.84771573604060912</v>
      </c>
      <c r="BX53" s="76">
        <f>IFERROR(RANK(L53,L:L)/COUNT(L:L),"-")</f>
        <v>0.86363636363636365</v>
      </c>
      <c r="BY53" s="12">
        <f>AY53-3/AN53</f>
        <v>5.2937829197508348</v>
      </c>
      <c r="BZ53" s="76">
        <f>IFERROR(RANK(BY53,BY:BY)/COUNT(BY:BY),"-")</f>
        <v>3.0456852791878174E-2</v>
      </c>
      <c r="CA53" s="76">
        <f>IFERROR(RANK(AM53,AM:AM)/COUNT(AM:AM),"-")</f>
        <v>0.25757575757575757</v>
      </c>
      <c r="CC53" s="77">
        <f>AV53+BF53+BZ53+CA53</f>
        <v>0.31848946315951393</v>
      </c>
      <c r="CD53" s="77">
        <f>BW53+BX53+AE53+U53</f>
        <v>3.1631287494231657</v>
      </c>
      <c r="CE53" s="77">
        <f>CC53+CD53</f>
        <v>3.4816182125826796</v>
      </c>
    </row>
    <row r="54" spans="1:83" s="17" customFormat="1" hidden="1" x14ac:dyDescent="0.35">
      <c r="A54" s="15" t="s">
        <v>257</v>
      </c>
      <c r="B54" s="15" t="s">
        <v>258</v>
      </c>
      <c r="C54" s="16">
        <v>20160721</v>
      </c>
      <c r="D54" s="16" t="str">
        <f>[1]!f_info_regulopenfundornot(A54)</f>
        <v>否</v>
      </c>
      <c r="E54" s="16" t="str">
        <f>[1]!f_dq_status(A54,$E$1)</f>
        <v>暂停大额申购|开放赎回</v>
      </c>
      <c r="F54" s="17" t="str">
        <f>[1]!f_info_fundmanager(A54)</f>
        <v>赵睿</v>
      </c>
      <c r="G54" s="16">
        <v>20190916</v>
      </c>
      <c r="H54" s="18">
        <f>[1]!f_netasset_total(A54,$E$1,100000000)</f>
        <v>8.7344318136000005</v>
      </c>
      <c r="I54" s="18">
        <f>[1]!f_prt_convertiblebondtonav(A54,$E$1)</f>
        <v>0</v>
      </c>
      <c r="J54" s="18">
        <f>[1]!f_prt_stocktonav(A54,$E$1)+0.5*I54</f>
        <v>0</v>
      </c>
      <c r="K54" s="19">
        <v>0</v>
      </c>
      <c r="L54" s="19">
        <f>[1]!f_return($A54,"1",L$2,$E$1)</f>
        <v>4.8174807005756382</v>
      </c>
      <c r="M54" s="19">
        <f>[1]!f_risk_stdevyearly($A54,L$2,$E$1,1,1)</f>
        <v>4.1047682403899</v>
      </c>
      <c r="N54" s="19">
        <f>IFERROR(L54/M54,"-")</f>
        <v>1.1736303777574637</v>
      </c>
      <c r="O54" s="19" t="str">
        <f>IFERROR(RANK(N54,N:N)&amp;"/"&amp;COUNT(N:N),"-")</f>
        <v>123/197</v>
      </c>
      <c r="P54" s="26">
        <f>IF(O54="-","-",RANK(N54,N:N)/COUNT(N:N))</f>
        <v>0.62436548223350252</v>
      </c>
      <c r="Q54" s="56">
        <v>0.58883248730964466</v>
      </c>
      <c r="R54" s="33" t="str">
        <f>IF(OR($C54&gt;20190630,$K54&gt;30,N54="-",$D54="是",$E54="封闭期",$H54&lt;10,$BN54&lt;-6,$BR54&lt;70),"-",COUNTIFS(N$4:N$200,"&lt;&gt;-",$D$4:$D$200,"&lt;&gt;是",$E$4:$E$200,"&lt;&gt;封闭期",$H$4:$H$200,"&gt;10",$BN$4:$BN$200,"&gt;-6",$BR$4:$BR$200,"&gt;=70",$K$4:$K$200,"&lt;=30",$C$4:$C$200,"&lt;20190630",N$4:N$200,"&gt;="&amp;N54)/COUNTIFS(N$4:N$200,"&lt;&gt;-",$D$4:$D$200,"&lt;&gt;是",$E$4:$E$200,"&lt;&gt;封闭期",$H$4:$H$200,"&gt;10",$BN$4:$BN$200,"&gt;-6",$BR$4:$BR$200,"&gt;=70",$C$4:$C$200,"&lt;20190630",$K$4:$K$200,"&lt;=30"))</f>
        <v>-</v>
      </c>
      <c r="S54" s="19">
        <f>IFERROR((L54-3)/M54,"-")</f>
        <v>0.4427730371454543</v>
      </c>
      <c r="T54" s="19" t="str">
        <f>IFERROR(RANK(S54,S:S)&amp;"/"&amp;COUNT(S:S),"-")</f>
        <v>123/197</v>
      </c>
      <c r="U54" s="26">
        <f>IFERROR(RANK(S54,S:S)/COUNT(S:S),"-")</f>
        <v>0.62436548223350252</v>
      </c>
      <c r="V54" s="34" t="str">
        <f>IF(OR($C54&gt;20190630,$K54&gt;30,S54="-",$D54="是",$E54="封闭期",$H54&lt;10,$BN54&lt;-6,$BR54&lt;70),"-",COUNTIFS(S$4:S$200,"&lt;&gt;-",$D$4:$D$200,"&lt;&gt;是",$E$4:$E$200,"&lt;&gt;封闭期",$H$4:$H$200,"&gt;10",$BN$4:$BN$200,"&gt;-6",$BR$4:$BR$200,"&gt;=70",$K$4:$K$200,"&lt;=30",$C$4:$C$200,"&lt;20190630",S$4:S$200,"&gt;="&amp;S54)&amp;"/"&amp;COUNTIFS(S$4:S$200,"&lt;&gt;-",$D$4:$D$200,"&lt;&gt;是",$E$4:$E$200,"&lt;&gt;封闭期",$H$4:$H$200,"&gt;10",$BN$4:$BN$200,"&gt;-6",$BR$4:$BR$200,"&gt;=70",$C$4:$C$200,"&lt;20190630",$K$4:$K$200,"&lt;=30"))</f>
        <v>-</v>
      </c>
      <c r="W54" s="33" t="str">
        <f>IF(OR($C54&gt;20190630,$K54&gt;30,S54="-",$D54="是",$E54="封闭期",$H54&lt;10,$BN54&lt;-6,$BR54&lt;70),"-",COUNTIFS(S$4:S$200,"&lt;&gt;-",$D$4:$D$200,"&lt;&gt;是",$E$4:$E$200,"&lt;&gt;封闭期",$H$4:$H$200,"&gt;10",$BN$4:$BN$200,"&gt;-6",$BR$4:$BR$200,"&gt;=70",$K$4:$K$200,"&lt;=30",$C$4:$C$200,"&lt;20190630",S$4:S$200,"&gt;="&amp;S54)/COUNTIFS(S$4:S$200,"&lt;&gt;-",$D$4:$D$200,"&lt;&gt;是",$E$4:$E$200,"&lt;&gt;封闭期",$H$4:$H$200,"&gt;10",$BN$4:$BN$200,"&gt;-6",$BR$4:$BR$200,"&gt;=70",$C$4:$C$200,"&lt;20190630",$K$4:$K$200,"&lt;=30"))</f>
        <v>-</v>
      </c>
      <c r="X54" s="19">
        <f>[1]!f_risk_calmar(A54,$L$2,$E$1)</f>
        <v>1.1089840572725109</v>
      </c>
      <c r="Y54" s="19" t="str">
        <f>IFERROR(RANK(X54,X:X)&amp;"/"&amp;COUNT(X:X),"-")</f>
        <v>153/197</v>
      </c>
      <c r="Z54" s="26">
        <f>IFERROR(RANK(X54,X:X)/COUNT(X:X),"-")</f>
        <v>0.7766497461928934</v>
      </c>
      <c r="AA54" s="34" t="str">
        <f>IF(OR($C54&gt;20190630,$K54&gt;30,X54="-",$D54="是",$E54="封闭期",$H54&lt;10,$BN54&lt;-6,$BR54&lt;70),"-",COUNTIFS(X$4:X$200,"&lt;&gt;-",$D$4:$D$200,"&lt;&gt;是",$E$4:$E$200,"&lt;&gt;封闭期",$H$4:$H$200,"&gt;10",$BN$4:$BN$200,"&gt;-6",$BR$4:$BR$200,"&gt;=70",$K$4:$K$200,"&lt;=30",$C$4:$C$200,"&lt;20190630",X$4:X$200,"&gt;="&amp;X54)&amp;"/"&amp;COUNTIFS(X$4:X$200,"&lt;&gt;-",$D$4:$D$200,"&lt;&gt;是",$E$4:$E$200,"&lt;&gt;封闭期",$H$4:$H$200,"&gt;10",$BN$4:$BN$200,"&gt;-6",$BR$4:$BR$200,"&gt;=70",$C$4:$C$200,"&lt;20190630",$K$4:$K$200,"&lt;=30"))</f>
        <v>-</v>
      </c>
      <c r="AB54" s="33" t="str">
        <f>IF(OR($C54&gt;20190630,$K54&gt;30,X54="-",$D54="是",$E54="封闭期",$H54&lt;10,$BN54&lt;-6,$BR54&lt;70),"-",COUNTIFS(X$4:X$200,"&lt;&gt;-",$D$4:$D$200,"&lt;&gt;是",$E$4:$E$200,"&lt;&gt;封闭期",$H$4:$H$200,"&gt;10",$BN$4:$BN$200,"&gt;-6",$BR$4:$BR$200,"&gt;=70",$K$4:$K$200,"&lt;=30",$C$4:$C$200,"&lt;20190630",X$4:X$200,"&gt;="&amp;X54)/COUNTIFS(X$4:X$200,"&lt;&gt;-",$D$4:$D$200,"&lt;&gt;是",$E$4:$E$200,"&lt;&gt;封闭期",$H$4:$H$200,"&gt;10",$BN$4:$BN$200,"&gt;-6",$BR$4:$BR$200,"&gt;=70",$C$4:$C$200,"&lt;20190630",$K$4:$K$200,"&lt;=30"))</f>
        <v>-</v>
      </c>
      <c r="AC54" s="20">
        <v>0.7142857142857143</v>
      </c>
      <c r="AD54" s="19" t="str">
        <f>IFERROR(RANK(AC54,AC:AC)&amp;"/"&amp;COUNT(AC:AC),"-")</f>
        <v>165/197</v>
      </c>
      <c r="AE54" s="26">
        <f>IFERROR(RANK(AC54,AC:AC)/COUNT(AC:AC),"-")</f>
        <v>0.8375634517766497</v>
      </c>
      <c r="AF54" s="34" t="str">
        <f>IF(OR($C54&gt;20190630,$K54&gt;30,AC54="-",$D54="是",$E54="封闭期",$H54&lt;10,$BN54&lt;-6,$BR54&lt;70),"-",COUNTIFS(AC$4:AC$200,"&lt;&gt;-",$D$4:$D$200,"&lt;&gt;是",$E$4:$E$200,"&lt;&gt;封闭期",$H$4:$H$200,"&gt;10",$BN$4:$BN$200,"&gt;-6",$BR$4:$BR$200,"&gt;=70",$K$4:$K$200,"&lt;=30",$C$4:$C$200,"&lt;20190630",AC$4:AC$200,"&gt;="&amp;AC54)&amp;"/"&amp;COUNTIFS(AC$4:AC$200,"&lt;&gt;-",$D$4:$D$200,"&lt;&gt;是",$E$4:$E$200,"&lt;&gt;封闭期",$H$4:$H$200,"&gt;10",$BN$4:$BN$200,"&gt;-6",$BR$4:$BR$200,"&gt;=70",$C$4:$C$200,"&lt;20190630",$K$4:$K$200,"&lt;=30"))</f>
        <v>-</v>
      </c>
      <c r="AG54" s="33" t="str">
        <f>IF(OR($C54&gt;20190630,$K54&gt;30,AC54="-",$D54="是",$E54="封闭期",$H54&lt;10,$BN54&lt;-6,$BR54&lt;70),"-",COUNTIFS(AC$4:AC$200,"&lt;&gt;-",$D$4:$D$200,"&lt;&gt;是",$E$4:$E$200,"&lt;&gt;封闭期",$H$4:$H$200,"&gt;10",$BN$4:$BN$200,"&gt;-6",$BR$4:$BR$200,"&gt;=70",$K$4:$K$200,"&lt;=30",$C$4:$C$200,"&lt;20190630",AC$4:AC$200,"&gt;="&amp;AC54)/COUNTIFS(AC$4:AC$200,"&lt;&gt;-",$D$4:$D$200,"&lt;&gt;是",$E$4:$E$200,"&lt;&gt;封闭期",$H$4:$H$200,"&gt;10",$BN$4:$BN$200,"&gt;-6",$BR$4:$BR$200,"&gt;=70",$C$4:$C$200,"&lt;20190630",$K$4:$K$200,"&lt;=30"))</f>
        <v>-</v>
      </c>
      <c r="AH54" s="21">
        <f>[1]!f_risk_maxdownside(A54,$L$2,$E$1)</f>
        <v>-4.3440486533449212</v>
      </c>
      <c r="AI54" s="19" t="str">
        <f>IFERROR(RANK(AH54,AH:AH)&amp;"/"&amp;COUNT(AH:AH),"-")</f>
        <v>137/197</v>
      </c>
      <c r="AJ54" s="26">
        <f>IFERROR(RANK(AH54,AH:AH)/COUNT(AH:AH),"-")</f>
        <v>0.69543147208121825</v>
      </c>
      <c r="AK54" s="34" t="str">
        <f>IF(OR($C54&gt;20190630,$K54&gt;30,AH54="-",$D54="是",$E54="封闭期",$H54&lt;10,$BN54&lt;-6,$BR54&lt;70),"-",COUNTIFS(AH$4:AH$200,"&lt;&gt;-",$D$4:$D$200,"&lt;&gt;是",$E$4:$E$200,"&lt;&gt;封闭期",$H$4:$H$200,"&gt;10",$BN$4:$BN$200,"&gt;-6",$BR$4:$BR$200,"&gt;=70",$K$4:$K$200,"&lt;=30",$C$4:$C$200,"&lt;20190630",AH$4:AH$200,"&gt;="&amp;AH54)&amp;"/"&amp;COUNTIFS(AH$4:AH$200,"&lt;&gt;-",$D$4:$D$200,"&lt;&gt;是",$E$4:$E$200,"&lt;&gt;封闭期",$H$4:$H$200,"&gt;10",$BN$4:$BN$200,"&gt;-6",$BR$4:$BR$200,"&gt;=70",$C$4:$C$200,"&lt;20190630",$K$4:$K$200,"&lt;=30"))</f>
        <v>-</v>
      </c>
      <c r="AL54" s="33" t="str">
        <f>IF(OR($C54&gt;20190630,$K54&gt;30,AH54="-",$D54="是",$E54="封闭期",$H54&lt;10,$BN54&lt;-6,$BR54&lt;70),"-",COUNTIFS(AH$4:AH$200,"&lt;&gt;-",$D$4:$D$200,"&lt;&gt;是",$E$4:$E$200,"&lt;&gt;封闭期",$H$4:$H$200,"&gt;10",$BN$4:$BN$200,"&gt;-6",$BR$4:$BR$200,"&gt;=70",$K$4:$K$200,"&lt;=30",$C$4:$C$200,"&lt;20190630",AH$4:AH$200,"&gt;="&amp;AH54)/COUNTIFS(AH$4:AH$200,"&lt;&gt;-",$D$4:$D$200,"&lt;&gt;是",$E$4:$E$200,"&lt;&gt;封闭期",$H$4:$H$200,"&gt;10",$BN$4:$BN$200,"&gt;-6",$BR$4:$BR$200,"&gt;=70",$C$4:$C$200,"&lt;20190630",$K$4:$K$200,"&lt;=30"))</f>
        <v>-</v>
      </c>
      <c r="AM54" s="19">
        <f>[1]!f_return($A54,"1",AM$2,$L$2)</f>
        <v>10.260886954042148</v>
      </c>
      <c r="AN54" s="19">
        <f>[1]!f_risk_stdevyearly($A54,AM$2,$L$2,1,1)</f>
        <v>7.3715025188279313</v>
      </c>
      <c r="AO54" s="19">
        <f>IFERROR(AM54/AN54,"-")</f>
        <v>1.3919668246513235</v>
      </c>
      <c r="AP54" s="19" t="str">
        <f>IFERROR(RANK(AO54,AO:AO)&amp;"/"&amp;COUNT(AO:AO),"-")</f>
        <v>124/197</v>
      </c>
      <c r="AQ54" s="26">
        <f>IF(AP54="-","-",RANK(AO54,AO:AO)/COUNT(AO:AO))</f>
        <v>0.62944162436548223</v>
      </c>
      <c r="AR54" s="57">
        <v>0.25888324873096447</v>
      </c>
      <c r="AS54" s="33" t="str">
        <f>IF(OR($C54&gt;20190630,$K54&gt;30,AO54="-",$D54="是",$E54="封闭期",$H54&lt;10,$BN54&lt;-6,$BR54&lt;70),"-",COUNTIFS(AO$4:AO$200,"&lt;&gt;-",$D$4:$D$200,"&lt;&gt;是",$E$4:$E$200,"&lt;&gt;封闭期",$H$4:$H$200,"&gt;10",$BN$4:$BN$200,"&gt;-6",$BR$4:$BR$200,"&gt;=70",$K$4:$K$200,"&lt;=30",$C$4:$C$200,"&lt;20190630",AO$4:AO$200,"&gt;="&amp;AO54)/COUNTIFS(AO$4:AO$200,"&lt;&gt;-",$D$4:$D$200,"&lt;&gt;是",$E$4:$E$200,"&lt;&gt;封闭期",$H$4:$H$200,"&gt;10",$BN$4:$BN$200,"&gt;-6",$BR$4:$BR$200,"&gt;=70",$C$4:$C$200,"&lt;20190630",$K$4:$K$200,"&lt;=30"))</f>
        <v>-</v>
      </c>
      <c r="AT54" s="19">
        <f>IFERROR((AM54-3)/AN54,"-")</f>
        <v>0.98499416306197352</v>
      </c>
      <c r="AU54" s="19" t="str">
        <f>IFERROR(RANK(AT54,AT:AT)&amp;"/"&amp;COUNT(AT:AT),"-")</f>
        <v>87/197</v>
      </c>
      <c r="AV54" s="26">
        <f>IFERROR(RANK(AT54,AT:AT)/COUNT(AT:AT),"-")</f>
        <v>0.44162436548223349</v>
      </c>
      <c r="AW54" s="34" t="str">
        <f>IF(OR($C54&gt;20190630,$K54&gt;30,AT54="-",$D54="是",$E54="封闭期",$H54&lt;10,$BN54&lt;-6,$BR54&lt;70),"-",COUNTIFS(AT$4:AT$200,"&lt;&gt;-",$D$4:$D$200,"&lt;&gt;是",$E$4:$E$200,"&lt;&gt;封闭期",$H$4:$H$200,"&gt;10",$BN$4:$BN$200,"&gt;-6",$BR$4:$BR$200,"&gt;=70",$K$4:$K$200,"&lt;=30",$C$4:$C$200,"&lt;20190630",AT$4:AT$200,"&gt;="&amp;AT54)&amp;"/"&amp;COUNTIFS(AT$4:AT$200,"&lt;&gt;-",$D$4:$D$200,"&lt;&gt;是",$E$4:$E$200,"&lt;&gt;封闭期",$H$4:$H$200,"&gt;10",$BN$4:$BN$200,"&gt;-6",$BR$4:$BR$200,"&gt;=70",$C$4:$C$200,"&lt;20190630",$K$4:$K$200,"&lt;=30"))</f>
        <v>-</v>
      </c>
      <c r="AX54" s="33" t="str">
        <f>IF(OR($C54&gt;20190630,$K54&gt;30,AT54="-",$D54="是",$E54="封闭期",$H54&lt;10,$BN54&lt;-6,$BR54&lt;70),"-",COUNTIFS(AT$4:AT$200,"&lt;&gt;-",$D$4:$D$200,"&lt;&gt;是",$E$4:$E$200,"&lt;&gt;封闭期",$H$4:$H$200,"&gt;10",$BN$4:$BN$200,"&gt;-6",$BR$4:$BR$200,"&gt;=70",$K$4:$K$200,"&lt;=30",$C$4:$C$200,"&lt;20190630",AT$4:AT$200,"&gt;="&amp;AT54)/COUNTIFS(AT$4:AT$200,"&lt;&gt;-",$D$4:$D$200,"&lt;&gt;是",$E$4:$E$200,"&lt;&gt;封闭期",$H$4:$H$200,"&gt;10",$BN$4:$BN$200,"&gt;-6",$BR$4:$BR$200,"&gt;=70",$C$4:$C$200,"&lt;20190630",$K$4:$K$200,"&lt;=30"))</f>
        <v>-</v>
      </c>
      <c r="AY54" s="19">
        <f>[1]!f_risk_calmar(A54,$AM$2,$L$2)</f>
        <v>2.1975399559906914</v>
      </c>
      <c r="AZ54" s="19" t="str">
        <f>IFERROR(RANK(AY54,AY:AY)&amp;"/"&amp;COUNT(AY:AY),"-")</f>
        <v>98/197</v>
      </c>
      <c r="BA54" s="26">
        <f>IFERROR(RANK(AY54,AY:AY)/COUNT(AY:AY),"-")</f>
        <v>0.49746192893401014</v>
      </c>
      <c r="BB54" s="34" t="str">
        <f>IF(OR($C54&gt;20190630,$K54&gt;30,AY54="-",$D54="是",$E54="封闭期",$H54&lt;10,$BN54&lt;-6,$BR54&lt;70),"-",COUNTIFS(AY$4:AY$200,"&lt;&gt;-",$D$4:$D$200,"&lt;&gt;是",$E$4:$E$200,"&lt;&gt;封闭期",$H$4:$H$200,"&gt;10",$BN$4:$BN$200,"&gt;-6",$BR$4:$BR$200,"&gt;=70",$K$4:$K$200,"&lt;=30",$C$4:$C$200,"&lt;20190630",AY$4:AY$200,"&gt;="&amp;AY54)&amp;"/"&amp;COUNTIFS(AY$4:AY$200,"&lt;&gt;-",$D$4:$D$200,"&lt;&gt;是",$E$4:$E$200,"&lt;&gt;封闭期",$H$4:$H$200,"&gt;10",$BN$4:$BN$200,"&gt;-6",$BR$4:$BR$200,"&gt;=70",$C$4:$C$200,"&lt;20190630",$K$4:$K$200,"&lt;=30"))</f>
        <v>-</v>
      </c>
      <c r="BC54" s="33" t="str">
        <f>IF(OR($C54&gt;20190630,$K54&gt;30,AY54="-",$D54="是",$E54="封闭期",$H54&lt;10,$BN54&lt;-6,$BR54&lt;70),"-",COUNTIFS(AY$4:AY$200,"&lt;&gt;-",$D$4:$D$200,"&lt;&gt;是",$E$4:$E$200,"&lt;&gt;封闭期",$H$4:$H$200,"&gt;10",$BN$4:$BN$200,"&gt;-6",$BR$4:$BR$200,"&gt;=70",$K$4:$K$200,"&lt;=30",$C$4:$C$200,"&lt;20190630",AY$4:AY$200,"&gt;="&amp;AY54)/COUNTIFS(AY$4:AY$200,"&lt;&gt;-",$D$4:$D$200,"&lt;&gt;是",$E$4:$E$200,"&lt;&gt;封闭期",$H$4:$H$200,"&gt;10",$BN$4:$BN$200,"&gt;-6",$BR$4:$BR$200,"&gt;=70",$C$4:$C$200,"&lt;20190630",$K$4:$K$200,"&lt;=30"))</f>
        <v>-</v>
      </c>
      <c r="BD54" s="20">
        <v>1</v>
      </c>
      <c r="BE54" s="19" t="str">
        <f>IFERROR(RANK(BD54,BD:BD)&amp;"/"&amp;COUNT(BD:BD),"-")</f>
        <v>1/197</v>
      </c>
      <c r="BF54" s="26">
        <f>IFERROR(RANK(BD54,BD:BD)/COUNT(BD:BD),"-")</f>
        <v>5.076142131979695E-3</v>
      </c>
      <c r="BG54" s="34" t="str">
        <f>IF(OR($C54&gt;20190630,$K54&gt;30,BD54="-",$D54="是",$E54="封闭期",$H54&lt;10,$BN54&lt;-6,$BR54&lt;70),"-",COUNTIFS(BD$4:BD$200,"&lt;&gt;-",$D$4:$D$200,"&lt;&gt;是",$E$4:$E$200,"&lt;&gt;封闭期",$H$4:$H$200,"&gt;10",$BN$4:$BN$200,"&gt;-6",$BR$4:$BR$200,"&gt;=70",$K$4:$K$200,"&lt;=30",$C$4:$C$200,"&lt;20190630",BD$4:BD$200,"&gt;="&amp;BD54)&amp;"/"&amp;COUNTIFS(BD$4:BD$200,"&lt;&gt;-",$D$4:$D$200,"&lt;&gt;是",$E$4:$E$200,"&lt;&gt;封闭期",$H$4:$H$200,"&gt;10",$BN$4:$BN$200,"&gt;-6",$BR$4:$BR$200,"&gt;=70",$C$4:$C$200,"&lt;20190630",$K$4:$K$200,"&lt;=30"))</f>
        <v>-</v>
      </c>
      <c r="BH54" s="33" t="str">
        <f>IF(OR($C54&gt;20190630,$K54&gt;30,BD54="-",$D54="是",$E54="封闭期",$H54&lt;10,$BN54&lt;-6,$BR54&lt;70),"-",COUNTIFS(BD$4:BD$200,"&lt;&gt;-",$D$4:$D$200,"&lt;&gt;是",$E$4:$E$200,"&lt;&gt;封闭期",$H$4:$H$200,"&gt;10",$BN$4:$BN$200,"&gt;-6",$BR$4:$BR$200,"&gt;=70",$K$4:$K$200,"&lt;=30",$C$4:$C$200,"&lt;20190630",BD$4:BD$200,"&gt;="&amp;BD54)/COUNTIFS(BD$4:BD$200,"&lt;&gt;-",$D$4:$D$200,"&lt;&gt;是",$E$4:$E$200,"&lt;&gt;封闭期",$H$4:$H$200,"&gt;10",$BN$4:$BN$200,"&gt;-6",$BR$4:$BR$200,"&gt;=70",$C$4:$C$200,"&lt;20190630",$K$4:$K$200,"&lt;=30"))</f>
        <v>-</v>
      </c>
      <c r="BI54" s="21">
        <f>[1]!f_risk_maxdownside(A54,$AM$2,$L$2)</f>
        <v>-4.6692607003891089</v>
      </c>
      <c r="BJ54" s="19" t="str">
        <f>IFERROR(RANK(BI54,BI:BI)&amp;"/"&amp;COUNT(BI:BI),"-")</f>
        <v>152/197</v>
      </c>
      <c r="BK54" s="26">
        <f>IFERROR(RANK(BI54,BI:BI)/COUNT(BI:BI),"-")</f>
        <v>0.77157360406091369</v>
      </c>
      <c r="BL54" s="34" t="str">
        <f>IF(OR($C54&gt;20190630,$K54&gt;30,BI54="-",$D54="是",$E54="封闭期",$H54&lt;10,$BN54&lt;-6,$BR54&lt;70),"-",COUNTIFS(BI$4:BI$200,"&lt;&gt;-",$D$4:$D$200,"&lt;&gt;是",$E$4:$E$200,"&lt;&gt;封闭期",$H$4:$H$200,"&gt;10",$BN$4:$BN$200,"&gt;-6",$BR$4:$BR$200,"&gt;=70",$K$4:$K$200,"&lt;=30",$C$4:$C$200,"&lt;20190630",BI$4:BI$200,"&gt;="&amp;BI54)&amp;"/"&amp;COUNTIFS(BI$4:BI$200,"&lt;&gt;-",$D$4:$D$200,"&lt;&gt;是",$E$4:$E$200,"&lt;&gt;封闭期",$H$4:$H$200,"&gt;10",$BN$4:$BN$200,"&gt;-6",$BR$4:$BR$200,"&gt;=70",$C$4:$C$200,"&lt;20190630",$K$4:$K$200,"&lt;=30"))</f>
        <v>-</v>
      </c>
      <c r="BM54" s="33" t="str">
        <f>IF(OR($C54&gt;20190630,$K54&gt;30,BI54="-",$D54="是",$E54="封闭期",$H54&lt;10,$BN54&lt;-6,$BR54&lt;70),"-",COUNTIFS(BI$4:BI$200,"&lt;&gt;-",$D$4:$D$200,"&lt;&gt;是",$E$4:$E$200,"&lt;&gt;封闭期",$H$4:$H$200,"&gt;10",$BN$4:$BN$200,"&gt;-6",$BR$4:$BR$200,"&gt;=70",$K$4:$K$200,"&lt;=30",$C$4:$C$200,"&lt;20190630",BI$4:BI$200,"&gt;="&amp;BI54)/COUNTIFS(BI$4:BI$200,"&lt;&gt;-",$D$4:$D$200,"&lt;&gt;是",$E$4:$E$200,"&lt;&gt;封闭期",$H$4:$H$200,"&gt;10",$BN$4:$BN$200,"&gt;-6",$BR$4:$BR$200,"&gt;=70",$C$4:$C$200,"&lt;20190630",$K$4:$K$200,"&lt;=30"))</f>
        <v>-</v>
      </c>
      <c r="BN54" s="21">
        <f>[1]!f_risk_maxdownside(A54,$AM$2,$E$1)</f>
        <v>-4.6692607003891089</v>
      </c>
      <c r="BO54" s="21">
        <f>IF(C54&lt;20190930,[1]!f_return_2y(A54,"0","20210930"),"-")</f>
        <v>15.671840350568763</v>
      </c>
      <c r="BP54" s="19" t="str">
        <f>IFERROR(RANK(BO54,BO:BO)&amp;"/"&amp;COUNT(BO:BO),"-")</f>
        <v>77/197</v>
      </c>
      <c r="BQ54" s="25">
        <f>IFERROR(RANK(BO54,BO:BO)/COUNT(BO:BO),"-")</f>
        <v>0.39086294416243655</v>
      </c>
      <c r="BR54" s="19">
        <f>IF(C54&lt;20190930,[1]!f_absolute_profitmonthper(A54,"20190930","20210930"),"-")</f>
        <v>70.833333333333343</v>
      </c>
      <c r="BS54" s="19" t="str">
        <f>IFERROR(RANK(BR54,BR:BR)&amp;"/"&amp;COUNT(BR:BR),"-")</f>
        <v>55/198</v>
      </c>
      <c r="BT54" s="25">
        <f>IFERROR(RANK(BR54,BR:BR)/COUNT(BR:BR),"-")</f>
        <v>0.27777777777777779</v>
      </c>
      <c r="BV54" s="12">
        <f>X54-3/M54</f>
        <v>0.37812671666050146</v>
      </c>
      <c r="BW54" s="76">
        <f>IFERROR(RANK(BV54,BV:BV)/COUNT(BV:BV),"-")</f>
        <v>0.78680203045685282</v>
      </c>
      <c r="BX54" s="76">
        <f>IFERROR(RANK(L54,L:L)/COUNT(L:L),"-")</f>
        <v>0.59090909090909094</v>
      </c>
      <c r="BY54" s="12">
        <f>AY54-3/AN54</f>
        <v>1.7905672944013415</v>
      </c>
      <c r="BZ54" s="76">
        <f>IFERROR(RANK(BY54,BY:BY)/COUNT(BY:BY),"-")</f>
        <v>0.41624365482233505</v>
      </c>
      <c r="CA54" s="76">
        <f>IFERROR(RANK(AM54,AM:AM)/COUNT(AM:AM),"-")</f>
        <v>0.26262626262626265</v>
      </c>
      <c r="CB54" s="2"/>
      <c r="CC54" s="77">
        <f>AV54+BF54+BZ54+CA54</f>
        <v>1.1255704250628109</v>
      </c>
      <c r="CD54" s="77">
        <f>BW54+BX54+AE54+U54</f>
        <v>2.8396400553760959</v>
      </c>
      <c r="CE54" s="77">
        <f>CC54+CD54</f>
        <v>3.9652104804389068</v>
      </c>
    </row>
    <row r="55" spans="1:83" s="17" customFormat="1" x14ac:dyDescent="0.35">
      <c r="A55" s="15" t="s">
        <v>155</v>
      </c>
      <c r="B55" s="15" t="s">
        <v>156</v>
      </c>
      <c r="C55" s="16">
        <v>20130823</v>
      </c>
      <c r="D55" s="16" t="str">
        <f>[1]!f_info_regulopenfundornot(A55)</f>
        <v>否</v>
      </c>
      <c r="E55" s="16" t="str">
        <f>[1]!f_dq_status(A55,$E$1)</f>
        <v>开放申购|开放赎回</v>
      </c>
      <c r="F55" s="17" t="str">
        <f>[1]!f_info_fundmanager(A55)</f>
        <v>张清华,张雅君</v>
      </c>
      <c r="G55" s="16">
        <v>20140109</v>
      </c>
      <c r="H55" s="18">
        <f>[1]!f_netasset_total(A55,$E$1,100000000)</f>
        <v>512.01381487440005</v>
      </c>
      <c r="I55" s="18">
        <f>[1]!f_prt_convertiblebondtonav(A55,$E$1)</f>
        <v>6.361605167388916</v>
      </c>
      <c r="J55" s="18">
        <f>[1]!f_prt_stocktonav(A55,$E$1)+0.5*I55</f>
        <v>18.640601396560669</v>
      </c>
      <c r="K55" s="19">
        <v>0</v>
      </c>
      <c r="L55" s="19">
        <f>[1]!f_return($A55,"1",L$2,$E$1)</f>
        <v>10.683500928638789</v>
      </c>
      <c r="M55" s="19">
        <f>[1]!f_risk_stdevyearly($A55,L$2,$E$1,1,1)</f>
        <v>5.4923581476774164</v>
      </c>
      <c r="N55" s="19">
        <f>IFERROR(L55/M55,"-")</f>
        <v>1.9451573698187508</v>
      </c>
      <c r="O55" s="19" t="str">
        <f>IFERROR(RANK(N55,N:N)&amp;"/"&amp;COUNT(N:N),"-")</f>
        <v>53/197</v>
      </c>
      <c r="P55" s="26">
        <f>IF(O55="-","-",RANK(N55,N:N)/COUNT(N:N))</f>
        <v>0.26903553299492383</v>
      </c>
      <c r="Q55" s="56">
        <v>0.13197969543147209</v>
      </c>
      <c r="R55" s="33" t="str">
        <f>IF(OR($C55&gt;20190630,$K55&gt;30,N55="-",$D55="是",$E55="封闭期",$H55&lt;10,$BN55&lt;-6,$BR55&lt;70),"-",COUNTIFS(N$4:N$200,"&lt;&gt;-",$D$4:$D$200,"&lt;&gt;是",$E$4:$E$200,"&lt;&gt;封闭期",$H$4:$H$200,"&gt;10",$BN$4:$BN$200,"&gt;-6",$BR$4:$BR$200,"&gt;=70",$K$4:$K$200,"&lt;=30",$C$4:$C$200,"&lt;20190630",N$4:N$200,"&gt;="&amp;N55)/COUNTIFS(N$4:N$200,"&lt;&gt;-",$D$4:$D$200,"&lt;&gt;是",$E$4:$E$200,"&lt;&gt;封闭期",$H$4:$H$200,"&gt;10",$BN$4:$BN$200,"&gt;-6",$BR$4:$BR$200,"&gt;=70",$C$4:$C$200,"&lt;20190630",$K$4:$K$200,"&lt;=30"))</f>
        <v>-</v>
      </c>
      <c r="S55" s="19">
        <f>IFERROR((L55-3)/M55,"-")</f>
        <v>1.3989439002421853</v>
      </c>
      <c r="T55" s="19" t="str">
        <f>IFERROR(RANK(S55,S:S)&amp;"/"&amp;COUNT(S:S),"-")</f>
        <v>36/197</v>
      </c>
      <c r="U55" s="26">
        <f>IFERROR(RANK(S55,S:S)/COUNT(S:S),"-")</f>
        <v>0.18274111675126903</v>
      </c>
      <c r="V55" s="34" t="str">
        <f>IF(OR($C55&gt;20190630,$K55&gt;30,S55="-",$D55="是",$E55="封闭期",$H55&lt;10,$BN55&lt;-6,$BR55&lt;70),"-",COUNTIFS(S$4:S$200,"&lt;&gt;-",$D$4:$D$200,"&lt;&gt;是",$E$4:$E$200,"&lt;&gt;封闭期",$H$4:$H$200,"&gt;10",$BN$4:$BN$200,"&gt;-6",$BR$4:$BR$200,"&gt;=70",$K$4:$K$200,"&lt;=30",$C$4:$C$200,"&lt;20190630",S$4:S$200,"&gt;="&amp;S55)&amp;"/"&amp;COUNTIFS(S$4:S$200,"&lt;&gt;-",$D$4:$D$200,"&lt;&gt;是",$E$4:$E$200,"&lt;&gt;封闭期",$H$4:$H$200,"&gt;10",$BN$4:$BN$200,"&gt;-6",$BR$4:$BR$200,"&gt;=70",$C$4:$C$200,"&lt;20190630",$K$4:$K$200,"&lt;=30"))</f>
        <v>-</v>
      </c>
      <c r="W55" s="33" t="str">
        <f>IF(OR($C55&gt;20190630,$K55&gt;30,S55="-",$D55="是",$E55="封闭期",$H55&lt;10,$BN55&lt;-6,$BR55&lt;70),"-",COUNTIFS(S$4:S$200,"&lt;&gt;-",$D$4:$D$200,"&lt;&gt;是",$E$4:$E$200,"&lt;&gt;封闭期",$H$4:$H$200,"&gt;10",$BN$4:$BN$200,"&gt;-6",$BR$4:$BR$200,"&gt;=70",$K$4:$K$200,"&lt;=30",$C$4:$C$200,"&lt;20190630",S$4:S$200,"&gt;="&amp;S55)/COUNTIFS(S$4:S$200,"&lt;&gt;-",$D$4:$D$200,"&lt;&gt;是",$E$4:$E$200,"&lt;&gt;封闭期",$H$4:$H$200,"&gt;10",$BN$4:$BN$200,"&gt;-6",$BR$4:$BR$200,"&gt;=70",$C$4:$C$200,"&lt;20190630",$K$4:$K$200,"&lt;=30"))</f>
        <v>-</v>
      </c>
      <c r="X55" s="19">
        <f>[1]!f_risk_calmar(A55,$L$2,$E$1)</f>
        <v>2.4043499984662939</v>
      </c>
      <c r="Y55" s="19" t="str">
        <f>IFERROR(RANK(X55,X:X)&amp;"/"&amp;COUNT(X:X),"-")</f>
        <v>75/197</v>
      </c>
      <c r="Z55" s="26">
        <f>IFERROR(RANK(X55,X:X)/COUNT(X:X),"-")</f>
        <v>0.38071065989847713</v>
      </c>
      <c r="AA55" s="34" t="str">
        <f>IF(OR($C55&gt;20190630,$K55&gt;30,X55="-",$D55="是",$E55="封闭期",$H55&lt;10,$BN55&lt;-6,$BR55&lt;70),"-",COUNTIFS(X$4:X$200,"&lt;&gt;-",$D$4:$D$200,"&lt;&gt;是",$E$4:$E$200,"&lt;&gt;封闭期",$H$4:$H$200,"&gt;10",$BN$4:$BN$200,"&gt;-6",$BR$4:$BR$200,"&gt;=70",$K$4:$K$200,"&lt;=30",$C$4:$C$200,"&lt;20190630",X$4:X$200,"&gt;="&amp;X55)&amp;"/"&amp;COUNTIFS(X$4:X$200,"&lt;&gt;-",$D$4:$D$200,"&lt;&gt;是",$E$4:$E$200,"&lt;&gt;封闭期",$H$4:$H$200,"&gt;10",$BN$4:$BN$200,"&gt;-6",$BR$4:$BR$200,"&gt;=70",$C$4:$C$200,"&lt;20190630",$K$4:$K$200,"&lt;=30"))</f>
        <v>-</v>
      </c>
      <c r="AB55" s="33" t="str">
        <f>IF(OR($C55&gt;20190630,$K55&gt;30,X55="-",$D55="是",$E55="封闭期",$H55&lt;10,$BN55&lt;-6,$BR55&lt;70),"-",COUNTIFS(X$4:X$200,"&lt;&gt;-",$D$4:$D$200,"&lt;&gt;是",$E$4:$E$200,"&lt;&gt;封闭期",$H$4:$H$200,"&gt;10",$BN$4:$BN$200,"&gt;-6",$BR$4:$BR$200,"&gt;=70",$K$4:$K$200,"&lt;=30",$C$4:$C$200,"&lt;20190630",X$4:X$200,"&gt;="&amp;X55)/COUNTIFS(X$4:X$200,"&lt;&gt;-",$D$4:$D$200,"&lt;&gt;是",$E$4:$E$200,"&lt;&gt;封闭期",$H$4:$H$200,"&gt;10",$BN$4:$BN$200,"&gt;-6",$BR$4:$BR$200,"&gt;=70",$C$4:$C$200,"&lt;20190630",$K$4:$K$200,"&lt;=30"))</f>
        <v>-</v>
      </c>
      <c r="AC55" s="20">
        <v>1</v>
      </c>
      <c r="AD55" s="19" t="str">
        <f>IFERROR(RANK(AC55,AC:AC)&amp;"/"&amp;COUNT(AC:AC),"-")</f>
        <v>1/197</v>
      </c>
      <c r="AE55" s="26">
        <f>IFERROR(RANK(AC55,AC:AC)/COUNT(AC:AC),"-")</f>
        <v>5.076142131979695E-3</v>
      </c>
      <c r="AF55" s="34" t="str">
        <f>IF(OR($C55&gt;20190630,$K55&gt;30,AC55="-",$D55="是",$E55="封闭期",$H55&lt;10,$BN55&lt;-6,$BR55&lt;70),"-",COUNTIFS(AC$4:AC$200,"&lt;&gt;-",$D$4:$D$200,"&lt;&gt;是",$E$4:$E$200,"&lt;&gt;封闭期",$H$4:$H$200,"&gt;10",$BN$4:$BN$200,"&gt;-6",$BR$4:$BR$200,"&gt;=70",$K$4:$K$200,"&lt;=30",$C$4:$C$200,"&lt;20190630",AC$4:AC$200,"&gt;="&amp;AC55)&amp;"/"&amp;COUNTIFS(AC$4:AC$200,"&lt;&gt;-",$D$4:$D$200,"&lt;&gt;是",$E$4:$E$200,"&lt;&gt;封闭期",$H$4:$H$200,"&gt;10",$BN$4:$BN$200,"&gt;-6",$BR$4:$BR$200,"&gt;=70",$C$4:$C$200,"&lt;20190630",$K$4:$K$200,"&lt;=30"))</f>
        <v>-</v>
      </c>
      <c r="AG55" s="33" t="str">
        <f>IF(OR($C55&gt;20190630,$K55&gt;30,AC55="-",$D55="是",$E55="封闭期",$H55&lt;10,$BN55&lt;-6,$BR55&lt;70),"-",COUNTIFS(AC$4:AC$200,"&lt;&gt;-",$D$4:$D$200,"&lt;&gt;是",$E$4:$E$200,"&lt;&gt;封闭期",$H$4:$H$200,"&gt;10",$BN$4:$BN$200,"&gt;-6",$BR$4:$BR$200,"&gt;=70",$K$4:$K$200,"&lt;=30",$C$4:$C$200,"&lt;20190630",AC$4:AC$200,"&gt;="&amp;AC55)/COUNTIFS(AC$4:AC$200,"&lt;&gt;-",$D$4:$D$200,"&lt;&gt;是",$E$4:$E$200,"&lt;&gt;封闭期",$H$4:$H$200,"&gt;10",$BN$4:$BN$200,"&gt;-6",$BR$4:$BR$200,"&gt;=70",$C$4:$C$200,"&lt;20190630",$K$4:$K$200,"&lt;=30"))</f>
        <v>-</v>
      </c>
      <c r="AH55" s="21">
        <f>[1]!f_risk_maxdownside(A55,$L$2,$E$1)</f>
        <v>-4.4434050514499415</v>
      </c>
      <c r="AI55" s="19" t="str">
        <f>IFERROR(RANK(AH55,AH:AH)&amp;"/"&amp;COUNT(AH:AH),"-")</f>
        <v>140/197</v>
      </c>
      <c r="AJ55" s="26">
        <f>IFERROR(RANK(AH55,AH:AH)/COUNT(AH:AH),"-")</f>
        <v>0.71065989847715738</v>
      </c>
      <c r="AK55" s="34" t="str">
        <f>IF(OR($C55&gt;20190630,$K55&gt;30,AH55="-",$D55="是",$E55="封闭期",$H55&lt;10,$BN55&lt;-6,$BR55&lt;70),"-",COUNTIFS(AH$4:AH$200,"&lt;&gt;-",$D$4:$D$200,"&lt;&gt;是",$E$4:$E$200,"&lt;&gt;封闭期",$H$4:$H$200,"&gt;10",$BN$4:$BN$200,"&gt;-6",$BR$4:$BR$200,"&gt;=70",$K$4:$K$200,"&lt;=30",$C$4:$C$200,"&lt;20190630",AH$4:AH$200,"&gt;="&amp;AH55)&amp;"/"&amp;COUNTIFS(AH$4:AH$200,"&lt;&gt;-",$D$4:$D$200,"&lt;&gt;是",$E$4:$E$200,"&lt;&gt;封闭期",$H$4:$H$200,"&gt;10",$BN$4:$BN$200,"&gt;-6",$BR$4:$BR$200,"&gt;=70",$C$4:$C$200,"&lt;20190630",$K$4:$K$200,"&lt;=30"))</f>
        <v>-</v>
      </c>
      <c r="AL55" s="33" t="str">
        <f>IF(OR($C55&gt;20190630,$K55&gt;30,AH55="-",$D55="是",$E55="封闭期",$H55&lt;10,$BN55&lt;-6,$BR55&lt;70),"-",COUNTIFS(AH$4:AH$200,"&lt;&gt;-",$D$4:$D$200,"&lt;&gt;是",$E$4:$E$200,"&lt;&gt;封闭期",$H$4:$H$200,"&gt;10",$BN$4:$BN$200,"&gt;-6",$BR$4:$BR$200,"&gt;=70",$K$4:$K$200,"&lt;=30",$C$4:$C$200,"&lt;20190630",AH$4:AH$200,"&gt;="&amp;AH55)/COUNTIFS(AH$4:AH$200,"&lt;&gt;-",$D$4:$D$200,"&lt;&gt;是",$E$4:$E$200,"&lt;&gt;封闭期",$H$4:$H$200,"&gt;10",$BN$4:$BN$200,"&gt;-6",$BR$4:$BR$200,"&gt;=70",$C$4:$C$200,"&lt;20190630",$K$4:$K$200,"&lt;=30"))</f>
        <v>-</v>
      </c>
      <c r="AM55" s="19">
        <f>[1]!f_return($A55,"1",AM$2,$L$2)</f>
        <v>9.9707247370172993</v>
      </c>
      <c r="AN55" s="19">
        <f>[1]!f_risk_stdevyearly($A55,AM$2,$L$2,1,1)</f>
        <v>5.169246815273933</v>
      </c>
      <c r="AO55" s="19">
        <f>IFERROR(AM55/AN55,"-")</f>
        <v>1.9288544527524021</v>
      </c>
      <c r="AP55" s="19" t="str">
        <f>IFERROR(RANK(AO55,AO:AO)&amp;"/"&amp;COUNT(AO:AO),"-")</f>
        <v>56/197</v>
      </c>
      <c r="AQ55" s="26">
        <f>IF(AP55="-","-",RANK(AO55,AO:AO)/COUNT(AO:AO))</f>
        <v>0.28426395939086296</v>
      </c>
      <c r="AR55" s="57">
        <v>0.26395939086294418</v>
      </c>
      <c r="AS55" s="33" t="str">
        <f>IF(OR($C55&gt;20190630,$K55&gt;30,AO55="-",$D55="是",$E55="封闭期",$H55&lt;10,$BN55&lt;-6,$BR55&lt;70),"-",COUNTIFS(AO$4:AO$200,"&lt;&gt;-",$D$4:$D$200,"&lt;&gt;是",$E$4:$E$200,"&lt;&gt;封闭期",$H$4:$H$200,"&gt;10",$BN$4:$BN$200,"&gt;-6",$BR$4:$BR$200,"&gt;=70",$K$4:$K$200,"&lt;=30",$C$4:$C$200,"&lt;20190630",AO$4:AO$200,"&gt;="&amp;AO55)/COUNTIFS(AO$4:AO$200,"&lt;&gt;-",$D$4:$D$200,"&lt;&gt;是",$E$4:$E$200,"&lt;&gt;封闭期",$H$4:$H$200,"&gt;10",$BN$4:$BN$200,"&gt;-6",$BR$4:$BR$200,"&gt;=70",$C$4:$C$200,"&lt;20190630",$K$4:$K$200,"&lt;=30"))</f>
        <v>-</v>
      </c>
      <c r="AT55" s="19">
        <f>IFERROR((AM55-3)/AN55,"-")</f>
        <v>1.3484991114025382</v>
      </c>
      <c r="AU55" s="19" t="str">
        <f>IFERROR(RANK(AT55,AT:AT)&amp;"/"&amp;COUNT(AT:AT),"-")</f>
        <v>39/197</v>
      </c>
      <c r="AV55" s="26">
        <f>IFERROR(RANK(AT55,AT:AT)/COUNT(AT:AT),"-")</f>
        <v>0.19796954314720813</v>
      </c>
      <c r="AW55" s="34" t="str">
        <f>IF(OR($C55&gt;20190630,$K55&gt;30,AT55="-",$D55="是",$E55="封闭期",$H55&lt;10,$BN55&lt;-6,$BR55&lt;70),"-",COUNTIFS(AT$4:AT$200,"&lt;&gt;-",$D$4:$D$200,"&lt;&gt;是",$E$4:$E$200,"&lt;&gt;封闭期",$H$4:$H$200,"&gt;10",$BN$4:$BN$200,"&gt;-6",$BR$4:$BR$200,"&gt;=70",$K$4:$K$200,"&lt;=30",$C$4:$C$200,"&lt;20190630",AT$4:AT$200,"&gt;="&amp;AT55)&amp;"/"&amp;COUNTIFS(AT$4:AT$200,"&lt;&gt;-",$D$4:$D$200,"&lt;&gt;是",$E$4:$E$200,"&lt;&gt;封闭期",$H$4:$H$200,"&gt;10",$BN$4:$BN$200,"&gt;-6",$BR$4:$BR$200,"&gt;=70",$C$4:$C$200,"&lt;20190630",$K$4:$K$200,"&lt;=30"))</f>
        <v>-</v>
      </c>
      <c r="AX55" s="33" t="str">
        <f>IF(OR($C55&gt;20190630,$K55&gt;30,AT55="-",$D55="是",$E55="封闭期",$H55&lt;10,$BN55&lt;-6,$BR55&lt;70),"-",COUNTIFS(AT$4:AT$200,"&lt;&gt;-",$D$4:$D$200,"&lt;&gt;是",$E$4:$E$200,"&lt;&gt;封闭期",$H$4:$H$200,"&gt;10",$BN$4:$BN$200,"&gt;-6",$BR$4:$BR$200,"&gt;=70",$K$4:$K$200,"&lt;=30",$C$4:$C$200,"&lt;20190630",AT$4:AT$200,"&gt;="&amp;AT55)/COUNTIFS(AT$4:AT$200,"&lt;&gt;-",$D$4:$D$200,"&lt;&gt;是",$E$4:$E$200,"&lt;&gt;封闭期",$H$4:$H$200,"&gt;10",$BN$4:$BN$200,"&gt;-6",$BR$4:$BR$200,"&gt;=70",$C$4:$C$200,"&lt;20190630",$K$4:$K$200,"&lt;=30"))</f>
        <v>-</v>
      </c>
      <c r="AY55" s="19">
        <f>[1]!f_risk_calmar(A55,$AM$2,$L$2)</f>
        <v>2.4274879840507482</v>
      </c>
      <c r="AZ55" s="19" t="str">
        <f>IFERROR(RANK(AY55,AY:AY)&amp;"/"&amp;COUNT(AY:AY),"-")</f>
        <v>82/197</v>
      </c>
      <c r="BA55" s="26">
        <f>IFERROR(RANK(AY55,AY:AY)/COUNT(AY:AY),"-")</f>
        <v>0.41624365482233505</v>
      </c>
      <c r="BB55" s="34" t="str">
        <f>IF(OR($C55&gt;20190630,$K55&gt;30,AY55="-",$D55="是",$E55="封闭期",$H55&lt;10,$BN55&lt;-6,$BR55&lt;70),"-",COUNTIFS(AY$4:AY$200,"&lt;&gt;-",$D$4:$D$200,"&lt;&gt;是",$E$4:$E$200,"&lt;&gt;封闭期",$H$4:$H$200,"&gt;10",$BN$4:$BN$200,"&gt;-6",$BR$4:$BR$200,"&gt;=70",$K$4:$K$200,"&lt;=30",$C$4:$C$200,"&lt;20190630",AY$4:AY$200,"&gt;="&amp;AY55)&amp;"/"&amp;COUNTIFS(AY$4:AY$200,"&lt;&gt;-",$D$4:$D$200,"&lt;&gt;是",$E$4:$E$200,"&lt;&gt;封闭期",$H$4:$H$200,"&gt;10",$BN$4:$BN$200,"&gt;-6",$BR$4:$BR$200,"&gt;=70",$C$4:$C$200,"&lt;20190630",$K$4:$K$200,"&lt;=30"))</f>
        <v>-</v>
      </c>
      <c r="BC55" s="33" t="str">
        <f>IF(OR($C55&gt;20190630,$K55&gt;30,AY55="-",$D55="是",$E55="封闭期",$H55&lt;10,$BN55&lt;-6,$BR55&lt;70),"-",COUNTIFS(AY$4:AY$200,"&lt;&gt;-",$D$4:$D$200,"&lt;&gt;是",$E$4:$E$200,"&lt;&gt;封闭期",$H$4:$H$200,"&gt;10",$BN$4:$BN$200,"&gt;-6",$BR$4:$BR$200,"&gt;=70",$K$4:$K$200,"&lt;=30",$C$4:$C$200,"&lt;20190630",AY$4:AY$200,"&gt;="&amp;AY55)/COUNTIFS(AY$4:AY$200,"&lt;&gt;-",$D$4:$D$200,"&lt;&gt;是",$E$4:$E$200,"&lt;&gt;封闭期",$H$4:$H$200,"&gt;10",$BN$4:$BN$200,"&gt;-6",$BR$4:$BR$200,"&gt;=70",$C$4:$C$200,"&lt;20190630",$K$4:$K$200,"&lt;=30"))</f>
        <v>-</v>
      </c>
      <c r="BD55" s="20">
        <v>1</v>
      </c>
      <c r="BE55" s="19" t="str">
        <f>IFERROR(RANK(BD55,BD:BD)&amp;"/"&amp;COUNT(BD:BD),"-")</f>
        <v>1/197</v>
      </c>
      <c r="BF55" s="26">
        <f>IFERROR(RANK(BD55,BD:BD)/COUNT(BD:BD),"-")</f>
        <v>5.076142131979695E-3</v>
      </c>
      <c r="BG55" s="34" t="str">
        <f>IF(OR($C55&gt;20190630,$K55&gt;30,BD55="-",$D55="是",$E55="封闭期",$H55&lt;10,$BN55&lt;-6,$BR55&lt;70),"-",COUNTIFS(BD$4:BD$200,"&lt;&gt;-",$D$4:$D$200,"&lt;&gt;是",$E$4:$E$200,"&lt;&gt;封闭期",$H$4:$H$200,"&gt;10",$BN$4:$BN$200,"&gt;-6",$BR$4:$BR$200,"&gt;=70",$K$4:$K$200,"&lt;=30",$C$4:$C$200,"&lt;20190630",BD$4:BD$200,"&gt;="&amp;BD55)&amp;"/"&amp;COUNTIFS(BD$4:BD$200,"&lt;&gt;-",$D$4:$D$200,"&lt;&gt;是",$E$4:$E$200,"&lt;&gt;封闭期",$H$4:$H$200,"&gt;10",$BN$4:$BN$200,"&gt;-6",$BR$4:$BR$200,"&gt;=70",$C$4:$C$200,"&lt;20190630",$K$4:$K$200,"&lt;=30"))</f>
        <v>-</v>
      </c>
      <c r="BH55" s="33" t="str">
        <f>IF(OR($C55&gt;20190630,$K55&gt;30,BD55="-",$D55="是",$E55="封闭期",$H55&lt;10,$BN55&lt;-6,$BR55&lt;70),"-",COUNTIFS(BD$4:BD$200,"&lt;&gt;-",$D$4:$D$200,"&lt;&gt;是",$E$4:$E$200,"&lt;&gt;封闭期",$H$4:$H$200,"&gt;10",$BN$4:$BN$200,"&gt;-6",$BR$4:$BR$200,"&gt;=70",$K$4:$K$200,"&lt;=30",$C$4:$C$200,"&lt;20190630",BD$4:BD$200,"&gt;="&amp;BD55)/COUNTIFS(BD$4:BD$200,"&lt;&gt;-",$D$4:$D$200,"&lt;&gt;是",$E$4:$E$200,"&lt;&gt;封闭期",$H$4:$H$200,"&gt;10",$BN$4:$BN$200,"&gt;-6",$BR$4:$BR$200,"&gt;=70",$C$4:$C$200,"&lt;20190630",$K$4:$K$200,"&lt;=30"))</f>
        <v>-</v>
      </c>
      <c r="BI55" s="21">
        <f>[1]!f_risk_maxdownside(A55,$AM$2,$L$2)</f>
        <v>-4.1074249605055329</v>
      </c>
      <c r="BJ55" s="19" t="str">
        <f>IFERROR(RANK(BI55,BI:BI)&amp;"/"&amp;COUNT(BI:BI),"-")</f>
        <v>133/197</v>
      </c>
      <c r="BK55" s="26">
        <f>IFERROR(RANK(BI55,BI:BI)/COUNT(BI:BI),"-")</f>
        <v>0.67512690355329952</v>
      </c>
      <c r="BL55" s="34" t="str">
        <f>IF(OR($C55&gt;20190630,$K55&gt;30,BI55="-",$D55="是",$E55="封闭期",$H55&lt;10,$BN55&lt;-6,$BR55&lt;70),"-",COUNTIFS(BI$4:BI$200,"&lt;&gt;-",$D$4:$D$200,"&lt;&gt;是",$E$4:$E$200,"&lt;&gt;封闭期",$H$4:$H$200,"&gt;10",$BN$4:$BN$200,"&gt;-6",$BR$4:$BR$200,"&gt;=70",$K$4:$K$200,"&lt;=30",$C$4:$C$200,"&lt;20190630",BI$4:BI$200,"&gt;="&amp;BI55)&amp;"/"&amp;COUNTIFS(BI$4:BI$200,"&lt;&gt;-",$D$4:$D$200,"&lt;&gt;是",$E$4:$E$200,"&lt;&gt;封闭期",$H$4:$H$200,"&gt;10",$BN$4:$BN$200,"&gt;-6",$BR$4:$BR$200,"&gt;=70",$C$4:$C$200,"&lt;20190630",$K$4:$K$200,"&lt;=30"))</f>
        <v>-</v>
      </c>
      <c r="BM55" s="33" t="str">
        <f>IF(OR($C55&gt;20190630,$K55&gt;30,BI55="-",$D55="是",$E55="封闭期",$H55&lt;10,$BN55&lt;-6,$BR55&lt;70),"-",COUNTIFS(BI$4:BI$200,"&lt;&gt;-",$D$4:$D$200,"&lt;&gt;是",$E$4:$E$200,"&lt;&gt;封闭期",$H$4:$H$200,"&gt;10",$BN$4:$BN$200,"&gt;-6",$BR$4:$BR$200,"&gt;=70",$K$4:$K$200,"&lt;=30",$C$4:$C$200,"&lt;20190630",BI$4:BI$200,"&gt;="&amp;BI55)/COUNTIFS(BI$4:BI$200,"&lt;&gt;-",$D$4:$D$200,"&lt;&gt;是",$E$4:$E$200,"&lt;&gt;封闭期",$H$4:$H$200,"&gt;10",$BN$4:$BN$200,"&gt;-6",$BR$4:$BR$200,"&gt;=70",$C$4:$C$200,"&lt;20190630",$K$4:$K$200,"&lt;=30"))</f>
        <v>-</v>
      </c>
      <c r="BN55" s="21">
        <f>[1]!f_risk_maxdownside(A55,$AM$2,$E$1)</f>
        <v>-4.4434050514499415</v>
      </c>
      <c r="BO55" s="21">
        <f>IF(C55&lt;20190930,[1]!f_return_2y(A55,"0","20210930"),"-")</f>
        <v>21.704991587212564</v>
      </c>
      <c r="BP55" s="19" t="str">
        <f>IFERROR(RANK(BO55,BO:BO)&amp;"/"&amp;COUNT(BO:BO),"-")</f>
        <v>32/197</v>
      </c>
      <c r="BQ55" s="25">
        <f>IFERROR(RANK(BO55,BO:BO)/COUNT(BO:BO),"-")</f>
        <v>0.16243654822335024</v>
      </c>
      <c r="BR55" s="19">
        <f>IF(C55&lt;20190930,[1]!f_absolute_profitmonthper(A55,"20190930","20210930"),"-")</f>
        <v>62.5</v>
      </c>
      <c r="BS55" s="19" t="str">
        <f>IFERROR(RANK(BR55,BR:BR)&amp;"/"&amp;COUNT(BR:BR),"-")</f>
        <v>142/198</v>
      </c>
      <c r="BT55" s="25">
        <f>IFERROR(RANK(BR55,BR:BR)/COUNT(BR:BR),"-")</f>
        <v>0.71717171717171713</v>
      </c>
      <c r="BV55" s="12">
        <f>X55-3/M55</f>
        <v>1.8581365288897285</v>
      </c>
      <c r="BW55" s="76">
        <f>IFERROR(RANK(BV55,BV:BV)/COUNT(BV:BV),"-")</f>
        <v>0.35532994923857869</v>
      </c>
      <c r="BX55" s="76">
        <f>IFERROR(RANK(L55,L:L)/COUNT(L:L),"-")</f>
        <v>0.13636363636363635</v>
      </c>
      <c r="BY55" s="12">
        <f>AY55-3/AN55</f>
        <v>1.8471326427008843</v>
      </c>
      <c r="BZ55" s="76">
        <f>IFERROR(RANK(BY55,BY:BY)/COUNT(BY:BY),"-")</f>
        <v>0.38071065989847713</v>
      </c>
      <c r="CA55" s="76">
        <f>IFERROR(RANK(AM55,AM:AM)/COUNT(AM:AM),"-")</f>
        <v>0.26767676767676768</v>
      </c>
      <c r="CB55" s="2"/>
      <c r="CC55" s="77">
        <f>AV55+BF55+BZ55+CA55</f>
        <v>0.85143311285443257</v>
      </c>
      <c r="CD55" s="77">
        <f>BW55+BX55+AE55+U55</f>
        <v>0.67951084448546384</v>
      </c>
      <c r="CE55" s="77">
        <f>CC55+CD55</f>
        <v>1.5309439573398964</v>
      </c>
    </row>
    <row r="56" spans="1:83" s="17" customFormat="1" hidden="1" x14ac:dyDescent="0.35">
      <c r="A56" s="15" t="s">
        <v>241</v>
      </c>
      <c r="B56" s="15" t="s">
        <v>242</v>
      </c>
      <c r="C56" s="16">
        <v>20160526</v>
      </c>
      <c r="D56" s="16" t="str">
        <f>[1]!f_info_regulopenfundornot(A56)</f>
        <v>否</v>
      </c>
      <c r="E56" s="16" t="str">
        <f>[1]!f_dq_status(A56,$E$1)</f>
        <v>开放申购|开放赎回</v>
      </c>
      <c r="F56" s="17" t="str">
        <f>[1]!f_info_fundmanager(A56)</f>
        <v>李一鸣,李捷</v>
      </c>
      <c r="G56" s="16">
        <v>20160526</v>
      </c>
      <c r="H56" s="18">
        <f>[1]!f_netasset_total(A56,$E$1,100000000)</f>
        <v>2.7163513544</v>
      </c>
      <c r="I56" s="18">
        <f>[1]!f_prt_convertiblebondtonav(A56,$E$1)</f>
        <v>0.31593415141105652</v>
      </c>
      <c r="J56" s="18">
        <f>[1]!f_prt_stocktonav(A56,$E$1)+0.5*I56</f>
        <v>17.039146885275841</v>
      </c>
      <c r="K56" s="19">
        <v>15.00542259894919</v>
      </c>
      <c r="L56" s="19">
        <f>[1]!f_return($A56,"1",L$2,$E$1)</f>
        <v>1.2311740851135289</v>
      </c>
      <c r="M56" s="19">
        <f>[1]!f_risk_stdevyearly($A56,L$2,$E$1,1,1)</f>
        <v>3.4134021533932475</v>
      </c>
      <c r="N56" s="19">
        <f>IFERROR(L56/M56,"-")</f>
        <v>0.36068826050561442</v>
      </c>
      <c r="O56" s="19" t="str">
        <f>IFERROR(RANK(N56,N:N)&amp;"/"&amp;COUNT(N:N),"-")</f>
        <v>180/197</v>
      </c>
      <c r="P56" s="26">
        <f>IF(O56="-","-",RANK(N56,N:N)/COUNT(N:N))</f>
        <v>0.91370558375634514</v>
      </c>
      <c r="Q56" s="56">
        <v>0.91878172588832485</v>
      </c>
      <c r="R56" s="33" t="str">
        <f>IF(OR($C56&gt;20190630,$K56&gt;30,N56="-",$D56="是",$E56="封闭期",$H56&lt;10,$BN56&lt;-6,$BR56&lt;70),"-",COUNTIFS(N$4:N$200,"&lt;&gt;-",$D$4:$D$200,"&lt;&gt;是",$E$4:$E$200,"&lt;&gt;封闭期",$H$4:$H$200,"&gt;10",$BN$4:$BN$200,"&gt;-6",$BR$4:$BR$200,"&gt;=70",$K$4:$K$200,"&lt;=30",$C$4:$C$200,"&lt;20190630",N$4:N$200,"&gt;="&amp;N56)/COUNTIFS(N$4:N$200,"&lt;&gt;-",$D$4:$D$200,"&lt;&gt;是",$E$4:$E$200,"&lt;&gt;封闭期",$H$4:$H$200,"&gt;10",$BN$4:$BN$200,"&gt;-6",$BR$4:$BR$200,"&gt;=70",$C$4:$C$200,"&lt;20190630",$K$4:$K$200,"&lt;=30"))</f>
        <v>-</v>
      </c>
      <c r="S56" s="19">
        <f>IFERROR((L56-3)/M56,"-")</f>
        <v>-0.51820026923229345</v>
      </c>
      <c r="T56" s="19" t="str">
        <f>IFERROR(RANK(S56,S:S)&amp;"/"&amp;COUNT(S:S),"-")</f>
        <v>180/197</v>
      </c>
      <c r="U56" s="26">
        <f>IFERROR(RANK(S56,S:S)/COUNT(S:S),"-")</f>
        <v>0.91370558375634514</v>
      </c>
      <c r="V56" s="34" t="str">
        <f>IF(OR($C56&gt;20190630,$K56&gt;30,S56="-",$D56="是",$E56="封闭期",$H56&lt;10,$BN56&lt;-6,$BR56&lt;70),"-",COUNTIFS(S$4:S$200,"&lt;&gt;-",$D$4:$D$200,"&lt;&gt;是",$E$4:$E$200,"&lt;&gt;封闭期",$H$4:$H$200,"&gt;10",$BN$4:$BN$200,"&gt;-6",$BR$4:$BR$200,"&gt;=70",$K$4:$K$200,"&lt;=30",$C$4:$C$200,"&lt;20190630",S$4:S$200,"&gt;="&amp;S56)&amp;"/"&amp;COUNTIFS(S$4:S$200,"&lt;&gt;-",$D$4:$D$200,"&lt;&gt;是",$E$4:$E$200,"&lt;&gt;封闭期",$H$4:$H$200,"&gt;10",$BN$4:$BN$200,"&gt;-6",$BR$4:$BR$200,"&gt;=70",$C$4:$C$200,"&lt;20190630",$K$4:$K$200,"&lt;=30"))</f>
        <v>-</v>
      </c>
      <c r="W56" s="33" t="str">
        <f>IF(OR($C56&gt;20190630,$K56&gt;30,S56="-",$D56="是",$E56="封闭期",$H56&lt;10,$BN56&lt;-6,$BR56&lt;70),"-",COUNTIFS(S$4:S$200,"&lt;&gt;-",$D$4:$D$200,"&lt;&gt;是",$E$4:$E$200,"&lt;&gt;封闭期",$H$4:$H$200,"&gt;10",$BN$4:$BN$200,"&gt;-6",$BR$4:$BR$200,"&gt;=70",$K$4:$K$200,"&lt;=30",$C$4:$C$200,"&lt;20190630",S$4:S$200,"&gt;="&amp;S56)/COUNTIFS(S$4:S$200,"&lt;&gt;-",$D$4:$D$200,"&lt;&gt;是",$E$4:$E$200,"&lt;&gt;封闭期",$H$4:$H$200,"&gt;10",$BN$4:$BN$200,"&gt;-6",$BR$4:$BR$200,"&gt;=70",$C$4:$C$200,"&lt;20190630",$K$4:$K$200,"&lt;=30"))</f>
        <v>-</v>
      </c>
      <c r="X56" s="19">
        <f>[1]!f_risk_calmar(A56,$L$2,$E$1)</f>
        <v>0.34043395051162267</v>
      </c>
      <c r="Y56" s="19" t="str">
        <f>IFERROR(RANK(X56,X:X)&amp;"/"&amp;COUNT(X:X),"-")</f>
        <v>182/197</v>
      </c>
      <c r="Z56" s="26">
        <f>IFERROR(RANK(X56,X:X)/COUNT(X:X),"-")</f>
        <v>0.92385786802030456</v>
      </c>
      <c r="AA56" s="34" t="str">
        <f>IF(OR($C56&gt;20190630,$K56&gt;30,X56="-",$D56="是",$E56="封闭期",$H56&lt;10,$BN56&lt;-6,$BR56&lt;70),"-",COUNTIFS(X$4:X$200,"&lt;&gt;-",$D$4:$D$200,"&lt;&gt;是",$E$4:$E$200,"&lt;&gt;封闭期",$H$4:$H$200,"&gt;10",$BN$4:$BN$200,"&gt;-6",$BR$4:$BR$200,"&gt;=70",$K$4:$K$200,"&lt;=30",$C$4:$C$200,"&lt;20190630",X$4:X$200,"&gt;="&amp;X56)&amp;"/"&amp;COUNTIFS(X$4:X$200,"&lt;&gt;-",$D$4:$D$200,"&lt;&gt;是",$E$4:$E$200,"&lt;&gt;封闭期",$H$4:$H$200,"&gt;10",$BN$4:$BN$200,"&gt;-6",$BR$4:$BR$200,"&gt;=70",$C$4:$C$200,"&lt;20190630",$K$4:$K$200,"&lt;=30"))</f>
        <v>-</v>
      </c>
      <c r="AB56" s="33" t="str">
        <f>IF(OR($C56&gt;20190630,$K56&gt;30,X56="-",$D56="是",$E56="封闭期",$H56&lt;10,$BN56&lt;-6,$BR56&lt;70),"-",COUNTIFS(X$4:X$200,"&lt;&gt;-",$D$4:$D$200,"&lt;&gt;是",$E$4:$E$200,"&lt;&gt;封闭期",$H$4:$H$200,"&gt;10",$BN$4:$BN$200,"&gt;-6",$BR$4:$BR$200,"&gt;=70",$K$4:$K$200,"&lt;=30",$C$4:$C$200,"&lt;20190630",X$4:X$200,"&gt;="&amp;X56)/COUNTIFS(X$4:X$200,"&lt;&gt;-",$D$4:$D$200,"&lt;&gt;是",$E$4:$E$200,"&lt;&gt;封闭期",$H$4:$H$200,"&gt;10",$BN$4:$BN$200,"&gt;-6",$BR$4:$BR$200,"&gt;=70",$C$4:$C$200,"&lt;20190630",$K$4:$K$200,"&lt;=30"))</f>
        <v>-</v>
      </c>
      <c r="AC56" s="20">
        <v>0.53781512605042014</v>
      </c>
      <c r="AD56" s="19" t="str">
        <f>IFERROR(RANK(AC56,AC:AC)&amp;"/"&amp;COUNT(AC:AC),"-")</f>
        <v>183/197</v>
      </c>
      <c r="AE56" s="26">
        <f>IFERROR(RANK(AC56,AC:AC)/COUNT(AC:AC),"-")</f>
        <v>0.92893401015228427</v>
      </c>
      <c r="AF56" s="34" t="str">
        <f>IF(OR($C56&gt;20190630,$K56&gt;30,AC56="-",$D56="是",$E56="封闭期",$H56&lt;10,$BN56&lt;-6,$BR56&lt;70),"-",COUNTIFS(AC$4:AC$200,"&lt;&gt;-",$D$4:$D$200,"&lt;&gt;是",$E$4:$E$200,"&lt;&gt;封闭期",$H$4:$H$200,"&gt;10",$BN$4:$BN$200,"&gt;-6",$BR$4:$BR$200,"&gt;=70",$K$4:$K$200,"&lt;=30",$C$4:$C$200,"&lt;20190630",AC$4:AC$200,"&gt;="&amp;AC56)&amp;"/"&amp;COUNTIFS(AC$4:AC$200,"&lt;&gt;-",$D$4:$D$200,"&lt;&gt;是",$E$4:$E$200,"&lt;&gt;封闭期",$H$4:$H$200,"&gt;10",$BN$4:$BN$200,"&gt;-6",$BR$4:$BR$200,"&gt;=70",$C$4:$C$200,"&lt;20190630",$K$4:$K$200,"&lt;=30"))</f>
        <v>-</v>
      </c>
      <c r="AG56" s="33" t="str">
        <f>IF(OR($C56&gt;20190630,$K56&gt;30,AC56="-",$D56="是",$E56="封闭期",$H56&lt;10,$BN56&lt;-6,$BR56&lt;70),"-",COUNTIFS(AC$4:AC$200,"&lt;&gt;-",$D$4:$D$200,"&lt;&gt;是",$E$4:$E$200,"&lt;&gt;封闭期",$H$4:$H$200,"&gt;10",$BN$4:$BN$200,"&gt;-6",$BR$4:$BR$200,"&gt;=70",$K$4:$K$200,"&lt;=30",$C$4:$C$200,"&lt;20190630",AC$4:AC$200,"&gt;="&amp;AC56)/COUNTIFS(AC$4:AC$200,"&lt;&gt;-",$D$4:$D$200,"&lt;&gt;是",$E$4:$E$200,"&lt;&gt;封闭期",$H$4:$H$200,"&gt;10",$BN$4:$BN$200,"&gt;-6",$BR$4:$BR$200,"&gt;=70",$C$4:$C$200,"&lt;20190630",$K$4:$K$200,"&lt;=30"))</f>
        <v>-</v>
      </c>
      <c r="AH56" s="21">
        <f>[1]!f_risk_maxdownside(A56,$L$2,$E$1)</f>
        <v>-3.6164844407064969</v>
      </c>
      <c r="AI56" s="19" t="str">
        <f>IFERROR(RANK(AH56,AH:AH)&amp;"/"&amp;COUNT(AH:AH),"-")</f>
        <v>115/197</v>
      </c>
      <c r="AJ56" s="26">
        <f>IFERROR(RANK(AH56,AH:AH)/COUNT(AH:AH),"-")</f>
        <v>0.58375634517766495</v>
      </c>
      <c r="AK56" s="34" t="str">
        <f>IF(OR($C56&gt;20190630,$K56&gt;30,AH56="-",$D56="是",$E56="封闭期",$H56&lt;10,$BN56&lt;-6,$BR56&lt;70),"-",COUNTIFS(AH$4:AH$200,"&lt;&gt;-",$D$4:$D$200,"&lt;&gt;是",$E$4:$E$200,"&lt;&gt;封闭期",$H$4:$H$200,"&gt;10",$BN$4:$BN$200,"&gt;-6",$BR$4:$BR$200,"&gt;=70",$K$4:$K$200,"&lt;=30",$C$4:$C$200,"&lt;20190630",AH$4:AH$200,"&gt;="&amp;AH56)&amp;"/"&amp;COUNTIFS(AH$4:AH$200,"&lt;&gt;-",$D$4:$D$200,"&lt;&gt;是",$E$4:$E$200,"&lt;&gt;封闭期",$H$4:$H$200,"&gt;10",$BN$4:$BN$200,"&gt;-6",$BR$4:$BR$200,"&gt;=70",$C$4:$C$200,"&lt;20190630",$K$4:$K$200,"&lt;=30"))</f>
        <v>-</v>
      </c>
      <c r="AL56" s="33" t="str">
        <f>IF(OR($C56&gt;20190630,$K56&gt;30,AH56="-",$D56="是",$E56="封闭期",$H56&lt;10,$BN56&lt;-6,$BR56&lt;70),"-",COUNTIFS(AH$4:AH$200,"&lt;&gt;-",$D$4:$D$200,"&lt;&gt;是",$E$4:$E$200,"&lt;&gt;封闭期",$H$4:$H$200,"&gt;10",$BN$4:$BN$200,"&gt;-6",$BR$4:$BR$200,"&gt;=70",$K$4:$K$200,"&lt;=30",$C$4:$C$200,"&lt;20190630",AH$4:AH$200,"&gt;="&amp;AH56)/COUNTIFS(AH$4:AH$200,"&lt;&gt;-",$D$4:$D$200,"&lt;&gt;是",$E$4:$E$200,"&lt;&gt;封闭期",$H$4:$H$200,"&gt;10",$BN$4:$BN$200,"&gt;-6",$BR$4:$BR$200,"&gt;=70",$C$4:$C$200,"&lt;20190630",$K$4:$K$200,"&lt;=30"))</f>
        <v>-</v>
      </c>
      <c r="AM56" s="19">
        <f>[1]!f_return($A56,"1",AM$2,$L$2)</f>
        <v>9.7215553283479306</v>
      </c>
      <c r="AN56" s="19">
        <f>[1]!f_risk_stdevyearly($A56,AM$2,$L$2,1,1)</f>
        <v>4.870247411578708</v>
      </c>
      <c r="AO56" s="19">
        <f>IFERROR(AM56/AN56,"-")</f>
        <v>1.9961111842563772</v>
      </c>
      <c r="AP56" s="19" t="str">
        <f>IFERROR(RANK(AO56,AO:AO)&amp;"/"&amp;COUNT(AO:AO),"-")</f>
        <v>47/197</v>
      </c>
      <c r="AQ56" s="26">
        <f>IF(AP56="-","-",RANK(AO56,AO:AO)/COUNT(AO:AO))</f>
        <v>0.23857868020304568</v>
      </c>
      <c r="AR56" s="57">
        <v>0.26903553299492383</v>
      </c>
      <c r="AS56" s="33" t="str">
        <f>IF(OR($C56&gt;20190630,$K56&gt;30,AO56="-",$D56="是",$E56="封闭期",$H56&lt;10,$BN56&lt;-6,$BR56&lt;70),"-",COUNTIFS(AO$4:AO$200,"&lt;&gt;-",$D$4:$D$200,"&lt;&gt;是",$E$4:$E$200,"&lt;&gt;封闭期",$H$4:$H$200,"&gt;10",$BN$4:$BN$200,"&gt;-6",$BR$4:$BR$200,"&gt;=70",$K$4:$K$200,"&lt;=30",$C$4:$C$200,"&lt;20190630",AO$4:AO$200,"&gt;="&amp;AO56)/COUNTIFS(AO$4:AO$200,"&lt;&gt;-",$D$4:$D$200,"&lt;&gt;是",$E$4:$E$200,"&lt;&gt;封闭期",$H$4:$H$200,"&gt;10",$BN$4:$BN$200,"&gt;-6",$BR$4:$BR$200,"&gt;=70",$C$4:$C$200,"&lt;20190630",$K$4:$K$200,"&lt;=30"))</f>
        <v>-</v>
      </c>
      <c r="AT56" s="19">
        <f>IFERROR((AM56-3)/AN56,"-")</f>
        <v>1.3801260511668985</v>
      </c>
      <c r="AU56" s="19" t="str">
        <f>IFERROR(RANK(AT56,AT:AT)&amp;"/"&amp;COUNT(AT:AT),"-")</f>
        <v>35/197</v>
      </c>
      <c r="AV56" s="26">
        <f>IFERROR(RANK(AT56,AT:AT)/COUNT(AT:AT),"-")</f>
        <v>0.17766497461928935</v>
      </c>
      <c r="AW56" s="34" t="str">
        <f>IF(OR($C56&gt;20190630,$K56&gt;30,AT56="-",$D56="是",$E56="封闭期",$H56&lt;10,$BN56&lt;-6,$BR56&lt;70),"-",COUNTIFS(AT$4:AT$200,"&lt;&gt;-",$D$4:$D$200,"&lt;&gt;是",$E$4:$E$200,"&lt;&gt;封闭期",$H$4:$H$200,"&gt;10",$BN$4:$BN$200,"&gt;-6",$BR$4:$BR$200,"&gt;=70",$K$4:$K$200,"&lt;=30",$C$4:$C$200,"&lt;20190630",AT$4:AT$200,"&gt;="&amp;AT56)&amp;"/"&amp;COUNTIFS(AT$4:AT$200,"&lt;&gt;-",$D$4:$D$200,"&lt;&gt;是",$E$4:$E$200,"&lt;&gt;封闭期",$H$4:$H$200,"&gt;10",$BN$4:$BN$200,"&gt;-6",$BR$4:$BR$200,"&gt;=70",$C$4:$C$200,"&lt;20190630",$K$4:$K$200,"&lt;=30"))</f>
        <v>-</v>
      </c>
      <c r="AX56" s="33" t="str">
        <f>IF(OR($C56&gt;20190630,$K56&gt;30,AT56="-",$D56="是",$E56="封闭期",$H56&lt;10,$BN56&lt;-6,$BR56&lt;70),"-",COUNTIFS(AT$4:AT$200,"&lt;&gt;-",$D$4:$D$200,"&lt;&gt;是",$E$4:$E$200,"&lt;&gt;封闭期",$H$4:$H$200,"&gt;10",$BN$4:$BN$200,"&gt;-6",$BR$4:$BR$200,"&gt;=70",$K$4:$K$200,"&lt;=30",$C$4:$C$200,"&lt;20190630",AT$4:AT$200,"&gt;="&amp;AT56)/COUNTIFS(AT$4:AT$200,"&lt;&gt;-",$D$4:$D$200,"&lt;&gt;是",$E$4:$E$200,"&lt;&gt;封闭期",$H$4:$H$200,"&gt;10",$BN$4:$BN$200,"&gt;-6",$BR$4:$BR$200,"&gt;=70",$C$4:$C$200,"&lt;20190630",$K$4:$K$200,"&lt;=30"))</f>
        <v>-</v>
      </c>
      <c r="AY56" s="19">
        <f>[1]!f_risk_calmar(A56,$AM$2,$L$2)</f>
        <v>2.8115761331195781</v>
      </c>
      <c r="AZ56" s="19" t="str">
        <f>IFERROR(RANK(AY56,AY:AY)&amp;"/"&amp;COUNT(AY:AY),"-")</f>
        <v>61/197</v>
      </c>
      <c r="BA56" s="26">
        <f>IFERROR(RANK(AY56,AY:AY)/COUNT(AY:AY),"-")</f>
        <v>0.30964467005076141</v>
      </c>
      <c r="BB56" s="34" t="str">
        <f>IF(OR($C56&gt;20190630,$K56&gt;30,AY56="-",$D56="是",$E56="封闭期",$H56&lt;10,$BN56&lt;-6,$BR56&lt;70),"-",COUNTIFS(AY$4:AY$200,"&lt;&gt;-",$D$4:$D$200,"&lt;&gt;是",$E$4:$E$200,"&lt;&gt;封闭期",$H$4:$H$200,"&gt;10",$BN$4:$BN$200,"&gt;-6",$BR$4:$BR$200,"&gt;=70",$K$4:$K$200,"&lt;=30",$C$4:$C$200,"&lt;20190630",AY$4:AY$200,"&gt;="&amp;AY56)&amp;"/"&amp;COUNTIFS(AY$4:AY$200,"&lt;&gt;-",$D$4:$D$200,"&lt;&gt;是",$E$4:$E$200,"&lt;&gt;封闭期",$H$4:$H$200,"&gt;10",$BN$4:$BN$200,"&gt;-6",$BR$4:$BR$200,"&gt;=70",$C$4:$C$200,"&lt;20190630",$K$4:$K$200,"&lt;=30"))</f>
        <v>-</v>
      </c>
      <c r="BC56" s="33" t="str">
        <f>IF(OR($C56&gt;20190630,$K56&gt;30,AY56="-",$D56="是",$E56="封闭期",$H56&lt;10,$BN56&lt;-6,$BR56&lt;70),"-",COUNTIFS(AY$4:AY$200,"&lt;&gt;-",$D$4:$D$200,"&lt;&gt;是",$E$4:$E$200,"&lt;&gt;封闭期",$H$4:$H$200,"&gt;10",$BN$4:$BN$200,"&gt;-6",$BR$4:$BR$200,"&gt;=70",$K$4:$K$200,"&lt;=30",$C$4:$C$200,"&lt;20190630",AY$4:AY$200,"&gt;="&amp;AY56)/COUNTIFS(AY$4:AY$200,"&lt;&gt;-",$D$4:$D$200,"&lt;&gt;是",$E$4:$E$200,"&lt;&gt;封闭期",$H$4:$H$200,"&gt;10",$BN$4:$BN$200,"&gt;-6",$BR$4:$BR$200,"&gt;=70",$C$4:$C$200,"&lt;20190630",$K$4:$K$200,"&lt;=30"))</f>
        <v>-</v>
      </c>
      <c r="BD56" s="20">
        <v>1</v>
      </c>
      <c r="BE56" s="19" t="str">
        <f>IFERROR(RANK(BD56,BD:BD)&amp;"/"&amp;COUNT(BD:BD),"-")</f>
        <v>1/197</v>
      </c>
      <c r="BF56" s="26">
        <f>IFERROR(RANK(BD56,BD:BD)/COUNT(BD:BD),"-")</f>
        <v>5.076142131979695E-3</v>
      </c>
      <c r="BG56" s="34" t="str">
        <f>IF(OR($C56&gt;20190630,$K56&gt;30,BD56="-",$D56="是",$E56="封闭期",$H56&lt;10,$BN56&lt;-6,$BR56&lt;70),"-",COUNTIFS(BD$4:BD$200,"&lt;&gt;-",$D$4:$D$200,"&lt;&gt;是",$E$4:$E$200,"&lt;&gt;封闭期",$H$4:$H$200,"&gt;10",$BN$4:$BN$200,"&gt;-6",$BR$4:$BR$200,"&gt;=70",$K$4:$K$200,"&lt;=30",$C$4:$C$200,"&lt;20190630",BD$4:BD$200,"&gt;="&amp;BD56)&amp;"/"&amp;COUNTIFS(BD$4:BD$200,"&lt;&gt;-",$D$4:$D$200,"&lt;&gt;是",$E$4:$E$200,"&lt;&gt;封闭期",$H$4:$H$200,"&gt;10",$BN$4:$BN$200,"&gt;-6",$BR$4:$BR$200,"&gt;=70",$C$4:$C$200,"&lt;20190630",$K$4:$K$200,"&lt;=30"))</f>
        <v>-</v>
      </c>
      <c r="BH56" s="33" t="str">
        <f>IF(OR($C56&gt;20190630,$K56&gt;30,BD56="-",$D56="是",$E56="封闭期",$H56&lt;10,$BN56&lt;-6,$BR56&lt;70),"-",COUNTIFS(BD$4:BD$200,"&lt;&gt;-",$D$4:$D$200,"&lt;&gt;是",$E$4:$E$200,"&lt;&gt;封闭期",$H$4:$H$200,"&gt;10",$BN$4:$BN$200,"&gt;-6",$BR$4:$BR$200,"&gt;=70",$K$4:$K$200,"&lt;=30",$C$4:$C$200,"&lt;20190630",BD$4:BD$200,"&gt;="&amp;BD56)/COUNTIFS(BD$4:BD$200,"&lt;&gt;-",$D$4:$D$200,"&lt;&gt;是",$E$4:$E$200,"&lt;&gt;封闭期",$H$4:$H$200,"&gt;10",$BN$4:$BN$200,"&gt;-6",$BR$4:$BR$200,"&gt;=70",$C$4:$C$200,"&lt;20190630",$K$4:$K$200,"&lt;=30"))</f>
        <v>-</v>
      </c>
      <c r="BI56" s="21">
        <f>[1]!f_risk_maxdownside(A56,$AM$2,$L$2)</f>
        <v>-3.4576888080072727</v>
      </c>
      <c r="BJ56" s="19" t="str">
        <f>IFERROR(RANK(BI56,BI:BI)&amp;"/"&amp;COUNT(BI:BI),"-")</f>
        <v>108/197</v>
      </c>
      <c r="BK56" s="26">
        <f>IFERROR(RANK(BI56,BI:BI)/COUNT(BI:BI),"-")</f>
        <v>0.54822335025380708</v>
      </c>
      <c r="BL56" s="34" t="str">
        <f>IF(OR($C56&gt;20190630,$K56&gt;30,BI56="-",$D56="是",$E56="封闭期",$H56&lt;10,$BN56&lt;-6,$BR56&lt;70),"-",COUNTIFS(BI$4:BI$200,"&lt;&gt;-",$D$4:$D$200,"&lt;&gt;是",$E$4:$E$200,"&lt;&gt;封闭期",$H$4:$H$200,"&gt;10",$BN$4:$BN$200,"&gt;-6",$BR$4:$BR$200,"&gt;=70",$K$4:$K$200,"&lt;=30",$C$4:$C$200,"&lt;20190630",BI$4:BI$200,"&gt;="&amp;BI56)&amp;"/"&amp;COUNTIFS(BI$4:BI$200,"&lt;&gt;-",$D$4:$D$200,"&lt;&gt;是",$E$4:$E$200,"&lt;&gt;封闭期",$H$4:$H$200,"&gt;10",$BN$4:$BN$200,"&gt;-6",$BR$4:$BR$200,"&gt;=70",$C$4:$C$200,"&lt;20190630",$K$4:$K$200,"&lt;=30"))</f>
        <v>-</v>
      </c>
      <c r="BM56" s="33" t="str">
        <f>IF(OR($C56&gt;20190630,$K56&gt;30,BI56="-",$D56="是",$E56="封闭期",$H56&lt;10,$BN56&lt;-6,$BR56&lt;70),"-",COUNTIFS(BI$4:BI$200,"&lt;&gt;-",$D$4:$D$200,"&lt;&gt;是",$E$4:$E$200,"&lt;&gt;封闭期",$H$4:$H$200,"&gt;10",$BN$4:$BN$200,"&gt;-6",$BR$4:$BR$200,"&gt;=70",$K$4:$K$200,"&lt;=30",$C$4:$C$200,"&lt;20190630",BI$4:BI$200,"&gt;="&amp;BI56)/COUNTIFS(BI$4:BI$200,"&lt;&gt;-",$D$4:$D$200,"&lt;&gt;是",$E$4:$E$200,"&lt;&gt;封闭期",$H$4:$H$200,"&gt;10",$BN$4:$BN$200,"&gt;-6",$BR$4:$BR$200,"&gt;=70",$C$4:$C$200,"&lt;20190630",$K$4:$K$200,"&lt;=30"))</f>
        <v>-</v>
      </c>
      <c r="BN56" s="21">
        <f>[1]!f_risk_maxdownside(A56,$AM$2,$E$1)</f>
        <v>-3.6164844407064969</v>
      </c>
      <c r="BO56" s="21">
        <f>IF(C56&lt;20190930,[1]!f_return_2y(A56,"0","20210930"),"-")</f>
        <v>11.348205625606209</v>
      </c>
      <c r="BP56" s="19" t="str">
        <f>IFERROR(RANK(BO56,BO:BO)&amp;"/"&amp;COUNT(BO:BO),"-")</f>
        <v>124/197</v>
      </c>
      <c r="BQ56" s="25">
        <f>IFERROR(RANK(BO56,BO:BO)/COUNT(BO:BO),"-")</f>
        <v>0.62944162436548223</v>
      </c>
      <c r="BR56" s="19">
        <f>IF(C56&lt;20190930,[1]!f_absolute_profitmonthper(A56,"20190930","20210930"),"-")</f>
        <v>66.666666666666657</v>
      </c>
      <c r="BS56" s="19" t="str">
        <f>IFERROR(RANK(BR56,BR:BR)&amp;"/"&amp;COUNT(BR:BR),"-")</f>
        <v>115/198</v>
      </c>
      <c r="BT56" s="25">
        <f>IFERROR(RANK(BR56,BR:BR)/COUNT(BR:BR),"-")</f>
        <v>0.58080808080808077</v>
      </c>
      <c r="BV56" s="12">
        <f>X56-3/M56</f>
        <v>-0.53845457922628515</v>
      </c>
      <c r="BW56" s="76">
        <f>IFERROR(RANK(BV56,BV:BV)/COUNT(BV:BV),"-")</f>
        <v>0.92385786802030456</v>
      </c>
      <c r="BX56" s="76">
        <f>IFERROR(RANK(L56,L:L)/COUNT(L:L),"-")</f>
        <v>0.91919191919191923</v>
      </c>
      <c r="BY56" s="12">
        <f>AY56-3/AN56</f>
        <v>2.1955910000300993</v>
      </c>
      <c r="BZ56" s="76">
        <f>IFERROR(RANK(BY56,BY:BY)/COUNT(BY:BY),"-")</f>
        <v>0.27918781725888325</v>
      </c>
      <c r="CA56" s="76">
        <f>IFERROR(RANK(AM56,AM:AM)/COUNT(AM:AM),"-")</f>
        <v>0.27272727272727271</v>
      </c>
      <c r="CB56" s="2"/>
      <c r="CC56" s="77">
        <f>AV56+BF56+BZ56+CA56</f>
        <v>0.73465620673742493</v>
      </c>
      <c r="CD56" s="77">
        <f>BW56+BX56+AE56+U56</f>
        <v>3.6856893811208535</v>
      </c>
      <c r="CE56" s="77">
        <f>CC56+CD56</f>
        <v>4.4203455878582787</v>
      </c>
    </row>
    <row r="57" spans="1:83" s="17" customFormat="1" x14ac:dyDescent="0.35">
      <c r="A57" s="3" t="s">
        <v>19</v>
      </c>
      <c r="B57" s="3" t="s">
        <v>20</v>
      </c>
      <c r="C57" s="4">
        <v>20090721</v>
      </c>
      <c r="D57" s="4" t="str">
        <f>[1]!f_info_regulopenfundornot(A57)</f>
        <v>否</v>
      </c>
      <c r="E57" s="4" t="str">
        <f>[1]!f_dq_status(A57,$E$1)</f>
        <v>开放申购|开放赎回</v>
      </c>
      <c r="F57" s="17" t="str">
        <f>[1]!f_info_fundmanager(A57)</f>
        <v>关键</v>
      </c>
      <c r="G57" s="4">
        <v>20210414</v>
      </c>
      <c r="H57" s="11">
        <f>[1]!f_netasset_total(A57,$E$1,100000000)</f>
        <v>15.630156550899999</v>
      </c>
      <c r="I57" s="11">
        <f>[1]!f_prt_convertiblebondtonav(A57,$E$1)</f>
        <v>7.0513958930969238</v>
      </c>
      <c r="J57" s="11">
        <f>[1]!f_prt_stocktonav(A57,$E$1)+0.5*I57</f>
        <v>20.655365228652954</v>
      </c>
      <c r="K57" s="12">
        <v>12.911898824735649</v>
      </c>
      <c r="L57" s="19">
        <f>[1]!f_return($A57,"1",L$2,$E$1)</f>
        <v>6.4376680607726833</v>
      </c>
      <c r="M57" s="19">
        <f>[1]!f_risk_stdevyearly($A57,L$2,$E$1,1,1)</f>
        <v>6.5729832496777121</v>
      </c>
      <c r="N57" s="12">
        <f>IFERROR(L57/M57,"-")</f>
        <v>0.97941342861148117</v>
      </c>
      <c r="O57" s="12" t="str">
        <f>IFERROR(RANK(N57,N:N)&amp;"/"&amp;COUNT(N:N),"-")</f>
        <v>141/197</v>
      </c>
      <c r="P57" s="26">
        <f>IF(O57="-","-",RANK(N57,N:N)/COUNT(N:N))</f>
        <v>0.71573604060913709</v>
      </c>
      <c r="Q57" s="58">
        <v>0.42131979695431471</v>
      </c>
      <c r="R57" s="33">
        <f>IF(OR($C57&gt;20190630,$K57&gt;30,N57="-",$D57="是",$E57="封闭期",$H57&lt;10,$BN57&lt;-6,$BR57&lt;70),"-",COUNTIFS(N$4:N$200,"&lt;&gt;-",$D$4:$D$200,"&lt;&gt;是",$E$4:$E$200,"&lt;&gt;封闭期",$H$4:$H$200,"&gt;10",$BN$4:$BN$200,"&gt;-6",$BR$4:$BR$200,"&gt;=70",$K$4:$K$200,"&lt;=30",$C$4:$C$200,"&lt;20190630",N$4:N$200,"&gt;="&amp;N57)/COUNTIFS(N$4:N$200,"&lt;&gt;-",$D$4:$D$200,"&lt;&gt;是",$E$4:$E$200,"&lt;&gt;封闭期",$H$4:$H$200,"&gt;10",$BN$4:$BN$200,"&gt;-6",$BR$4:$BR$200,"&gt;=70",$C$4:$C$200,"&lt;20190630",$K$4:$K$200,"&lt;=30"))</f>
        <v>0.97435897435897434</v>
      </c>
      <c r="S57" s="12">
        <f>IFERROR((L57-3)/M57,"-")</f>
        <v>0.52299966852056712</v>
      </c>
      <c r="T57" s="12" t="str">
        <f>IFERROR(RANK(S57,S:S)&amp;"/"&amp;COUNT(S:S),"-")</f>
        <v>114/197</v>
      </c>
      <c r="U57" s="26">
        <f>IFERROR(RANK(S57,S:S)/COUNT(S:S),"-")</f>
        <v>0.57868020304568524</v>
      </c>
      <c r="V57" s="13" t="str">
        <f>IF(OR($C57&gt;20190630,$K57&gt;30,S57="-",$D57="是",$E57="封闭期",$H57&lt;10,$BN57&lt;-6,$BR57&lt;70),"-",COUNTIFS(S$4:S$200,"&lt;&gt;-",$D$4:$D$200,"&lt;&gt;是",$E$4:$E$200,"&lt;&gt;封闭期",$H$4:$H$200,"&gt;10",$BN$4:$BN$200,"&gt;-6",$BR$4:$BR$200,"&gt;=70",$K$4:$K$200,"&lt;=30",$C$4:$C$200,"&lt;20190630",S$4:S$200,"&gt;="&amp;S57)&amp;"/"&amp;COUNTIFS(S$4:S$200,"&lt;&gt;-",$D$4:$D$200,"&lt;&gt;是",$E$4:$E$200,"&lt;&gt;封闭期",$H$4:$H$200,"&gt;10",$BN$4:$BN$200,"&gt;-6",$BR$4:$BR$200,"&gt;=70",$C$4:$C$200,"&lt;20190630",$K$4:$K$200,"&lt;=30"))</f>
        <v>34/39</v>
      </c>
      <c r="W57" s="33">
        <f>IF(OR($C57&gt;20190630,$K57&gt;30,S57="-",$D57="是",$E57="封闭期",$H57&lt;10,$BN57&lt;-6,$BR57&lt;70),"-",COUNTIFS(S$4:S$200,"&lt;&gt;-",$D$4:$D$200,"&lt;&gt;是",$E$4:$E$200,"&lt;&gt;封闭期",$H$4:$H$200,"&gt;10",$BN$4:$BN$200,"&gt;-6",$BR$4:$BR$200,"&gt;=70",$K$4:$K$200,"&lt;=30",$C$4:$C$200,"&lt;20190630",S$4:S$200,"&gt;="&amp;S57)/COUNTIFS(S$4:S$200,"&lt;&gt;-",$D$4:$D$200,"&lt;&gt;是",$E$4:$E$200,"&lt;&gt;封闭期",$H$4:$H$200,"&gt;10",$BN$4:$BN$200,"&gt;-6",$BR$4:$BR$200,"&gt;=70",$C$4:$C$200,"&lt;20190630",$K$4:$K$200,"&lt;=30"))</f>
        <v>0.87179487179487181</v>
      </c>
      <c r="X57" s="19">
        <f>[1]!f_risk_calmar(A57,$L$2,$E$1)</f>
        <v>1.172624698381606</v>
      </c>
      <c r="Y57" s="12" t="str">
        <f>IFERROR(RANK(X57,X:X)&amp;"/"&amp;COUNT(X:X),"-")</f>
        <v>146/197</v>
      </c>
      <c r="Z57" s="26">
        <f>IFERROR(RANK(X57,X:X)/COUNT(X:X),"-")</f>
        <v>0.74111675126903553</v>
      </c>
      <c r="AA57" s="13" t="str">
        <f>IF(OR($C57&gt;20190630,$K57&gt;30,X57="-",$D57="是",$E57="封闭期",$H57&lt;10,$BN57&lt;-6,$BR57&lt;70),"-",COUNTIFS(X$4:X$200,"&lt;&gt;-",$D$4:$D$200,"&lt;&gt;是",$E$4:$E$200,"&lt;&gt;封闭期",$H$4:$H$200,"&gt;10",$BN$4:$BN$200,"&gt;-6",$BR$4:$BR$200,"&gt;=70",$K$4:$K$200,"&lt;=30",$C$4:$C$200,"&lt;20190630",X$4:X$200,"&gt;="&amp;X57)&amp;"/"&amp;COUNTIFS(X$4:X$200,"&lt;&gt;-",$D$4:$D$200,"&lt;&gt;是",$E$4:$E$200,"&lt;&gt;封闭期",$H$4:$H$200,"&gt;10",$BN$4:$BN$200,"&gt;-6",$BR$4:$BR$200,"&gt;=70",$C$4:$C$200,"&lt;20190630",$K$4:$K$200,"&lt;=30"))</f>
        <v>39/39</v>
      </c>
      <c r="AB57" s="33">
        <f>IF(OR($C57&gt;20190630,$K57&gt;30,X57="-",$D57="是",$E57="封闭期",$H57&lt;10,$BN57&lt;-6,$BR57&lt;70),"-",COUNTIFS(X$4:X$200,"&lt;&gt;-",$D$4:$D$200,"&lt;&gt;是",$E$4:$E$200,"&lt;&gt;封闭期",$H$4:$H$200,"&gt;10",$BN$4:$BN$200,"&gt;-6",$BR$4:$BR$200,"&gt;=70",$K$4:$K$200,"&lt;=30",$C$4:$C$200,"&lt;20190630",X$4:X$200,"&gt;="&amp;X57)/COUNTIFS(X$4:X$200,"&lt;&gt;-",$D$4:$D$200,"&lt;&gt;是",$E$4:$E$200,"&lt;&gt;封闭期",$H$4:$H$200,"&gt;10",$BN$4:$BN$200,"&gt;-6",$BR$4:$BR$200,"&gt;=70",$C$4:$C$200,"&lt;20190630",$K$4:$K$200,"&lt;=30"))</f>
        <v>1</v>
      </c>
      <c r="AC57" s="20">
        <v>1</v>
      </c>
      <c r="AD57" s="12" t="str">
        <f>IFERROR(RANK(AC57,AC:AC)&amp;"/"&amp;COUNT(AC:AC),"-")</f>
        <v>1/197</v>
      </c>
      <c r="AE57" s="26">
        <f>IFERROR(RANK(AC57,AC:AC)/COUNT(AC:AC),"-")</f>
        <v>5.076142131979695E-3</v>
      </c>
      <c r="AF57" s="13" t="str">
        <f>IF(OR($C57&gt;20190630,$K57&gt;30,AC57="-",$D57="是",$E57="封闭期",$H57&lt;10,$BN57&lt;-6,$BR57&lt;70),"-",COUNTIFS(AC$4:AC$200,"&lt;&gt;-",$D$4:$D$200,"&lt;&gt;是",$E$4:$E$200,"&lt;&gt;封闭期",$H$4:$H$200,"&gt;10",$BN$4:$BN$200,"&gt;-6",$BR$4:$BR$200,"&gt;=70",$K$4:$K$200,"&lt;=30",$C$4:$C$200,"&lt;20190630",AC$4:AC$200,"&gt;="&amp;AC57)&amp;"/"&amp;COUNTIFS(AC$4:AC$200,"&lt;&gt;-",$D$4:$D$200,"&lt;&gt;是",$E$4:$E$200,"&lt;&gt;封闭期",$H$4:$H$200,"&gt;10",$BN$4:$BN$200,"&gt;-6",$BR$4:$BR$200,"&gt;=70",$C$4:$C$200,"&lt;20190630",$K$4:$K$200,"&lt;=30"))</f>
        <v>28/39</v>
      </c>
      <c r="AG57" s="33">
        <f>IF(OR($C57&gt;20190630,$K57&gt;30,AC57="-",$D57="是",$E57="封闭期",$H57&lt;10,$BN57&lt;-6,$BR57&lt;70),"-",COUNTIFS(AC$4:AC$200,"&lt;&gt;-",$D$4:$D$200,"&lt;&gt;是",$E$4:$E$200,"&lt;&gt;封闭期",$H$4:$H$200,"&gt;10",$BN$4:$BN$200,"&gt;-6",$BR$4:$BR$200,"&gt;=70",$K$4:$K$200,"&lt;=30",$C$4:$C$200,"&lt;20190630",AC$4:AC$200,"&gt;="&amp;AC57)/COUNTIFS(AC$4:AC$200,"&lt;&gt;-",$D$4:$D$200,"&lt;&gt;是",$E$4:$E$200,"&lt;&gt;封闭期",$H$4:$H$200,"&gt;10",$BN$4:$BN$200,"&gt;-6",$BR$4:$BR$200,"&gt;=70",$C$4:$C$200,"&lt;20190630",$K$4:$K$200,"&lt;=30"))</f>
        <v>0.71794871794871795</v>
      </c>
      <c r="AH57" s="21">
        <f>[1]!f_risk_maxdownside(A57,$L$2,$E$1)</f>
        <v>-5.4899645808736661</v>
      </c>
      <c r="AI57" s="19" t="str">
        <f>IFERROR(RANK(AH57,AH:AH)&amp;"/"&amp;COUNT(AH:AH),"-")</f>
        <v>165/197</v>
      </c>
      <c r="AJ57" s="26">
        <f>IFERROR(RANK(AH57,AH:AH)/COUNT(AH:AH),"-")</f>
        <v>0.8375634517766497</v>
      </c>
      <c r="AK57" s="34" t="str">
        <f>IF(OR($C57&gt;20190630,$K57&gt;30,AH57="-",$D57="是",$E57="封闭期",$H57&lt;10,$BN57&lt;-6,$BR57&lt;70),"-",COUNTIFS(AH$4:AH$200,"&lt;&gt;-",$D$4:$D$200,"&lt;&gt;是",$E$4:$E$200,"&lt;&gt;封闭期",$H$4:$H$200,"&gt;10",$BN$4:$BN$200,"&gt;-6",$BR$4:$BR$200,"&gt;=70",$K$4:$K$200,"&lt;=30",$C$4:$C$200,"&lt;20190630",AH$4:AH$200,"&gt;="&amp;AH57)&amp;"/"&amp;COUNTIFS(AH$4:AH$200,"&lt;&gt;-",$D$4:$D$200,"&lt;&gt;是",$E$4:$E$200,"&lt;&gt;封闭期",$H$4:$H$200,"&gt;10",$BN$4:$BN$200,"&gt;-6",$BR$4:$BR$200,"&gt;=70",$C$4:$C$200,"&lt;20190630",$K$4:$K$200,"&lt;=30"))</f>
        <v>38/39</v>
      </c>
      <c r="AL57" s="33">
        <f>IF(OR($C57&gt;20190630,$K57&gt;30,AH57="-",$D57="是",$E57="封闭期",$H57&lt;10,$BN57&lt;-6,$BR57&lt;70),"-",COUNTIFS(AH$4:AH$200,"&lt;&gt;-",$D$4:$D$200,"&lt;&gt;是",$E$4:$E$200,"&lt;&gt;封闭期",$H$4:$H$200,"&gt;10",$BN$4:$BN$200,"&gt;-6",$BR$4:$BR$200,"&gt;=70",$K$4:$K$200,"&lt;=30",$C$4:$C$200,"&lt;20190630",AH$4:AH$200,"&gt;="&amp;AH57)/COUNTIFS(AH$4:AH$200,"&lt;&gt;-",$D$4:$D$200,"&lt;&gt;是",$E$4:$E$200,"&lt;&gt;封闭期",$H$4:$H$200,"&gt;10",$BN$4:$BN$200,"&gt;-6",$BR$4:$BR$200,"&gt;=70",$C$4:$C$200,"&lt;20190630",$K$4:$K$200,"&lt;=30"))</f>
        <v>0.97435897435897434</v>
      </c>
      <c r="AM57" s="19">
        <f>[1]!f_return($A57,"1",AM$2,$L$2)</f>
        <v>9.7200996747262458</v>
      </c>
      <c r="AN57" s="19">
        <f>[1]!f_risk_stdevyearly($A57,AM$2,$L$2,1,1)</f>
        <v>4.8923443690346691</v>
      </c>
      <c r="AO57" s="12">
        <f>IFERROR(AM57/AN57,"-")</f>
        <v>1.9867979319379276</v>
      </c>
      <c r="AP57" s="12" t="str">
        <f>IFERROR(RANK(AO57,AO:AO)&amp;"/"&amp;COUNT(AO:AO),"-")</f>
        <v>49/197</v>
      </c>
      <c r="AQ57" s="26">
        <f>IF(AP57="-","-",RANK(AO57,AO:AO)/COUNT(AO:AO))</f>
        <v>0.24873096446700507</v>
      </c>
      <c r="AR57" s="60">
        <v>0.27411167512690354</v>
      </c>
      <c r="AS57" s="35">
        <f>IF(OR($C57&gt;20190630,$K57&gt;30,AO57="-",$D57="是",$E57="封闭期",$H57&lt;10,$BN57&lt;-6,$BR57&lt;70),"-",COUNTIFS(AO$4:AO$200,"&lt;&gt;-",$D$4:$D$200,"&lt;&gt;是",$E$4:$E$200,"&lt;&gt;封闭期",$H$4:$H$200,"&gt;10",$BN$4:$BN$200,"&gt;-6",$BR$4:$BR$200,"&gt;=70",$K$4:$K$200,"&lt;=30",$C$4:$C$200,"&lt;20190630",AO$4:AO$200,"&gt;="&amp;AO57)/COUNTIFS(AO$4:AO$200,"&lt;&gt;-",$D$4:$D$200,"&lt;&gt;是",$E$4:$E$200,"&lt;&gt;封闭期",$H$4:$H$200,"&gt;10",$BN$4:$BN$200,"&gt;-6",$BR$4:$BR$200,"&gt;=70",$C$4:$C$200,"&lt;20190630",$K$4:$K$200,"&lt;=30"))</f>
        <v>0.46153846153846156</v>
      </c>
      <c r="AT57" s="12">
        <f>IFERROR((AM57-3)/AN57,"-")</f>
        <v>1.3735949818373516</v>
      </c>
      <c r="AU57" s="12" t="str">
        <f>IFERROR(RANK(AT57,AT:AT)&amp;"/"&amp;COUNT(AT:AT),"-")</f>
        <v>38/197</v>
      </c>
      <c r="AV57" s="26">
        <f>IFERROR(RANK(AT57,AT:AT)/COUNT(AT:AT),"-")</f>
        <v>0.19289340101522842</v>
      </c>
      <c r="AW57" s="13" t="str">
        <f>IF(OR($C57&gt;20190630,$K57&gt;30,AT57="-",$D57="是",$E57="封闭期",$H57&lt;10,$BN57&lt;-6,$BR57&lt;70),"-",COUNTIFS(AT$4:AT$200,"&lt;&gt;-",$D$4:$D$200,"&lt;&gt;是",$E$4:$E$200,"&lt;&gt;封闭期",$H$4:$H$200,"&gt;10",$BN$4:$BN$200,"&gt;-6",$BR$4:$BR$200,"&gt;=70",$K$4:$K$200,"&lt;=30",$C$4:$C$200,"&lt;20190630",AT$4:AT$200,"&gt;="&amp;AT57)&amp;"/"&amp;COUNTIFS(AT$4:AT$200,"&lt;&gt;-",$D$4:$D$200,"&lt;&gt;是",$E$4:$E$200,"&lt;&gt;封闭期",$H$4:$H$200,"&gt;10",$BN$4:$BN$200,"&gt;-6",$BR$4:$BR$200,"&gt;=70",$C$4:$C$200,"&lt;20190630",$K$4:$K$200,"&lt;=30"))</f>
        <v>16/39</v>
      </c>
      <c r="AX57" s="33">
        <f>IF(OR($C57&gt;20190630,$K57&gt;30,AT57="-",$D57="是",$E57="封闭期",$H57&lt;10,$BN57&lt;-6,$BR57&lt;70),"-",COUNTIFS(AT$4:AT$200,"&lt;&gt;-",$D$4:$D$200,"&lt;&gt;是",$E$4:$E$200,"&lt;&gt;封闭期",$H$4:$H$200,"&gt;10",$BN$4:$BN$200,"&gt;-6",$BR$4:$BR$200,"&gt;=70",$K$4:$K$200,"&lt;=30",$C$4:$C$200,"&lt;20190630",AT$4:AT$200,"&gt;="&amp;AT57)/COUNTIFS(AT$4:AT$200,"&lt;&gt;-",$D$4:$D$200,"&lt;&gt;是",$E$4:$E$200,"&lt;&gt;封闭期",$H$4:$H$200,"&gt;10",$BN$4:$BN$200,"&gt;-6",$BR$4:$BR$200,"&gt;=70",$C$4:$C$200,"&lt;20190630",$K$4:$K$200,"&lt;=30"))</f>
        <v>0.41025641025641024</v>
      </c>
      <c r="AY57" s="19">
        <f>[1]!f_risk_calmar(A57,$AM$2,$L$2)</f>
        <v>3.9636406451383874</v>
      </c>
      <c r="AZ57" s="12" t="str">
        <f>IFERROR(RANK(AY57,AY:AY)&amp;"/"&amp;COUNT(AY:AY),"-")</f>
        <v>24/197</v>
      </c>
      <c r="BA57" s="26">
        <f>IFERROR(RANK(AY57,AY:AY)/COUNT(AY:AY),"-")</f>
        <v>0.12182741116751269</v>
      </c>
      <c r="BB57" s="13" t="str">
        <f>IF(OR($C57&gt;20190630,$K57&gt;30,AY57="-",$D57="是",$E57="封闭期",$H57&lt;10,$BN57&lt;-6,$BR57&lt;70),"-",COUNTIFS(AY$4:AY$200,"&lt;&gt;-",$D$4:$D$200,"&lt;&gt;是",$E$4:$E$200,"&lt;&gt;封闭期",$H$4:$H$200,"&gt;10",$BN$4:$BN$200,"&gt;-6",$BR$4:$BR$200,"&gt;=70",$K$4:$K$200,"&lt;=30",$C$4:$C$200,"&lt;20190630",AY$4:AY$200,"&gt;="&amp;AY57)&amp;"/"&amp;COUNTIFS(AY$4:AY$200,"&lt;&gt;-",$D$4:$D$200,"&lt;&gt;是",$E$4:$E$200,"&lt;&gt;封闭期",$H$4:$H$200,"&gt;10",$BN$4:$BN$200,"&gt;-6",$BR$4:$BR$200,"&gt;=70",$C$4:$C$200,"&lt;20190630",$K$4:$K$200,"&lt;=30"))</f>
        <v>10/39</v>
      </c>
      <c r="BC57" s="33">
        <f>IF(OR($C57&gt;20190630,$K57&gt;30,AY57="-",$D57="是",$E57="封闭期",$H57&lt;10,$BN57&lt;-6,$BR57&lt;70),"-",COUNTIFS(AY$4:AY$200,"&lt;&gt;-",$D$4:$D$200,"&lt;&gt;是",$E$4:$E$200,"&lt;&gt;封闭期",$H$4:$H$200,"&gt;10",$BN$4:$BN$200,"&gt;-6",$BR$4:$BR$200,"&gt;=70",$K$4:$K$200,"&lt;=30",$C$4:$C$200,"&lt;20190630",AY$4:AY$200,"&gt;="&amp;AY57)/COUNTIFS(AY$4:AY$200,"&lt;&gt;-",$D$4:$D$200,"&lt;&gt;是",$E$4:$E$200,"&lt;&gt;封闭期",$H$4:$H$200,"&gt;10",$BN$4:$BN$200,"&gt;-6",$BR$4:$BR$200,"&gt;=70",$C$4:$C$200,"&lt;20190630",$K$4:$K$200,"&lt;=30"))</f>
        <v>0.25641025641025639</v>
      </c>
      <c r="BD57" s="20">
        <v>1</v>
      </c>
      <c r="BE57" s="12" t="str">
        <f>IFERROR(RANK(BD57,BD:BD)&amp;"/"&amp;COUNT(BD:BD),"-")</f>
        <v>1/197</v>
      </c>
      <c r="BF57" s="26">
        <f>IFERROR(RANK(BD57,BD:BD)/COUNT(BD:BD),"-")</f>
        <v>5.076142131979695E-3</v>
      </c>
      <c r="BG57" s="13" t="str">
        <f>IF(OR($C57&gt;20190630,$K57&gt;30,BD57="-",$D57="是",$E57="封闭期",$H57&lt;10,$BN57&lt;-6,$BR57&lt;70),"-",COUNTIFS(BD$4:BD$200,"&lt;&gt;-",$D$4:$D$200,"&lt;&gt;是",$E$4:$E$200,"&lt;&gt;封闭期",$H$4:$H$200,"&gt;10",$BN$4:$BN$200,"&gt;-6",$BR$4:$BR$200,"&gt;=70",$K$4:$K$200,"&lt;=30",$C$4:$C$200,"&lt;20190630",BD$4:BD$200,"&gt;="&amp;BD57)&amp;"/"&amp;COUNTIFS(BD$4:BD$200,"&lt;&gt;-",$D$4:$D$200,"&lt;&gt;是",$E$4:$E$200,"&lt;&gt;封闭期",$H$4:$H$200,"&gt;10",$BN$4:$BN$200,"&gt;-6",$BR$4:$BR$200,"&gt;=70",$C$4:$C$200,"&lt;20190630",$K$4:$K$200,"&lt;=30"))</f>
        <v>35/39</v>
      </c>
      <c r="BH57" s="33">
        <f>IF(OR($C57&gt;20190630,$K57&gt;30,BD57="-",$D57="是",$E57="封闭期",$H57&lt;10,$BN57&lt;-6,$BR57&lt;70),"-",COUNTIFS(BD$4:BD$200,"&lt;&gt;-",$D$4:$D$200,"&lt;&gt;是",$E$4:$E$200,"&lt;&gt;封闭期",$H$4:$H$200,"&gt;10",$BN$4:$BN$200,"&gt;-6",$BR$4:$BR$200,"&gt;=70",$K$4:$K$200,"&lt;=30",$C$4:$C$200,"&lt;20190630",BD$4:BD$200,"&gt;="&amp;BD57)/COUNTIFS(BD$4:BD$200,"&lt;&gt;-",$D$4:$D$200,"&lt;&gt;是",$E$4:$E$200,"&lt;&gt;封闭期",$H$4:$H$200,"&gt;10",$BN$4:$BN$200,"&gt;-6",$BR$4:$BR$200,"&gt;=70",$C$4:$C$200,"&lt;20190630",$K$4:$K$200,"&lt;=30"))</f>
        <v>0.89743589743589747</v>
      </c>
      <c r="BI57" s="21">
        <f>[1]!f_risk_maxdownside(A57,$AM$2,$L$2)</f>
        <v>-2.4523160762942666</v>
      </c>
      <c r="BJ57" s="19" t="str">
        <f>IFERROR(RANK(BI57,BI:BI)&amp;"/"&amp;COUNT(BI:BI),"-")</f>
        <v>59/197</v>
      </c>
      <c r="BK57" s="26">
        <f>IFERROR(RANK(BI57,BI:BI)/COUNT(BI:BI),"-")</f>
        <v>0.29949238578680204</v>
      </c>
      <c r="BL57" s="34" t="str">
        <f>IF(OR($C57&gt;20190630,$K57&gt;30,BI57="-",$D57="是",$E57="封闭期",$H57&lt;10,$BN57&lt;-6,$BR57&lt;70),"-",COUNTIFS(BI$4:BI$200,"&lt;&gt;-",$D$4:$D$200,"&lt;&gt;是",$E$4:$E$200,"&lt;&gt;封闭期",$H$4:$H$200,"&gt;10",$BN$4:$BN$200,"&gt;-6",$BR$4:$BR$200,"&gt;=70",$K$4:$K$200,"&lt;=30",$C$4:$C$200,"&lt;20190630",BI$4:BI$200,"&gt;="&amp;BI57)&amp;"/"&amp;COUNTIFS(BI$4:BI$200,"&lt;&gt;-",$D$4:$D$200,"&lt;&gt;是",$E$4:$E$200,"&lt;&gt;封闭期",$H$4:$H$200,"&gt;10",$BN$4:$BN$200,"&gt;-6",$BR$4:$BR$200,"&gt;=70",$C$4:$C$200,"&lt;20190630",$K$4:$K$200,"&lt;=30"))</f>
        <v>9/39</v>
      </c>
      <c r="BM57" s="33">
        <f>IF(OR($C57&gt;20190630,$K57&gt;30,BI57="-",$D57="是",$E57="封闭期",$H57&lt;10,$BN57&lt;-6,$BR57&lt;70),"-",COUNTIFS(BI$4:BI$200,"&lt;&gt;-",$D$4:$D$200,"&lt;&gt;是",$E$4:$E$200,"&lt;&gt;封闭期",$H$4:$H$200,"&gt;10",$BN$4:$BN$200,"&gt;-6",$BR$4:$BR$200,"&gt;=70",$K$4:$K$200,"&lt;=30",$C$4:$C$200,"&lt;20190630",BI$4:BI$200,"&gt;="&amp;BI57)/COUNTIFS(BI$4:BI$200,"&lt;&gt;-",$D$4:$D$200,"&lt;&gt;是",$E$4:$E$200,"&lt;&gt;封闭期",$H$4:$H$200,"&gt;10",$BN$4:$BN$200,"&gt;-6",$BR$4:$BR$200,"&gt;=70",$C$4:$C$200,"&lt;20190630",$K$4:$K$200,"&lt;=30"))</f>
        <v>0.23076923076923078</v>
      </c>
      <c r="BN57" s="21">
        <f>[1]!f_risk_maxdownside(A57,$AM$2,$E$1)</f>
        <v>-5.4899645808736661</v>
      </c>
      <c r="BO57" s="14">
        <f>IF(C57&lt;20190930,[1]!f_return_2y(A57,"0","20210930"),"-")</f>
        <v>16.923892974591094</v>
      </c>
      <c r="BP57" s="12" t="str">
        <f>IFERROR(RANK(BO57,BO:BO)&amp;"/"&amp;COUNT(BO:BO),"-")</f>
        <v>68/197</v>
      </c>
      <c r="BQ57" s="25">
        <f>IFERROR(RANK(BO57,BO:BO)/COUNT(BO:BO),"-")</f>
        <v>0.34517766497461927</v>
      </c>
      <c r="BR57" s="12">
        <f>IF(C57&lt;20190930,[1]!f_absolute_profitmonthper(A57,"20190930","20210930"),"-")</f>
        <v>79.166666666666657</v>
      </c>
      <c r="BS57" s="12" t="str">
        <f>IFERROR(RANK(BR57,BR:BR)&amp;"/"&amp;COUNT(BR:BR),"-")</f>
        <v>16/198</v>
      </c>
      <c r="BT57" s="25">
        <f>IFERROR(RANK(BR57,BR:BR)/COUNT(BR:BR),"-")</f>
        <v>8.0808080808080815E-2</v>
      </c>
      <c r="BV57" s="12">
        <f>X57-3/M57</f>
        <v>0.71621093829069193</v>
      </c>
      <c r="BW57" s="76">
        <f>IFERROR(RANK(BV57,BV:BV)/COUNT(BV:BV),"-")</f>
        <v>0.67005076142131981</v>
      </c>
      <c r="BX57" s="76">
        <f>IFERROR(RANK(L57,L:L)/COUNT(L:L),"-")</f>
        <v>0.42424242424242425</v>
      </c>
      <c r="BY57" s="12">
        <f>AY57-3/AN57</f>
        <v>3.3504376950378116</v>
      </c>
      <c r="BZ57" s="76">
        <f>IFERROR(RANK(BY57,BY:BY)/COUNT(BY:BY),"-")</f>
        <v>0.1065989847715736</v>
      </c>
      <c r="CA57" s="76">
        <f>IFERROR(RANK(AM57,AM:AM)/COUNT(AM:AM),"-")</f>
        <v>0.27777777777777779</v>
      </c>
      <c r="CB57" s="2"/>
      <c r="CC57" s="77">
        <f>AV57+BF57+BZ57+CA57</f>
        <v>0.58234630569655943</v>
      </c>
      <c r="CD57" s="77">
        <f>BW57+BX57+AE57+U57</f>
        <v>1.678049530841409</v>
      </c>
      <c r="CE57" s="77">
        <f>CC57+CD57</f>
        <v>2.2603958365379686</v>
      </c>
    </row>
    <row r="58" spans="1:83" s="17" customFormat="1" hidden="1" x14ac:dyDescent="0.35">
      <c r="A58" s="15" t="s">
        <v>57</v>
      </c>
      <c r="B58" s="15" t="s">
        <v>58</v>
      </c>
      <c r="C58" s="16">
        <v>20090413</v>
      </c>
      <c r="D58" s="16" t="str">
        <f>[1]!f_info_regulopenfundornot(A58)</f>
        <v>否</v>
      </c>
      <c r="E58" s="16" t="str">
        <f>[1]!f_dq_status(A58,$E$1)</f>
        <v>开放申购|开放赎回</v>
      </c>
      <c r="F58" s="17" t="str">
        <f>[1]!f_info_fundmanager(A58)</f>
        <v>苏玉平</v>
      </c>
      <c r="G58" s="16">
        <v>20110719</v>
      </c>
      <c r="H58" s="18">
        <f>[1]!f_netasset_total(A58,$E$1,100000000)</f>
        <v>0.89548415030000006</v>
      </c>
      <c r="I58" s="18">
        <f>[1]!f_prt_convertiblebondtonav(A58,$E$1)</f>
        <v>19.127368927001953</v>
      </c>
      <c r="J58" s="18">
        <f>[1]!f_prt_stocktonav(A58,$E$1)+0.5*I58</f>
        <v>22.25128173828125</v>
      </c>
      <c r="K58" s="19">
        <v>16.854011313258638</v>
      </c>
      <c r="L58" s="19">
        <f>[1]!f_return($A58,"1",L$2,$E$1)</f>
        <v>7.1948229890777426</v>
      </c>
      <c r="M58" s="19">
        <f>[1]!f_risk_stdevyearly($A58,L$2,$E$1,1,1)</f>
        <v>8.3437943869780717</v>
      </c>
      <c r="N58" s="19">
        <f>IFERROR(L58/M58,"-")</f>
        <v>0.86229629535292762</v>
      </c>
      <c r="O58" s="19" t="str">
        <f>IFERROR(RANK(N58,N:N)&amp;"/"&amp;COUNT(N:N),"-")</f>
        <v>151/197</v>
      </c>
      <c r="P58" s="26">
        <f>IF(O58="-","-",RANK(N58,N:N)/COUNT(N:N))</f>
        <v>0.76649746192893398</v>
      </c>
      <c r="Q58" s="56">
        <v>0.34517766497461927</v>
      </c>
      <c r="R58" s="33" t="str">
        <f>IF(OR($C58&gt;20190630,$K58&gt;30,N58="-",$D58="是",$E58="封闭期",$H58&lt;10,$BN58&lt;-6,$BR58&lt;70),"-",COUNTIFS(N$4:N$200,"&lt;&gt;-",$D$4:$D$200,"&lt;&gt;是",$E$4:$E$200,"&lt;&gt;封闭期",$H$4:$H$200,"&gt;10",$BN$4:$BN$200,"&gt;-6",$BR$4:$BR$200,"&gt;=70",$K$4:$K$200,"&lt;=30",$C$4:$C$200,"&lt;20190630",N$4:N$200,"&gt;="&amp;N58)/COUNTIFS(N$4:N$200,"&lt;&gt;-",$D$4:$D$200,"&lt;&gt;是",$E$4:$E$200,"&lt;&gt;封闭期",$H$4:$H$200,"&gt;10",$BN$4:$BN$200,"&gt;-6",$BR$4:$BR$200,"&gt;=70",$C$4:$C$200,"&lt;20190630",$K$4:$K$200,"&lt;=30"))</f>
        <v>-</v>
      </c>
      <c r="S58" s="19">
        <f>IFERROR((L58-3)/M58,"-")</f>
        <v>0.50274764627763191</v>
      </c>
      <c r="T58" s="19" t="str">
        <f>IFERROR(RANK(S58,S:S)&amp;"/"&amp;COUNT(S:S),"-")</f>
        <v>120/197</v>
      </c>
      <c r="U58" s="26">
        <f>IFERROR(RANK(S58,S:S)/COUNT(S:S),"-")</f>
        <v>0.6091370558375635</v>
      </c>
      <c r="V58" s="34" t="str">
        <f>IF(OR($C58&gt;20190630,$K58&gt;30,S58="-",$D58="是",$E58="封闭期",$H58&lt;10,$BN58&lt;-6,$BR58&lt;70),"-",COUNTIFS(S$4:S$200,"&lt;&gt;-",$D$4:$D$200,"&lt;&gt;是",$E$4:$E$200,"&lt;&gt;封闭期",$H$4:$H$200,"&gt;10",$BN$4:$BN$200,"&gt;-6",$BR$4:$BR$200,"&gt;=70",$K$4:$K$200,"&lt;=30",$C$4:$C$200,"&lt;20190630",S$4:S$200,"&gt;="&amp;S58)&amp;"/"&amp;COUNTIFS(S$4:S$200,"&lt;&gt;-",$D$4:$D$200,"&lt;&gt;是",$E$4:$E$200,"&lt;&gt;封闭期",$H$4:$H$200,"&gt;10",$BN$4:$BN$200,"&gt;-6",$BR$4:$BR$200,"&gt;=70",$C$4:$C$200,"&lt;20190630",$K$4:$K$200,"&lt;=30"))</f>
        <v>-</v>
      </c>
      <c r="W58" s="33" t="str">
        <f>IF(OR($C58&gt;20190630,$K58&gt;30,S58="-",$D58="是",$E58="封闭期",$H58&lt;10,$BN58&lt;-6,$BR58&lt;70),"-",COUNTIFS(S$4:S$200,"&lt;&gt;-",$D$4:$D$200,"&lt;&gt;是",$E$4:$E$200,"&lt;&gt;封闭期",$H$4:$H$200,"&gt;10",$BN$4:$BN$200,"&gt;-6",$BR$4:$BR$200,"&gt;=70",$K$4:$K$200,"&lt;=30",$C$4:$C$200,"&lt;20190630",S$4:S$200,"&gt;="&amp;S58)/COUNTIFS(S$4:S$200,"&lt;&gt;-",$D$4:$D$200,"&lt;&gt;是",$E$4:$E$200,"&lt;&gt;封闭期",$H$4:$H$200,"&gt;10",$BN$4:$BN$200,"&gt;-6",$BR$4:$BR$200,"&gt;=70",$C$4:$C$200,"&lt;20190630",$K$4:$K$200,"&lt;=30"))</f>
        <v>-</v>
      </c>
      <c r="X58" s="19">
        <f>[1]!f_risk_calmar(A58,$L$2,$E$1)</f>
        <v>1.3269087360862277</v>
      </c>
      <c r="Y58" s="19" t="str">
        <f>IFERROR(RANK(X58,X:X)&amp;"/"&amp;COUNT(X:X),"-")</f>
        <v>141/197</v>
      </c>
      <c r="Z58" s="26">
        <f>IFERROR(RANK(X58,X:X)/COUNT(X:X),"-")</f>
        <v>0.71573604060913709</v>
      </c>
      <c r="AA58" s="34" t="str">
        <f>IF(OR($C58&gt;20190630,$K58&gt;30,X58="-",$D58="是",$E58="封闭期",$H58&lt;10,$BN58&lt;-6,$BR58&lt;70),"-",COUNTIFS(X$4:X$200,"&lt;&gt;-",$D$4:$D$200,"&lt;&gt;是",$E$4:$E$200,"&lt;&gt;封闭期",$H$4:$H$200,"&gt;10",$BN$4:$BN$200,"&gt;-6",$BR$4:$BR$200,"&gt;=70",$K$4:$K$200,"&lt;=30",$C$4:$C$200,"&lt;20190630",X$4:X$200,"&gt;="&amp;X58)&amp;"/"&amp;COUNTIFS(X$4:X$200,"&lt;&gt;-",$D$4:$D$200,"&lt;&gt;是",$E$4:$E$200,"&lt;&gt;封闭期",$H$4:$H$200,"&gt;10",$BN$4:$BN$200,"&gt;-6",$BR$4:$BR$200,"&gt;=70",$C$4:$C$200,"&lt;20190630",$K$4:$K$200,"&lt;=30"))</f>
        <v>-</v>
      </c>
      <c r="AB58" s="33" t="str">
        <f>IF(OR($C58&gt;20190630,$K58&gt;30,X58="-",$D58="是",$E58="封闭期",$H58&lt;10,$BN58&lt;-6,$BR58&lt;70),"-",COUNTIFS(X$4:X$200,"&lt;&gt;-",$D$4:$D$200,"&lt;&gt;是",$E$4:$E$200,"&lt;&gt;封闭期",$H$4:$H$200,"&gt;10",$BN$4:$BN$200,"&gt;-6",$BR$4:$BR$200,"&gt;=70",$K$4:$K$200,"&lt;=30",$C$4:$C$200,"&lt;20190630",X$4:X$200,"&gt;="&amp;X58)/COUNTIFS(X$4:X$200,"&lt;&gt;-",$D$4:$D$200,"&lt;&gt;是",$E$4:$E$200,"&lt;&gt;封闭期",$H$4:$H$200,"&gt;10",$BN$4:$BN$200,"&gt;-6",$BR$4:$BR$200,"&gt;=70",$C$4:$C$200,"&lt;20190630",$K$4:$K$200,"&lt;=30"))</f>
        <v>-</v>
      </c>
      <c r="AC58" s="20">
        <v>0.92436974789915971</v>
      </c>
      <c r="AD58" s="19" t="str">
        <f>IFERROR(RANK(AC58,AC:AC)&amp;"/"&amp;COUNT(AC:AC),"-")</f>
        <v>123/197</v>
      </c>
      <c r="AE58" s="26">
        <f>IFERROR(RANK(AC58,AC:AC)/COUNT(AC:AC),"-")</f>
        <v>0.62436548223350252</v>
      </c>
      <c r="AF58" s="34" t="str">
        <f>IF(OR($C58&gt;20190630,$K58&gt;30,AC58="-",$D58="是",$E58="封闭期",$H58&lt;10,$BN58&lt;-6,$BR58&lt;70),"-",COUNTIFS(AC$4:AC$200,"&lt;&gt;-",$D$4:$D$200,"&lt;&gt;是",$E$4:$E$200,"&lt;&gt;封闭期",$H$4:$H$200,"&gt;10",$BN$4:$BN$200,"&gt;-6",$BR$4:$BR$200,"&gt;=70",$K$4:$K$200,"&lt;=30",$C$4:$C$200,"&lt;20190630",AC$4:AC$200,"&gt;="&amp;AC58)&amp;"/"&amp;COUNTIFS(AC$4:AC$200,"&lt;&gt;-",$D$4:$D$200,"&lt;&gt;是",$E$4:$E$200,"&lt;&gt;封闭期",$H$4:$H$200,"&gt;10",$BN$4:$BN$200,"&gt;-6",$BR$4:$BR$200,"&gt;=70",$C$4:$C$200,"&lt;20190630",$K$4:$K$200,"&lt;=30"))</f>
        <v>-</v>
      </c>
      <c r="AG58" s="33" t="str">
        <f>IF(OR($C58&gt;20190630,$K58&gt;30,AC58="-",$D58="是",$E58="封闭期",$H58&lt;10,$BN58&lt;-6,$BR58&lt;70),"-",COUNTIFS(AC$4:AC$200,"&lt;&gt;-",$D$4:$D$200,"&lt;&gt;是",$E$4:$E$200,"&lt;&gt;封闭期",$H$4:$H$200,"&gt;10",$BN$4:$BN$200,"&gt;-6",$BR$4:$BR$200,"&gt;=70",$K$4:$K$200,"&lt;=30",$C$4:$C$200,"&lt;20190630",AC$4:AC$200,"&gt;="&amp;AC58)/COUNTIFS(AC$4:AC$200,"&lt;&gt;-",$D$4:$D$200,"&lt;&gt;是",$E$4:$E$200,"&lt;&gt;封闭期",$H$4:$H$200,"&gt;10",$BN$4:$BN$200,"&gt;-6",$BR$4:$BR$200,"&gt;=70",$C$4:$C$200,"&lt;20190630",$K$4:$K$200,"&lt;=30"))</f>
        <v>-</v>
      </c>
      <c r="AH58" s="21">
        <f>[1]!f_risk_maxdownside(A58,$L$2,$E$1)</f>
        <v>-5.4222440424193534</v>
      </c>
      <c r="AI58" s="19" t="str">
        <f>IFERROR(RANK(AH58,AH:AH)&amp;"/"&amp;COUNT(AH:AH),"-")</f>
        <v>163/197</v>
      </c>
      <c r="AJ58" s="26">
        <f>IFERROR(RANK(AH58,AH:AH)/COUNT(AH:AH),"-")</f>
        <v>0.82741116751269039</v>
      </c>
      <c r="AK58" s="34" t="str">
        <f>IF(OR($C58&gt;20190630,$K58&gt;30,AH58="-",$D58="是",$E58="封闭期",$H58&lt;10,$BN58&lt;-6,$BR58&lt;70),"-",COUNTIFS(AH$4:AH$200,"&lt;&gt;-",$D$4:$D$200,"&lt;&gt;是",$E$4:$E$200,"&lt;&gt;封闭期",$H$4:$H$200,"&gt;10",$BN$4:$BN$200,"&gt;-6",$BR$4:$BR$200,"&gt;=70",$K$4:$K$200,"&lt;=30",$C$4:$C$200,"&lt;20190630",AH$4:AH$200,"&gt;="&amp;AH58)&amp;"/"&amp;COUNTIFS(AH$4:AH$200,"&lt;&gt;-",$D$4:$D$200,"&lt;&gt;是",$E$4:$E$200,"&lt;&gt;封闭期",$H$4:$H$200,"&gt;10",$BN$4:$BN$200,"&gt;-6",$BR$4:$BR$200,"&gt;=70",$C$4:$C$200,"&lt;20190630",$K$4:$K$200,"&lt;=30"))</f>
        <v>-</v>
      </c>
      <c r="AL58" s="33" t="str">
        <f>IF(OR($C58&gt;20190630,$K58&gt;30,AH58="-",$D58="是",$E58="封闭期",$H58&lt;10,$BN58&lt;-6,$BR58&lt;70),"-",COUNTIFS(AH$4:AH$200,"&lt;&gt;-",$D$4:$D$200,"&lt;&gt;是",$E$4:$E$200,"&lt;&gt;封闭期",$H$4:$H$200,"&gt;10",$BN$4:$BN$200,"&gt;-6",$BR$4:$BR$200,"&gt;=70",$K$4:$K$200,"&lt;=30",$C$4:$C$200,"&lt;20190630",AH$4:AH$200,"&gt;="&amp;AH58)/COUNTIFS(AH$4:AH$200,"&lt;&gt;-",$D$4:$D$200,"&lt;&gt;是",$E$4:$E$200,"&lt;&gt;封闭期",$H$4:$H$200,"&gt;10",$BN$4:$BN$200,"&gt;-6",$BR$4:$BR$200,"&gt;=70",$C$4:$C$200,"&lt;20190630",$K$4:$K$200,"&lt;=30"))</f>
        <v>-</v>
      </c>
      <c r="AM58" s="19">
        <f>[1]!f_return($A58,"1",AM$2,$L$2)</f>
        <v>9.6426242726197273</v>
      </c>
      <c r="AN58" s="19">
        <f>[1]!f_risk_stdevyearly($A58,AM$2,$L$2,1,1)</f>
        <v>7.5865767411553158</v>
      </c>
      <c r="AO58" s="19">
        <f>IFERROR(AM58/AN58,"-")</f>
        <v>1.2710112349237646</v>
      </c>
      <c r="AP58" s="19" t="str">
        <f>IFERROR(RANK(AO58,AO:AO)&amp;"/"&amp;COUNT(AO:AO),"-")</f>
        <v>139/197</v>
      </c>
      <c r="AQ58" s="26">
        <f>IF(AP58="-","-",RANK(AO58,AO:AO)/COUNT(AO:AO))</f>
        <v>0.70558375634517767</v>
      </c>
      <c r="AR58" s="57">
        <v>0.27918781725888325</v>
      </c>
      <c r="AS58" s="33" t="str">
        <f>IF(OR($C58&gt;20190630,$K58&gt;30,AO58="-",$D58="是",$E58="封闭期",$H58&lt;10,$BN58&lt;-6,$BR58&lt;70),"-",COUNTIFS(AO$4:AO$200,"&lt;&gt;-",$D$4:$D$200,"&lt;&gt;是",$E$4:$E$200,"&lt;&gt;封闭期",$H$4:$H$200,"&gt;10",$BN$4:$BN$200,"&gt;-6",$BR$4:$BR$200,"&gt;=70",$K$4:$K$200,"&lt;=30",$C$4:$C$200,"&lt;20190630",AO$4:AO$200,"&gt;="&amp;AO58)/COUNTIFS(AO$4:AO$200,"&lt;&gt;-",$D$4:$D$200,"&lt;&gt;是",$E$4:$E$200,"&lt;&gt;封闭期",$H$4:$H$200,"&gt;10",$BN$4:$BN$200,"&gt;-6",$BR$4:$BR$200,"&gt;=70",$C$4:$C$200,"&lt;20190630",$K$4:$K$200,"&lt;=30"))</f>
        <v>-</v>
      </c>
      <c r="AT58" s="19">
        <f>IFERROR((AM58-3)/AN58,"-")</f>
        <v>0.87557596782553082</v>
      </c>
      <c r="AU58" s="19" t="str">
        <f>IFERROR(RANK(AT58,AT:AT)&amp;"/"&amp;COUNT(AT:AT),"-")</f>
        <v>97/197</v>
      </c>
      <c r="AV58" s="26">
        <f>IFERROR(RANK(AT58,AT:AT)/COUNT(AT:AT),"-")</f>
        <v>0.49238578680203043</v>
      </c>
      <c r="AW58" s="34" t="str">
        <f>IF(OR($C58&gt;20190630,$K58&gt;30,AT58="-",$D58="是",$E58="封闭期",$H58&lt;10,$BN58&lt;-6,$BR58&lt;70),"-",COUNTIFS(AT$4:AT$200,"&lt;&gt;-",$D$4:$D$200,"&lt;&gt;是",$E$4:$E$200,"&lt;&gt;封闭期",$H$4:$H$200,"&gt;10",$BN$4:$BN$200,"&gt;-6",$BR$4:$BR$200,"&gt;=70",$K$4:$K$200,"&lt;=30",$C$4:$C$200,"&lt;20190630",AT$4:AT$200,"&gt;="&amp;AT58)&amp;"/"&amp;COUNTIFS(AT$4:AT$200,"&lt;&gt;-",$D$4:$D$200,"&lt;&gt;是",$E$4:$E$200,"&lt;&gt;封闭期",$H$4:$H$200,"&gt;10",$BN$4:$BN$200,"&gt;-6",$BR$4:$BR$200,"&gt;=70",$C$4:$C$200,"&lt;20190630",$K$4:$K$200,"&lt;=30"))</f>
        <v>-</v>
      </c>
      <c r="AX58" s="33" t="str">
        <f>IF(OR($C58&gt;20190630,$K58&gt;30,AT58="-",$D58="是",$E58="封闭期",$H58&lt;10,$BN58&lt;-6,$BR58&lt;70),"-",COUNTIFS(AT$4:AT$200,"&lt;&gt;-",$D$4:$D$200,"&lt;&gt;是",$E$4:$E$200,"&lt;&gt;封闭期",$H$4:$H$200,"&gt;10",$BN$4:$BN$200,"&gt;-6",$BR$4:$BR$200,"&gt;=70",$K$4:$K$200,"&lt;=30",$C$4:$C$200,"&lt;20190630",AT$4:AT$200,"&gt;="&amp;AT58)/COUNTIFS(AT$4:AT$200,"&lt;&gt;-",$D$4:$D$200,"&lt;&gt;是",$E$4:$E$200,"&lt;&gt;封闭期",$H$4:$H$200,"&gt;10",$BN$4:$BN$200,"&gt;-6",$BR$4:$BR$200,"&gt;=70",$C$4:$C$200,"&lt;20190630",$K$4:$K$200,"&lt;=30"))</f>
        <v>-</v>
      </c>
      <c r="AY58" s="19">
        <f>[1]!f_risk_calmar(A58,$AM$2,$L$2)</f>
        <v>2.1687446171050029</v>
      </c>
      <c r="AZ58" s="19" t="str">
        <f>IFERROR(RANK(AY58,AY:AY)&amp;"/"&amp;COUNT(AY:AY),"-")</f>
        <v>101/197</v>
      </c>
      <c r="BA58" s="26">
        <f>IFERROR(RANK(AY58,AY:AY)/COUNT(AY:AY),"-")</f>
        <v>0.51269035532994922</v>
      </c>
      <c r="BB58" s="34" t="str">
        <f>IF(OR($C58&gt;20190630,$K58&gt;30,AY58="-",$D58="是",$E58="封闭期",$H58&lt;10,$BN58&lt;-6,$BR58&lt;70),"-",COUNTIFS(AY$4:AY$200,"&lt;&gt;-",$D$4:$D$200,"&lt;&gt;是",$E$4:$E$200,"&lt;&gt;封闭期",$H$4:$H$200,"&gt;10",$BN$4:$BN$200,"&gt;-6",$BR$4:$BR$200,"&gt;=70",$K$4:$K$200,"&lt;=30",$C$4:$C$200,"&lt;20190630",AY$4:AY$200,"&gt;="&amp;AY58)&amp;"/"&amp;COUNTIFS(AY$4:AY$200,"&lt;&gt;-",$D$4:$D$200,"&lt;&gt;是",$E$4:$E$200,"&lt;&gt;封闭期",$H$4:$H$200,"&gt;10",$BN$4:$BN$200,"&gt;-6",$BR$4:$BR$200,"&gt;=70",$C$4:$C$200,"&lt;20190630",$K$4:$K$200,"&lt;=30"))</f>
        <v>-</v>
      </c>
      <c r="BC58" s="33" t="str">
        <f>IF(OR($C58&gt;20190630,$K58&gt;30,AY58="-",$D58="是",$E58="封闭期",$H58&lt;10,$BN58&lt;-6,$BR58&lt;70),"-",COUNTIFS(AY$4:AY$200,"&lt;&gt;-",$D$4:$D$200,"&lt;&gt;是",$E$4:$E$200,"&lt;&gt;封闭期",$H$4:$H$200,"&gt;10",$BN$4:$BN$200,"&gt;-6",$BR$4:$BR$200,"&gt;=70",$K$4:$K$200,"&lt;=30",$C$4:$C$200,"&lt;20190630",AY$4:AY$200,"&gt;="&amp;AY58)/COUNTIFS(AY$4:AY$200,"&lt;&gt;-",$D$4:$D$200,"&lt;&gt;是",$E$4:$E$200,"&lt;&gt;封闭期",$H$4:$H$200,"&gt;10",$BN$4:$BN$200,"&gt;-6",$BR$4:$BR$200,"&gt;=70",$C$4:$C$200,"&lt;20190630",$K$4:$K$200,"&lt;=30"))</f>
        <v>-</v>
      </c>
      <c r="BD58" s="20">
        <v>1</v>
      </c>
      <c r="BE58" s="19" t="str">
        <f>IFERROR(RANK(BD58,BD:BD)&amp;"/"&amp;COUNT(BD:BD),"-")</f>
        <v>1/197</v>
      </c>
      <c r="BF58" s="26">
        <f>IFERROR(RANK(BD58,BD:BD)/COUNT(BD:BD),"-")</f>
        <v>5.076142131979695E-3</v>
      </c>
      <c r="BG58" s="34" t="str">
        <f>IF(OR($C58&gt;20190630,$K58&gt;30,BD58="-",$D58="是",$E58="封闭期",$H58&lt;10,$BN58&lt;-6,$BR58&lt;70),"-",COUNTIFS(BD$4:BD$200,"&lt;&gt;-",$D$4:$D$200,"&lt;&gt;是",$E$4:$E$200,"&lt;&gt;封闭期",$H$4:$H$200,"&gt;10",$BN$4:$BN$200,"&gt;-6",$BR$4:$BR$200,"&gt;=70",$K$4:$K$200,"&lt;=30",$C$4:$C$200,"&lt;20190630",BD$4:BD$200,"&gt;="&amp;BD58)&amp;"/"&amp;COUNTIFS(BD$4:BD$200,"&lt;&gt;-",$D$4:$D$200,"&lt;&gt;是",$E$4:$E$200,"&lt;&gt;封闭期",$H$4:$H$200,"&gt;10",$BN$4:$BN$200,"&gt;-6",$BR$4:$BR$200,"&gt;=70",$C$4:$C$200,"&lt;20190630",$K$4:$K$200,"&lt;=30"))</f>
        <v>-</v>
      </c>
      <c r="BH58" s="33" t="str">
        <f>IF(OR($C58&gt;20190630,$K58&gt;30,BD58="-",$D58="是",$E58="封闭期",$H58&lt;10,$BN58&lt;-6,$BR58&lt;70),"-",COUNTIFS(BD$4:BD$200,"&lt;&gt;-",$D$4:$D$200,"&lt;&gt;是",$E$4:$E$200,"&lt;&gt;封闭期",$H$4:$H$200,"&gt;10",$BN$4:$BN$200,"&gt;-6",$BR$4:$BR$200,"&gt;=70",$K$4:$K$200,"&lt;=30",$C$4:$C$200,"&lt;20190630",BD$4:BD$200,"&gt;="&amp;BD58)/COUNTIFS(BD$4:BD$200,"&lt;&gt;-",$D$4:$D$200,"&lt;&gt;是",$E$4:$E$200,"&lt;&gt;封闭期",$H$4:$H$200,"&gt;10",$BN$4:$BN$200,"&gt;-6",$BR$4:$BR$200,"&gt;=70",$C$4:$C$200,"&lt;20190630",$K$4:$K$200,"&lt;=30"))</f>
        <v>-</v>
      </c>
      <c r="BI58" s="21">
        <f>[1]!f_risk_maxdownside(A58,$AM$2,$L$2)</f>
        <v>-4.4461778471138755</v>
      </c>
      <c r="BJ58" s="19" t="str">
        <f>IFERROR(RANK(BI58,BI:BI)&amp;"/"&amp;COUNT(BI:BI),"-")</f>
        <v>145/197</v>
      </c>
      <c r="BK58" s="26">
        <f>IFERROR(RANK(BI58,BI:BI)/COUNT(BI:BI),"-")</f>
        <v>0.73604060913705582</v>
      </c>
      <c r="BL58" s="34" t="str">
        <f>IF(OR($C58&gt;20190630,$K58&gt;30,BI58="-",$D58="是",$E58="封闭期",$H58&lt;10,$BN58&lt;-6,$BR58&lt;70),"-",COUNTIFS(BI$4:BI$200,"&lt;&gt;-",$D$4:$D$200,"&lt;&gt;是",$E$4:$E$200,"&lt;&gt;封闭期",$H$4:$H$200,"&gt;10",$BN$4:$BN$200,"&gt;-6",$BR$4:$BR$200,"&gt;=70",$K$4:$K$200,"&lt;=30",$C$4:$C$200,"&lt;20190630",BI$4:BI$200,"&gt;="&amp;BI58)&amp;"/"&amp;COUNTIFS(BI$4:BI$200,"&lt;&gt;-",$D$4:$D$200,"&lt;&gt;是",$E$4:$E$200,"&lt;&gt;封闭期",$H$4:$H$200,"&gt;10",$BN$4:$BN$200,"&gt;-6",$BR$4:$BR$200,"&gt;=70",$C$4:$C$200,"&lt;20190630",$K$4:$K$200,"&lt;=30"))</f>
        <v>-</v>
      </c>
      <c r="BM58" s="33" t="str">
        <f>IF(OR($C58&gt;20190630,$K58&gt;30,BI58="-",$D58="是",$E58="封闭期",$H58&lt;10,$BN58&lt;-6,$BR58&lt;70),"-",COUNTIFS(BI$4:BI$200,"&lt;&gt;-",$D$4:$D$200,"&lt;&gt;是",$E$4:$E$200,"&lt;&gt;封闭期",$H$4:$H$200,"&gt;10",$BN$4:$BN$200,"&gt;-6",$BR$4:$BR$200,"&gt;=70",$K$4:$K$200,"&lt;=30",$C$4:$C$200,"&lt;20190630",BI$4:BI$200,"&gt;="&amp;BI58)/COUNTIFS(BI$4:BI$200,"&lt;&gt;-",$D$4:$D$200,"&lt;&gt;是",$E$4:$E$200,"&lt;&gt;封闭期",$H$4:$H$200,"&gt;10",$BN$4:$BN$200,"&gt;-6",$BR$4:$BR$200,"&gt;=70",$C$4:$C$200,"&lt;20190630",$K$4:$K$200,"&lt;=30"))</f>
        <v>-</v>
      </c>
      <c r="BN58" s="21">
        <f>[1]!f_risk_maxdownside(A58,$AM$2,$E$1)</f>
        <v>-6.1945829281795541</v>
      </c>
      <c r="BO58" s="21">
        <f>IF(C58&lt;20190930,[1]!f_return_2y(A58,"0","20210930"),"-")</f>
        <v>17.806822842616693</v>
      </c>
      <c r="BP58" s="19" t="str">
        <f>IFERROR(RANK(BO58,BO:BO)&amp;"/"&amp;COUNT(BO:BO),"-")</f>
        <v>56/197</v>
      </c>
      <c r="BQ58" s="25">
        <f>IFERROR(RANK(BO58,BO:BO)/COUNT(BO:BO),"-")</f>
        <v>0.28426395939086296</v>
      </c>
      <c r="BR58" s="19">
        <f>IF(C58&lt;20190930,[1]!f_absolute_profitmonthper(A58,"20190930","20210930"),"-")</f>
        <v>58.333333333333336</v>
      </c>
      <c r="BS58" s="19" t="str">
        <f>IFERROR(RANK(BR58,BR:BR)&amp;"/"&amp;COUNT(BR:BR),"-")</f>
        <v>165/198</v>
      </c>
      <c r="BT58" s="25">
        <f>IFERROR(RANK(BR58,BR:BR)/COUNT(BR:BR),"-")</f>
        <v>0.83333333333333337</v>
      </c>
      <c r="BV58" s="12">
        <f>X58-3/M58</f>
        <v>0.96736008701093212</v>
      </c>
      <c r="BW58" s="76">
        <f>IFERROR(RANK(BV58,BV:BV)/COUNT(BV:BV),"-")</f>
        <v>0.6142131979695431</v>
      </c>
      <c r="BX58" s="76">
        <f>IFERROR(RANK(L58,L:L)/COUNT(L:L),"-")</f>
        <v>0.34848484848484851</v>
      </c>
      <c r="BY58" s="12">
        <f>AY58-3/AN58</f>
        <v>1.7733093500067691</v>
      </c>
      <c r="BZ58" s="76">
        <f>IFERROR(RANK(BY58,BY:BY)/COUNT(BY:BY),"-")</f>
        <v>0.42639593908629442</v>
      </c>
      <c r="CA58" s="76">
        <f>IFERROR(RANK(AM58,AM:AM)/COUNT(AM:AM),"-")</f>
        <v>0.28282828282828282</v>
      </c>
      <c r="CB58" s="2"/>
      <c r="CC58" s="77">
        <f>AV58+BF58+BZ58+CA58</f>
        <v>1.2066861508485873</v>
      </c>
      <c r="CD58" s="77">
        <f>BW58+BX58+AE58+U58</f>
        <v>2.1962005845254575</v>
      </c>
      <c r="CE58" s="77">
        <f>CC58+CD58</f>
        <v>3.4028867353740448</v>
      </c>
    </row>
    <row r="59" spans="1:83" s="17" customFormat="1" hidden="1" x14ac:dyDescent="0.35">
      <c r="A59" s="15" t="s">
        <v>291</v>
      </c>
      <c r="B59" s="15" t="s">
        <v>292</v>
      </c>
      <c r="C59" s="16">
        <v>20161107</v>
      </c>
      <c r="D59" s="16" t="str">
        <f>[1]!f_info_regulopenfundornot(A59)</f>
        <v>否</v>
      </c>
      <c r="E59" s="16" t="str">
        <f>[1]!f_dq_status(A59,$E$1)</f>
        <v>暂停大额申购|开放赎回</v>
      </c>
      <c r="F59" s="17" t="str">
        <f>[1]!f_info_fundmanager(A59)</f>
        <v>张弘弢</v>
      </c>
      <c r="G59" s="16">
        <v>20161229</v>
      </c>
      <c r="H59" s="18">
        <f>[1]!f_netasset_total(A59,$E$1,100000000)</f>
        <v>1.2872286371999999</v>
      </c>
      <c r="I59" s="18">
        <f>[1]!f_prt_convertiblebondtonav(A59,$E$1)</f>
        <v>7.6729164123535156</v>
      </c>
      <c r="J59" s="18">
        <f>[1]!f_prt_stocktonav(A59,$E$1)+0.5*I59</f>
        <v>14.564215660095215</v>
      </c>
      <c r="K59" s="19">
        <v>31.452842820579221</v>
      </c>
      <c r="L59" s="19">
        <f>[1]!f_return($A59,"1",L$2,$E$1)</f>
        <v>8.5280173381703683</v>
      </c>
      <c r="M59" s="19">
        <f>[1]!f_risk_stdevyearly($A59,L$2,$E$1,1,1)</f>
        <v>4.314235391294412</v>
      </c>
      <c r="N59" s="19">
        <f>IFERROR(L59/M59,"-")</f>
        <v>1.9767158174490993</v>
      </c>
      <c r="O59" s="19" t="str">
        <f>IFERROR(RANK(N59,N:N)&amp;"/"&amp;COUNT(N:N),"-")</f>
        <v>51/197</v>
      </c>
      <c r="P59" s="26">
        <f>IF(O59="-","-",RANK(N59,N:N)/COUNT(N:N))</f>
        <v>0.25888324873096447</v>
      </c>
      <c r="Q59" s="56">
        <v>0.24365482233502539</v>
      </c>
      <c r="R59" s="33" t="str">
        <f>IF(OR($C59&gt;20190630,$K59&gt;30,N59="-",$D59="是",$E59="封闭期",$H59&lt;10,$BN59&lt;-6,$BR59&lt;70),"-",COUNTIFS(N$4:N$200,"&lt;&gt;-",$D$4:$D$200,"&lt;&gt;是",$E$4:$E$200,"&lt;&gt;封闭期",$H$4:$H$200,"&gt;10",$BN$4:$BN$200,"&gt;-6",$BR$4:$BR$200,"&gt;=70",$K$4:$K$200,"&lt;=30",$C$4:$C$200,"&lt;20190630",N$4:N$200,"&gt;="&amp;N59)/COUNTIFS(N$4:N$200,"&lt;&gt;-",$D$4:$D$200,"&lt;&gt;是",$E$4:$E$200,"&lt;&gt;封闭期",$H$4:$H$200,"&gt;10",$BN$4:$BN$200,"&gt;-6",$BR$4:$BR$200,"&gt;=70",$C$4:$C$200,"&lt;20190630",$K$4:$K$200,"&lt;=30"))</f>
        <v>-</v>
      </c>
      <c r="S59" s="19">
        <f>IFERROR((L59-3)/M59,"-")</f>
        <v>1.2813434680280118</v>
      </c>
      <c r="T59" s="19" t="str">
        <f>IFERROR(RANK(S59,S:S)&amp;"/"&amp;COUNT(S:S),"-")</f>
        <v>48/197</v>
      </c>
      <c r="U59" s="26">
        <f>IFERROR(RANK(S59,S:S)/COUNT(S:S),"-")</f>
        <v>0.24365482233502539</v>
      </c>
      <c r="V59" s="34" t="str">
        <f>IF(OR($C59&gt;20190630,$K59&gt;30,S59="-",$D59="是",$E59="封闭期",$H59&lt;10,$BN59&lt;-6,$BR59&lt;70),"-",COUNTIFS(S$4:S$200,"&lt;&gt;-",$D$4:$D$200,"&lt;&gt;是",$E$4:$E$200,"&lt;&gt;封闭期",$H$4:$H$200,"&gt;10",$BN$4:$BN$200,"&gt;-6",$BR$4:$BR$200,"&gt;=70",$K$4:$K$200,"&lt;=30",$C$4:$C$200,"&lt;20190630",S$4:S$200,"&gt;="&amp;S59)&amp;"/"&amp;COUNTIFS(S$4:S$200,"&lt;&gt;-",$D$4:$D$200,"&lt;&gt;是",$E$4:$E$200,"&lt;&gt;封闭期",$H$4:$H$200,"&gt;10",$BN$4:$BN$200,"&gt;-6",$BR$4:$BR$200,"&gt;=70",$C$4:$C$200,"&lt;20190630",$K$4:$K$200,"&lt;=30"))</f>
        <v>-</v>
      </c>
      <c r="W59" s="33" t="str">
        <f>IF(OR($C59&gt;20190630,$K59&gt;30,S59="-",$D59="是",$E59="封闭期",$H59&lt;10,$BN59&lt;-6,$BR59&lt;70),"-",COUNTIFS(S$4:S$200,"&lt;&gt;-",$D$4:$D$200,"&lt;&gt;是",$E$4:$E$200,"&lt;&gt;封闭期",$H$4:$H$200,"&gt;10",$BN$4:$BN$200,"&gt;-6",$BR$4:$BR$200,"&gt;=70",$K$4:$K$200,"&lt;=30",$C$4:$C$200,"&lt;20190630",S$4:S$200,"&gt;="&amp;S59)/COUNTIFS(S$4:S$200,"&lt;&gt;-",$D$4:$D$200,"&lt;&gt;是",$E$4:$E$200,"&lt;&gt;封闭期",$H$4:$H$200,"&gt;10",$BN$4:$BN$200,"&gt;-6",$BR$4:$BR$200,"&gt;=70",$C$4:$C$200,"&lt;20190630",$K$4:$K$200,"&lt;=30"))</f>
        <v>-</v>
      </c>
      <c r="X59" s="19">
        <f>[1]!f_risk_calmar(A59,$L$2,$E$1)</f>
        <v>2.6505767019747792</v>
      </c>
      <c r="Y59" s="19" t="str">
        <f>IFERROR(RANK(X59,X:X)&amp;"/"&amp;COUNT(X:X),"-")</f>
        <v>68/197</v>
      </c>
      <c r="Z59" s="26">
        <f>IFERROR(RANK(X59,X:X)/COUNT(X:X),"-")</f>
        <v>0.34517766497461927</v>
      </c>
      <c r="AA59" s="34" t="str">
        <f>IF(OR($C59&gt;20190630,$K59&gt;30,X59="-",$D59="是",$E59="封闭期",$H59&lt;10,$BN59&lt;-6,$BR59&lt;70),"-",COUNTIFS(X$4:X$200,"&lt;&gt;-",$D$4:$D$200,"&lt;&gt;是",$E$4:$E$200,"&lt;&gt;封闭期",$H$4:$H$200,"&gt;10",$BN$4:$BN$200,"&gt;-6",$BR$4:$BR$200,"&gt;=70",$K$4:$K$200,"&lt;=30",$C$4:$C$200,"&lt;20190630",X$4:X$200,"&gt;="&amp;X59)&amp;"/"&amp;COUNTIFS(X$4:X$200,"&lt;&gt;-",$D$4:$D$200,"&lt;&gt;是",$E$4:$E$200,"&lt;&gt;封闭期",$H$4:$H$200,"&gt;10",$BN$4:$BN$200,"&gt;-6",$BR$4:$BR$200,"&gt;=70",$C$4:$C$200,"&lt;20190630",$K$4:$K$200,"&lt;=30"))</f>
        <v>-</v>
      </c>
      <c r="AB59" s="33" t="str">
        <f>IF(OR($C59&gt;20190630,$K59&gt;30,X59="-",$D59="是",$E59="封闭期",$H59&lt;10,$BN59&lt;-6,$BR59&lt;70),"-",COUNTIFS(X$4:X$200,"&lt;&gt;-",$D$4:$D$200,"&lt;&gt;是",$E$4:$E$200,"&lt;&gt;封闭期",$H$4:$H$200,"&gt;10",$BN$4:$BN$200,"&gt;-6",$BR$4:$BR$200,"&gt;=70",$K$4:$K$200,"&lt;=30",$C$4:$C$200,"&lt;20190630",X$4:X$200,"&gt;="&amp;X59)/COUNTIFS(X$4:X$200,"&lt;&gt;-",$D$4:$D$200,"&lt;&gt;是",$E$4:$E$200,"&lt;&gt;封闭期",$H$4:$H$200,"&gt;10",$BN$4:$BN$200,"&gt;-6",$BR$4:$BR$200,"&gt;=70",$C$4:$C$200,"&lt;20190630",$K$4:$K$200,"&lt;=30"))</f>
        <v>-</v>
      </c>
      <c r="AC59" s="20">
        <v>1</v>
      </c>
      <c r="AD59" s="19" t="str">
        <f>IFERROR(RANK(AC59,AC:AC)&amp;"/"&amp;COUNT(AC:AC),"-")</f>
        <v>1/197</v>
      </c>
      <c r="AE59" s="26">
        <f>IFERROR(RANK(AC59,AC:AC)/COUNT(AC:AC),"-")</f>
        <v>5.076142131979695E-3</v>
      </c>
      <c r="AF59" s="34" t="str">
        <f>IF(OR($C59&gt;20190630,$K59&gt;30,AC59="-",$D59="是",$E59="封闭期",$H59&lt;10,$BN59&lt;-6,$BR59&lt;70),"-",COUNTIFS(AC$4:AC$200,"&lt;&gt;-",$D$4:$D$200,"&lt;&gt;是",$E$4:$E$200,"&lt;&gt;封闭期",$H$4:$H$200,"&gt;10",$BN$4:$BN$200,"&gt;-6",$BR$4:$BR$200,"&gt;=70",$K$4:$K$200,"&lt;=30",$C$4:$C$200,"&lt;20190630",AC$4:AC$200,"&gt;="&amp;AC59)&amp;"/"&amp;COUNTIFS(AC$4:AC$200,"&lt;&gt;-",$D$4:$D$200,"&lt;&gt;是",$E$4:$E$200,"&lt;&gt;封闭期",$H$4:$H$200,"&gt;10",$BN$4:$BN$200,"&gt;-6",$BR$4:$BR$200,"&gt;=70",$C$4:$C$200,"&lt;20190630",$K$4:$K$200,"&lt;=30"))</f>
        <v>-</v>
      </c>
      <c r="AG59" s="33" t="str">
        <f>IF(OR($C59&gt;20190630,$K59&gt;30,AC59="-",$D59="是",$E59="封闭期",$H59&lt;10,$BN59&lt;-6,$BR59&lt;70),"-",COUNTIFS(AC$4:AC$200,"&lt;&gt;-",$D$4:$D$200,"&lt;&gt;是",$E$4:$E$200,"&lt;&gt;封闭期",$H$4:$H$200,"&gt;10",$BN$4:$BN$200,"&gt;-6",$BR$4:$BR$200,"&gt;=70",$K$4:$K$200,"&lt;=30",$C$4:$C$200,"&lt;20190630",AC$4:AC$200,"&gt;="&amp;AC59)/COUNTIFS(AC$4:AC$200,"&lt;&gt;-",$D$4:$D$200,"&lt;&gt;是",$E$4:$E$200,"&lt;&gt;封闭期",$H$4:$H$200,"&gt;10",$BN$4:$BN$200,"&gt;-6",$BR$4:$BR$200,"&gt;=70",$C$4:$C$200,"&lt;20190630",$K$4:$K$200,"&lt;=30"))</f>
        <v>-</v>
      </c>
      <c r="AH59" s="21">
        <f>[1]!f_risk_maxdownside(A59,$L$2,$E$1)</f>
        <v>-3.2174195645108759</v>
      </c>
      <c r="AI59" s="19" t="str">
        <f>IFERROR(RANK(AH59,AH:AH)&amp;"/"&amp;COUNT(AH:AH),"-")</f>
        <v>98/197</v>
      </c>
      <c r="AJ59" s="26">
        <f>IFERROR(RANK(AH59,AH:AH)/COUNT(AH:AH),"-")</f>
        <v>0.49746192893401014</v>
      </c>
      <c r="AK59" s="34" t="str">
        <f>IF(OR($C59&gt;20190630,$K59&gt;30,AH59="-",$D59="是",$E59="封闭期",$H59&lt;10,$BN59&lt;-6,$BR59&lt;70),"-",COUNTIFS(AH$4:AH$200,"&lt;&gt;-",$D$4:$D$200,"&lt;&gt;是",$E$4:$E$200,"&lt;&gt;封闭期",$H$4:$H$200,"&gt;10",$BN$4:$BN$200,"&gt;-6",$BR$4:$BR$200,"&gt;=70",$K$4:$K$200,"&lt;=30",$C$4:$C$200,"&lt;20190630",AH$4:AH$200,"&gt;="&amp;AH59)&amp;"/"&amp;COUNTIFS(AH$4:AH$200,"&lt;&gt;-",$D$4:$D$200,"&lt;&gt;是",$E$4:$E$200,"&lt;&gt;封闭期",$H$4:$H$200,"&gt;10",$BN$4:$BN$200,"&gt;-6",$BR$4:$BR$200,"&gt;=70",$C$4:$C$200,"&lt;20190630",$K$4:$K$200,"&lt;=30"))</f>
        <v>-</v>
      </c>
      <c r="AL59" s="33" t="str">
        <f>IF(OR($C59&gt;20190630,$K59&gt;30,AH59="-",$D59="是",$E59="封闭期",$H59&lt;10,$BN59&lt;-6,$BR59&lt;70),"-",COUNTIFS(AH$4:AH$200,"&lt;&gt;-",$D$4:$D$200,"&lt;&gt;是",$E$4:$E$200,"&lt;&gt;封闭期",$H$4:$H$200,"&gt;10",$BN$4:$BN$200,"&gt;-6",$BR$4:$BR$200,"&gt;=70",$K$4:$K$200,"&lt;=30",$C$4:$C$200,"&lt;20190630",AH$4:AH$200,"&gt;="&amp;AH59)/COUNTIFS(AH$4:AH$200,"&lt;&gt;-",$D$4:$D$200,"&lt;&gt;是",$E$4:$E$200,"&lt;&gt;封闭期",$H$4:$H$200,"&gt;10",$BN$4:$BN$200,"&gt;-6",$BR$4:$BR$200,"&gt;=70",$C$4:$C$200,"&lt;20190630",$K$4:$K$200,"&lt;=30"))</f>
        <v>-</v>
      </c>
      <c r="AM59" s="19">
        <f>[1]!f_return($A59,"1",AM$2,$L$2)</f>
        <v>9.627867426559277</v>
      </c>
      <c r="AN59" s="19">
        <f>[1]!f_risk_stdevyearly($A59,AM$2,$L$2,1,1)</f>
        <v>5.6442299589351208</v>
      </c>
      <c r="AO59" s="19">
        <f>IFERROR(AM59/AN59,"-")</f>
        <v>1.7057893630499308</v>
      </c>
      <c r="AP59" s="19" t="str">
        <f>IFERROR(RANK(AO59,AO:AO)&amp;"/"&amp;COUNT(AO:AO),"-")</f>
        <v>84/197</v>
      </c>
      <c r="AQ59" s="26">
        <f>IF(AP59="-","-",RANK(AO59,AO:AO)/COUNT(AO:AO))</f>
        <v>0.42639593908629442</v>
      </c>
      <c r="AR59" s="57">
        <v>0.28426395939086296</v>
      </c>
      <c r="AS59" s="33" t="str">
        <f>IF(OR($C59&gt;20190630,$K59&gt;30,AO59="-",$D59="是",$E59="封闭期",$H59&lt;10,$BN59&lt;-6,$BR59&lt;70),"-",COUNTIFS(AO$4:AO$200,"&lt;&gt;-",$D$4:$D$200,"&lt;&gt;是",$E$4:$E$200,"&lt;&gt;封闭期",$H$4:$H$200,"&gt;10",$BN$4:$BN$200,"&gt;-6",$BR$4:$BR$200,"&gt;=70",$K$4:$K$200,"&lt;=30",$C$4:$C$200,"&lt;20190630",AO$4:AO$200,"&gt;="&amp;AO59)/COUNTIFS(AO$4:AO$200,"&lt;&gt;-",$D$4:$D$200,"&lt;&gt;是",$E$4:$E$200,"&lt;&gt;封闭期",$H$4:$H$200,"&gt;10",$BN$4:$BN$200,"&gt;-6",$BR$4:$BR$200,"&gt;=70",$C$4:$C$200,"&lt;20190630",$K$4:$K$200,"&lt;=30"))</f>
        <v>-</v>
      </c>
      <c r="AT59" s="19">
        <f>IFERROR((AM59-3)/AN59,"-")</f>
        <v>1.1742731027581548</v>
      </c>
      <c r="AU59" s="19" t="str">
        <f>IFERROR(RANK(AT59,AT:AT)&amp;"/"&amp;COUNT(AT:AT),"-")</f>
        <v>55/197</v>
      </c>
      <c r="AV59" s="26">
        <f>IFERROR(RANK(AT59,AT:AT)/COUNT(AT:AT),"-")</f>
        <v>0.27918781725888325</v>
      </c>
      <c r="AW59" s="34" t="str">
        <f>IF(OR($C59&gt;20190630,$K59&gt;30,AT59="-",$D59="是",$E59="封闭期",$H59&lt;10,$BN59&lt;-6,$BR59&lt;70),"-",COUNTIFS(AT$4:AT$200,"&lt;&gt;-",$D$4:$D$200,"&lt;&gt;是",$E$4:$E$200,"&lt;&gt;封闭期",$H$4:$H$200,"&gt;10",$BN$4:$BN$200,"&gt;-6",$BR$4:$BR$200,"&gt;=70",$K$4:$K$200,"&lt;=30",$C$4:$C$200,"&lt;20190630",AT$4:AT$200,"&gt;="&amp;AT59)&amp;"/"&amp;COUNTIFS(AT$4:AT$200,"&lt;&gt;-",$D$4:$D$200,"&lt;&gt;是",$E$4:$E$200,"&lt;&gt;封闭期",$H$4:$H$200,"&gt;10",$BN$4:$BN$200,"&gt;-6",$BR$4:$BR$200,"&gt;=70",$C$4:$C$200,"&lt;20190630",$K$4:$K$200,"&lt;=30"))</f>
        <v>-</v>
      </c>
      <c r="AX59" s="33" t="str">
        <f>IF(OR($C59&gt;20190630,$K59&gt;30,AT59="-",$D59="是",$E59="封闭期",$H59&lt;10,$BN59&lt;-6,$BR59&lt;70),"-",COUNTIFS(AT$4:AT$200,"&lt;&gt;-",$D$4:$D$200,"&lt;&gt;是",$E$4:$E$200,"&lt;&gt;封闭期",$H$4:$H$200,"&gt;10",$BN$4:$BN$200,"&gt;-6",$BR$4:$BR$200,"&gt;=70",$K$4:$K$200,"&lt;=30",$C$4:$C$200,"&lt;20190630",AT$4:AT$200,"&gt;="&amp;AT59)/COUNTIFS(AT$4:AT$200,"&lt;&gt;-",$D$4:$D$200,"&lt;&gt;是",$E$4:$E$200,"&lt;&gt;封闭期",$H$4:$H$200,"&gt;10",$BN$4:$BN$200,"&gt;-6",$BR$4:$BR$200,"&gt;=70",$C$4:$C$200,"&lt;20190630",$K$4:$K$200,"&lt;=30"))</f>
        <v>-</v>
      </c>
      <c r="AY59" s="19">
        <f>[1]!f_risk_calmar(A59,$AM$2,$L$2)</f>
        <v>2.3283051312823915</v>
      </c>
      <c r="AZ59" s="19" t="str">
        <f>IFERROR(RANK(AY59,AY:AY)&amp;"/"&amp;COUNT(AY:AY),"-")</f>
        <v>86/197</v>
      </c>
      <c r="BA59" s="26">
        <f>IFERROR(RANK(AY59,AY:AY)/COUNT(AY:AY),"-")</f>
        <v>0.43654822335025378</v>
      </c>
      <c r="BB59" s="34" t="str">
        <f>IF(OR($C59&gt;20190630,$K59&gt;30,AY59="-",$D59="是",$E59="封闭期",$H59&lt;10,$BN59&lt;-6,$BR59&lt;70),"-",COUNTIFS(AY$4:AY$200,"&lt;&gt;-",$D$4:$D$200,"&lt;&gt;是",$E$4:$E$200,"&lt;&gt;封闭期",$H$4:$H$200,"&gt;10",$BN$4:$BN$200,"&gt;-6",$BR$4:$BR$200,"&gt;=70",$K$4:$K$200,"&lt;=30",$C$4:$C$200,"&lt;20190630",AY$4:AY$200,"&gt;="&amp;AY59)&amp;"/"&amp;COUNTIFS(AY$4:AY$200,"&lt;&gt;-",$D$4:$D$200,"&lt;&gt;是",$E$4:$E$200,"&lt;&gt;封闭期",$H$4:$H$200,"&gt;10",$BN$4:$BN$200,"&gt;-6",$BR$4:$BR$200,"&gt;=70",$C$4:$C$200,"&lt;20190630",$K$4:$K$200,"&lt;=30"))</f>
        <v>-</v>
      </c>
      <c r="BC59" s="33" t="str">
        <f>IF(OR($C59&gt;20190630,$K59&gt;30,AY59="-",$D59="是",$E59="封闭期",$H59&lt;10,$BN59&lt;-6,$BR59&lt;70),"-",COUNTIFS(AY$4:AY$200,"&lt;&gt;-",$D$4:$D$200,"&lt;&gt;是",$E$4:$E$200,"&lt;&gt;封闭期",$H$4:$H$200,"&gt;10",$BN$4:$BN$200,"&gt;-6",$BR$4:$BR$200,"&gt;=70",$K$4:$K$200,"&lt;=30",$C$4:$C$200,"&lt;20190630",AY$4:AY$200,"&gt;="&amp;AY59)/COUNTIFS(AY$4:AY$200,"&lt;&gt;-",$D$4:$D$200,"&lt;&gt;是",$E$4:$E$200,"&lt;&gt;封闭期",$H$4:$H$200,"&gt;10",$BN$4:$BN$200,"&gt;-6",$BR$4:$BR$200,"&gt;=70",$C$4:$C$200,"&lt;20190630",$K$4:$K$200,"&lt;=30"))</f>
        <v>-</v>
      </c>
      <c r="BD59" s="20">
        <v>1</v>
      </c>
      <c r="BE59" s="19" t="str">
        <f>IFERROR(RANK(BD59,BD:BD)&amp;"/"&amp;COUNT(BD:BD),"-")</f>
        <v>1/197</v>
      </c>
      <c r="BF59" s="26">
        <f>IFERROR(RANK(BD59,BD:BD)/COUNT(BD:BD),"-")</f>
        <v>5.076142131979695E-3</v>
      </c>
      <c r="BG59" s="34" t="str">
        <f>IF(OR($C59&gt;20190630,$K59&gt;30,BD59="-",$D59="是",$E59="封闭期",$H59&lt;10,$BN59&lt;-6,$BR59&lt;70),"-",COUNTIFS(BD$4:BD$200,"&lt;&gt;-",$D$4:$D$200,"&lt;&gt;是",$E$4:$E$200,"&lt;&gt;封闭期",$H$4:$H$200,"&gt;10",$BN$4:$BN$200,"&gt;-6",$BR$4:$BR$200,"&gt;=70",$K$4:$K$200,"&lt;=30",$C$4:$C$200,"&lt;20190630",BD$4:BD$200,"&gt;="&amp;BD59)&amp;"/"&amp;COUNTIFS(BD$4:BD$200,"&lt;&gt;-",$D$4:$D$200,"&lt;&gt;是",$E$4:$E$200,"&lt;&gt;封闭期",$H$4:$H$200,"&gt;10",$BN$4:$BN$200,"&gt;-6",$BR$4:$BR$200,"&gt;=70",$C$4:$C$200,"&lt;20190630",$K$4:$K$200,"&lt;=30"))</f>
        <v>-</v>
      </c>
      <c r="BH59" s="33" t="str">
        <f>IF(OR($C59&gt;20190630,$K59&gt;30,BD59="-",$D59="是",$E59="封闭期",$H59&lt;10,$BN59&lt;-6,$BR59&lt;70),"-",COUNTIFS(BD$4:BD$200,"&lt;&gt;-",$D$4:$D$200,"&lt;&gt;是",$E$4:$E$200,"&lt;&gt;封闭期",$H$4:$H$200,"&gt;10",$BN$4:$BN$200,"&gt;-6",$BR$4:$BR$200,"&gt;=70",$K$4:$K$200,"&lt;=30",$C$4:$C$200,"&lt;20190630",BD$4:BD$200,"&gt;="&amp;BD59)/COUNTIFS(BD$4:BD$200,"&lt;&gt;-",$D$4:$D$200,"&lt;&gt;是",$E$4:$E$200,"&lt;&gt;封闭期",$H$4:$H$200,"&gt;10",$BN$4:$BN$200,"&gt;-6",$BR$4:$BR$200,"&gt;=70",$C$4:$C$200,"&lt;20190630",$K$4:$K$200,"&lt;=30"))</f>
        <v>-</v>
      </c>
      <c r="BI59" s="21">
        <f>[1]!f_risk_maxdownside(A59,$AM$2,$L$2)</f>
        <v>-4.1351398909027051</v>
      </c>
      <c r="BJ59" s="19" t="str">
        <f>IFERROR(RANK(BI59,BI:BI)&amp;"/"&amp;COUNT(BI:BI),"-")</f>
        <v>134/197</v>
      </c>
      <c r="BK59" s="26">
        <f>IFERROR(RANK(BI59,BI:BI)/COUNT(BI:BI),"-")</f>
        <v>0.68020304568527923</v>
      </c>
      <c r="BL59" s="34" t="str">
        <f>IF(OR($C59&gt;20190630,$K59&gt;30,BI59="-",$D59="是",$E59="封闭期",$H59&lt;10,$BN59&lt;-6,$BR59&lt;70),"-",COUNTIFS(BI$4:BI$200,"&lt;&gt;-",$D$4:$D$200,"&lt;&gt;是",$E$4:$E$200,"&lt;&gt;封闭期",$H$4:$H$200,"&gt;10",$BN$4:$BN$200,"&gt;-6",$BR$4:$BR$200,"&gt;=70",$K$4:$K$200,"&lt;=30",$C$4:$C$200,"&lt;20190630",BI$4:BI$200,"&gt;="&amp;BI59)&amp;"/"&amp;COUNTIFS(BI$4:BI$200,"&lt;&gt;-",$D$4:$D$200,"&lt;&gt;是",$E$4:$E$200,"&lt;&gt;封闭期",$H$4:$H$200,"&gt;10",$BN$4:$BN$200,"&gt;-6",$BR$4:$BR$200,"&gt;=70",$C$4:$C$200,"&lt;20190630",$K$4:$K$200,"&lt;=30"))</f>
        <v>-</v>
      </c>
      <c r="BM59" s="33" t="str">
        <f>IF(OR($C59&gt;20190630,$K59&gt;30,BI59="-",$D59="是",$E59="封闭期",$H59&lt;10,$BN59&lt;-6,$BR59&lt;70),"-",COUNTIFS(BI$4:BI$200,"&lt;&gt;-",$D$4:$D$200,"&lt;&gt;是",$E$4:$E$200,"&lt;&gt;封闭期",$H$4:$H$200,"&gt;10",$BN$4:$BN$200,"&gt;-6",$BR$4:$BR$200,"&gt;=70",$K$4:$K$200,"&lt;=30",$C$4:$C$200,"&lt;20190630",BI$4:BI$200,"&gt;="&amp;BI59)/COUNTIFS(BI$4:BI$200,"&lt;&gt;-",$D$4:$D$200,"&lt;&gt;是",$E$4:$E$200,"&lt;&gt;封闭期",$H$4:$H$200,"&gt;10",$BN$4:$BN$200,"&gt;-6",$BR$4:$BR$200,"&gt;=70",$C$4:$C$200,"&lt;20190630",$K$4:$K$200,"&lt;=30"))</f>
        <v>-</v>
      </c>
      <c r="BN59" s="21">
        <f>[1]!f_risk_maxdownside(A59,$AM$2,$E$1)</f>
        <v>-4.1351398909027051</v>
      </c>
      <c r="BO59" s="21">
        <f>IF(C59&lt;20190930,[1]!f_return_2y(A59,"0","20210930"),"-")</f>
        <v>19.177955093709397</v>
      </c>
      <c r="BP59" s="19" t="str">
        <f>IFERROR(RANK(BO59,BO:BO)&amp;"/"&amp;COUNT(BO:BO),"-")</f>
        <v>43/197</v>
      </c>
      <c r="BQ59" s="25">
        <f>IFERROR(RANK(BO59,BO:BO)/COUNT(BO:BO),"-")</f>
        <v>0.21827411167512689</v>
      </c>
      <c r="BR59" s="19">
        <f>IF(C59&lt;20190930,[1]!f_absolute_profitmonthper(A59,"20190930","20210930"),"-")</f>
        <v>75</v>
      </c>
      <c r="BS59" s="19" t="str">
        <f>IFERROR(RANK(BR59,BR:BR)&amp;"/"&amp;COUNT(BR:BR),"-")</f>
        <v>26/198</v>
      </c>
      <c r="BT59" s="25">
        <f>IFERROR(RANK(BR59,BR:BR)/COUNT(BR:BR),"-")</f>
        <v>0.13131313131313133</v>
      </c>
      <c r="BV59" s="12">
        <f>X59-3/M59</f>
        <v>1.9552043525536917</v>
      </c>
      <c r="BW59" s="76">
        <f>IFERROR(RANK(BV59,BV:BV)/COUNT(BV:BV),"-")</f>
        <v>0.35025380710659898</v>
      </c>
      <c r="BX59" s="76">
        <f>IFERROR(RANK(L59,L:L)/COUNT(L:L),"-")</f>
        <v>0.24747474747474749</v>
      </c>
      <c r="BY59" s="12">
        <f>AY59-3/AN59</f>
        <v>1.7967888709906155</v>
      </c>
      <c r="BZ59" s="76">
        <f>IFERROR(RANK(BY59,BY:BY)/COUNT(BY:BY),"-")</f>
        <v>0.40101522842639592</v>
      </c>
      <c r="CA59" s="76">
        <f>IFERROR(RANK(AM59,AM:AM)/COUNT(AM:AM),"-")</f>
        <v>0.2878787878787879</v>
      </c>
      <c r="CB59" s="2"/>
      <c r="CC59" s="77">
        <f>AV59+BF59+BZ59+CA59</f>
        <v>0.97315797569604667</v>
      </c>
      <c r="CD59" s="77">
        <f>BW59+BX59+AE59+U59</f>
        <v>0.84645951904835148</v>
      </c>
      <c r="CE59" s="77">
        <f>CC59+CD59</f>
        <v>1.8196174947443982</v>
      </c>
    </row>
    <row r="60" spans="1:83" s="17" customFormat="1" x14ac:dyDescent="0.35">
      <c r="A60" s="15" t="s">
        <v>311</v>
      </c>
      <c r="B60" s="15" t="s">
        <v>312</v>
      </c>
      <c r="C60" s="16">
        <v>20170105</v>
      </c>
      <c r="D60" s="16" t="str">
        <f>[1]!f_info_regulopenfundornot(A60)</f>
        <v>否</v>
      </c>
      <c r="E60" s="16" t="str">
        <f>[1]!f_dq_status(A60,$E$1)</f>
        <v>开放申购|开放赎回</v>
      </c>
      <c r="F60" s="17" t="str">
        <f>[1]!f_info_fundmanager(A60)</f>
        <v>陈栋,沈荣,詹佳</v>
      </c>
      <c r="G60" s="16">
        <v>20201024</v>
      </c>
      <c r="H60" s="18">
        <f>[1]!f_netasset_total(A60,$E$1,100000000)</f>
        <v>17.911396910499999</v>
      </c>
      <c r="I60" s="18">
        <f>[1]!f_prt_convertiblebondtonav(A60,$E$1)</f>
        <v>1.8998696804046631</v>
      </c>
      <c r="J60" s="18">
        <f>[1]!f_prt_stocktonav(A60,$E$1)+0.5*I60</f>
        <v>14.094784617424011</v>
      </c>
      <c r="K60" s="19">
        <v>22.679582281037181</v>
      </c>
      <c r="L60" s="19">
        <f>[1]!f_return($A60,"1",L$2,$E$1)</f>
        <v>1.7217507491380957</v>
      </c>
      <c r="M60" s="19">
        <f>[1]!f_risk_stdevyearly($A60,L$2,$E$1,1,1)</f>
        <v>2.2600698269724946</v>
      </c>
      <c r="N60" s="19">
        <f>IFERROR(L60/M60,"-")</f>
        <v>0.76181307700766432</v>
      </c>
      <c r="O60" s="19" t="str">
        <f>IFERROR(RANK(N60,N:N)&amp;"/"&amp;COUNT(N:N),"-")</f>
        <v>161/197</v>
      </c>
      <c r="P60" s="26">
        <f>IF(O60="-","-",RANK(N60,N:N)/COUNT(N:N))</f>
        <v>0.81725888324873097</v>
      </c>
      <c r="Q60" s="56">
        <v>0.89847715736040612</v>
      </c>
      <c r="R60" s="33" t="str">
        <f>IF(OR($C60&gt;20190630,$K60&gt;30,N60="-",$D60="是",$E60="封闭期",$H60&lt;10,$BN60&lt;-6,$BR60&lt;70),"-",COUNTIFS(N$4:N$200,"&lt;&gt;-",$D$4:$D$200,"&lt;&gt;是",$E$4:$E$200,"&lt;&gt;封闭期",$H$4:$H$200,"&gt;10",$BN$4:$BN$200,"&gt;-6",$BR$4:$BR$200,"&gt;=70",$K$4:$K$200,"&lt;=30",$C$4:$C$200,"&lt;20190630",N$4:N$200,"&gt;="&amp;N60)/COUNTIFS(N$4:N$200,"&lt;&gt;-",$D$4:$D$200,"&lt;&gt;是",$E$4:$E$200,"&lt;&gt;封闭期",$H$4:$H$200,"&gt;10",$BN$4:$BN$200,"&gt;-6",$BR$4:$BR$200,"&gt;=70",$C$4:$C$200,"&lt;20190630",$K$4:$K$200,"&lt;=30"))</f>
        <v>-</v>
      </c>
      <c r="S60" s="19">
        <f>IFERROR((L60-3)/M60,"-")</f>
        <v>-0.56557953900663305</v>
      </c>
      <c r="T60" s="19" t="str">
        <f>IFERROR(RANK(S60,S:S)&amp;"/"&amp;COUNT(S:S),"-")</f>
        <v>183/197</v>
      </c>
      <c r="U60" s="26">
        <f>IFERROR(RANK(S60,S:S)/COUNT(S:S),"-")</f>
        <v>0.92893401015228427</v>
      </c>
      <c r="V60" s="34" t="str">
        <f>IF(OR($C60&gt;20190630,$K60&gt;30,S60="-",$D60="是",$E60="封闭期",$H60&lt;10,$BN60&lt;-6,$BR60&lt;70),"-",COUNTIFS(S$4:S$200,"&lt;&gt;-",$D$4:$D$200,"&lt;&gt;是",$E$4:$E$200,"&lt;&gt;封闭期",$H$4:$H$200,"&gt;10",$BN$4:$BN$200,"&gt;-6",$BR$4:$BR$200,"&gt;=70",$K$4:$K$200,"&lt;=30",$C$4:$C$200,"&lt;20190630",S$4:S$200,"&gt;="&amp;S60)&amp;"/"&amp;COUNTIFS(S$4:S$200,"&lt;&gt;-",$D$4:$D$200,"&lt;&gt;是",$E$4:$E$200,"&lt;&gt;封闭期",$H$4:$H$200,"&gt;10",$BN$4:$BN$200,"&gt;-6",$BR$4:$BR$200,"&gt;=70",$C$4:$C$200,"&lt;20190630",$K$4:$K$200,"&lt;=30"))</f>
        <v>-</v>
      </c>
      <c r="W60" s="33" t="str">
        <f>IF(OR($C60&gt;20190630,$K60&gt;30,S60="-",$D60="是",$E60="封闭期",$H60&lt;10,$BN60&lt;-6,$BR60&lt;70),"-",COUNTIFS(S$4:S$200,"&lt;&gt;-",$D$4:$D$200,"&lt;&gt;是",$E$4:$E$200,"&lt;&gt;封闭期",$H$4:$H$200,"&gt;10",$BN$4:$BN$200,"&gt;-6",$BR$4:$BR$200,"&gt;=70",$K$4:$K$200,"&lt;=30",$C$4:$C$200,"&lt;20190630",S$4:S$200,"&gt;="&amp;S60)/COUNTIFS(S$4:S$200,"&lt;&gt;-",$D$4:$D$200,"&lt;&gt;是",$E$4:$E$200,"&lt;&gt;封闭期",$H$4:$H$200,"&gt;10",$BN$4:$BN$200,"&gt;-6",$BR$4:$BR$200,"&gt;=70",$C$4:$C$200,"&lt;20190630",$K$4:$K$200,"&lt;=30"))</f>
        <v>-</v>
      </c>
      <c r="X60" s="19">
        <f>[1]!f_risk_calmar(A60,$L$2,$E$1)</f>
        <v>1.128691603901449</v>
      </c>
      <c r="Y60" s="19" t="str">
        <f>IFERROR(RANK(X60,X:X)&amp;"/"&amp;COUNT(X:X),"-")</f>
        <v>150/197</v>
      </c>
      <c r="Z60" s="26">
        <f>IFERROR(RANK(X60,X:X)/COUNT(X:X),"-")</f>
        <v>0.76142131979695427</v>
      </c>
      <c r="AA60" s="34" t="str">
        <f>IF(OR($C60&gt;20190630,$K60&gt;30,X60="-",$D60="是",$E60="封闭期",$H60&lt;10,$BN60&lt;-6,$BR60&lt;70),"-",COUNTIFS(X$4:X$200,"&lt;&gt;-",$D$4:$D$200,"&lt;&gt;是",$E$4:$E$200,"&lt;&gt;封闭期",$H$4:$H$200,"&gt;10",$BN$4:$BN$200,"&gt;-6",$BR$4:$BR$200,"&gt;=70",$K$4:$K$200,"&lt;=30",$C$4:$C$200,"&lt;20190630",X$4:X$200,"&gt;="&amp;X60)&amp;"/"&amp;COUNTIFS(X$4:X$200,"&lt;&gt;-",$D$4:$D$200,"&lt;&gt;是",$E$4:$E$200,"&lt;&gt;封闭期",$H$4:$H$200,"&gt;10",$BN$4:$BN$200,"&gt;-6",$BR$4:$BR$200,"&gt;=70",$C$4:$C$200,"&lt;20190630",$K$4:$K$200,"&lt;=30"))</f>
        <v>-</v>
      </c>
      <c r="AB60" s="33" t="str">
        <f>IF(OR($C60&gt;20190630,$K60&gt;30,X60="-",$D60="是",$E60="封闭期",$H60&lt;10,$BN60&lt;-6,$BR60&lt;70),"-",COUNTIFS(X$4:X$200,"&lt;&gt;-",$D$4:$D$200,"&lt;&gt;是",$E$4:$E$200,"&lt;&gt;封闭期",$H$4:$H$200,"&gt;10",$BN$4:$BN$200,"&gt;-6",$BR$4:$BR$200,"&gt;=70",$K$4:$K$200,"&lt;=30",$C$4:$C$200,"&lt;20190630",X$4:X$200,"&gt;="&amp;X60)/COUNTIFS(X$4:X$200,"&lt;&gt;-",$D$4:$D$200,"&lt;&gt;是",$E$4:$E$200,"&lt;&gt;封闭期",$H$4:$H$200,"&gt;10",$BN$4:$BN$200,"&gt;-6",$BR$4:$BR$200,"&gt;=70",$C$4:$C$200,"&lt;20190630",$K$4:$K$200,"&lt;=30"))</f>
        <v>-</v>
      </c>
      <c r="AC60" s="20">
        <v>0.91596638655462181</v>
      </c>
      <c r="AD60" s="19" t="str">
        <f>IFERROR(RANK(AC60,AC:AC)&amp;"/"&amp;COUNT(AC:AC),"-")</f>
        <v>127/197</v>
      </c>
      <c r="AE60" s="26">
        <f>IFERROR(RANK(AC60,AC:AC)/COUNT(AC:AC),"-")</f>
        <v>0.64467005076142136</v>
      </c>
      <c r="AF60" s="34" t="str">
        <f>IF(OR($C60&gt;20190630,$K60&gt;30,AC60="-",$D60="是",$E60="封闭期",$H60&lt;10,$BN60&lt;-6,$BR60&lt;70),"-",COUNTIFS(AC$4:AC$200,"&lt;&gt;-",$D$4:$D$200,"&lt;&gt;是",$E$4:$E$200,"&lt;&gt;封闭期",$H$4:$H$200,"&gt;10",$BN$4:$BN$200,"&gt;-6",$BR$4:$BR$200,"&gt;=70",$K$4:$K$200,"&lt;=30",$C$4:$C$200,"&lt;20190630",AC$4:AC$200,"&gt;="&amp;AC60)&amp;"/"&amp;COUNTIFS(AC$4:AC$200,"&lt;&gt;-",$D$4:$D$200,"&lt;&gt;是",$E$4:$E$200,"&lt;&gt;封闭期",$H$4:$H$200,"&gt;10",$BN$4:$BN$200,"&gt;-6",$BR$4:$BR$200,"&gt;=70",$C$4:$C$200,"&lt;20190630",$K$4:$K$200,"&lt;=30"))</f>
        <v>-</v>
      </c>
      <c r="AG60" s="33" t="str">
        <f>IF(OR($C60&gt;20190630,$K60&gt;30,AC60="-",$D60="是",$E60="封闭期",$H60&lt;10,$BN60&lt;-6,$BR60&lt;70),"-",COUNTIFS(AC$4:AC$200,"&lt;&gt;-",$D$4:$D$200,"&lt;&gt;是",$E$4:$E$200,"&lt;&gt;封闭期",$H$4:$H$200,"&gt;10",$BN$4:$BN$200,"&gt;-6",$BR$4:$BR$200,"&gt;=70",$K$4:$K$200,"&lt;=30",$C$4:$C$200,"&lt;20190630",AC$4:AC$200,"&gt;="&amp;AC60)/COUNTIFS(AC$4:AC$200,"&lt;&gt;-",$D$4:$D$200,"&lt;&gt;是",$E$4:$E$200,"&lt;&gt;封闭期",$H$4:$H$200,"&gt;10",$BN$4:$BN$200,"&gt;-6",$BR$4:$BR$200,"&gt;=70",$C$4:$C$200,"&lt;20190630",$K$4:$K$200,"&lt;=30"))</f>
        <v>-</v>
      </c>
      <c r="AH60" s="21">
        <f>[1]!f_risk_maxdownside(A60,$L$2,$E$1)</f>
        <v>-1.5254394940005502</v>
      </c>
      <c r="AI60" s="19" t="str">
        <f>IFERROR(RANK(AH60,AH:AH)&amp;"/"&amp;COUNT(AH:AH),"-")</f>
        <v>45/197</v>
      </c>
      <c r="AJ60" s="26">
        <f>IFERROR(RANK(AH60,AH:AH)/COUNT(AH:AH),"-")</f>
        <v>0.22842639593908629</v>
      </c>
      <c r="AK60" s="34" t="str">
        <f>IF(OR($C60&gt;20190630,$K60&gt;30,AH60="-",$D60="是",$E60="封闭期",$H60&lt;10,$BN60&lt;-6,$BR60&lt;70),"-",COUNTIFS(AH$4:AH$200,"&lt;&gt;-",$D$4:$D$200,"&lt;&gt;是",$E$4:$E$200,"&lt;&gt;封闭期",$H$4:$H$200,"&gt;10",$BN$4:$BN$200,"&gt;-6",$BR$4:$BR$200,"&gt;=70",$K$4:$K$200,"&lt;=30",$C$4:$C$200,"&lt;20190630",AH$4:AH$200,"&gt;="&amp;AH60)&amp;"/"&amp;COUNTIFS(AH$4:AH$200,"&lt;&gt;-",$D$4:$D$200,"&lt;&gt;是",$E$4:$E$200,"&lt;&gt;封闭期",$H$4:$H$200,"&gt;10",$BN$4:$BN$200,"&gt;-6",$BR$4:$BR$200,"&gt;=70",$C$4:$C$200,"&lt;20190630",$K$4:$K$200,"&lt;=30"))</f>
        <v>-</v>
      </c>
      <c r="AL60" s="33" t="str">
        <f>IF(OR($C60&gt;20190630,$K60&gt;30,AH60="-",$D60="是",$E60="封闭期",$H60&lt;10,$BN60&lt;-6,$BR60&lt;70),"-",COUNTIFS(AH$4:AH$200,"&lt;&gt;-",$D$4:$D$200,"&lt;&gt;是",$E$4:$E$200,"&lt;&gt;封闭期",$H$4:$H$200,"&gt;10",$BN$4:$BN$200,"&gt;-6",$BR$4:$BR$200,"&gt;=70",$K$4:$K$200,"&lt;=30",$C$4:$C$200,"&lt;20190630",AH$4:AH$200,"&gt;="&amp;AH60)/COUNTIFS(AH$4:AH$200,"&lt;&gt;-",$D$4:$D$200,"&lt;&gt;是",$E$4:$E$200,"&lt;&gt;封闭期",$H$4:$H$200,"&gt;10",$BN$4:$BN$200,"&gt;-6",$BR$4:$BR$200,"&gt;=70",$C$4:$C$200,"&lt;20190630",$K$4:$K$200,"&lt;=30"))</f>
        <v>-</v>
      </c>
      <c r="AM60" s="19">
        <f>[1]!f_return($A60,"1",AM$2,$L$2)</f>
        <v>9.6084756652288448</v>
      </c>
      <c r="AN60" s="19">
        <f>[1]!f_risk_stdevyearly($A60,AM$2,$L$2,1,1)</f>
        <v>3.2941812882985491</v>
      </c>
      <c r="AO60" s="19">
        <f>IFERROR(AM60/AN60,"-")</f>
        <v>2.9168023324519705</v>
      </c>
      <c r="AP60" s="19" t="str">
        <f>IFERROR(RANK(AO60,AO:AO)&amp;"/"&amp;COUNT(AO:AO),"-")</f>
        <v>14/197</v>
      </c>
      <c r="AQ60" s="26">
        <f>IF(AP60="-","-",RANK(AO60,AO:AO)/COUNT(AO:AO))</f>
        <v>7.1065989847715741E-2</v>
      </c>
      <c r="AR60" s="57">
        <v>0.28934010152284262</v>
      </c>
      <c r="AS60" s="33" t="str">
        <f>IF(OR($C60&gt;20190630,$K60&gt;30,AO60="-",$D60="是",$E60="封闭期",$H60&lt;10,$BN60&lt;-6,$BR60&lt;70),"-",COUNTIFS(AO$4:AO$200,"&lt;&gt;-",$D$4:$D$200,"&lt;&gt;是",$E$4:$E$200,"&lt;&gt;封闭期",$H$4:$H$200,"&gt;10",$BN$4:$BN$200,"&gt;-6",$BR$4:$BR$200,"&gt;=70",$K$4:$K$200,"&lt;=30",$C$4:$C$200,"&lt;20190630",AO$4:AO$200,"&gt;="&amp;AO60)/COUNTIFS(AO$4:AO$200,"&lt;&gt;-",$D$4:$D$200,"&lt;&gt;是",$E$4:$E$200,"&lt;&gt;封闭期",$H$4:$H$200,"&gt;10",$BN$4:$BN$200,"&gt;-6",$BR$4:$BR$200,"&gt;=70",$C$4:$C$200,"&lt;20190630",$K$4:$K$200,"&lt;=30"))</f>
        <v>-</v>
      </c>
      <c r="AT60" s="19">
        <f>IFERROR((AM60-3)/AN60,"-")</f>
        <v>2.0061056410900004</v>
      </c>
      <c r="AU60" s="19" t="str">
        <f>IFERROR(RANK(AT60,AT:AT)&amp;"/"&amp;COUNT(AT:AT),"-")</f>
        <v>9/197</v>
      </c>
      <c r="AV60" s="26">
        <f>IFERROR(RANK(AT60,AT:AT)/COUNT(AT:AT),"-")</f>
        <v>4.5685279187817257E-2</v>
      </c>
      <c r="AW60" s="34" t="str">
        <f>IF(OR($C60&gt;20190630,$K60&gt;30,AT60="-",$D60="是",$E60="封闭期",$H60&lt;10,$BN60&lt;-6,$BR60&lt;70),"-",COUNTIFS(AT$4:AT$200,"&lt;&gt;-",$D$4:$D$200,"&lt;&gt;是",$E$4:$E$200,"&lt;&gt;封闭期",$H$4:$H$200,"&gt;10",$BN$4:$BN$200,"&gt;-6",$BR$4:$BR$200,"&gt;=70",$K$4:$K$200,"&lt;=30",$C$4:$C$200,"&lt;20190630",AT$4:AT$200,"&gt;="&amp;AT60)&amp;"/"&amp;COUNTIFS(AT$4:AT$200,"&lt;&gt;-",$D$4:$D$200,"&lt;&gt;是",$E$4:$E$200,"&lt;&gt;封闭期",$H$4:$H$200,"&gt;10",$BN$4:$BN$200,"&gt;-6",$BR$4:$BR$200,"&gt;=70",$C$4:$C$200,"&lt;20190630",$K$4:$K$200,"&lt;=30"))</f>
        <v>-</v>
      </c>
      <c r="AX60" s="33" t="str">
        <f>IF(OR($C60&gt;20190630,$K60&gt;30,AT60="-",$D60="是",$E60="封闭期",$H60&lt;10,$BN60&lt;-6,$BR60&lt;70),"-",COUNTIFS(AT$4:AT$200,"&lt;&gt;-",$D$4:$D$200,"&lt;&gt;是",$E$4:$E$200,"&lt;&gt;封闭期",$H$4:$H$200,"&gt;10",$BN$4:$BN$200,"&gt;-6",$BR$4:$BR$200,"&gt;=70",$K$4:$K$200,"&lt;=30",$C$4:$C$200,"&lt;20190630",AT$4:AT$200,"&gt;="&amp;AT60)/COUNTIFS(AT$4:AT$200,"&lt;&gt;-",$D$4:$D$200,"&lt;&gt;是",$E$4:$E$200,"&lt;&gt;封闭期",$H$4:$H$200,"&gt;10",$BN$4:$BN$200,"&gt;-6",$BR$4:$BR$200,"&gt;=70",$C$4:$C$200,"&lt;20190630",$K$4:$K$200,"&lt;=30"))</f>
        <v>-</v>
      </c>
      <c r="AY60" s="19">
        <f>[1]!f_risk_calmar(A60,$AM$2,$L$2)</f>
        <v>5.5838120953500185</v>
      </c>
      <c r="AZ60" s="19" t="str">
        <f>IFERROR(RANK(AY60,AY:AY)&amp;"/"&amp;COUNT(AY:AY),"-")</f>
        <v>10/197</v>
      </c>
      <c r="BA60" s="26">
        <f>IFERROR(RANK(AY60,AY:AY)/COUNT(AY:AY),"-")</f>
        <v>5.0761421319796954E-2</v>
      </c>
      <c r="BB60" s="34" t="str">
        <f>IF(OR($C60&gt;20190630,$K60&gt;30,AY60="-",$D60="是",$E60="封闭期",$H60&lt;10,$BN60&lt;-6,$BR60&lt;70),"-",COUNTIFS(AY$4:AY$200,"&lt;&gt;-",$D$4:$D$200,"&lt;&gt;是",$E$4:$E$200,"&lt;&gt;封闭期",$H$4:$H$200,"&gt;10",$BN$4:$BN$200,"&gt;-6",$BR$4:$BR$200,"&gt;=70",$K$4:$K$200,"&lt;=30",$C$4:$C$200,"&lt;20190630",AY$4:AY$200,"&gt;="&amp;AY60)&amp;"/"&amp;COUNTIFS(AY$4:AY$200,"&lt;&gt;-",$D$4:$D$200,"&lt;&gt;是",$E$4:$E$200,"&lt;&gt;封闭期",$H$4:$H$200,"&gt;10",$BN$4:$BN$200,"&gt;-6",$BR$4:$BR$200,"&gt;=70",$C$4:$C$200,"&lt;20190630",$K$4:$K$200,"&lt;=30"))</f>
        <v>-</v>
      </c>
      <c r="BC60" s="33" t="str">
        <f>IF(OR($C60&gt;20190630,$K60&gt;30,AY60="-",$D60="是",$E60="封闭期",$H60&lt;10,$BN60&lt;-6,$BR60&lt;70),"-",COUNTIFS(AY$4:AY$200,"&lt;&gt;-",$D$4:$D$200,"&lt;&gt;是",$E$4:$E$200,"&lt;&gt;封闭期",$H$4:$H$200,"&gt;10",$BN$4:$BN$200,"&gt;-6",$BR$4:$BR$200,"&gt;=70",$K$4:$K$200,"&lt;=30",$C$4:$C$200,"&lt;20190630",AY$4:AY$200,"&gt;="&amp;AY60)/COUNTIFS(AY$4:AY$200,"&lt;&gt;-",$D$4:$D$200,"&lt;&gt;是",$E$4:$E$200,"&lt;&gt;封闭期",$H$4:$H$200,"&gt;10",$BN$4:$BN$200,"&gt;-6",$BR$4:$BR$200,"&gt;=70",$C$4:$C$200,"&lt;20190630",$K$4:$K$200,"&lt;=30"))</f>
        <v>-</v>
      </c>
      <c r="BD60" s="20">
        <v>1</v>
      </c>
      <c r="BE60" s="19" t="str">
        <f>IFERROR(RANK(BD60,BD:BD)&amp;"/"&amp;COUNT(BD:BD),"-")</f>
        <v>1/197</v>
      </c>
      <c r="BF60" s="26">
        <f>IFERROR(RANK(BD60,BD:BD)/COUNT(BD:BD),"-")</f>
        <v>5.076142131979695E-3</v>
      </c>
      <c r="BG60" s="34" t="str">
        <f>IF(OR($C60&gt;20190630,$K60&gt;30,BD60="-",$D60="是",$E60="封闭期",$H60&lt;10,$BN60&lt;-6,$BR60&lt;70),"-",COUNTIFS(BD$4:BD$200,"&lt;&gt;-",$D$4:$D$200,"&lt;&gt;是",$E$4:$E$200,"&lt;&gt;封闭期",$H$4:$H$200,"&gt;10",$BN$4:$BN$200,"&gt;-6",$BR$4:$BR$200,"&gt;=70",$K$4:$K$200,"&lt;=30",$C$4:$C$200,"&lt;20190630",BD$4:BD$200,"&gt;="&amp;BD60)&amp;"/"&amp;COUNTIFS(BD$4:BD$200,"&lt;&gt;-",$D$4:$D$200,"&lt;&gt;是",$E$4:$E$200,"&lt;&gt;封闭期",$H$4:$H$200,"&gt;10",$BN$4:$BN$200,"&gt;-6",$BR$4:$BR$200,"&gt;=70",$C$4:$C$200,"&lt;20190630",$K$4:$K$200,"&lt;=30"))</f>
        <v>-</v>
      </c>
      <c r="BH60" s="33" t="str">
        <f>IF(OR($C60&gt;20190630,$K60&gt;30,BD60="-",$D60="是",$E60="封闭期",$H60&lt;10,$BN60&lt;-6,$BR60&lt;70),"-",COUNTIFS(BD$4:BD$200,"&lt;&gt;-",$D$4:$D$200,"&lt;&gt;是",$E$4:$E$200,"&lt;&gt;封闭期",$H$4:$H$200,"&gt;10",$BN$4:$BN$200,"&gt;-6",$BR$4:$BR$200,"&gt;=70",$K$4:$K$200,"&lt;=30",$C$4:$C$200,"&lt;20190630",BD$4:BD$200,"&gt;="&amp;BD60)/COUNTIFS(BD$4:BD$200,"&lt;&gt;-",$D$4:$D$200,"&lt;&gt;是",$E$4:$E$200,"&lt;&gt;封闭期",$H$4:$H$200,"&gt;10",$BN$4:$BN$200,"&gt;-6",$BR$4:$BR$200,"&gt;=70",$C$4:$C$200,"&lt;20190630",$K$4:$K$200,"&lt;=30"))</f>
        <v>-</v>
      </c>
      <c r="BI60" s="21">
        <f>[1]!f_risk_maxdownside(A60,$AM$2,$L$2)</f>
        <v>-1.7207734610608421</v>
      </c>
      <c r="BJ60" s="19" t="str">
        <f>IFERROR(RANK(BI60,BI:BI)&amp;"/"&amp;COUNT(BI:BI),"-")</f>
        <v>25/197</v>
      </c>
      <c r="BK60" s="26">
        <f>IFERROR(RANK(BI60,BI:BI)/COUNT(BI:BI),"-")</f>
        <v>0.12690355329949238</v>
      </c>
      <c r="BL60" s="34" t="str">
        <f>IF(OR($C60&gt;20190630,$K60&gt;30,BI60="-",$D60="是",$E60="封闭期",$H60&lt;10,$BN60&lt;-6,$BR60&lt;70),"-",COUNTIFS(BI$4:BI$200,"&lt;&gt;-",$D$4:$D$200,"&lt;&gt;是",$E$4:$E$200,"&lt;&gt;封闭期",$H$4:$H$200,"&gt;10",$BN$4:$BN$200,"&gt;-6",$BR$4:$BR$200,"&gt;=70",$K$4:$K$200,"&lt;=30",$C$4:$C$200,"&lt;20190630",BI$4:BI$200,"&gt;="&amp;BI60)&amp;"/"&amp;COUNTIFS(BI$4:BI$200,"&lt;&gt;-",$D$4:$D$200,"&lt;&gt;是",$E$4:$E$200,"&lt;&gt;封闭期",$H$4:$H$200,"&gt;10",$BN$4:$BN$200,"&gt;-6",$BR$4:$BR$200,"&gt;=70",$C$4:$C$200,"&lt;20190630",$K$4:$K$200,"&lt;=30"))</f>
        <v>-</v>
      </c>
      <c r="BM60" s="33" t="str">
        <f>IF(OR($C60&gt;20190630,$K60&gt;30,BI60="-",$D60="是",$E60="封闭期",$H60&lt;10,$BN60&lt;-6,$BR60&lt;70),"-",COUNTIFS(BI$4:BI$200,"&lt;&gt;-",$D$4:$D$200,"&lt;&gt;是",$E$4:$E$200,"&lt;&gt;封闭期",$H$4:$H$200,"&gt;10",$BN$4:$BN$200,"&gt;-6",$BR$4:$BR$200,"&gt;=70",$K$4:$K$200,"&lt;=30",$C$4:$C$200,"&lt;20190630",BI$4:BI$200,"&gt;="&amp;BI60)/COUNTIFS(BI$4:BI$200,"&lt;&gt;-",$D$4:$D$200,"&lt;&gt;是",$E$4:$E$200,"&lt;&gt;封闭期",$H$4:$H$200,"&gt;10",$BN$4:$BN$200,"&gt;-6",$BR$4:$BR$200,"&gt;=70",$C$4:$C$200,"&lt;20190630",$K$4:$K$200,"&lt;=30"))</f>
        <v>-</v>
      </c>
      <c r="BN60" s="21">
        <f>[1]!f_risk_maxdownside(A60,$AM$2,$E$1)</f>
        <v>-1.7207734610608421</v>
      </c>
      <c r="BO60" s="21">
        <f>IF(C60&lt;20190930,[1]!f_return_2y(A60,"0","20210930"),"-")</f>
        <v>11.681211602467986</v>
      </c>
      <c r="BP60" s="19" t="str">
        <f>IFERROR(RANK(BO60,BO:BO)&amp;"/"&amp;COUNT(BO:BO),"-")</f>
        <v>121/197</v>
      </c>
      <c r="BQ60" s="25">
        <f>IFERROR(RANK(BO60,BO:BO)/COUNT(BO:BO),"-")</f>
        <v>0.6142131979695431</v>
      </c>
      <c r="BR60" s="19">
        <f>IF(C60&lt;20190930,[1]!f_absolute_profitmonthper(A60,"20190930","20210930"),"-")</f>
        <v>66.666666666666657</v>
      </c>
      <c r="BS60" s="19" t="str">
        <f>IFERROR(RANK(BR60,BR:BR)&amp;"/"&amp;COUNT(BR:BR),"-")</f>
        <v>115/198</v>
      </c>
      <c r="BT60" s="25">
        <f>IFERROR(RANK(BR60,BR:BR)/COUNT(BR:BR),"-")</f>
        <v>0.58080808080808077</v>
      </c>
      <c r="BV60" s="12">
        <f>X60-3/M60</f>
        <v>-0.19870101211284852</v>
      </c>
      <c r="BW60" s="76">
        <f>IFERROR(RANK(BV60,BV:BV)/COUNT(BV:BV),"-")</f>
        <v>0.88324873096446699</v>
      </c>
      <c r="BX60" s="76">
        <f>IFERROR(RANK(L60,L:L)/COUNT(L:L),"-")</f>
        <v>0.89898989898989901</v>
      </c>
      <c r="BY60" s="12">
        <f>AY60-3/AN60</f>
        <v>4.6731154039880485</v>
      </c>
      <c r="BZ60" s="76">
        <f>IFERROR(RANK(BY60,BY:BY)/COUNT(BY:BY),"-")</f>
        <v>4.5685279187817257E-2</v>
      </c>
      <c r="CA60" s="76">
        <f>IFERROR(RANK(AM60,AM:AM)/COUNT(AM:AM),"-")</f>
        <v>0.29292929292929293</v>
      </c>
      <c r="CB60" s="2"/>
      <c r="CC60" s="77">
        <f>AV60+BF60+BZ60+CA60</f>
        <v>0.38937599343690715</v>
      </c>
      <c r="CD60" s="77">
        <f>BW60+BX60+AE60+U60</f>
        <v>3.3558426908680716</v>
      </c>
      <c r="CE60" s="77">
        <f>CC60+CD60</f>
        <v>3.7452186843049788</v>
      </c>
    </row>
    <row r="61" spans="1:83" s="17" customFormat="1" hidden="1" x14ac:dyDescent="0.35">
      <c r="A61" s="15" t="s">
        <v>393</v>
      </c>
      <c r="B61" s="15" t="s">
        <v>394</v>
      </c>
      <c r="C61" s="16">
        <v>20190328</v>
      </c>
      <c r="D61" s="16" t="str">
        <f>[1]!f_info_regulopenfundornot(A61)</f>
        <v>否</v>
      </c>
      <c r="E61" s="16" t="str">
        <f>[1]!f_dq_status(A61,$E$1)</f>
        <v>开放申购|开放赎回</v>
      </c>
      <c r="F61" s="17" t="str">
        <f>[1]!f_info_fundmanager(A61)</f>
        <v>王华</v>
      </c>
      <c r="G61" s="16">
        <v>20190328</v>
      </c>
      <c r="H61" s="18">
        <f>[1]!f_netasset_total(A61,$E$1,100000000)</f>
        <v>6.8813216248</v>
      </c>
      <c r="I61" s="18">
        <f>[1]!f_prt_convertiblebondtonav(A61,$E$1)</f>
        <v>8.4436531066894531</v>
      </c>
      <c r="J61" s="18">
        <f>[1]!f_prt_stocktonav(A61,$E$1)+0.5*I61</f>
        <v>23.078958511352539</v>
      </c>
      <c r="K61" s="19">
        <v>11.7433836704804</v>
      </c>
      <c r="L61" s="19">
        <f>[1]!f_return($A61,"1",L$2,$E$1)</f>
        <v>3.8240037537946359</v>
      </c>
      <c r="M61" s="19">
        <f>[1]!f_risk_stdevyearly($A61,L$2,$E$1,1,1)</f>
        <v>2.8929558059705185</v>
      </c>
      <c r="N61" s="19">
        <f>IFERROR(L61/M61,"-")</f>
        <v>1.3218327586970422</v>
      </c>
      <c r="O61" s="19" t="str">
        <f>IFERROR(RANK(N61,N:N)&amp;"/"&amp;COUNT(N:N),"-")</f>
        <v>108/197</v>
      </c>
      <c r="P61" s="26">
        <f>IF(O61="-","-",RANK(N61,N:N)/COUNT(N:N))</f>
        <v>0.54822335025380708</v>
      </c>
      <c r="Q61" s="56">
        <v>0.75634517766497467</v>
      </c>
      <c r="R61" s="33" t="str">
        <f>IF(OR($C61&gt;20190630,$K61&gt;30,N61="-",$D61="是",$E61="封闭期",$H61&lt;10,$BN61&lt;-6,$BR61&lt;70),"-",COUNTIFS(N$4:N$200,"&lt;&gt;-",$D$4:$D$200,"&lt;&gt;是",$E$4:$E$200,"&lt;&gt;封闭期",$H$4:$H$200,"&gt;10",$BN$4:$BN$200,"&gt;-6",$BR$4:$BR$200,"&gt;=70",$K$4:$K$200,"&lt;=30",$C$4:$C$200,"&lt;20190630",N$4:N$200,"&gt;="&amp;N61)/COUNTIFS(N$4:N$200,"&lt;&gt;-",$D$4:$D$200,"&lt;&gt;是",$E$4:$E$200,"&lt;&gt;封闭期",$H$4:$H$200,"&gt;10",$BN$4:$BN$200,"&gt;-6",$BR$4:$BR$200,"&gt;=70",$C$4:$C$200,"&lt;20190630",$K$4:$K$200,"&lt;=30"))</f>
        <v>-</v>
      </c>
      <c r="S61" s="19">
        <f>IFERROR((L61-3)/M61,"-")</f>
        <v>0.28483108939792534</v>
      </c>
      <c r="T61" s="19" t="str">
        <f>IFERROR(RANK(S61,S:S)&amp;"/"&amp;COUNT(S:S),"-")</f>
        <v>141/197</v>
      </c>
      <c r="U61" s="26">
        <f>IFERROR(RANK(S61,S:S)/COUNT(S:S),"-")</f>
        <v>0.71573604060913709</v>
      </c>
      <c r="V61" s="34" t="str">
        <f>IF(OR($C61&gt;20190630,$K61&gt;30,S61="-",$D61="是",$E61="封闭期",$H61&lt;10,$BN61&lt;-6,$BR61&lt;70),"-",COUNTIFS(S$4:S$200,"&lt;&gt;-",$D$4:$D$200,"&lt;&gt;是",$E$4:$E$200,"&lt;&gt;封闭期",$H$4:$H$200,"&gt;10",$BN$4:$BN$200,"&gt;-6",$BR$4:$BR$200,"&gt;=70",$K$4:$K$200,"&lt;=30",$C$4:$C$200,"&lt;20190630",S$4:S$200,"&gt;="&amp;S61)&amp;"/"&amp;COUNTIFS(S$4:S$200,"&lt;&gt;-",$D$4:$D$200,"&lt;&gt;是",$E$4:$E$200,"&lt;&gt;封闭期",$H$4:$H$200,"&gt;10",$BN$4:$BN$200,"&gt;-6",$BR$4:$BR$200,"&gt;=70",$C$4:$C$200,"&lt;20190630",$K$4:$K$200,"&lt;=30"))</f>
        <v>-</v>
      </c>
      <c r="W61" s="33" t="str">
        <f>IF(OR($C61&gt;20190630,$K61&gt;30,S61="-",$D61="是",$E61="封闭期",$H61&lt;10,$BN61&lt;-6,$BR61&lt;70),"-",COUNTIFS(S$4:S$200,"&lt;&gt;-",$D$4:$D$200,"&lt;&gt;是",$E$4:$E$200,"&lt;&gt;封闭期",$H$4:$H$200,"&gt;10",$BN$4:$BN$200,"&gt;-6",$BR$4:$BR$200,"&gt;=70",$K$4:$K$200,"&lt;=30",$C$4:$C$200,"&lt;20190630",S$4:S$200,"&gt;="&amp;S61)/COUNTIFS(S$4:S$200,"&lt;&gt;-",$D$4:$D$200,"&lt;&gt;是",$E$4:$E$200,"&lt;&gt;封闭期",$H$4:$H$200,"&gt;10",$BN$4:$BN$200,"&gt;-6",$BR$4:$BR$200,"&gt;=70",$C$4:$C$200,"&lt;20190630",$K$4:$K$200,"&lt;=30"))</f>
        <v>-</v>
      </c>
      <c r="X61" s="19">
        <f>[1]!f_risk_calmar(A61,$L$2,$E$1)</f>
        <v>2.5631506725155289</v>
      </c>
      <c r="Y61" s="19" t="str">
        <f>IFERROR(RANK(X61,X:X)&amp;"/"&amp;COUNT(X:X),"-")</f>
        <v>69/197</v>
      </c>
      <c r="Z61" s="26">
        <f>IFERROR(RANK(X61,X:X)/COUNT(X:X),"-")</f>
        <v>0.35025380710659898</v>
      </c>
      <c r="AA61" s="34" t="str">
        <f>IF(OR($C61&gt;20190630,$K61&gt;30,X61="-",$D61="是",$E61="封闭期",$H61&lt;10,$BN61&lt;-6,$BR61&lt;70),"-",COUNTIFS(X$4:X$200,"&lt;&gt;-",$D$4:$D$200,"&lt;&gt;是",$E$4:$E$200,"&lt;&gt;封闭期",$H$4:$H$200,"&gt;10",$BN$4:$BN$200,"&gt;-6",$BR$4:$BR$200,"&gt;=70",$K$4:$K$200,"&lt;=30",$C$4:$C$200,"&lt;20190630",X$4:X$200,"&gt;="&amp;X61)&amp;"/"&amp;COUNTIFS(X$4:X$200,"&lt;&gt;-",$D$4:$D$200,"&lt;&gt;是",$E$4:$E$200,"&lt;&gt;封闭期",$H$4:$H$200,"&gt;10",$BN$4:$BN$200,"&gt;-6",$BR$4:$BR$200,"&gt;=70",$C$4:$C$200,"&lt;20190630",$K$4:$K$200,"&lt;=30"))</f>
        <v>-</v>
      </c>
      <c r="AB61" s="33" t="str">
        <f>IF(OR($C61&gt;20190630,$K61&gt;30,X61="-",$D61="是",$E61="封闭期",$H61&lt;10,$BN61&lt;-6,$BR61&lt;70),"-",COUNTIFS(X$4:X$200,"&lt;&gt;-",$D$4:$D$200,"&lt;&gt;是",$E$4:$E$200,"&lt;&gt;封闭期",$H$4:$H$200,"&gt;10",$BN$4:$BN$200,"&gt;-6",$BR$4:$BR$200,"&gt;=70",$K$4:$K$200,"&lt;=30",$C$4:$C$200,"&lt;20190630",X$4:X$200,"&gt;="&amp;X61)/COUNTIFS(X$4:X$200,"&lt;&gt;-",$D$4:$D$200,"&lt;&gt;是",$E$4:$E$200,"&lt;&gt;封闭期",$H$4:$H$200,"&gt;10",$BN$4:$BN$200,"&gt;-6",$BR$4:$BR$200,"&gt;=70",$C$4:$C$200,"&lt;20190630",$K$4:$K$200,"&lt;=30"))</f>
        <v>-</v>
      </c>
      <c r="AC61" s="20">
        <v>0.90756302521008403</v>
      </c>
      <c r="AD61" s="19" t="str">
        <f>IFERROR(RANK(AC61,AC:AC)&amp;"/"&amp;COUNT(AC:AC),"-")</f>
        <v>128/197</v>
      </c>
      <c r="AE61" s="26">
        <f>IFERROR(RANK(AC61,AC:AC)/COUNT(AC:AC),"-")</f>
        <v>0.64974619289340096</v>
      </c>
      <c r="AF61" s="34" t="str">
        <f>IF(OR($C61&gt;20190630,$K61&gt;30,AC61="-",$D61="是",$E61="封闭期",$H61&lt;10,$BN61&lt;-6,$BR61&lt;70),"-",COUNTIFS(AC$4:AC$200,"&lt;&gt;-",$D$4:$D$200,"&lt;&gt;是",$E$4:$E$200,"&lt;&gt;封闭期",$H$4:$H$200,"&gt;10",$BN$4:$BN$200,"&gt;-6",$BR$4:$BR$200,"&gt;=70",$K$4:$K$200,"&lt;=30",$C$4:$C$200,"&lt;20190630",AC$4:AC$200,"&gt;="&amp;AC61)&amp;"/"&amp;COUNTIFS(AC$4:AC$200,"&lt;&gt;-",$D$4:$D$200,"&lt;&gt;是",$E$4:$E$200,"&lt;&gt;封闭期",$H$4:$H$200,"&gt;10",$BN$4:$BN$200,"&gt;-6",$BR$4:$BR$200,"&gt;=70",$C$4:$C$200,"&lt;20190630",$K$4:$K$200,"&lt;=30"))</f>
        <v>-</v>
      </c>
      <c r="AG61" s="33" t="str">
        <f>IF(OR($C61&gt;20190630,$K61&gt;30,AC61="-",$D61="是",$E61="封闭期",$H61&lt;10,$BN61&lt;-6,$BR61&lt;70),"-",COUNTIFS(AC$4:AC$200,"&lt;&gt;-",$D$4:$D$200,"&lt;&gt;是",$E$4:$E$200,"&lt;&gt;封闭期",$H$4:$H$200,"&gt;10",$BN$4:$BN$200,"&gt;-6",$BR$4:$BR$200,"&gt;=70",$K$4:$K$200,"&lt;=30",$C$4:$C$200,"&lt;20190630",AC$4:AC$200,"&gt;="&amp;AC61)/COUNTIFS(AC$4:AC$200,"&lt;&gt;-",$D$4:$D$200,"&lt;&gt;是",$E$4:$E$200,"&lt;&gt;封闭期",$H$4:$H$200,"&gt;10",$BN$4:$BN$200,"&gt;-6",$BR$4:$BR$200,"&gt;=70",$C$4:$C$200,"&lt;20190630",$K$4:$K$200,"&lt;=30"))</f>
        <v>-</v>
      </c>
      <c r="AH61" s="21">
        <f>[1]!f_risk_maxdownside(A61,$L$2,$E$1)</f>
        <v>-1.4919153192198724</v>
      </c>
      <c r="AI61" s="19" t="str">
        <f>IFERROR(RANK(AH61,AH:AH)&amp;"/"&amp;COUNT(AH:AH),"-")</f>
        <v>44/197</v>
      </c>
      <c r="AJ61" s="26">
        <f>IFERROR(RANK(AH61,AH:AH)/COUNT(AH:AH),"-")</f>
        <v>0.2233502538071066</v>
      </c>
      <c r="AK61" s="34" t="str">
        <f>IF(OR($C61&gt;20190630,$K61&gt;30,AH61="-",$D61="是",$E61="封闭期",$H61&lt;10,$BN61&lt;-6,$BR61&lt;70),"-",COUNTIFS(AH$4:AH$200,"&lt;&gt;-",$D$4:$D$200,"&lt;&gt;是",$E$4:$E$200,"&lt;&gt;封闭期",$H$4:$H$200,"&gt;10",$BN$4:$BN$200,"&gt;-6",$BR$4:$BR$200,"&gt;=70",$K$4:$K$200,"&lt;=30",$C$4:$C$200,"&lt;20190630",AH$4:AH$200,"&gt;="&amp;AH61)&amp;"/"&amp;COUNTIFS(AH$4:AH$200,"&lt;&gt;-",$D$4:$D$200,"&lt;&gt;是",$E$4:$E$200,"&lt;&gt;封闭期",$H$4:$H$200,"&gt;10",$BN$4:$BN$200,"&gt;-6",$BR$4:$BR$200,"&gt;=70",$C$4:$C$200,"&lt;20190630",$K$4:$K$200,"&lt;=30"))</f>
        <v>-</v>
      </c>
      <c r="AL61" s="33" t="str">
        <f>IF(OR($C61&gt;20190630,$K61&gt;30,AH61="-",$D61="是",$E61="封闭期",$H61&lt;10,$BN61&lt;-6,$BR61&lt;70),"-",COUNTIFS(AH$4:AH$200,"&lt;&gt;-",$D$4:$D$200,"&lt;&gt;是",$E$4:$E$200,"&lt;&gt;封闭期",$H$4:$H$200,"&gt;10",$BN$4:$BN$200,"&gt;-6",$BR$4:$BR$200,"&gt;=70",$K$4:$K$200,"&lt;=30",$C$4:$C$200,"&lt;20190630",AH$4:AH$200,"&gt;="&amp;AH61)/COUNTIFS(AH$4:AH$200,"&lt;&gt;-",$D$4:$D$200,"&lt;&gt;是",$E$4:$E$200,"&lt;&gt;封闭期",$H$4:$H$200,"&gt;10",$BN$4:$BN$200,"&gt;-6",$BR$4:$BR$200,"&gt;=70",$C$4:$C$200,"&lt;20190630",$K$4:$K$200,"&lt;=30"))</f>
        <v>-</v>
      </c>
      <c r="AM61" s="19">
        <f>[1]!f_return($A61,"1",AM$2,$L$2)</f>
        <v>9.5669939991875452</v>
      </c>
      <c r="AN61" s="19">
        <f>[1]!f_risk_stdevyearly($A61,AM$2,$L$2,1,1)</f>
        <v>5.403413214409639</v>
      </c>
      <c r="AO61" s="19">
        <f>IFERROR(AM61/AN61,"-")</f>
        <v>1.7705464341824924</v>
      </c>
      <c r="AP61" s="19" t="str">
        <f>IFERROR(RANK(AO61,AO:AO)&amp;"/"&amp;COUNT(AO:AO),"-")</f>
        <v>73/197</v>
      </c>
      <c r="AQ61" s="26">
        <f>IF(AP61="-","-",RANK(AO61,AO:AO)/COUNT(AO:AO))</f>
        <v>0.37055837563451777</v>
      </c>
      <c r="AR61" s="57">
        <v>0.29441624365482233</v>
      </c>
      <c r="AS61" s="33" t="str">
        <f>IF(OR($C61&gt;20190630,$K61&gt;30,AO61="-",$D61="是",$E61="封闭期",$H61&lt;10,$BN61&lt;-6,$BR61&lt;70),"-",COUNTIFS(AO$4:AO$200,"&lt;&gt;-",$D$4:$D$200,"&lt;&gt;是",$E$4:$E$200,"&lt;&gt;封闭期",$H$4:$H$200,"&gt;10",$BN$4:$BN$200,"&gt;-6",$BR$4:$BR$200,"&gt;=70",$K$4:$K$200,"&lt;=30",$C$4:$C$200,"&lt;20190630",AO$4:AO$200,"&gt;="&amp;AO61)/COUNTIFS(AO$4:AO$200,"&lt;&gt;-",$D$4:$D$200,"&lt;&gt;是",$E$4:$E$200,"&lt;&gt;封闭期",$H$4:$H$200,"&gt;10",$BN$4:$BN$200,"&gt;-6",$BR$4:$BR$200,"&gt;=70",$C$4:$C$200,"&lt;20190630",$K$4:$K$200,"&lt;=30"))</f>
        <v>-</v>
      </c>
      <c r="AT61" s="19">
        <f>IFERROR((AM61-3)/AN61,"-")</f>
        <v>1.2153418105568734</v>
      </c>
      <c r="AU61" s="19" t="str">
        <f>IFERROR(RANK(AT61,AT:AT)&amp;"/"&amp;COUNT(AT:AT),"-")</f>
        <v>54/197</v>
      </c>
      <c r="AV61" s="26">
        <f>IFERROR(RANK(AT61,AT:AT)/COUNT(AT:AT),"-")</f>
        <v>0.27411167512690354</v>
      </c>
      <c r="AW61" s="34" t="str">
        <f>IF(OR($C61&gt;20190630,$K61&gt;30,AT61="-",$D61="是",$E61="封闭期",$H61&lt;10,$BN61&lt;-6,$BR61&lt;70),"-",COUNTIFS(AT$4:AT$200,"&lt;&gt;-",$D$4:$D$200,"&lt;&gt;是",$E$4:$E$200,"&lt;&gt;封闭期",$H$4:$H$200,"&gt;10",$BN$4:$BN$200,"&gt;-6",$BR$4:$BR$200,"&gt;=70",$K$4:$K$200,"&lt;=30",$C$4:$C$200,"&lt;20190630",AT$4:AT$200,"&gt;="&amp;AT61)&amp;"/"&amp;COUNTIFS(AT$4:AT$200,"&lt;&gt;-",$D$4:$D$200,"&lt;&gt;是",$E$4:$E$200,"&lt;&gt;封闭期",$H$4:$H$200,"&gt;10",$BN$4:$BN$200,"&gt;-6",$BR$4:$BR$200,"&gt;=70",$C$4:$C$200,"&lt;20190630",$K$4:$K$200,"&lt;=30"))</f>
        <v>-</v>
      </c>
      <c r="AX61" s="33" t="str">
        <f>IF(OR($C61&gt;20190630,$K61&gt;30,AT61="-",$D61="是",$E61="封闭期",$H61&lt;10,$BN61&lt;-6,$BR61&lt;70),"-",COUNTIFS(AT$4:AT$200,"&lt;&gt;-",$D$4:$D$200,"&lt;&gt;是",$E$4:$E$200,"&lt;&gt;封闭期",$H$4:$H$200,"&gt;10",$BN$4:$BN$200,"&gt;-6",$BR$4:$BR$200,"&gt;=70",$K$4:$K$200,"&lt;=30",$C$4:$C$200,"&lt;20190630",AT$4:AT$200,"&gt;="&amp;AT61)/COUNTIFS(AT$4:AT$200,"&lt;&gt;-",$D$4:$D$200,"&lt;&gt;是",$E$4:$E$200,"&lt;&gt;封闭期",$H$4:$H$200,"&gt;10",$BN$4:$BN$200,"&gt;-6",$BR$4:$BR$200,"&gt;=70",$C$4:$C$200,"&lt;20190630",$K$4:$K$200,"&lt;=30"))</f>
        <v>-</v>
      </c>
      <c r="AY61" s="19">
        <f>[1]!f_risk_calmar(A61,$AM$2,$L$2)</f>
        <v>2.7924456755188212</v>
      </c>
      <c r="AZ61" s="19" t="str">
        <f>IFERROR(RANK(AY61,AY:AY)&amp;"/"&amp;COUNT(AY:AY),"-")</f>
        <v>63/197</v>
      </c>
      <c r="BA61" s="26">
        <f>IFERROR(RANK(AY61,AY:AY)/COUNT(AY:AY),"-")</f>
        <v>0.31979695431472083</v>
      </c>
      <c r="BB61" s="34" t="str">
        <f>IF(OR($C61&gt;20190630,$K61&gt;30,AY61="-",$D61="是",$E61="封闭期",$H61&lt;10,$BN61&lt;-6,$BR61&lt;70),"-",COUNTIFS(AY$4:AY$200,"&lt;&gt;-",$D$4:$D$200,"&lt;&gt;是",$E$4:$E$200,"&lt;&gt;封闭期",$H$4:$H$200,"&gt;10",$BN$4:$BN$200,"&gt;-6",$BR$4:$BR$200,"&gt;=70",$K$4:$K$200,"&lt;=30",$C$4:$C$200,"&lt;20190630",AY$4:AY$200,"&gt;="&amp;AY61)&amp;"/"&amp;COUNTIFS(AY$4:AY$200,"&lt;&gt;-",$D$4:$D$200,"&lt;&gt;是",$E$4:$E$200,"&lt;&gt;封闭期",$H$4:$H$200,"&gt;10",$BN$4:$BN$200,"&gt;-6",$BR$4:$BR$200,"&gt;=70",$C$4:$C$200,"&lt;20190630",$K$4:$K$200,"&lt;=30"))</f>
        <v>-</v>
      </c>
      <c r="BC61" s="33" t="str">
        <f>IF(OR($C61&gt;20190630,$K61&gt;30,AY61="-",$D61="是",$E61="封闭期",$H61&lt;10,$BN61&lt;-6,$BR61&lt;70),"-",COUNTIFS(AY$4:AY$200,"&lt;&gt;-",$D$4:$D$200,"&lt;&gt;是",$E$4:$E$200,"&lt;&gt;封闭期",$H$4:$H$200,"&gt;10",$BN$4:$BN$200,"&gt;-6",$BR$4:$BR$200,"&gt;=70",$K$4:$K$200,"&lt;=30",$C$4:$C$200,"&lt;20190630",AY$4:AY$200,"&gt;="&amp;AY61)/COUNTIFS(AY$4:AY$200,"&lt;&gt;-",$D$4:$D$200,"&lt;&gt;是",$E$4:$E$200,"&lt;&gt;封闭期",$H$4:$H$200,"&gt;10",$BN$4:$BN$200,"&gt;-6",$BR$4:$BR$200,"&gt;=70",$C$4:$C$200,"&lt;20190630",$K$4:$K$200,"&lt;=30"))</f>
        <v>-</v>
      </c>
      <c r="BD61" s="20">
        <v>1</v>
      </c>
      <c r="BE61" s="19" t="str">
        <f>IFERROR(RANK(BD61,BD:BD)&amp;"/"&amp;COUNT(BD:BD),"-")</f>
        <v>1/197</v>
      </c>
      <c r="BF61" s="26">
        <f>IFERROR(RANK(BD61,BD:BD)/COUNT(BD:BD),"-")</f>
        <v>5.076142131979695E-3</v>
      </c>
      <c r="BG61" s="34" t="str">
        <f>IF(OR($C61&gt;20190630,$K61&gt;30,BD61="-",$D61="是",$E61="封闭期",$H61&lt;10,$BN61&lt;-6,$BR61&lt;70),"-",COUNTIFS(BD$4:BD$200,"&lt;&gt;-",$D$4:$D$200,"&lt;&gt;是",$E$4:$E$200,"&lt;&gt;封闭期",$H$4:$H$200,"&gt;10",$BN$4:$BN$200,"&gt;-6",$BR$4:$BR$200,"&gt;=70",$K$4:$K$200,"&lt;=30",$C$4:$C$200,"&lt;20190630",BD$4:BD$200,"&gt;="&amp;BD61)&amp;"/"&amp;COUNTIFS(BD$4:BD$200,"&lt;&gt;-",$D$4:$D$200,"&lt;&gt;是",$E$4:$E$200,"&lt;&gt;封闭期",$H$4:$H$200,"&gt;10",$BN$4:$BN$200,"&gt;-6",$BR$4:$BR$200,"&gt;=70",$C$4:$C$200,"&lt;20190630",$K$4:$K$200,"&lt;=30"))</f>
        <v>-</v>
      </c>
      <c r="BH61" s="33" t="str">
        <f>IF(OR($C61&gt;20190630,$K61&gt;30,BD61="-",$D61="是",$E61="封闭期",$H61&lt;10,$BN61&lt;-6,$BR61&lt;70),"-",COUNTIFS(BD$4:BD$200,"&lt;&gt;-",$D$4:$D$200,"&lt;&gt;是",$E$4:$E$200,"&lt;&gt;封闭期",$H$4:$H$200,"&gt;10",$BN$4:$BN$200,"&gt;-6",$BR$4:$BR$200,"&gt;=70",$K$4:$K$200,"&lt;=30",$C$4:$C$200,"&lt;20190630",BD$4:BD$200,"&gt;="&amp;BD61)/COUNTIFS(BD$4:BD$200,"&lt;&gt;-",$D$4:$D$200,"&lt;&gt;是",$E$4:$E$200,"&lt;&gt;封闭期",$H$4:$H$200,"&gt;10",$BN$4:$BN$200,"&gt;-6",$BR$4:$BR$200,"&gt;=70",$C$4:$C$200,"&lt;20190630",$K$4:$K$200,"&lt;=30"))</f>
        <v>-</v>
      </c>
      <c r="BI61" s="21">
        <f>[1]!f_risk_maxdownside(A61,$AM$2,$L$2)</f>
        <v>-3.4260268993093481</v>
      </c>
      <c r="BJ61" s="19" t="str">
        <f>IFERROR(RANK(BI61,BI:BI)&amp;"/"&amp;COUNT(BI:BI),"-")</f>
        <v>105/197</v>
      </c>
      <c r="BK61" s="26">
        <f>IFERROR(RANK(BI61,BI:BI)/COUNT(BI:BI),"-")</f>
        <v>0.53299492385786806</v>
      </c>
      <c r="BL61" s="34" t="str">
        <f>IF(OR($C61&gt;20190630,$K61&gt;30,BI61="-",$D61="是",$E61="封闭期",$H61&lt;10,$BN61&lt;-6,$BR61&lt;70),"-",COUNTIFS(BI$4:BI$200,"&lt;&gt;-",$D$4:$D$200,"&lt;&gt;是",$E$4:$E$200,"&lt;&gt;封闭期",$H$4:$H$200,"&gt;10",$BN$4:$BN$200,"&gt;-6",$BR$4:$BR$200,"&gt;=70",$K$4:$K$200,"&lt;=30",$C$4:$C$200,"&lt;20190630",BI$4:BI$200,"&gt;="&amp;BI61)&amp;"/"&amp;COUNTIFS(BI$4:BI$200,"&lt;&gt;-",$D$4:$D$200,"&lt;&gt;是",$E$4:$E$200,"&lt;&gt;封闭期",$H$4:$H$200,"&gt;10",$BN$4:$BN$200,"&gt;-6",$BR$4:$BR$200,"&gt;=70",$C$4:$C$200,"&lt;20190630",$K$4:$K$200,"&lt;=30"))</f>
        <v>-</v>
      </c>
      <c r="BM61" s="33" t="str">
        <f>IF(OR($C61&gt;20190630,$K61&gt;30,BI61="-",$D61="是",$E61="封闭期",$H61&lt;10,$BN61&lt;-6,$BR61&lt;70),"-",COUNTIFS(BI$4:BI$200,"&lt;&gt;-",$D$4:$D$200,"&lt;&gt;是",$E$4:$E$200,"&lt;&gt;封闭期",$H$4:$H$200,"&gt;10",$BN$4:$BN$200,"&gt;-6",$BR$4:$BR$200,"&gt;=70",$K$4:$K$200,"&lt;=30",$C$4:$C$200,"&lt;20190630",BI$4:BI$200,"&gt;="&amp;BI61)/COUNTIFS(BI$4:BI$200,"&lt;&gt;-",$D$4:$D$200,"&lt;&gt;是",$E$4:$E$200,"&lt;&gt;封闭期",$H$4:$H$200,"&gt;10",$BN$4:$BN$200,"&gt;-6",$BR$4:$BR$200,"&gt;=70",$C$4:$C$200,"&lt;20190630",$K$4:$K$200,"&lt;=30"))</f>
        <v>-</v>
      </c>
      <c r="BN61" s="21">
        <f>[1]!f_risk_maxdownside(A61,$AM$2,$E$1)</f>
        <v>-3.4260268993093481</v>
      </c>
      <c r="BO61" s="21">
        <f>IF(C61&lt;20190930,[1]!f_return_2y(A61,"0","20210930"),"-")</f>
        <v>13.855479649764277</v>
      </c>
      <c r="BP61" s="19" t="str">
        <f>IFERROR(RANK(BO61,BO:BO)&amp;"/"&amp;COUNT(BO:BO),"-")</f>
        <v>92/197</v>
      </c>
      <c r="BQ61" s="25">
        <f>IFERROR(RANK(BO61,BO:BO)/COUNT(BO:BO),"-")</f>
        <v>0.46700507614213199</v>
      </c>
      <c r="BR61" s="19">
        <f>IF(C61&lt;20190930,[1]!f_absolute_profitmonthper(A61,"20190930","20210930"),"-")</f>
        <v>62.5</v>
      </c>
      <c r="BS61" s="19" t="str">
        <f>IFERROR(RANK(BR61,BR:BR)&amp;"/"&amp;COUNT(BR:BR),"-")</f>
        <v>142/198</v>
      </c>
      <c r="BT61" s="25">
        <f>IFERROR(RANK(BR61,BR:BR)/COUNT(BR:BR),"-")</f>
        <v>0.71717171717171713</v>
      </c>
      <c r="BV61" s="12">
        <f>X61-3/M61</f>
        <v>1.526149003216412</v>
      </c>
      <c r="BW61" s="76">
        <f>IFERROR(RANK(BV61,BV:BV)/COUNT(BV:BV),"-")</f>
        <v>0.4467005076142132</v>
      </c>
      <c r="BX61" s="76">
        <f>IFERROR(RANK(L61,L:L)/COUNT(L:L),"-")</f>
        <v>0.75757575757575757</v>
      </c>
      <c r="BY61" s="12">
        <f>AY61-3/AN61</f>
        <v>2.2372410518932022</v>
      </c>
      <c r="BZ61" s="76">
        <f>IFERROR(RANK(BY61,BY:BY)/COUNT(BY:BY),"-")</f>
        <v>0.25380710659898476</v>
      </c>
      <c r="CA61" s="76">
        <f>IFERROR(RANK(AM61,AM:AM)/COUNT(AM:AM),"-")</f>
        <v>0.29797979797979796</v>
      </c>
      <c r="CB61" s="2"/>
      <c r="CC61" s="77">
        <f>AV61+BF61+BZ61+CA61</f>
        <v>0.83097472183766596</v>
      </c>
      <c r="CD61" s="77">
        <f>BW61+BX61+AE61+U61</f>
        <v>2.5697584986925088</v>
      </c>
      <c r="CE61" s="77">
        <f>CC61+CD61</f>
        <v>3.4007332205301748</v>
      </c>
    </row>
    <row r="62" spans="1:83" s="17" customFormat="1" hidden="1" x14ac:dyDescent="0.35">
      <c r="A62" s="15" t="s">
        <v>179</v>
      </c>
      <c r="B62" s="15" t="s">
        <v>180</v>
      </c>
      <c r="C62" s="16">
        <v>20141114</v>
      </c>
      <c r="D62" s="16" t="str">
        <f>[1]!f_info_regulopenfundornot(A62)</f>
        <v>否</v>
      </c>
      <c r="E62" s="16" t="str">
        <f>[1]!f_dq_status(A62,$E$1)</f>
        <v>开放申购|开放赎回</v>
      </c>
      <c r="F62" s="17" t="str">
        <f>[1]!f_info_fundmanager(A62)</f>
        <v>何天翔,朱浩然</v>
      </c>
      <c r="G62" s="16">
        <v>20170124</v>
      </c>
      <c r="H62" s="18">
        <f>[1]!f_netasset_total(A62,$E$1,100000000)</f>
        <v>0.17606772760000003</v>
      </c>
      <c r="I62" s="18">
        <f>[1]!f_prt_convertiblebondtonav(A62,$E$1)</f>
        <v>29.06257438659668</v>
      </c>
      <c r="J62" s="18">
        <f>[1]!f_prt_stocktonav(A62,$E$1)+0.5*I62</f>
        <v>26.238442420959473</v>
      </c>
      <c r="K62" s="19">
        <v>0</v>
      </c>
      <c r="L62" s="19">
        <f>[1]!f_return($A62,"1",L$2,$E$1)</f>
        <v>12.189794159772859</v>
      </c>
      <c r="M62" s="19">
        <f>[1]!f_risk_stdevyearly($A62,L$2,$E$1,1,1)</f>
        <v>7.4225631064204229</v>
      </c>
      <c r="N62" s="19">
        <f>IFERROR(L62/M62,"-")</f>
        <v>1.6422621114839484</v>
      </c>
      <c r="O62" s="19" t="str">
        <f>IFERROR(RANK(N62,N:N)&amp;"/"&amp;COUNT(N:N),"-")</f>
        <v>74/197</v>
      </c>
      <c r="P62" s="26">
        <f>IF(O62="-","-",RANK(N62,N:N)/COUNT(N:N))</f>
        <v>0.37563451776649748</v>
      </c>
      <c r="Q62" s="56">
        <v>8.6294416243654817E-2</v>
      </c>
      <c r="R62" s="33" t="str">
        <f>IF(OR($C62&gt;20190630,$K62&gt;30,N62="-",$D62="是",$E62="封闭期",$H62&lt;10,$BN62&lt;-6,$BR62&lt;70),"-",COUNTIFS(N$4:N$200,"&lt;&gt;-",$D$4:$D$200,"&lt;&gt;是",$E$4:$E$200,"&lt;&gt;封闭期",$H$4:$H$200,"&gt;10",$BN$4:$BN$200,"&gt;-6",$BR$4:$BR$200,"&gt;=70",$K$4:$K$200,"&lt;=30",$C$4:$C$200,"&lt;20190630",N$4:N$200,"&gt;="&amp;N62)/COUNTIFS(N$4:N$200,"&lt;&gt;-",$D$4:$D$200,"&lt;&gt;是",$E$4:$E$200,"&lt;&gt;封闭期",$H$4:$H$200,"&gt;10",$BN$4:$BN$200,"&gt;-6",$BR$4:$BR$200,"&gt;=70",$C$4:$C$200,"&lt;20190630",$K$4:$K$200,"&lt;=30"))</f>
        <v>-</v>
      </c>
      <c r="S62" s="19">
        <f>IFERROR((L62-3)/M62,"-")</f>
        <v>1.2380890573801662</v>
      </c>
      <c r="T62" s="19" t="str">
        <f>IFERROR(RANK(S62,S:S)&amp;"/"&amp;COUNT(S:S),"-")</f>
        <v>51/197</v>
      </c>
      <c r="U62" s="26">
        <f>IFERROR(RANK(S62,S:S)/COUNT(S:S),"-")</f>
        <v>0.25888324873096447</v>
      </c>
      <c r="V62" s="34" t="str">
        <f>IF(OR($C62&gt;20190630,$K62&gt;30,S62="-",$D62="是",$E62="封闭期",$H62&lt;10,$BN62&lt;-6,$BR62&lt;70),"-",COUNTIFS(S$4:S$200,"&lt;&gt;-",$D$4:$D$200,"&lt;&gt;是",$E$4:$E$200,"&lt;&gt;封闭期",$H$4:$H$200,"&gt;10",$BN$4:$BN$200,"&gt;-6",$BR$4:$BR$200,"&gt;=70",$K$4:$K$200,"&lt;=30",$C$4:$C$200,"&lt;20190630",S$4:S$200,"&gt;="&amp;S62)&amp;"/"&amp;COUNTIFS(S$4:S$200,"&lt;&gt;-",$D$4:$D$200,"&lt;&gt;是",$E$4:$E$200,"&lt;&gt;封闭期",$H$4:$H$200,"&gt;10",$BN$4:$BN$200,"&gt;-6",$BR$4:$BR$200,"&gt;=70",$C$4:$C$200,"&lt;20190630",$K$4:$K$200,"&lt;=30"))</f>
        <v>-</v>
      </c>
      <c r="W62" s="33" t="str">
        <f>IF(OR($C62&gt;20190630,$K62&gt;30,S62="-",$D62="是",$E62="封闭期",$H62&lt;10,$BN62&lt;-6,$BR62&lt;70),"-",COUNTIFS(S$4:S$200,"&lt;&gt;-",$D$4:$D$200,"&lt;&gt;是",$E$4:$E$200,"&lt;&gt;封闭期",$H$4:$H$200,"&gt;10",$BN$4:$BN$200,"&gt;-6",$BR$4:$BR$200,"&gt;=70",$K$4:$K$200,"&lt;=30",$C$4:$C$200,"&lt;20190630",S$4:S$200,"&gt;="&amp;S62)/COUNTIFS(S$4:S$200,"&lt;&gt;-",$D$4:$D$200,"&lt;&gt;是",$E$4:$E$200,"&lt;&gt;封闭期",$H$4:$H$200,"&gt;10",$BN$4:$BN$200,"&gt;-6",$BR$4:$BR$200,"&gt;=70",$C$4:$C$200,"&lt;20190630",$K$4:$K$200,"&lt;=30"))</f>
        <v>-</v>
      </c>
      <c r="X62" s="19">
        <f>[1]!f_risk_calmar(A62,$L$2,$E$1)</f>
        <v>2.8458480980700456</v>
      </c>
      <c r="Y62" s="19" t="str">
        <f>IFERROR(RANK(X62,X:X)&amp;"/"&amp;COUNT(X:X),"-")</f>
        <v>66/197</v>
      </c>
      <c r="Z62" s="26">
        <f>IFERROR(RANK(X62,X:X)/COUNT(X:X),"-")</f>
        <v>0.3350253807106599</v>
      </c>
      <c r="AA62" s="34" t="str">
        <f>IF(OR($C62&gt;20190630,$K62&gt;30,X62="-",$D62="是",$E62="封闭期",$H62&lt;10,$BN62&lt;-6,$BR62&lt;70),"-",COUNTIFS(X$4:X$200,"&lt;&gt;-",$D$4:$D$200,"&lt;&gt;是",$E$4:$E$200,"&lt;&gt;封闭期",$H$4:$H$200,"&gt;10",$BN$4:$BN$200,"&gt;-6",$BR$4:$BR$200,"&gt;=70",$K$4:$K$200,"&lt;=30",$C$4:$C$200,"&lt;20190630",X$4:X$200,"&gt;="&amp;X62)&amp;"/"&amp;COUNTIFS(X$4:X$200,"&lt;&gt;-",$D$4:$D$200,"&lt;&gt;是",$E$4:$E$200,"&lt;&gt;封闭期",$H$4:$H$200,"&gt;10",$BN$4:$BN$200,"&gt;-6",$BR$4:$BR$200,"&gt;=70",$C$4:$C$200,"&lt;20190630",$K$4:$K$200,"&lt;=30"))</f>
        <v>-</v>
      </c>
      <c r="AB62" s="33" t="str">
        <f>IF(OR($C62&gt;20190630,$K62&gt;30,X62="-",$D62="是",$E62="封闭期",$H62&lt;10,$BN62&lt;-6,$BR62&lt;70),"-",COUNTIFS(X$4:X$200,"&lt;&gt;-",$D$4:$D$200,"&lt;&gt;是",$E$4:$E$200,"&lt;&gt;封闭期",$H$4:$H$200,"&gt;10",$BN$4:$BN$200,"&gt;-6",$BR$4:$BR$200,"&gt;=70",$K$4:$K$200,"&lt;=30",$C$4:$C$200,"&lt;20190630",X$4:X$200,"&gt;="&amp;X62)/COUNTIFS(X$4:X$200,"&lt;&gt;-",$D$4:$D$200,"&lt;&gt;是",$E$4:$E$200,"&lt;&gt;封闭期",$H$4:$H$200,"&gt;10",$BN$4:$BN$200,"&gt;-6",$BR$4:$BR$200,"&gt;=70",$C$4:$C$200,"&lt;20190630",$K$4:$K$200,"&lt;=30"))</f>
        <v>-</v>
      </c>
      <c r="AC62" s="20">
        <v>0.97478991596638653</v>
      </c>
      <c r="AD62" s="19" t="str">
        <f>IFERROR(RANK(AC62,AC:AC)&amp;"/"&amp;COUNT(AC:AC),"-")</f>
        <v>97/197</v>
      </c>
      <c r="AE62" s="26">
        <f>IFERROR(RANK(AC62,AC:AC)/COUNT(AC:AC),"-")</f>
        <v>0.49238578680203043</v>
      </c>
      <c r="AF62" s="34" t="str">
        <f>IF(OR($C62&gt;20190630,$K62&gt;30,AC62="-",$D62="是",$E62="封闭期",$H62&lt;10,$BN62&lt;-6,$BR62&lt;70),"-",COUNTIFS(AC$4:AC$200,"&lt;&gt;-",$D$4:$D$200,"&lt;&gt;是",$E$4:$E$200,"&lt;&gt;封闭期",$H$4:$H$200,"&gt;10",$BN$4:$BN$200,"&gt;-6",$BR$4:$BR$200,"&gt;=70",$K$4:$K$200,"&lt;=30",$C$4:$C$200,"&lt;20190630",AC$4:AC$200,"&gt;="&amp;AC62)&amp;"/"&amp;COUNTIFS(AC$4:AC$200,"&lt;&gt;-",$D$4:$D$200,"&lt;&gt;是",$E$4:$E$200,"&lt;&gt;封闭期",$H$4:$H$200,"&gt;10",$BN$4:$BN$200,"&gt;-6",$BR$4:$BR$200,"&gt;=70",$C$4:$C$200,"&lt;20190630",$K$4:$K$200,"&lt;=30"))</f>
        <v>-</v>
      </c>
      <c r="AG62" s="33" t="str">
        <f>IF(OR($C62&gt;20190630,$K62&gt;30,AC62="-",$D62="是",$E62="封闭期",$H62&lt;10,$BN62&lt;-6,$BR62&lt;70),"-",COUNTIFS(AC$4:AC$200,"&lt;&gt;-",$D$4:$D$200,"&lt;&gt;是",$E$4:$E$200,"&lt;&gt;封闭期",$H$4:$H$200,"&gt;10",$BN$4:$BN$200,"&gt;-6",$BR$4:$BR$200,"&gt;=70",$K$4:$K$200,"&lt;=30",$C$4:$C$200,"&lt;20190630",AC$4:AC$200,"&gt;="&amp;AC62)/COUNTIFS(AC$4:AC$200,"&lt;&gt;-",$D$4:$D$200,"&lt;&gt;是",$E$4:$E$200,"&lt;&gt;封闭期",$H$4:$H$200,"&gt;10",$BN$4:$BN$200,"&gt;-6",$BR$4:$BR$200,"&gt;=70",$C$4:$C$200,"&lt;20190630",$K$4:$K$200,"&lt;=30"))</f>
        <v>-</v>
      </c>
      <c r="AH62" s="21">
        <f>[1]!f_risk_maxdownside(A62,$L$2,$E$1)</f>
        <v>-4.2833607907743039</v>
      </c>
      <c r="AI62" s="19" t="str">
        <f>IFERROR(RANK(AH62,AH:AH)&amp;"/"&amp;COUNT(AH:AH),"-")</f>
        <v>132/197</v>
      </c>
      <c r="AJ62" s="26">
        <f>IFERROR(RANK(AH62,AH:AH)/COUNT(AH:AH),"-")</f>
        <v>0.67005076142131981</v>
      </c>
      <c r="AK62" s="34" t="str">
        <f>IF(OR($C62&gt;20190630,$K62&gt;30,AH62="-",$D62="是",$E62="封闭期",$H62&lt;10,$BN62&lt;-6,$BR62&lt;70),"-",COUNTIFS(AH$4:AH$200,"&lt;&gt;-",$D$4:$D$200,"&lt;&gt;是",$E$4:$E$200,"&lt;&gt;封闭期",$H$4:$H$200,"&gt;10",$BN$4:$BN$200,"&gt;-6",$BR$4:$BR$200,"&gt;=70",$K$4:$K$200,"&lt;=30",$C$4:$C$200,"&lt;20190630",AH$4:AH$200,"&gt;="&amp;AH62)&amp;"/"&amp;COUNTIFS(AH$4:AH$200,"&lt;&gt;-",$D$4:$D$200,"&lt;&gt;是",$E$4:$E$200,"&lt;&gt;封闭期",$H$4:$H$200,"&gt;10",$BN$4:$BN$200,"&gt;-6",$BR$4:$BR$200,"&gt;=70",$C$4:$C$200,"&lt;20190630",$K$4:$K$200,"&lt;=30"))</f>
        <v>-</v>
      </c>
      <c r="AL62" s="33" t="str">
        <f>IF(OR($C62&gt;20190630,$K62&gt;30,AH62="-",$D62="是",$E62="封闭期",$H62&lt;10,$BN62&lt;-6,$BR62&lt;70),"-",COUNTIFS(AH$4:AH$200,"&lt;&gt;-",$D$4:$D$200,"&lt;&gt;是",$E$4:$E$200,"&lt;&gt;封闭期",$H$4:$H$200,"&gt;10",$BN$4:$BN$200,"&gt;-6",$BR$4:$BR$200,"&gt;=70",$K$4:$K$200,"&lt;=30",$C$4:$C$200,"&lt;20190630",AH$4:AH$200,"&gt;="&amp;AH62)/COUNTIFS(AH$4:AH$200,"&lt;&gt;-",$D$4:$D$200,"&lt;&gt;是",$E$4:$E$200,"&lt;&gt;封闭期",$H$4:$H$200,"&gt;10",$BN$4:$BN$200,"&gt;-6",$BR$4:$BR$200,"&gt;=70",$C$4:$C$200,"&lt;20190630",$K$4:$K$200,"&lt;=30"))</f>
        <v>-</v>
      </c>
      <c r="AM62" s="19">
        <f>[1]!f_return($A62,"1",AM$2,$L$2)</f>
        <v>9.5605562623396487</v>
      </c>
      <c r="AN62" s="19">
        <f>[1]!f_risk_stdevyearly($A62,AM$2,$L$2,1,1)</f>
        <v>5.6307988248104817</v>
      </c>
      <c r="AO62" s="19">
        <f>IFERROR(AM62/AN62,"-")</f>
        <v>1.6979040736127582</v>
      </c>
      <c r="AP62" s="19" t="str">
        <f>IFERROR(RANK(AO62,AO:AO)&amp;"/"&amp;COUNT(AO:AO),"-")</f>
        <v>85/197</v>
      </c>
      <c r="AQ62" s="26">
        <f>IF(AP62="-","-",RANK(AO62,AO:AO)/COUNT(AO:AO))</f>
        <v>0.43147208121827413</v>
      </c>
      <c r="AR62" s="57">
        <v>0.29949238578680204</v>
      </c>
      <c r="AS62" s="33" t="str">
        <f>IF(OR($C62&gt;20190630,$K62&gt;30,AO62="-",$D62="是",$E62="封闭期",$H62&lt;10,$BN62&lt;-6,$BR62&lt;70),"-",COUNTIFS(AO$4:AO$200,"&lt;&gt;-",$D$4:$D$200,"&lt;&gt;是",$E$4:$E$200,"&lt;&gt;封闭期",$H$4:$H$200,"&gt;10",$BN$4:$BN$200,"&gt;-6",$BR$4:$BR$200,"&gt;=70",$K$4:$K$200,"&lt;=30",$C$4:$C$200,"&lt;20190630",AO$4:AO$200,"&gt;="&amp;AO62)/COUNTIFS(AO$4:AO$200,"&lt;&gt;-",$D$4:$D$200,"&lt;&gt;是",$E$4:$E$200,"&lt;&gt;封闭期",$H$4:$H$200,"&gt;10",$BN$4:$BN$200,"&gt;-6",$BR$4:$BR$200,"&gt;=70",$C$4:$C$200,"&lt;20190630",$K$4:$K$200,"&lt;=30"))</f>
        <v>-</v>
      </c>
      <c r="AT62" s="19">
        <f>IFERROR((AM62-3)/AN62,"-")</f>
        <v>1.1651199885587211</v>
      </c>
      <c r="AU62" s="19" t="str">
        <f>IFERROR(RANK(AT62,AT:AT)&amp;"/"&amp;COUNT(AT:AT),"-")</f>
        <v>56/197</v>
      </c>
      <c r="AV62" s="26">
        <f>IFERROR(RANK(AT62,AT:AT)/COUNT(AT:AT),"-")</f>
        <v>0.28426395939086296</v>
      </c>
      <c r="AW62" s="34" t="str">
        <f>IF(OR($C62&gt;20190630,$K62&gt;30,AT62="-",$D62="是",$E62="封闭期",$H62&lt;10,$BN62&lt;-6,$BR62&lt;70),"-",COUNTIFS(AT$4:AT$200,"&lt;&gt;-",$D$4:$D$200,"&lt;&gt;是",$E$4:$E$200,"&lt;&gt;封闭期",$H$4:$H$200,"&gt;10",$BN$4:$BN$200,"&gt;-6",$BR$4:$BR$200,"&gt;=70",$K$4:$K$200,"&lt;=30",$C$4:$C$200,"&lt;20190630",AT$4:AT$200,"&gt;="&amp;AT62)&amp;"/"&amp;COUNTIFS(AT$4:AT$200,"&lt;&gt;-",$D$4:$D$200,"&lt;&gt;是",$E$4:$E$200,"&lt;&gt;封闭期",$H$4:$H$200,"&gt;10",$BN$4:$BN$200,"&gt;-6",$BR$4:$BR$200,"&gt;=70",$C$4:$C$200,"&lt;20190630",$K$4:$K$200,"&lt;=30"))</f>
        <v>-</v>
      </c>
      <c r="AX62" s="33" t="str">
        <f>IF(OR($C62&gt;20190630,$K62&gt;30,AT62="-",$D62="是",$E62="封闭期",$H62&lt;10,$BN62&lt;-6,$BR62&lt;70),"-",COUNTIFS(AT$4:AT$200,"&lt;&gt;-",$D$4:$D$200,"&lt;&gt;是",$E$4:$E$200,"&lt;&gt;封闭期",$H$4:$H$200,"&gt;10",$BN$4:$BN$200,"&gt;-6",$BR$4:$BR$200,"&gt;=70",$K$4:$K$200,"&lt;=30",$C$4:$C$200,"&lt;20190630",AT$4:AT$200,"&gt;="&amp;AT62)/COUNTIFS(AT$4:AT$200,"&lt;&gt;-",$D$4:$D$200,"&lt;&gt;是",$E$4:$E$200,"&lt;&gt;封闭期",$H$4:$H$200,"&gt;10",$BN$4:$BN$200,"&gt;-6",$BR$4:$BR$200,"&gt;=70",$C$4:$C$200,"&lt;20190630",$K$4:$K$200,"&lt;=30"))</f>
        <v>-</v>
      </c>
      <c r="AY62" s="19">
        <f>[1]!f_risk_calmar(A62,$AM$2,$L$2)</f>
        <v>3.4140438007774252</v>
      </c>
      <c r="AZ62" s="19" t="str">
        <f>IFERROR(RANK(AY62,AY:AY)&amp;"/"&amp;COUNT(AY:AY),"-")</f>
        <v>33/197</v>
      </c>
      <c r="BA62" s="26">
        <f>IFERROR(RANK(AY62,AY:AY)/COUNT(AY:AY),"-")</f>
        <v>0.16751269035532995</v>
      </c>
      <c r="BB62" s="34" t="str">
        <f>IF(OR($C62&gt;20190630,$K62&gt;30,AY62="-",$D62="是",$E62="封闭期",$H62&lt;10,$BN62&lt;-6,$BR62&lt;70),"-",COUNTIFS(AY$4:AY$200,"&lt;&gt;-",$D$4:$D$200,"&lt;&gt;是",$E$4:$E$200,"&lt;&gt;封闭期",$H$4:$H$200,"&gt;10",$BN$4:$BN$200,"&gt;-6",$BR$4:$BR$200,"&gt;=70",$K$4:$K$200,"&lt;=30",$C$4:$C$200,"&lt;20190630",AY$4:AY$200,"&gt;="&amp;AY62)&amp;"/"&amp;COUNTIFS(AY$4:AY$200,"&lt;&gt;-",$D$4:$D$200,"&lt;&gt;是",$E$4:$E$200,"&lt;&gt;封闭期",$H$4:$H$200,"&gt;10",$BN$4:$BN$200,"&gt;-6",$BR$4:$BR$200,"&gt;=70",$C$4:$C$200,"&lt;20190630",$K$4:$K$200,"&lt;=30"))</f>
        <v>-</v>
      </c>
      <c r="BC62" s="33" t="str">
        <f>IF(OR($C62&gt;20190630,$K62&gt;30,AY62="-",$D62="是",$E62="封闭期",$H62&lt;10,$BN62&lt;-6,$BR62&lt;70),"-",COUNTIFS(AY$4:AY$200,"&lt;&gt;-",$D$4:$D$200,"&lt;&gt;是",$E$4:$E$200,"&lt;&gt;封闭期",$H$4:$H$200,"&gt;10",$BN$4:$BN$200,"&gt;-6",$BR$4:$BR$200,"&gt;=70",$K$4:$K$200,"&lt;=30",$C$4:$C$200,"&lt;20190630",AY$4:AY$200,"&gt;="&amp;AY62)/COUNTIFS(AY$4:AY$200,"&lt;&gt;-",$D$4:$D$200,"&lt;&gt;是",$E$4:$E$200,"&lt;&gt;封闭期",$H$4:$H$200,"&gt;10",$BN$4:$BN$200,"&gt;-6",$BR$4:$BR$200,"&gt;=70",$C$4:$C$200,"&lt;20190630",$K$4:$K$200,"&lt;=30"))</f>
        <v>-</v>
      </c>
      <c r="BD62" s="20">
        <v>1</v>
      </c>
      <c r="BE62" s="19" t="str">
        <f>IFERROR(RANK(BD62,BD:BD)&amp;"/"&amp;COUNT(BD:BD),"-")</f>
        <v>1/197</v>
      </c>
      <c r="BF62" s="26">
        <f>IFERROR(RANK(BD62,BD:BD)/COUNT(BD:BD),"-")</f>
        <v>5.076142131979695E-3</v>
      </c>
      <c r="BG62" s="34" t="str">
        <f>IF(OR($C62&gt;20190630,$K62&gt;30,BD62="-",$D62="是",$E62="封闭期",$H62&lt;10,$BN62&lt;-6,$BR62&lt;70),"-",COUNTIFS(BD$4:BD$200,"&lt;&gt;-",$D$4:$D$200,"&lt;&gt;是",$E$4:$E$200,"&lt;&gt;封闭期",$H$4:$H$200,"&gt;10",$BN$4:$BN$200,"&gt;-6",$BR$4:$BR$200,"&gt;=70",$K$4:$K$200,"&lt;=30",$C$4:$C$200,"&lt;20190630",BD$4:BD$200,"&gt;="&amp;BD62)&amp;"/"&amp;COUNTIFS(BD$4:BD$200,"&lt;&gt;-",$D$4:$D$200,"&lt;&gt;是",$E$4:$E$200,"&lt;&gt;封闭期",$H$4:$H$200,"&gt;10",$BN$4:$BN$200,"&gt;-6",$BR$4:$BR$200,"&gt;=70",$C$4:$C$200,"&lt;20190630",$K$4:$K$200,"&lt;=30"))</f>
        <v>-</v>
      </c>
      <c r="BH62" s="33" t="str">
        <f>IF(OR($C62&gt;20190630,$K62&gt;30,BD62="-",$D62="是",$E62="封闭期",$H62&lt;10,$BN62&lt;-6,$BR62&lt;70),"-",COUNTIFS(BD$4:BD$200,"&lt;&gt;-",$D$4:$D$200,"&lt;&gt;是",$E$4:$E$200,"&lt;&gt;封闭期",$H$4:$H$200,"&gt;10",$BN$4:$BN$200,"&gt;-6",$BR$4:$BR$200,"&gt;=70",$K$4:$K$200,"&lt;=30",$C$4:$C$200,"&lt;20190630",BD$4:BD$200,"&gt;="&amp;BD62)/COUNTIFS(BD$4:BD$200,"&lt;&gt;-",$D$4:$D$200,"&lt;&gt;是",$E$4:$E$200,"&lt;&gt;封闭期",$H$4:$H$200,"&gt;10",$BN$4:$BN$200,"&gt;-6",$BR$4:$BR$200,"&gt;=70",$C$4:$C$200,"&lt;20190630",$K$4:$K$200,"&lt;=30"))</f>
        <v>-</v>
      </c>
      <c r="BI62" s="21">
        <f>[1]!f_risk_maxdownside(A62,$AM$2,$L$2)</f>
        <v>-2.8003613369466955</v>
      </c>
      <c r="BJ62" s="19" t="str">
        <f>IFERROR(RANK(BI62,BI:BI)&amp;"/"&amp;COUNT(BI:BI),"-")</f>
        <v>81/197</v>
      </c>
      <c r="BK62" s="26">
        <f>IFERROR(RANK(BI62,BI:BI)/COUNT(BI:BI),"-")</f>
        <v>0.41116751269035534</v>
      </c>
      <c r="BL62" s="34" t="str">
        <f>IF(OR($C62&gt;20190630,$K62&gt;30,BI62="-",$D62="是",$E62="封闭期",$H62&lt;10,$BN62&lt;-6,$BR62&lt;70),"-",COUNTIFS(BI$4:BI$200,"&lt;&gt;-",$D$4:$D$200,"&lt;&gt;是",$E$4:$E$200,"&lt;&gt;封闭期",$H$4:$H$200,"&gt;10",$BN$4:$BN$200,"&gt;-6",$BR$4:$BR$200,"&gt;=70",$K$4:$K$200,"&lt;=30",$C$4:$C$200,"&lt;20190630",BI$4:BI$200,"&gt;="&amp;BI62)&amp;"/"&amp;COUNTIFS(BI$4:BI$200,"&lt;&gt;-",$D$4:$D$200,"&lt;&gt;是",$E$4:$E$200,"&lt;&gt;封闭期",$H$4:$H$200,"&gt;10",$BN$4:$BN$200,"&gt;-6",$BR$4:$BR$200,"&gt;=70",$C$4:$C$200,"&lt;20190630",$K$4:$K$200,"&lt;=30"))</f>
        <v>-</v>
      </c>
      <c r="BM62" s="33" t="str">
        <f>IF(OR($C62&gt;20190630,$K62&gt;30,BI62="-",$D62="是",$E62="封闭期",$H62&lt;10,$BN62&lt;-6,$BR62&lt;70),"-",COUNTIFS(BI$4:BI$200,"&lt;&gt;-",$D$4:$D$200,"&lt;&gt;是",$E$4:$E$200,"&lt;&gt;封闭期",$H$4:$H$200,"&gt;10",$BN$4:$BN$200,"&gt;-6",$BR$4:$BR$200,"&gt;=70",$K$4:$K$200,"&lt;=30",$C$4:$C$200,"&lt;20190630",BI$4:BI$200,"&gt;="&amp;BI62)/COUNTIFS(BI$4:BI$200,"&lt;&gt;-",$D$4:$D$200,"&lt;&gt;是",$E$4:$E$200,"&lt;&gt;封闭期",$H$4:$H$200,"&gt;10",$BN$4:$BN$200,"&gt;-6",$BR$4:$BR$200,"&gt;=70",$C$4:$C$200,"&lt;20190630",$K$4:$K$200,"&lt;=30"))</f>
        <v>-</v>
      </c>
      <c r="BN62" s="21">
        <f>[1]!f_risk_maxdownside(A62,$AM$2,$E$1)</f>
        <v>-4.2833607907743039</v>
      </c>
      <c r="BO62" s="21">
        <f>IF(C62&lt;20190930,[1]!f_return_2y(A62,"0","20210930"),"-")</f>
        <v>22.810394610202128</v>
      </c>
      <c r="BP62" s="19" t="str">
        <f>IFERROR(RANK(BO62,BO:BO)&amp;"/"&amp;COUNT(BO:BO),"-")</f>
        <v>27/197</v>
      </c>
      <c r="BQ62" s="25">
        <f>IFERROR(RANK(BO62,BO:BO)/COUNT(BO:BO),"-")</f>
        <v>0.13705583756345177</v>
      </c>
      <c r="BR62" s="19">
        <f>IF(C62&lt;20190930,[1]!f_absolute_profitmonthper(A62,"20190930","20210930"),"-")</f>
        <v>62.5</v>
      </c>
      <c r="BS62" s="19" t="str">
        <f>IFERROR(RANK(BR62,BR:BR)&amp;"/"&amp;COUNT(BR:BR),"-")</f>
        <v>142/198</v>
      </c>
      <c r="BT62" s="25">
        <f>IFERROR(RANK(BR62,BR:BR)/COUNT(BR:BR),"-")</f>
        <v>0.71717171717171713</v>
      </c>
      <c r="BV62" s="12">
        <f>X62-3/M62</f>
        <v>2.4416750439662631</v>
      </c>
      <c r="BW62" s="76">
        <f>IFERROR(RANK(BV62,BV:BV)/COUNT(BV:BV),"-")</f>
        <v>0.27918781725888325</v>
      </c>
      <c r="BX62" s="76">
        <f>IFERROR(RANK(L62,L:L)/COUNT(L:L),"-")</f>
        <v>9.0909090909090912E-2</v>
      </c>
      <c r="BY62" s="12">
        <f>AY62-3/AN62</f>
        <v>2.8812597157233881</v>
      </c>
      <c r="BZ62" s="76">
        <f>IFERROR(RANK(BY62,BY:BY)/COUNT(BY:BY),"-")</f>
        <v>0.14213197969543148</v>
      </c>
      <c r="CA62" s="76">
        <f>IFERROR(RANK(AM62,AM:AM)/COUNT(AM:AM),"-")</f>
        <v>0.30303030303030304</v>
      </c>
      <c r="CB62" s="2"/>
      <c r="CC62" s="77">
        <f>AV62+BF62+BZ62+CA62</f>
        <v>0.73450238424857717</v>
      </c>
      <c r="CD62" s="77">
        <f>BW62+BX62+AE62+U62</f>
        <v>1.1213659437009691</v>
      </c>
      <c r="CE62" s="77">
        <f>CC62+CD62</f>
        <v>1.8558683279495463</v>
      </c>
    </row>
    <row r="63" spans="1:83" s="17" customFormat="1" x14ac:dyDescent="0.35">
      <c r="A63" s="3" t="s">
        <v>145</v>
      </c>
      <c r="B63" s="3" t="s">
        <v>146</v>
      </c>
      <c r="C63" s="4">
        <v>20161123</v>
      </c>
      <c r="D63" s="4" t="str">
        <f>[1]!f_info_regulopenfundornot(A63)</f>
        <v>否</v>
      </c>
      <c r="E63" s="4" t="str">
        <f>[1]!f_dq_status(A63,$E$1)</f>
        <v>开放申购|开放赎回</v>
      </c>
      <c r="F63" s="17" t="str">
        <f>[1]!f_info_fundmanager(A63)</f>
        <v>黄华,蒋雯文</v>
      </c>
      <c r="G63" s="4">
        <v>20170405</v>
      </c>
      <c r="H63" s="11">
        <f>[1]!f_netasset_total(A63,$E$1,100000000)</f>
        <v>95.90548736209999</v>
      </c>
      <c r="I63" s="11">
        <f>[1]!f_prt_convertiblebondtonav(A63,$E$1)</f>
        <v>0.45830294489860535</v>
      </c>
      <c r="J63" s="11">
        <f>[1]!f_prt_stocktonav(A63,$E$1)+0.5*I63</f>
        <v>20.255421385169029</v>
      </c>
      <c r="K63" s="12">
        <v>14.364516962398699</v>
      </c>
      <c r="L63" s="19">
        <f>[1]!f_return($A63,"1",L$2,$E$1)</f>
        <v>6.671741912322382</v>
      </c>
      <c r="M63" s="19">
        <f>[1]!f_risk_stdevyearly($A63,L$2,$E$1,1,1)</f>
        <v>5.0391082600294563</v>
      </c>
      <c r="N63" s="12">
        <f>IFERROR(L63/M63,"-")</f>
        <v>1.3239925732977569</v>
      </c>
      <c r="O63" s="12" t="str">
        <f>IFERROR(RANK(N63,N:N)&amp;"/"&amp;COUNT(N:N),"-")</f>
        <v>107/197</v>
      </c>
      <c r="P63" s="26">
        <f>IF(O63="-","-",RANK(N63,N:N)/COUNT(N:N))</f>
        <v>0.54314720812182737</v>
      </c>
      <c r="Q63" s="58">
        <v>0.40101522842639592</v>
      </c>
      <c r="R63" s="33">
        <f>IF(OR($C63&gt;20190630,$K63&gt;30,N63="-",$D63="是",$E63="封闭期",$H63&lt;10,$BN63&lt;-6,$BR63&lt;70),"-",COUNTIFS(N$4:N$200,"&lt;&gt;-",$D$4:$D$200,"&lt;&gt;是",$E$4:$E$200,"&lt;&gt;封闭期",$H$4:$H$200,"&gt;10",$BN$4:$BN$200,"&gt;-6",$BR$4:$BR$200,"&gt;=70",$K$4:$K$200,"&lt;=30",$C$4:$C$200,"&lt;20190630",N$4:N$200,"&gt;="&amp;N63)/COUNTIFS(N$4:N$200,"&lt;&gt;-",$D$4:$D$200,"&lt;&gt;是",$E$4:$E$200,"&lt;&gt;封闭期",$H$4:$H$200,"&gt;10",$BN$4:$BN$200,"&gt;-6",$BR$4:$BR$200,"&gt;=70",$C$4:$C$200,"&lt;20190630",$K$4:$K$200,"&lt;=30"))</f>
        <v>0.82051282051282048</v>
      </c>
      <c r="S63" s="12">
        <f>IFERROR((L63-3)/M63,"-")</f>
        <v>0.72864914243793577</v>
      </c>
      <c r="T63" s="12" t="str">
        <f>IFERROR(RANK(S63,S:S)&amp;"/"&amp;COUNT(S:S),"-")</f>
        <v>101/197</v>
      </c>
      <c r="U63" s="26">
        <f>IFERROR(RANK(S63,S:S)/COUNT(S:S),"-")</f>
        <v>0.51269035532994922</v>
      </c>
      <c r="V63" s="13" t="str">
        <f>IF(OR($C63&gt;20190630,$K63&gt;30,S63="-",$D63="是",$E63="封闭期",$H63&lt;10,$BN63&lt;-6,$BR63&lt;70),"-",COUNTIFS(S$4:S$200,"&lt;&gt;-",$D$4:$D$200,"&lt;&gt;是",$E$4:$E$200,"&lt;&gt;封闭期",$H$4:$H$200,"&gt;10",$BN$4:$BN$200,"&gt;-6",$BR$4:$BR$200,"&gt;=70",$K$4:$K$200,"&lt;=30",$C$4:$C$200,"&lt;20190630",S$4:S$200,"&gt;="&amp;S63)&amp;"/"&amp;COUNTIFS(S$4:S$200,"&lt;&gt;-",$D$4:$D$200,"&lt;&gt;是",$E$4:$E$200,"&lt;&gt;封闭期",$H$4:$H$200,"&gt;10",$BN$4:$BN$200,"&gt;-6",$BR$4:$BR$200,"&gt;=70",$C$4:$C$200,"&lt;20190630",$K$4:$K$200,"&lt;=30"))</f>
        <v>32/39</v>
      </c>
      <c r="W63" s="33">
        <f>IF(OR($C63&gt;20190630,$K63&gt;30,S63="-",$D63="是",$E63="封闭期",$H63&lt;10,$BN63&lt;-6,$BR63&lt;70),"-",COUNTIFS(S$4:S$200,"&lt;&gt;-",$D$4:$D$200,"&lt;&gt;是",$E$4:$E$200,"&lt;&gt;封闭期",$H$4:$H$200,"&gt;10",$BN$4:$BN$200,"&gt;-6",$BR$4:$BR$200,"&gt;=70",$K$4:$K$200,"&lt;=30",$C$4:$C$200,"&lt;20190630",S$4:S$200,"&gt;="&amp;S63)/COUNTIFS(S$4:S$200,"&lt;&gt;-",$D$4:$D$200,"&lt;&gt;是",$E$4:$E$200,"&lt;&gt;封闭期",$H$4:$H$200,"&gt;10",$BN$4:$BN$200,"&gt;-6",$BR$4:$BR$200,"&gt;=70",$C$4:$C$200,"&lt;20190630",$K$4:$K$200,"&lt;=30"))</f>
        <v>0.82051282051282048</v>
      </c>
      <c r="X63" s="19">
        <f>[1]!f_risk_calmar(A63,$L$2,$E$1)</f>
        <v>1.553866182838072</v>
      </c>
      <c r="Y63" s="12" t="str">
        <f>IFERROR(RANK(X63,X:X)&amp;"/"&amp;COUNT(X:X),"-")</f>
        <v>126/197</v>
      </c>
      <c r="Z63" s="26">
        <f>IFERROR(RANK(X63,X:X)/COUNT(X:X),"-")</f>
        <v>0.63959390862944165</v>
      </c>
      <c r="AA63" s="13" t="str">
        <f>IF(OR($C63&gt;20190630,$K63&gt;30,X63="-",$D63="是",$E63="封闭期",$H63&lt;10,$BN63&lt;-6,$BR63&lt;70),"-",COUNTIFS(X$4:X$200,"&lt;&gt;-",$D$4:$D$200,"&lt;&gt;是",$E$4:$E$200,"&lt;&gt;封闭期",$H$4:$H$200,"&gt;10",$BN$4:$BN$200,"&gt;-6",$BR$4:$BR$200,"&gt;=70",$K$4:$K$200,"&lt;=30",$C$4:$C$200,"&lt;20190630",X$4:X$200,"&gt;="&amp;X63)&amp;"/"&amp;COUNTIFS(X$4:X$200,"&lt;&gt;-",$D$4:$D$200,"&lt;&gt;是",$E$4:$E$200,"&lt;&gt;封闭期",$H$4:$H$200,"&gt;10",$BN$4:$BN$200,"&gt;-6",$BR$4:$BR$200,"&gt;=70",$C$4:$C$200,"&lt;20190630",$K$4:$K$200,"&lt;=30"))</f>
        <v>33/39</v>
      </c>
      <c r="AB63" s="33">
        <f>IF(OR($C63&gt;20190630,$K63&gt;30,X63="-",$D63="是",$E63="封闭期",$H63&lt;10,$BN63&lt;-6,$BR63&lt;70),"-",COUNTIFS(X$4:X$200,"&lt;&gt;-",$D$4:$D$200,"&lt;&gt;是",$E$4:$E$200,"&lt;&gt;封闭期",$H$4:$H$200,"&gt;10",$BN$4:$BN$200,"&gt;-6",$BR$4:$BR$200,"&gt;=70",$K$4:$K$200,"&lt;=30",$C$4:$C$200,"&lt;20190630",X$4:X$200,"&gt;="&amp;X63)/COUNTIFS(X$4:X$200,"&lt;&gt;-",$D$4:$D$200,"&lt;&gt;是",$E$4:$E$200,"&lt;&gt;封闭期",$H$4:$H$200,"&gt;10",$BN$4:$BN$200,"&gt;-6",$BR$4:$BR$200,"&gt;=70",$C$4:$C$200,"&lt;20190630",$K$4:$K$200,"&lt;=30"))</f>
        <v>0.84615384615384615</v>
      </c>
      <c r="AC63" s="20">
        <v>0.96638655462184875</v>
      </c>
      <c r="AD63" s="12" t="str">
        <f>IFERROR(RANK(AC63,AC:AC)&amp;"/"&amp;COUNT(AC:AC),"-")</f>
        <v>101/197</v>
      </c>
      <c r="AE63" s="26">
        <f>IFERROR(RANK(AC63,AC:AC)/COUNT(AC:AC),"-")</f>
        <v>0.51269035532994922</v>
      </c>
      <c r="AF63" s="13" t="str">
        <f>IF(OR($C63&gt;20190630,$K63&gt;30,AC63="-",$D63="是",$E63="封闭期",$H63&lt;10,$BN63&lt;-6,$BR63&lt;70),"-",COUNTIFS(AC$4:AC$200,"&lt;&gt;-",$D$4:$D$200,"&lt;&gt;是",$E$4:$E$200,"&lt;&gt;封闭期",$H$4:$H$200,"&gt;10",$BN$4:$BN$200,"&gt;-6",$BR$4:$BR$200,"&gt;=70",$K$4:$K$200,"&lt;=30",$C$4:$C$200,"&lt;20190630",AC$4:AC$200,"&gt;="&amp;AC63)&amp;"/"&amp;COUNTIFS(AC$4:AC$200,"&lt;&gt;-",$D$4:$D$200,"&lt;&gt;是",$E$4:$E$200,"&lt;&gt;封闭期",$H$4:$H$200,"&gt;10",$BN$4:$BN$200,"&gt;-6",$BR$4:$BR$200,"&gt;=70",$C$4:$C$200,"&lt;20190630",$K$4:$K$200,"&lt;=30"))</f>
        <v>32/39</v>
      </c>
      <c r="AG63" s="33">
        <f>IF(OR($C63&gt;20190630,$K63&gt;30,AC63="-",$D63="是",$E63="封闭期",$H63&lt;10,$BN63&lt;-6,$BR63&lt;70),"-",COUNTIFS(AC$4:AC$200,"&lt;&gt;-",$D$4:$D$200,"&lt;&gt;是",$E$4:$E$200,"&lt;&gt;封闭期",$H$4:$H$200,"&gt;10",$BN$4:$BN$200,"&gt;-6",$BR$4:$BR$200,"&gt;=70",$K$4:$K$200,"&lt;=30",$C$4:$C$200,"&lt;20190630",AC$4:AC$200,"&gt;="&amp;AC63)/COUNTIFS(AC$4:AC$200,"&lt;&gt;-",$D$4:$D$200,"&lt;&gt;是",$E$4:$E$200,"&lt;&gt;封闭期",$H$4:$H$200,"&gt;10",$BN$4:$BN$200,"&gt;-6",$BR$4:$BR$200,"&gt;=70",$C$4:$C$200,"&lt;20190630",$K$4:$K$200,"&lt;=30"))</f>
        <v>0.82051282051282048</v>
      </c>
      <c r="AH63" s="21">
        <f>[1]!f_risk_maxdownside(A63,$L$2,$E$1)</f>
        <v>-4.2936399453244567</v>
      </c>
      <c r="AI63" s="19" t="str">
        <f>IFERROR(RANK(AH63,AH:AH)&amp;"/"&amp;COUNT(AH:AH),"-")</f>
        <v>133/197</v>
      </c>
      <c r="AJ63" s="26">
        <f>IFERROR(RANK(AH63,AH:AH)/COUNT(AH:AH),"-")</f>
        <v>0.67512690355329952</v>
      </c>
      <c r="AK63" s="34" t="str">
        <f>IF(OR($C63&gt;20190630,$K63&gt;30,AH63="-",$D63="是",$E63="封闭期",$H63&lt;10,$BN63&lt;-6,$BR63&lt;70),"-",COUNTIFS(AH$4:AH$200,"&lt;&gt;-",$D$4:$D$200,"&lt;&gt;是",$E$4:$E$200,"&lt;&gt;封闭期",$H$4:$H$200,"&gt;10",$BN$4:$BN$200,"&gt;-6",$BR$4:$BR$200,"&gt;=70",$K$4:$K$200,"&lt;=30",$C$4:$C$200,"&lt;20190630",AH$4:AH$200,"&gt;="&amp;AH63)&amp;"/"&amp;COUNTIFS(AH$4:AH$200,"&lt;&gt;-",$D$4:$D$200,"&lt;&gt;是",$E$4:$E$200,"&lt;&gt;封闭期",$H$4:$H$200,"&gt;10",$BN$4:$BN$200,"&gt;-6",$BR$4:$BR$200,"&gt;=70",$C$4:$C$200,"&lt;20190630",$K$4:$K$200,"&lt;=30"))</f>
        <v>36/39</v>
      </c>
      <c r="AL63" s="33">
        <f>IF(OR($C63&gt;20190630,$K63&gt;30,AH63="-",$D63="是",$E63="封闭期",$H63&lt;10,$BN63&lt;-6,$BR63&lt;70),"-",COUNTIFS(AH$4:AH$200,"&lt;&gt;-",$D$4:$D$200,"&lt;&gt;是",$E$4:$E$200,"&lt;&gt;封闭期",$H$4:$H$200,"&gt;10",$BN$4:$BN$200,"&gt;-6",$BR$4:$BR$200,"&gt;=70",$K$4:$K$200,"&lt;=30",$C$4:$C$200,"&lt;20190630",AH$4:AH$200,"&gt;="&amp;AH63)/COUNTIFS(AH$4:AH$200,"&lt;&gt;-",$D$4:$D$200,"&lt;&gt;是",$E$4:$E$200,"&lt;&gt;封闭期",$H$4:$H$200,"&gt;10",$BN$4:$BN$200,"&gt;-6",$BR$4:$BR$200,"&gt;=70",$C$4:$C$200,"&lt;20190630",$K$4:$K$200,"&lt;=30"))</f>
        <v>0.92307692307692313</v>
      </c>
      <c r="AM63" s="19">
        <f>[1]!f_return($A63,"1",AM$2,$L$2)</f>
        <v>9.5389888159749248</v>
      </c>
      <c r="AN63" s="19">
        <f>[1]!f_risk_stdevyearly($A63,AM$2,$L$2,1,1)</f>
        <v>4.3391712618604688</v>
      </c>
      <c r="AO63" s="12">
        <f>IFERROR(AM63/AN63,"-")</f>
        <v>2.1983434716713566</v>
      </c>
      <c r="AP63" s="12" t="str">
        <f>IFERROR(RANK(AO63,AO:AO)&amp;"/"&amp;COUNT(AO:AO),"-")</f>
        <v>34/197</v>
      </c>
      <c r="AQ63" s="26">
        <f>IF(AP63="-","-",RANK(AO63,AO:AO)/COUNT(AO:AO))</f>
        <v>0.17258883248730963</v>
      </c>
      <c r="AR63" s="60">
        <v>0.30456852791878175</v>
      </c>
      <c r="AS63" s="35">
        <f>IF(OR($C63&gt;20190630,$K63&gt;30,AO63="-",$D63="是",$E63="封闭期",$H63&lt;10,$BN63&lt;-6,$BR63&lt;70),"-",COUNTIFS(AO$4:AO$200,"&lt;&gt;-",$D$4:$D$200,"&lt;&gt;是",$E$4:$E$200,"&lt;&gt;封闭期",$H$4:$H$200,"&gt;10",$BN$4:$BN$200,"&gt;-6",$BR$4:$BR$200,"&gt;=70",$K$4:$K$200,"&lt;=30",$C$4:$C$200,"&lt;20190630",AO$4:AO$200,"&gt;="&amp;AO63)/COUNTIFS(AO$4:AO$200,"&lt;&gt;-",$D$4:$D$200,"&lt;&gt;是",$E$4:$E$200,"&lt;&gt;封闭期",$H$4:$H$200,"&gt;10",$BN$4:$BN$200,"&gt;-6",$BR$4:$BR$200,"&gt;=70",$C$4:$C$200,"&lt;20190630",$K$4:$K$200,"&lt;=30"))</f>
        <v>0.30769230769230771</v>
      </c>
      <c r="AT63" s="12">
        <f>IFERROR((AM63-3)/AN63,"-")</f>
        <v>1.5069672113313313</v>
      </c>
      <c r="AU63" s="12" t="str">
        <f>IFERROR(RANK(AT63,AT:AT)&amp;"/"&amp;COUNT(AT:AT),"-")</f>
        <v>30/197</v>
      </c>
      <c r="AV63" s="26">
        <f>IFERROR(RANK(AT63,AT:AT)/COUNT(AT:AT),"-")</f>
        <v>0.15228426395939088</v>
      </c>
      <c r="AW63" s="13" t="str">
        <f>IF(OR($C63&gt;20190630,$K63&gt;30,AT63="-",$D63="是",$E63="封闭期",$H63&lt;10,$BN63&lt;-6,$BR63&lt;70),"-",COUNTIFS(AT$4:AT$200,"&lt;&gt;-",$D$4:$D$200,"&lt;&gt;是",$E$4:$E$200,"&lt;&gt;封闭期",$H$4:$H$200,"&gt;10",$BN$4:$BN$200,"&gt;-6",$BR$4:$BR$200,"&gt;=70",$K$4:$K$200,"&lt;=30",$C$4:$C$200,"&lt;20190630",AT$4:AT$200,"&gt;="&amp;AT63)&amp;"/"&amp;COUNTIFS(AT$4:AT$200,"&lt;&gt;-",$D$4:$D$200,"&lt;&gt;是",$E$4:$E$200,"&lt;&gt;封闭期",$H$4:$H$200,"&gt;10",$BN$4:$BN$200,"&gt;-6",$BR$4:$BR$200,"&gt;=70",$C$4:$C$200,"&lt;20190630",$K$4:$K$200,"&lt;=30"))</f>
        <v>14/39</v>
      </c>
      <c r="AX63" s="33">
        <f>IF(OR($C63&gt;20190630,$K63&gt;30,AT63="-",$D63="是",$E63="封闭期",$H63&lt;10,$BN63&lt;-6,$BR63&lt;70),"-",COUNTIFS(AT$4:AT$200,"&lt;&gt;-",$D$4:$D$200,"&lt;&gt;是",$E$4:$E$200,"&lt;&gt;封闭期",$H$4:$H$200,"&gt;10",$BN$4:$BN$200,"&gt;-6",$BR$4:$BR$200,"&gt;=70",$K$4:$K$200,"&lt;=30",$C$4:$C$200,"&lt;20190630",AT$4:AT$200,"&gt;="&amp;AT63)/COUNTIFS(AT$4:AT$200,"&lt;&gt;-",$D$4:$D$200,"&lt;&gt;是",$E$4:$E$200,"&lt;&gt;封闭期",$H$4:$H$200,"&gt;10",$BN$4:$BN$200,"&gt;-6",$BR$4:$BR$200,"&gt;=70",$C$4:$C$200,"&lt;20190630",$K$4:$K$200,"&lt;=30"))</f>
        <v>0.35897435897435898</v>
      </c>
      <c r="AY63" s="19">
        <f>[1]!f_risk_calmar(A63,$AM$2,$L$2)</f>
        <v>2.7091628141974069</v>
      </c>
      <c r="AZ63" s="12" t="str">
        <f>IFERROR(RANK(AY63,AY:AY)&amp;"/"&amp;COUNT(AY:AY),"-")</f>
        <v>66/197</v>
      </c>
      <c r="BA63" s="26">
        <f>IFERROR(RANK(AY63,AY:AY)/COUNT(AY:AY),"-")</f>
        <v>0.3350253807106599</v>
      </c>
      <c r="BB63" s="13" t="str">
        <f>IF(OR($C63&gt;20190630,$K63&gt;30,AY63="-",$D63="是",$E63="封闭期",$H63&lt;10,$BN63&lt;-6,$BR63&lt;70),"-",COUNTIFS(AY$4:AY$200,"&lt;&gt;-",$D$4:$D$200,"&lt;&gt;是",$E$4:$E$200,"&lt;&gt;封闭期",$H$4:$H$200,"&gt;10",$BN$4:$BN$200,"&gt;-6",$BR$4:$BR$200,"&gt;=70",$K$4:$K$200,"&lt;=30",$C$4:$C$200,"&lt;20190630",AY$4:AY$200,"&gt;="&amp;AY63)&amp;"/"&amp;COUNTIFS(AY$4:AY$200,"&lt;&gt;-",$D$4:$D$200,"&lt;&gt;是",$E$4:$E$200,"&lt;&gt;封闭期",$H$4:$H$200,"&gt;10",$BN$4:$BN$200,"&gt;-6",$BR$4:$BR$200,"&gt;=70",$C$4:$C$200,"&lt;20190630",$K$4:$K$200,"&lt;=30"))</f>
        <v>22/39</v>
      </c>
      <c r="BC63" s="33">
        <f>IF(OR($C63&gt;20190630,$K63&gt;30,AY63="-",$D63="是",$E63="封闭期",$H63&lt;10,$BN63&lt;-6,$BR63&lt;70),"-",COUNTIFS(AY$4:AY$200,"&lt;&gt;-",$D$4:$D$200,"&lt;&gt;是",$E$4:$E$200,"&lt;&gt;封闭期",$H$4:$H$200,"&gt;10",$BN$4:$BN$200,"&gt;-6",$BR$4:$BR$200,"&gt;=70",$K$4:$K$200,"&lt;=30",$C$4:$C$200,"&lt;20190630",AY$4:AY$200,"&gt;="&amp;AY63)/COUNTIFS(AY$4:AY$200,"&lt;&gt;-",$D$4:$D$200,"&lt;&gt;是",$E$4:$E$200,"&lt;&gt;封闭期",$H$4:$H$200,"&gt;10",$BN$4:$BN$200,"&gt;-6",$BR$4:$BR$200,"&gt;=70",$C$4:$C$200,"&lt;20190630",$K$4:$K$200,"&lt;=30"))</f>
        <v>0.5641025641025641</v>
      </c>
      <c r="BD63" s="20">
        <v>1</v>
      </c>
      <c r="BE63" s="12" t="str">
        <f>IFERROR(RANK(BD63,BD:BD)&amp;"/"&amp;COUNT(BD:BD),"-")</f>
        <v>1/197</v>
      </c>
      <c r="BF63" s="26">
        <f>IFERROR(RANK(BD63,BD:BD)/COUNT(BD:BD),"-")</f>
        <v>5.076142131979695E-3</v>
      </c>
      <c r="BG63" s="13" t="str">
        <f>IF(OR($C63&gt;20190630,$K63&gt;30,BD63="-",$D63="是",$E63="封闭期",$H63&lt;10,$BN63&lt;-6,$BR63&lt;70),"-",COUNTIFS(BD$4:BD$200,"&lt;&gt;-",$D$4:$D$200,"&lt;&gt;是",$E$4:$E$200,"&lt;&gt;封闭期",$H$4:$H$200,"&gt;10",$BN$4:$BN$200,"&gt;-6",$BR$4:$BR$200,"&gt;=70",$K$4:$K$200,"&lt;=30",$C$4:$C$200,"&lt;20190630",BD$4:BD$200,"&gt;="&amp;BD63)&amp;"/"&amp;COUNTIFS(BD$4:BD$200,"&lt;&gt;-",$D$4:$D$200,"&lt;&gt;是",$E$4:$E$200,"&lt;&gt;封闭期",$H$4:$H$200,"&gt;10",$BN$4:$BN$200,"&gt;-6",$BR$4:$BR$200,"&gt;=70",$C$4:$C$200,"&lt;20190630",$K$4:$K$200,"&lt;=30"))</f>
        <v>35/39</v>
      </c>
      <c r="BH63" s="33">
        <f>IF(OR($C63&gt;20190630,$K63&gt;30,BD63="-",$D63="是",$E63="封闭期",$H63&lt;10,$BN63&lt;-6,$BR63&lt;70),"-",COUNTIFS(BD$4:BD$200,"&lt;&gt;-",$D$4:$D$200,"&lt;&gt;是",$E$4:$E$200,"&lt;&gt;封闭期",$H$4:$H$200,"&gt;10",$BN$4:$BN$200,"&gt;-6",$BR$4:$BR$200,"&gt;=70",$K$4:$K$200,"&lt;=30",$C$4:$C$200,"&lt;20190630",BD$4:BD$200,"&gt;="&amp;BD63)/COUNTIFS(BD$4:BD$200,"&lt;&gt;-",$D$4:$D$200,"&lt;&gt;是",$E$4:$E$200,"&lt;&gt;封闭期",$H$4:$H$200,"&gt;10",$BN$4:$BN$200,"&gt;-6",$BR$4:$BR$200,"&gt;=70",$C$4:$C$200,"&lt;20190630",$K$4:$K$200,"&lt;=30"))</f>
        <v>0.89743589743589747</v>
      </c>
      <c r="BI63" s="21">
        <f>[1]!f_risk_maxdownside(A63,$AM$2,$L$2)</f>
        <v>-3.5210097990367046</v>
      </c>
      <c r="BJ63" s="19" t="str">
        <f>IFERROR(RANK(BI63,BI:BI)&amp;"/"&amp;COUNT(BI:BI),"-")</f>
        <v>111/197</v>
      </c>
      <c r="BK63" s="26">
        <f>IFERROR(RANK(BI63,BI:BI)/COUNT(BI:BI),"-")</f>
        <v>0.56345177664974622</v>
      </c>
      <c r="BL63" s="34" t="str">
        <f>IF(OR($C63&gt;20190630,$K63&gt;30,BI63="-",$D63="是",$E63="封闭期",$H63&lt;10,$BN63&lt;-6,$BR63&lt;70),"-",COUNTIFS(BI$4:BI$200,"&lt;&gt;-",$D$4:$D$200,"&lt;&gt;是",$E$4:$E$200,"&lt;&gt;封闭期",$H$4:$H$200,"&gt;10",$BN$4:$BN$200,"&gt;-6",$BR$4:$BR$200,"&gt;=70",$K$4:$K$200,"&lt;=30",$C$4:$C$200,"&lt;20190630",BI$4:BI$200,"&gt;="&amp;BI63)&amp;"/"&amp;COUNTIFS(BI$4:BI$200,"&lt;&gt;-",$D$4:$D$200,"&lt;&gt;是",$E$4:$E$200,"&lt;&gt;封闭期",$H$4:$H$200,"&gt;10",$BN$4:$BN$200,"&gt;-6",$BR$4:$BR$200,"&gt;=70",$C$4:$C$200,"&lt;20190630",$K$4:$K$200,"&lt;=30"))</f>
        <v>27/39</v>
      </c>
      <c r="BM63" s="33">
        <f>IF(OR($C63&gt;20190630,$K63&gt;30,BI63="-",$D63="是",$E63="封闭期",$H63&lt;10,$BN63&lt;-6,$BR63&lt;70),"-",COUNTIFS(BI$4:BI$200,"&lt;&gt;-",$D$4:$D$200,"&lt;&gt;是",$E$4:$E$200,"&lt;&gt;封闭期",$H$4:$H$200,"&gt;10",$BN$4:$BN$200,"&gt;-6",$BR$4:$BR$200,"&gt;=70",$K$4:$K$200,"&lt;=30",$C$4:$C$200,"&lt;20190630",BI$4:BI$200,"&gt;="&amp;BI63)/COUNTIFS(BI$4:BI$200,"&lt;&gt;-",$D$4:$D$200,"&lt;&gt;是",$E$4:$E$200,"&lt;&gt;封闭期",$H$4:$H$200,"&gt;10",$BN$4:$BN$200,"&gt;-6",$BR$4:$BR$200,"&gt;=70",$C$4:$C$200,"&lt;20190630",$K$4:$K$200,"&lt;=30"))</f>
        <v>0.69230769230769229</v>
      </c>
      <c r="BN63" s="21">
        <f>[1]!f_risk_maxdownside(A63,$AM$2,$E$1)</f>
        <v>-4.2936399453244567</v>
      </c>
      <c r="BO63" s="14">
        <f>IF(C63&lt;20190930,[1]!f_return_2y(A63,"0","20210930"),"-")</f>
        <v>17.059962807794498</v>
      </c>
      <c r="BP63" s="12" t="str">
        <f>IFERROR(RANK(BO63,BO:BO)&amp;"/"&amp;COUNT(BO:BO),"-")</f>
        <v>62/197</v>
      </c>
      <c r="BQ63" s="25">
        <f>IFERROR(RANK(BO63,BO:BO)/COUNT(BO:BO),"-")</f>
        <v>0.31472081218274112</v>
      </c>
      <c r="BR63" s="12">
        <f>IF(C63&lt;20190930,[1]!f_absolute_profitmonthper(A63,"20190930","20210930"),"-")</f>
        <v>70.833333333333343</v>
      </c>
      <c r="BS63" s="12" t="str">
        <f>IFERROR(RANK(BR63,BR:BR)&amp;"/"&amp;COUNT(BR:BR),"-")</f>
        <v>55/198</v>
      </c>
      <c r="BT63" s="25">
        <f>IFERROR(RANK(BR63,BR:BR)/COUNT(BR:BR),"-")</f>
        <v>0.27777777777777779</v>
      </c>
      <c r="BV63" s="12">
        <f>X63-3/M63</f>
        <v>0.95852275197825088</v>
      </c>
      <c r="BW63" s="76">
        <f>IFERROR(RANK(BV63,BV:BV)/COUNT(BV:BV),"-")</f>
        <v>0.61928934010152281</v>
      </c>
      <c r="BX63" s="76">
        <f>IFERROR(RANK(L63,L:L)/COUNT(L:L),"-")</f>
        <v>0.40404040404040403</v>
      </c>
      <c r="BY63" s="12">
        <f>AY63-3/AN63</f>
        <v>2.0177865538573814</v>
      </c>
      <c r="BZ63" s="76">
        <f>IFERROR(RANK(BY63,BY:BY)/COUNT(BY:BY),"-")</f>
        <v>0.3350253807106599</v>
      </c>
      <c r="CA63" s="76">
        <f>IFERROR(RANK(AM63,AM:AM)/COUNT(AM:AM),"-")</f>
        <v>0.30808080808080807</v>
      </c>
      <c r="CB63" s="2"/>
      <c r="CC63" s="77">
        <f>AV63+BF63+BZ63+CA63</f>
        <v>0.80046659488283856</v>
      </c>
      <c r="CD63" s="77">
        <f>BW63+BX63+AE63+U63</f>
        <v>2.0487104548018253</v>
      </c>
      <c r="CE63" s="77">
        <f>CC63+CD63</f>
        <v>2.849177049684664</v>
      </c>
    </row>
    <row r="64" spans="1:83" s="17" customFormat="1" x14ac:dyDescent="0.35">
      <c r="A64" s="15" t="s">
        <v>223</v>
      </c>
      <c r="B64" s="15" t="s">
        <v>224</v>
      </c>
      <c r="C64" s="16">
        <v>20160217</v>
      </c>
      <c r="D64" s="16" t="str">
        <f>[1]!f_info_regulopenfundornot(A64)</f>
        <v>是</v>
      </c>
      <c r="E64" s="16" t="str">
        <f>[1]!f_dq_status(A64,$E$1)</f>
        <v>暂停申购|暂停赎回</v>
      </c>
      <c r="F64" s="17" t="str">
        <f>[1]!f_info_fundmanager(A64)</f>
        <v>吴江宏</v>
      </c>
      <c r="G64" s="16">
        <v>20190828</v>
      </c>
      <c r="H64" s="18">
        <f>[1]!f_netasset_total(A64,$E$1,100000000)</f>
        <v>12.4351602995</v>
      </c>
      <c r="I64" s="18">
        <f>[1]!f_prt_convertiblebondtonav(A64,$E$1)</f>
        <v>11.680988311767578</v>
      </c>
      <c r="J64" s="18">
        <f>[1]!f_prt_stocktonav(A64,$E$1)+0.5*I64</f>
        <v>22.64398193359375</v>
      </c>
      <c r="K64" s="19">
        <v>12.14057530131479</v>
      </c>
      <c r="L64" s="19">
        <f>[1]!f_return($A64,"1",L$2,$E$1)</f>
        <v>8.3400179352979276</v>
      </c>
      <c r="M64" s="19">
        <f>[1]!f_risk_stdevyearly($A64,L$2,$E$1,1,1)</f>
        <v>4.7170305065538773</v>
      </c>
      <c r="N64" s="19">
        <f>IFERROR(L64/M64,"-")</f>
        <v>1.7680652952551916</v>
      </c>
      <c r="O64" s="19" t="str">
        <f>IFERROR(RANK(N64,N:N)&amp;"/"&amp;COUNT(N:N),"-")</f>
        <v>63/197</v>
      </c>
      <c r="P64" s="26">
        <f>IF(O64="-","-",RANK(N64,N:N)/COUNT(N:N))</f>
        <v>0.31979695431472083</v>
      </c>
      <c r="Q64" s="56">
        <v>0.25888324873096447</v>
      </c>
      <c r="R64" s="33" t="str">
        <f>IF(OR($C64&gt;20190630,$K64&gt;30,N64="-",$D64="是",$E64="封闭期",$H64&lt;10,$BN64&lt;-6,$BR64&lt;70),"-",COUNTIFS(N$4:N$200,"&lt;&gt;-",$D$4:$D$200,"&lt;&gt;是",$E$4:$E$200,"&lt;&gt;封闭期",$H$4:$H$200,"&gt;10",$BN$4:$BN$200,"&gt;-6",$BR$4:$BR$200,"&gt;=70",$K$4:$K$200,"&lt;=30",$C$4:$C$200,"&lt;20190630",N$4:N$200,"&gt;="&amp;N64)/COUNTIFS(N$4:N$200,"&lt;&gt;-",$D$4:$D$200,"&lt;&gt;是",$E$4:$E$200,"&lt;&gt;封闭期",$H$4:$H$200,"&gt;10",$BN$4:$BN$200,"&gt;-6",$BR$4:$BR$200,"&gt;=70",$C$4:$C$200,"&lt;20190630",$K$4:$K$200,"&lt;=30"))</f>
        <v>-</v>
      </c>
      <c r="S64" s="19">
        <f>IFERROR((L64-3)/M64,"-")</f>
        <v>1.1320719524451808</v>
      </c>
      <c r="T64" s="19" t="str">
        <f>IFERROR(RANK(S64,S:S)&amp;"/"&amp;COUNT(S:S),"-")</f>
        <v>65/197</v>
      </c>
      <c r="U64" s="26">
        <f>IFERROR(RANK(S64,S:S)/COUNT(S:S),"-")</f>
        <v>0.32994923857868019</v>
      </c>
      <c r="V64" s="34" t="str">
        <f>IF(OR($C64&gt;20190630,$K64&gt;30,S64="-",$D64="是",$E64="封闭期",$H64&lt;10,$BN64&lt;-6,$BR64&lt;70),"-",COUNTIFS(S$4:S$200,"&lt;&gt;-",$D$4:$D$200,"&lt;&gt;是",$E$4:$E$200,"&lt;&gt;封闭期",$H$4:$H$200,"&gt;10",$BN$4:$BN$200,"&gt;-6",$BR$4:$BR$200,"&gt;=70",$K$4:$K$200,"&lt;=30",$C$4:$C$200,"&lt;20190630",S$4:S$200,"&gt;="&amp;S64)&amp;"/"&amp;COUNTIFS(S$4:S$200,"&lt;&gt;-",$D$4:$D$200,"&lt;&gt;是",$E$4:$E$200,"&lt;&gt;封闭期",$H$4:$H$200,"&gt;10",$BN$4:$BN$200,"&gt;-6",$BR$4:$BR$200,"&gt;=70",$C$4:$C$200,"&lt;20190630",$K$4:$K$200,"&lt;=30"))</f>
        <v>-</v>
      </c>
      <c r="W64" s="33" t="str">
        <f>IF(OR($C64&gt;20190630,$K64&gt;30,S64="-",$D64="是",$E64="封闭期",$H64&lt;10,$BN64&lt;-6,$BR64&lt;70),"-",COUNTIFS(S$4:S$200,"&lt;&gt;-",$D$4:$D$200,"&lt;&gt;是",$E$4:$E$200,"&lt;&gt;封闭期",$H$4:$H$200,"&gt;10",$BN$4:$BN$200,"&gt;-6",$BR$4:$BR$200,"&gt;=70",$K$4:$K$200,"&lt;=30",$C$4:$C$200,"&lt;20190630",S$4:S$200,"&gt;="&amp;S64)/COUNTIFS(S$4:S$200,"&lt;&gt;-",$D$4:$D$200,"&lt;&gt;是",$E$4:$E$200,"&lt;&gt;封闭期",$H$4:$H$200,"&gt;10",$BN$4:$BN$200,"&gt;-6",$BR$4:$BR$200,"&gt;=70",$C$4:$C$200,"&lt;20190630",$K$4:$K$200,"&lt;=30"))</f>
        <v>-</v>
      </c>
      <c r="X64" s="19">
        <f>[1]!f_risk_calmar(A64,$L$2,$E$1)</f>
        <v>2.2438619683063576</v>
      </c>
      <c r="Y64" s="19" t="str">
        <f>IFERROR(RANK(X64,X:X)&amp;"/"&amp;COUNT(X:X),"-")</f>
        <v>85/197</v>
      </c>
      <c r="Z64" s="26">
        <f>IFERROR(RANK(X64,X:X)/COUNT(X:X),"-")</f>
        <v>0.43147208121827413</v>
      </c>
      <c r="AA64" s="34" t="str">
        <f>IF(OR($C64&gt;20190630,$K64&gt;30,X64="-",$D64="是",$E64="封闭期",$H64&lt;10,$BN64&lt;-6,$BR64&lt;70),"-",COUNTIFS(X$4:X$200,"&lt;&gt;-",$D$4:$D$200,"&lt;&gt;是",$E$4:$E$200,"&lt;&gt;封闭期",$H$4:$H$200,"&gt;10",$BN$4:$BN$200,"&gt;-6",$BR$4:$BR$200,"&gt;=70",$K$4:$K$200,"&lt;=30",$C$4:$C$200,"&lt;20190630",X$4:X$200,"&gt;="&amp;X64)&amp;"/"&amp;COUNTIFS(X$4:X$200,"&lt;&gt;-",$D$4:$D$200,"&lt;&gt;是",$E$4:$E$200,"&lt;&gt;封闭期",$H$4:$H$200,"&gt;10",$BN$4:$BN$200,"&gt;-6",$BR$4:$BR$200,"&gt;=70",$C$4:$C$200,"&lt;20190630",$K$4:$K$200,"&lt;=30"))</f>
        <v>-</v>
      </c>
      <c r="AB64" s="33" t="str">
        <f>IF(OR($C64&gt;20190630,$K64&gt;30,X64="-",$D64="是",$E64="封闭期",$H64&lt;10,$BN64&lt;-6,$BR64&lt;70),"-",COUNTIFS(X$4:X$200,"&lt;&gt;-",$D$4:$D$200,"&lt;&gt;是",$E$4:$E$200,"&lt;&gt;封闭期",$H$4:$H$200,"&gt;10",$BN$4:$BN$200,"&gt;-6",$BR$4:$BR$200,"&gt;=70",$K$4:$K$200,"&lt;=30",$C$4:$C$200,"&lt;20190630",X$4:X$200,"&gt;="&amp;X64)/COUNTIFS(X$4:X$200,"&lt;&gt;-",$D$4:$D$200,"&lt;&gt;是",$E$4:$E$200,"&lt;&gt;封闭期",$H$4:$H$200,"&gt;10",$BN$4:$BN$200,"&gt;-6",$BR$4:$BR$200,"&gt;=70",$C$4:$C$200,"&lt;20190630",$K$4:$K$200,"&lt;=30"))</f>
        <v>-</v>
      </c>
      <c r="AC64" s="20">
        <v>1</v>
      </c>
      <c r="AD64" s="19" t="str">
        <f>IFERROR(RANK(AC64,AC:AC)&amp;"/"&amp;COUNT(AC:AC),"-")</f>
        <v>1/197</v>
      </c>
      <c r="AE64" s="26">
        <f>IFERROR(RANK(AC64,AC:AC)/COUNT(AC:AC),"-")</f>
        <v>5.076142131979695E-3</v>
      </c>
      <c r="AF64" s="34" t="str">
        <f>IF(OR($C64&gt;20190630,$K64&gt;30,AC64="-",$D64="是",$E64="封闭期",$H64&lt;10,$BN64&lt;-6,$BR64&lt;70),"-",COUNTIFS(AC$4:AC$200,"&lt;&gt;-",$D$4:$D$200,"&lt;&gt;是",$E$4:$E$200,"&lt;&gt;封闭期",$H$4:$H$200,"&gt;10",$BN$4:$BN$200,"&gt;-6",$BR$4:$BR$200,"&gt;=70",$K$4:$K$200,"&lt;=30",$C$4:$C$200,"&lt;20190630",AC$4:AC$200,"&gt;="&amp;AC64)&amp;"/"&amp;COUNTIFS(AC$4:AC$200,"&lt;&gt;-",$D$4:$D$200,"&lt;&gt;是",$E$4:$E$200,"&lt;&gt;封闭期",$H$4:$H$200,"&gt;10",$BN$4:$BN$200,"&gt;-6",$BR$4:$BR$200,"&gt;=70",$C$4:$C$200,"&lt;20190630",$K$4:$K$200,"&lt;=30"))</f>
        <v>-</v>
      </c>
      <c r="AG64" s="33" t="str">
        <f>IF(OR($C64&gt;20190630,$K64&gt;30,AC64="-",$D64="是",$E64="封闭期",$H64&lt;10,$BN64&lt;-6,$BR64&lt;70),"-",COUNTIFS(AC$4:AC$200,"&lt;&gt;-",$D$4:$D$200,"&lt;&gt;是",$E$4:$E$200,"&lt;&gt;封闭期",$H$4:$H$200,"&gt;10",$BN$4:$BN$200,"&gt;-6",$BR$4:$BR$200,"&gt;=70",$K$4:$K$200,"&lt;=30",$C$4:$C$200,"&lt;20190630",AC$4:AC$200,"&gt;="&amp;AC64)/COUNTIFS(AC$4:AC$200,"&lt;&gt;-",$D$4:$D$200,"&lt;&gt;是",$E$4:$E$200,"&lt;&gt;封闭期",$H$4:$H$200,"&gt;10",$BN$4:$BN$200,"&gt;-6",$BR$4:$BR$200,"&gt;=70",$C$4:$C$200,"&lt;20190630",$K$4:$K$200,"&lt;=30"))</f>
        <v>-</v>
      </c>
      <c r="AH64" s="21">
        <f>[1]!f_risk_maxdownside(A64,$L$2,$E$1)</f>
        <v>-3.7168141592920181</v>
      </c>
      <c r="AI64" s="19" t="str">
        <f>IFERROR(RANK(AH64,AH:AH)&amp;"/"&amp;COUNT(AH:AH),"-")</f>
        <v>116/197</v>
      </c>
      <c r="AJ64" s="26">
        <f>IFERROR(RANK(AH64,AH:AH)/COUNT(AH:AH),"-")</f>
        <v>0.58883248730964466</v>
      </c>
      <c r="AK64" s="34" t="str">
        <f>IF(OR($C64&gt;20190630,$K64&gt;30,AH64="-",$D64="是",$E64="封闭期",$H64&lt;10,$BN64&lt;-6,$BR64&lt;70),"-",COUNTIFS(AH$4:AH$200,"&lt;&gt;-",$D$4:$D$200,"&lt;&gt;是",$E$4:$E$200,"&lt;&gt;封闭期",$H$4:$H$200,"&gt;10",$BN$4:$BN$200,"&gt;-6",$BR$4:$BR$200,"&gt;=70",$K$4:$K$200,"&lt;=30",$C$4:$C$200,"&lt;20190630",AH$4:AH$200,"&gt;="&amp;AH64)&amp;"/"&amp;COUNTIFS(AH$4:AH$200,"&lt;&gt;-",$D$4:$D$200,"&lt;&gt;是",$E$4:$E$200,"&lt;&gt;封闭期",$H$4:$H$200,"&gt;10",$BN$4:$BN$200,"&gt;-6",$BR$4:$BR$200,"&gt;=70",$C$4:$C$200,"&lt;20190630",$K$4:$K$200,"&lt;=30"))</f>
        <v>-</v>
      </c>
      <c r="AL64" s="33" t="str">
        <f>IF(OR($C64&gt;20190630,$K64&gt;30,AH64="-",$D64="是",$E64="封闭期",$H64&lt;10,$BN64&lt;-6,$BR64&lt;70),"-",COUNTIFS(AH$4:AH$200,"&lt;&gt;-",$D$4:$D$200,"&lt;&gt;是",$E$4:$E$200,"&lt;&gt;封闭期",$H$4:$H$200,"&gt;10",$BN$4:$BN$200,"&gt;-6",$BR$4:$BR$200,"&gt;=70",$K$4:$K$200,"&lt;=30",$C$4:$C$200,"&lt;20190630",AH$4:AH$200,"&gt;="&amp;AH64)/COUNTIFS(AH$4:AH$200,"&lt;&gt;-",$D$4:$D$200,"&lt;&gt;是",$E$4:$E$200,"&lt;&gt;封闭期",$H$4:$H$200,"&gt;10",$BN$4:$BN$200,"&gt;-6",$BR$4:$BR$200,"&gt;=70",$C$4:$C$200,"&lt;20190630",$K$4:$K$200,"&lt;=30"))</f>
        <v>-</v>
      </c>
      <c r="AM64" s="19">
        <f>[1]!f_return($A64,"1",AM$2,$L$2)</f>
        <v>9.3489828094964977</v>
      </c>
      <c r="AN64" s="19">
        <f>[1]!f_risk_stdevyearly($A64,AM$2,$L$2,1,1)</f>
        <v>3.689085142009584</v>
      </c>
      <c r="AO64" s="19">
        <f>IFERROR(AM64/AN64,"-")</f>
        <v>2.5342279859672074</v>
      </c>
      <c r="AP64" s="19" t="str">
        <f>IFERROR(RANK(AO64,AO:AO)&amp;"/"&amp;COUNT(AO:AO),"-")</f>
        <v>20/197</v>
      </c>
      <c r="AQ64" s="26">
        <f>IF(AP64="-","-",RANK(AO64,AO:AO)/COUNT(AO:AO))</f>
        <v>0.10152284263959391</v>
      </c>
      <c r="AR64" s="57">
        <v>0.30964467005076141</v>
      </c>
      <c r="AS64" s="33" t="str">
        <f>IF(OR($C64&gt;20190630,$K64&gt;30,AO64="-",$D64="是",$E64="封闭期",$H64&lt;10,$BN64&lt;-6,$BR64&lt;70),"-",COUNTIFS(AO$4:AO$200,"&lt;&gt;-",$D$4:$D$200,"&lt;&gt;是",$E$4:$E$200,"&lt;&gt;封闭期",$H$4:$H$200,"&gt;10",$BN$4:$BN$200,"&gt;-6",$BR$4:$BR$200,"&gt;=70",$K$4:$K$200,"&lt;=30",$C$4:$C$200,"&lt;20190630",AO$4:AO$200,"&gt;="&amp;AO64)/COUNTIFS(AO$4:AO$200,"&lt;&gt;-",$D$4:$D$200,"&lt;&gt;是",$E$4:$E$200,"&lt;&gt;封闭期",$H$4:$H$200,"&gt;10",$BN$4:$BN$200,"&gt;-6",$BR$4:$BR$200,"&gt;=70",$C$4:$C$200,"&lt;20190630",$K$4:$K$200,"&lt;=30"))</f>
        <v>-</v>
      </c>
      <c r="AT64" s="19">
        <f>IFERROR((AM64-3)/AN64,"-")</f>
        <v>1.7210182376105223</v>
      </c>
      <c r="AU64" s="19" t="str">
        <f>IFERROR(RANK(AT64,AT:AT)&amp;"/"&amp;COUNT(AT:AT),"-")</f>
        <v>20/197</v>
      </c>
      <c r="AV64" s="26">
        <f>IFERROR(RANK(AT64,AT:AT)/COUNT(AT:AT),"-")</f>
        <v>0.10152284263959391</v>
      </c>
      <c r="AW64" s="34" t="str">
        <f>IF(OR($C64&gt;20190630,$K64&gt;30,AT64="-",$D64="是",$E64="封闭期",$H64&lt;10,$BN64&lt;-6,$BR64&lt;70),"-",COUNTIFS(AT$4:AT$200,"&lt;&gt;-",$D$4:$D$200,"&lt;&gt;是",$E$4:$E$200,"&lt;&gt;封闭期",$H$4:$H$200,"&gt;10",$BN$4:$BN$200,"&gt;-6",$BR$4:$BR$200,"&gt;=70",$K$4:$K$200,"&lt;=30",$C$4:$C$200,"&lt;20190630",AT$4:AT$200,"&gt;="&amp;AT64)&amp;"/"&amp;COUNTIFS(AT$4:AT$200,"&lt;&gt;-",$D$4:$D$200,"&lt;&gt;是",$E$4:$E$200,"&lt;&gt;封闭期",$H$4:$H$200,"&gt;10",$BN$4:$BN$200,"&gt;-6",$BR$4:$BR$200,"&gt;=70",$C$4:$C$200,"&lt;20190630",$K$4:$K$200,"&lt;=30"))</f>
        <v>-</v>
      </c>
      <c r="AX64" s="33" t="str">
        <f>IF(OR($C64&gt;20190630,$K64&gt;30,AT64="-",$D64="是",$E64="封闭期",$H64&lt;10,$BN64&lt;-6,$BR64&lt;70),"-",COUNTIFS(AT$4:AT$200,"&lt;&gt;-",$D$4:$D$200,"&lt;&gt;是",$E$4:$E$200,"&lt;&gt;封闭期",$H$4:$H$200,"&gt;10",$BN$4:$BN$200,"&gt;-6",$BR$4:$BR$200,"&gt;=70",$K$4:$K$200,"&lt;=30",$C$4:$C$200,"&lt;20190630",AT$4:AT$200,"&gt;="&amp;AT64)/COUNTIFS(AT$4:AT$200,"&lt;&gt;-",$D$4:$D$200,"&lt;&gt;是",$E$4:$E$200,"&lt;&gt;封闭期",$H$4:$H$200,"&gt;10",$BN$4:$BN$200,"&gt;-6",$BR$4:$BR$200,"&gt;=70",$C$4:$C$200,"&lt;20190630",$K$4:$K$200,"&lt;=30"))</f>
        <v>-</v>
      </c>
      <c r="AY64" s="19">
        <f>[1]!f_risk_calmar(A64,$AM$2,$L$2)</f>
        <v>4.5130089744024273</v>
      </c>
      <c r="AZ64" s="19" t="str">
        <f>IFERROR(RANK(AY64,AY:AY)&amp;"/"&amp;COUNT(AY:AY),"-")</f>
        <v>16/197</v>
      </c>
      <c r="BA64" s="26">
        <f>IFERROR(RANK(AY64,AY:AY)/COUNT(AY:AY),"-")</f>
        <v>8.1218274111675121E-2</v>
      </c>
      <c r="BB64" s="34" t="str">
        <f>IF(OR($C64&gt;20190630,$K64&gt;30,AY64="-",$D64="是",$E64="封闭期",$H64&lt;10,$BN64&lt;-6,$BR64&lt;70),"-",COUNTIFS(AY$4:AY$200,"&lt;&gt;-",$D$4:$D$200,"&lt;&gt;是",$E$4:$E$200,"&lt;&gt;封闭期",$H$4:$H$200,"&gt;10",$BN$4:$BN$200,"&gt;-6",$BR$4:$BR$200,"&gt;=70",$K$4:$K$200,"&lt;=30",$C$4:$C$200,"&lt;20190630",AY$4:AY$200,"&gt;="&amp;AY64)&amp;"/"&amp;COUNTIFS(AY$4:AY$200,"&lt;&gt;-",$D$4:$D$200,"&lt;&gt;是",$E$4:$E$200,"&lt;&gt;封闭期",$H$4:$H$200,"&gt;10",$BN$4:$BN$200,"&gt;-6",$BR$4:$BR$200,"&gt;=70",$C$4:$C$200,"&lt;20190630",$K$4:$K$200,"&lt;=30"))</f>
        <v>-</v>
      </c>
      <c r="BC64" s="33" t="str">
        <f>IF(OR($C64&gt;20190630,$K64&gt;30,AY64="-",$D64="是",$E64="封闭期",$H64&lt;10,$BN64&lt;-6,$BR64&lt;70),"-",COUNTIFS(AY$4:AY$200,"&lt;&gt;-",$D$4:$D$200,"&lt;&gt;是",$E$4:$E$200,"&lt;&gt;封闭期",$H$4:$H$200,"&gt;10",$BN$4:$BN$200,"&gt;-6",$BR$4:$BR$200,"&gt;=70",$K$4:$K$200,"&lt;=30",$C$4:$C$200,"&lt;20190630",AY$4:AY$200,"&gt;="&amp;AY64)/COUNTIFS(AY$4:AY$200,"&lt;&gt;-",$D$4:$D$200,"&lt;&gt;是",$E$4:$E$200,"&lt;&gt;封闭期",$H$4:$H$200,"&gt;10",$BN$4:$BN$200,"&gt;-6",$BR$4:$BR$200,"&gt;=70",$C$4:$C$200,"&lt;20190630",$K$4:$K$200,"&lt;=30"))</f>
        <v>-</v>
      </c>
      <c r="BD64" s="20">
        <v>1</v>
      </c>
      <c r="BE64" s="19" t="str">
        <f>IFERROR(RANK(BD64,BD:BD)&amp;"/"&amp;COUNT(BD:BD),"-")</f>
        <v>1/197</v>
      </c>
      <c r="BF64" s="26">
        <f>IFERROR(RANK(BD64,BD:BD)/COUNT(BD:BD),"-")</f>
        <v>5.076142131979695E-3</v>
      </c>
      <c r="BG64" s="34" t="str">
        <f>IF(OR($C64&gt;20190630,$K64&gt;30,BD64="-",$D64="是",$E64="封闭期",$H64&lt;10,$BN64&lt;-6,$BR64&lt;70),"-",COUNTIFS(BD$4:BD$200,"&lt;&gt;-",$D$4:$D$200,"&lt;&gt;是",$E$4:$E$200,"&lt;&gt;封闭期",$H$4:$H$200,"&gt;10",$BN$4:$BN$200,"&gt;-6",$BR$4:$BR$200,"&gt;=70",$K$4:$K$200,"&lt;=30",$C$4:$C$200,"&lt;20190630",BD$4:BD$200,"&gt;="&amp;BD64)&amp;"/"&amp;COUNTIFS(BD$4:BD$200,"&lt;&gt;-",$D$4:$D$200,"&lt;&gt;是",$E$4:$E$200,"&lt;&gt;封闭期",$H$4:$H$200,"&gt;10",$BN$4:$BN$200,"&gt;-6",$BR$4:$BR$200,"&gt;=70",$C$4:$C$200,"&lt;20190630",$K$4:$K$200,"&lt;=30"))</f>
        <v>-</v>
      </c>
      <c r="BH64" s="33" t="str">
        <f>IF(OR($C64&gt;20190630,$K64&gt;30,BD64="-",$D64="是",$E64="封闭期",$H64&lt;10,$BN64&lt;-6,$BR64&lt;70),"-",COUNTIFS(BD$4:BD$200,"&lt;&gt;-",$D$4:$D$200,"&lt;&gt;是",$E$4:$E$200,"&lt;&gt;封闭期",$H$4:$H$200,"&gt;10",$BN$4:$BN$200,"&gt;-6",$BR$4:$BR$200,"&gt;=70",$K$4:$K$200,"&lt;=30",$C$4:$C$200,"&lt;20190630",BD$4:BD$200,"&gt;="&amp;BD64)/COUNTIFS(BD$4:BD$200,"&lt;&gt;-",$D$4:$D$200,"&lt;&gt;是",$E$4:$E$200,"&lt;&gt;封闭期",$H$4:$H$200,"&gt;10",$BN$4:$BN$200,"&gt;-6",$BR$4:$BR$200,"&gt;=70",$C$4:$C$200,"&lt;20190630",$K$4:$K$200,"&lt;=30"))</f>
        <v>-</v>
      </c>
      <c r="BI64" s="21">
        <f>[1]!f_risk_maxdownside(A64,$AM$2,$L$2)</f>
        <v>-2.0715630885122285</v>
      </c>
      <c r="BJ64" s="19" t="str">
        <f>IFERROR(RANK(BI64,BI:BI)&amp;"/"&amp;COUNT(BI:BI),"-")</f>
        <v>38/197</v>
      </c>
      <c r="BK64" s="26">
        <f>IFERROR(RANK(BI64,BI:BI)/COUNT(BI:BI),"-")</f>
        <v>0.19289340101522842</v>
      </c>
      <c r="BL64" s="34" t="str">
        <f>IF(OR($C64&gt;20190630,$K64&gt;30,BI64="-",$D64="是",$E64="封闭期",$H64&lt;10,$BN64&lt;-6,$BR64&lt;70),"-",COUNTIFS(BI$4:BI$200,"&lt;&gt;-",$D$4:$D$200,"&lt;&gt;是",$E$4:$E$200,"&lt;&gt;封闭期",$H$4:$H$200,"&gt;10",$BN$4:$BN$200,"&gt;-6",$BR$4:$BR$200,"&gt;=70",$K$4:$K$200,"&lt;=30",$C$4:$C$200,"&lt;20190630",BI$4:BI$200,"&gt;="&amp;BI64)&amp;"/"&amp;COUNTIFS(BI$4:BI$200,"&lt;&gt;-",$D$4:$D$200,"&lt;&gt;是",$E$4:$E$200,"&lt;&gt;封闭期",$H$4:$H$200,"&gt;10",$BN$4:$BN$200,"&gt;-6",$BR$4:$BR$200,"&gt;=70",$C$4:$C$200,"&lt;20190630",$K$4:$K$200,"&lt;=30"))</f>
        <v>-</v>
      </c>
      <c r="BM64" s="33" t="str">
        <f>IF(OR($C64&gt;20190630,$K64&gt;30,BI64="-",$D64="是",$E64="封闭期",$H64&lt;10,$BN64&lt;-6,$BR64&lt;70),"-",COUNTIFS(BI$4:BI$200,"&lt;&gt;-",$D$4:$D$200,"&lt;&gt;是",$E$4:$E$200,"&lt;&gt;封闭期",$H$4:$H$200,"&gt;10",$BN$4:$BN$200,"&gt;-6",$BR$4:$BR$200,"&gt;=70",$K$4:$K$200,"&lt;=30",$C$4:$C$200,"&lt;20190630",BI$4:BI$200,"&gt;="&amp;BI64)/COUNTIFS(BI$4:BI$200,"&lt;&gt;-",$D$4:$D$200,"&lt;&gt;是",$E$4:$E$200,"&lt;&gt;封闭期",$H$4:$H$200,"&gt;10",$BN$4:$BN$200,"&gt;-6",$BR$4:$BR$200,"&gt;=70",$C$4:$C$200,"&lt;20190630",$K$4:$K$200,"&lt;=30"))</f>
        <v>-</v>
      </c>
      <c r="BN64" s="21">
        <f>[1]!f_risk_maxdownside(A64,$AM$2,$E$1)</f>
        <v>-3.7168141592920181</v>
      </c>
      <c r="BO64" s="21">
        <f>IF(C64&lt;20190930,[1]!f_return_2y(A64,"0","20210930"),"-")</f>
        <v>18.552753747620006</v>
      </c>
      <c r="BP64" s="19" t="str">
        <f>IFERROR(RANK(BO64,BO:BO)&amp;"/"&amp;COUNT(BO:BO),"-")</f>
        <v>48/197</v>
      </c>
      <c r="BQ64" s="25">
        <f>IFERROR(RANK(BO64,BO:BO)/COUNT(BO:BO),"-")</f>
        <v>0.24365482233502539</v>
      </c>
      <c r="BR64" s="19">
        <f>IF(C64&lt;20190930,[1]!f_absolute_profitmonthper(A64,"20190930","20210930"),"-")</f>
        <v>66.666666666666657</v>
      </c>
      <c r="BS64" s="19" t="str">
        <f>IFERROR(RANK(BR64,BR:BR)&amp;"/"&amp;COUNT(BR:BR),"-")</f>
        <v>115/198</v>
      </c>
      <c r="BT64" s="25">
        <f>IFERROR(RANK(BR64,BR:BR)/COUNT(BR:BR),"-")</f>
        <v>0.58080808080808077</v>
      </c>
      <c r="BV64" s="12">
        <f>X64-3/M64</f>
        <v>1.6078686254963466</v>
      </c>
      <c r="BW64" s="76">
        <f>IFERROR(RANK(BV64,BV:BV)/COUNT(BV:BV),"-")</f>
        <v>0.41116751269035534</v>
      </c>
      <c r="BX64" s="76">
        <f>IFERROR(RANK(L64,L:L)/COUNT(L:L),"-")</f>
        <v>0.26262626262626265</v>
      </c>
      <c r="BY64" s="12">
        <f>AY64-3/AN64</f>
        <v>3.6997992260457422</v>
      </c>
      <c r="BZ64" s="76">
        <f>IFERROR(RANK(BY64,BY:BY)/COUNT(BY:BY),"-")</f>
        <v>7.6142131979695438E-2</v>
      </c>
      <c r="CA64" s="76">
        <f>IFERROR(RANK(AM64,AM:AM)/COUNT(AM:AM),"-")</f>
        <v>0.31313131313131315</v>
      </c>
      <c r="CB64" s="2"/>
      <c r="CC64" s="77">
        <f>AV64+BF64+BZ64+CA64</f>
        <v>0.49587242988258218</v>
      </c>
      <c r="CD64" s="77">
        <f>BW64+BX64+AE64+U64</f>
        <v>1.0088191560272779</v>
      </c>
      <c r="CE64" s="77">
        <f>CC64+CD64</f>
        <v>1.50469158590986</v>
      </c>
    </row>
    <row r="65" spans="1:83" s="17" customFormat="1" hidden="1" x14ac:dyDescent="0.35">
      <c r="A65" s="15" t="s">
        <v>87</v>
      </c>
      <c r="B65" s="15" t="s">
        <v>88</v>
      </c>
      <c r="C65" s="16">
        <v>20110211</v>
      </c>
      <c r="D65" s="16" t="str">
        <f>[1]!f_info_regulopenfundornot(A65)</f>
        <v>否</v>
      </c>
      <c r="E65" s="16" t="str">
        <f>[1]!f_dq_status(A65,$E$1)</f>
        <v>开放申购|开放赎回</v>
      </c>
      <c r="F65" s="17" t="str">
        <f>[1]!f_info_fundmanager(A65)</f>
        <v>范磊</v>
      </c>
      <c r="G65" s="16">
        <v>20190327</v>
      </c>
      <c r="H65" s="18">
        <f>[1]!f_netasset_total(A65,$E$1,100000000)</f>
        <v>4.8807031635000007</v>
      </c>
      <c r="I65" s="18">
        <f>[1]!f_prt_convertiblebondtonav(A65,$E$1)</f>
        <v>23.71674919128418</v>
      </c>
      <c r="J65" s="18">
        <f>[1]!f_prt_stocktonav(A65,$E$1)+0.5*I65</f>
        <v>26.70006275177002</v>
      </c>
      <c r="K65" s="19">
        <v>12.384895777323379</v>
      </c>
      <c r="L65" s="19">
        <f>[1]!f_return($A65,"1",L$2,$E$1)</f>
        <v>3.4115478374623365</v>
      </c>
      <c r="M65" s="19">
        <f>[1]!f_risk_stdevyearly($A65,L$2,$E$1,1,1)</f>
        <v>5.8331196517717521</v>
      </c>
      <c r="N65" s="19">
        <f>IFERROR(L65/M65,"-")</f>
        <v>0.5848581961499989</v>
      </c>
      <c r="O65" s="19" t="str">
        <f>IFERROR(RANK(N65,N:N)&amp;"/"&amp;COUNT(N:N),"-")</f>
        <v>171/197</v>
      </c>
      <c r="P65" s="26">
        <f>IF(O65="-","-",RANK(N65,N:N)/COUNT(N:N))</f>
        <v>0.86802030456852797</v>
      </c>
      <c r="Q65" s="56">
        <v>0.80710659898477155</v>
      </c>
      <c r="R65" s="33" t="str">
        <f>IF(OR($C65&gt;20190630,$K65&gt;30,N65="-",$D65="是",$E65="封闭期",$H65&lt;10,$BN65&lt;-6,$BR65&lt;70),"-",COUNTIFS(N$4:N$200,"&lt;&gt;-",$D$4:$D$200,"&lt;&gt;是",$E$4:$E$200,"&lt;&gt;封闭期",$H$4:$H$200,"&gt;10",$BN$4:$BN$200,"&gt;-6",$BR$4:$BR$200,"&gt;=70",$K$4:$K$200,"&lt;=30",$C$4:$C$200,"&lt;20190630",N$4:N$200,"&gt;="&amp;N65)/COUNTIFS(N$4:N$200,"&lt;&gt;-",$D$4:$D$200,"&lt;&gt;是",$E$4:$E$200,"&lt;&gt;封闭期",$H$4:$H$200,"&gt;10",$BN$4:$BN$200,"&gt;-6",$BR$4:$BR$200,"&gt;=70",$C$4:$C$200,"&lt;20190630",$K$4:$K$200,"&lt;=30"))</f>
        <v>-</v>
      </c>
      <c r="S65" s="19">
        <f>IFERROR((L65-3)/M65,"-")</f>
        <v>7.0553642309965803E-2</v>
      </c>
      <c r="T65" s="19" t="str">
        <f>IFERROR(RANK(S65,S:S)&amp;"/"&amp;COUNT(S:S),"-")</f>
        <v>158/197</v>
      </c>
      <c r="U65" s="26">
        <f>IFERROR(RANK(S65,S:S)/COUNT(S:S),"-")</f>
        <v>0.80203045685279184</v>
      </c>
      <c r="V65" s="34" t="str">
        <f>IF(OR($C65&gt;20190630,$K65&gt;30,S65="-",$D65="是",$E65="封闭期",$H65&lt;10,$BN65&lt;-6,$BR65&lt;70),"-",COUNTIFS(S$4:S$200,"&lt;&gt;-",$D$4:$D$200,"&lt;&gt;是",$E$4:$E$200,"&lt;&gt;封闭期",$H$4:$H$200,"&gt;10",$BN$4:$BN$200,"&gt;-6",$BR$4:$BR$200,"&gt;=70",$K$4:$K$200,"&lt;=30",$C$4:$C$200,"&lt;20190630",S$4:S$200,"&gt;="&amp;S65)&amp;"/"&amp;COUNTIFS(S$4:S$200,"&lt;&gt;-",$D$4:$D$200,"&lt;&gt;是",$E$4:$E$200,"&lt;&gt;封闭期",$H$4:$H$200,"&gt;10",$BN$4:$BN$200,"&gt;-6",$BR$4:$BR$200,"&gt;=70",$C$4:$C$200,"&lt;20190630",$K$4:$K$200,"&lt;=30"))</f>
        <v>-</v>
      </c>
      <c r="W65" s="33" t="str">
        <f>IF(OR($C65&gt;20190630,$K65&gt;30,S65="-",$D65="是",$E65="封闭期",$H65&lt;10,$BN65&lt;-6,$BR65&lt;70),"-",COUNTIFS(S$4:S$200,"&lt;&gt;-",$D$4:$D$200,"&lt;&gt;是",$E$4:$E$200,"&lt;&gt;封闭期",$H$4:$H$200,"&gt;10",$BN$4:$BN$200,"&gt;-6",$BR$4:$BR$200,"&gt;=70",$K$4:$K$200,"&lt;=30",$C$4:$C$200,"&lt;20190630",S$4:S$200,"&gt;="&amp;S65)/COUNTIFS(S$4:S$200,"&lt;&gt;-",$D$4:$D$200,"&lt;&gt;是",$E$4:$E$200,"&lt;&gt;封闭期",$H$4:$H$200,"&gt;10",$BN$4:$BN$200,"&gt;-6",$BR$4:$BR$200,"&gt;=70",$C$4:$C$200,"&lt;20190630",$K$4:$K$200,"&lt;=30"))</f>
        <v>-</v>
      </c>
      <c r="X65" s="19">
        <f>[1]!f_risk_calmar(A65,$L$2,$E$1)</f>
        <v>0.70312579158545963</v>
      </c>
      <c r="Y65" s="19" t="str">
        <f>IFERROR(RANK(X65,X:X)&amp;"/"&amp;COUNT(X:X),"-")</f>
        <v>171/197</v>
      </c>
      <c r="Z65" s="26">
        <f>IFERROR(RANK(X65,X:X)/COUNT(X:X),"-")</f>
        <v>0.86802030456852797</v>
      </c>
      <c r="AA65" s="34" t="str">
        <f>IF(OR($C65&gt;20190630,$K65&gt;30,X65="-",$D65="是",$E65="封闭期",$H65&lt;10,$BN65&lt;-6,$BR65&lt;70),"-",COUNTIFS(X$4:X$200,"&lt;&gt;-",$D$4:$D$200,"&lt;&gt;是",$E$4:$E$200,"&lt;&gt;封闭期",$H$4:$H$200,"&gt;10",$BN$4:$BN$200,"&gt;-6",$BR$4:$BR$200,"&gt;=70",$K$4:$K$200,"&lt;=30",$C$4:$C$200,"&lt;20190630",X$4:X$200,"&gt;="&amp;X65)&amp;"/"&amp;COUNTIFS(X$4:X$200,"&lt;&gt;-",$D$4:$D$200,"&lt;&gt;是",$E$4:$E$200,"&lt;&gt;封闭期",$H$4:$H$200,"&gt;10",$BN$4:$BN$200,"&gt;-6",$BR$4:$BR$200,"&gt;=70",$C$4:$C$200,"&lt;20190630",$K$4:$K$200,"&lt;=30"))</f>
        <v>-</v>
      </c>
      <c r="AB65" s="33" t="str">
        <f>IF(OR($C65&gt;20190630,$K65&gt;30,X65="-",$D65="是",$E65="封闭期",$H65&lt;10,$BN65&lt;-6,$BR65&lt;70),"-",COUNTIFS(X$4:X$200,"&lt;&gt;-",$D$4:$D$200,"&lt;&gt;是",$E$4:$E$200,"&lt;&gt;封闭期",$H$4:$H$200,"&gt;10",$BN$4:$BN$200,"&gt;-6",$BR$4:$BR$200,"&gt;=70",$K$4:$K$200,"&lt;=30",$C$4:$C$200,"&lt;20190630",X$4:X$200,"&gt;="&amp;X65)/COUNTIFS(X$4:X$200,"&lt;&gt;-",$D$4:$D$200,"&lt;&gt;是",$E$4:$E$200,"&lt;&gt;封闭期",$H$4:$H$200,"&gt;10",$BN$4:$BN$200,"&gt;-6",$BR$4:$BR$200,"&gt;=70",$C$4:$C$200,"&lt;20190630",$K$4:$K$200,"&lt;=30"))</f>
        <v>-</v>
      </c>
      <c r="AC65" s="20">
        <v>0.9327731092436975</v>
      </c>
      <c r="AD65" s="19" t="str">
        <f>IFERROR(RANK(AC65,AC:AC)&amp;"/"&amp;COUNT(AC:AC),"-")</f>
        <v>121/197</v>
      </c>
      <c r="AE65" s="26">
        <f>IFERROR(RANK(AC65,AC:AC)/COUNT(AC:AC),"-")</f>
        <v>0.6142131979695431</v>
      </c>
      <c r="AF65" s="34" t="str">
        <f>IF(OR($C65&gt;20190630,$K65&gt;30,AC65="-",$D65="是",$E65="封闭期",$H65&lt;10,$BN65&lt;-6,$BR65&lt;70),"-",COUNTIFS(AC$4:AC$200,"&lt;&gt;-",$D$4:$D$200,"&lt;&gt;是",$E$4:$E$200,"&lt;&gt;封闭期",$H$4:$H$200,"&gt;10",$BN$4:$BN$200,"&gt;-6",$BR$4:$BR$200,"&gt;=70",$K$4:$K$200,"&lt;=30",$C$4:$C$200,"&lt;20190630",AC$4:AC$200,"&gt;="&amp;AC65)&amp;"/"&amp;COUNTIFS(AC$4:AC$200,"&lt;&gt;-",$D$4:$D$200,"&lt;&gt;是",$E$4:$E$200,"&lt;&gt;封闭期",$H$4:$H$200,"&gt;10",$BN$4:$BN$200,"&gt;-6",$BR$4:$BR$200,"&gt;=70",$C$4:$C$200,"&lt;20190630",$K$4:$K$200,"&lt;=30"))</f>
        <v>-</v>
      </c>
      <c r="AG65" s="33" t="str">
        <f>IF(OR($C65&gt;20190630,$K65&gt;30,AC65="-",$D65="是",$E65="封闭期",$H65&lt;10,$BN65&lt;-6,$BR65&lt;70),"-",COUNTIFS(AC$4:AC$200,"&lt;&gt;-",$D$4:$D$200,"&lt;&gt;是",$E$4:$E$200,"&lt;&gt;封闭期",$H$4:$H$200,"&gt;10",$BN$4:$BN$200,"&gt;-6",$BR$4:$BR$200,"&gt;=70",$K$4:$K$200,"&lt;=30",$C$4:$C$200,"&lt;20190630",AC$4:AC$200,"&gt;="&amp;AC65)/COUNTIFS(AC$4:AC$200,"&lt;&gt;-",$D$4:$D$200,"&lt;&gt;是",$E$4:$E$200,"&lt;&gt;封闭期",$H$4:$H$200,"&gt;10",$BN$4:$BN$200,"&gt;-6",$BR$4:$BR$200,"&gt;=70",$C$4:$C$200,"&lt;20190630",$K$4:$K$200,"&lt;=30"))</f>
        <v>-</v>
      </c>
      <c r="AH65" s="21">
        <f>[1]!f_risk_maxdownside(A65,$L$2,$E$1)</f>
        <v>-4.8519736842105141</v>
      </c>
      <c r="AI65" s="19" t="str">
        <f>IFERROR(RANK(AH65,AH:AH)&amp;"/"&amp;COUNT(AH:AH),"-")</f>
        <v>153/197</v>
      </c>
      <c r="AJ65" s="26">
        <f>IFERROR(RANK(AH65,AH:AH)/COUNT(AH:AH),"-")</f>
        <v>0.7766497461928934</v>
      </c>
      <c r="AK65" s="34" t="str">
        <f>IF(OR($C65&gt;20190630,$K65&gt;30,AH65="-",$D65="是",$E65="封闭期",$H65&lt;10,$BN65&lt;-6,$BR65&lt;70),"-",COUNTIFS(AH$4:AH$200,"&lt;&gt;-",$D$4:$D$200,"&lt;&gt;是",$E$4:$E$200,"&lt;&gt;封闭期",$H$4:$H$200,"&gt;10",$BN$4:$BN$200,"&gt;-6",$BR$4:$BR$200,"&gt;=70",$K$4:$K$200,"&lt;=30",$C$4:$C$200,"&lt;20190630",AH$4:AH$200,"&gt;="&amp;AH65)&amp;"/"&amp;COUNTIFS(AH$4:AH$200,"&lt;&gt;-",$D$4:$D$200,"&lt;&gt;是",$E$4:$E$200,"&lt;&gt;封闭期",$H$4:$H$200,"&gt;10",$BN$4:$BN$200,"&gt;-6",$BR$4:$BR$200,"&gt;=70",$C$4:$C$200,"&lt;20190630",$K$4:$K$200,"&lt;=30"))</f>
        <v>-</v>
      </c>
      <c r="AL65" s="33" t="str">
        <f>IF(OR($C65&gt;20190630,$K65&gt;30,AH65="-",$D65="是",$E65="封闭期",$H65&lt;10,$BN65&lt;-6,$BR65&lt;70),"-",COUNTIFS(AH$4:AH$200,"&lt;&gt;-",$D$4:$D$200,"&lt;&gt;是",$E$4:$E$200,"&lt;&gt;封闭期",$H$4:$H$200,"&gt;10",$BN$4:$BN$200,"&gt;-6",$BR$4:$BR$200,"&gt;=70",$K$4:$K$200,"&lt;=30",$C$4:$C$200,"&lt;20190630",AH$4:AH$200,"&gt;="&amp;AH65)/COUNTIFS(AH$4:AH$200,"&lt;&gt;-",$D$4:$D$200,"&lt;&gt;是",$E$4:$E$200,"&lt;&gt;封闭期",$H$4:$H$200,"&gt;10",$BN$4:$BN$200,"&gt;-6",$BR$4:$BR$200,"&gt;=70",$C$4:$C$200,"&lt;20190630",$K$4:$K$200,"&lt;=30"))</f>
        <v>-</v>
      </c>
      <c r="AM65" s="19">
        <f>[1]!f_return($A65,"1",AM$2,$L$2)</f>
        <v>9.3185118339575101</v>
      </c>
      <c r="AN65" s="19">
        <f>[1]!f_risk_stdevyearly($A65,AM$2,$L$2,1,1)</f>
        <v>5.4454709226085001</v>
      </c>
      <c r="AO65" s="19">
        <f>IFERROR(AM65/AN65,"-")</f>
        <v>1.711240766206082</v>
      </c>
      <c r="AP65" s="19" t="str">
        <f>IFERROR(RANK(AO65,AO:AO)&amp;"/"&amp;COUNT(AO:AO),"-")</f>
        <v>82/197</v>
      </c>
      <c r="AQ65" s="26">
        <f>IF(AP65="-","-",RANK(AO65,AO:AO)/COUNT(AO:AO))</f>
        <v>0.41624365482233505</v>
      </c>
      <c r="AR65" s="57">
        <v>0.31472081218274112</v>
      </c>
      <c r="AS65" s="33" t="str">
        <f>IF(OR($C65&gt;20190630,$K65&gt;30,AO65="-",$D65="是",$E65="封闭期",$H65&lt;10,$BN65&lt;-6,$BR65&lt;70),"-",COUNTIFS(AO$4:AO$200,"&lt;&gt;-",$D$4:$D$200,"&lt;&gt;是",$E$4:$E$200,"&lt;&gt;封闭期",$H$4:$H$200,"&gt;10",$BN$4:$BN$200,"&gt;-6",$BR$4:$BR$200,"&gt;=70",$K$4:$K$200,"&lt;=30",$C$4:$C$200,"&lt;20190630",AO$4:AO$200,"&gt;="&amp;AO65)/COUNTIFS(AO$4:AO$200,"&lt;&gt;-",$D$4:$D$200,"&lt;&gt;是",$E$4:$E$200,"&lt;&gt;封闭期",$H$4:$H$200,"&gt;10",$BN$4:$BN$200,"&gt;-6",$BR$4:$BR$200,"&gt;=70",$C$4:$C$200,"&lt;20190630",$K$4:$K$200,"&lt;=30"))</f>
        <v>-</v>
      </c>
      <c r="AT65" s="19">
        <f>IFERROR((AM65-3)/AN65,"-")</f>
        <v>1.1603242260874664</v>
      </c>
      <c r="AU65" s="19" t="str">
        <f>IFERROR(RANK(AT65,AT:AT)&amp;"/"&amp;COUNT(AT:AT),"-")</f>
        <v>58/197</v>
      </c>
      <c r="AV65" s="26">
        <f>IFERROR(RANK(AT65,AT:AT)/COUNT(AT:AT),"-")</f>
        <v>0.29441624365482233</v>
      </c>
      <c r="AW65" s="34" t="str">
        <f>IF(OR($C65&gt;20190630,$K65&gt;30,AT65="-",$D65="是",$E65="封闭期",$H65&lt;10,$BN65&lt;-6,$BR65&lt;70),"-",COUNTIFS(AT$4:AT$200,"&lt;&gt;-",$D$4:$D$200,"&lt;&gt;是",$E$4:$E$200,"&lt;&gt;封闭期",$H$4:$H$200,"&gt;10",$BN$4:$BN$200,"&gt;-6",$BR$4:$BR$200,"&gt;=70",$K$4:$K$200,"&lt;=30",$C$4:$C$200,"&lt;20190630",AT$4:AT$200,"&gt;="&amp;AT65)&amp;"/"&amp;COUNTIFS(AT$4:AT$200,"&lt;&gt;-",$D$4:$D$200,"&lt;&gt;是",$E$4:$E$200,"&lt;&gt;封闭期",$H$4:$H$200,"&gt;10",$BN$4:$BN$200,"&gt;-6",$BR$4:$BR$200,"&gt;=70",$C$4:$C$200,"&lt;20190630",$K$4:$K$200,"&lt;=30"))</f>
        <v>-</v>
      </c>
      <c r="AX65" s="33" t="str">
        <f>IF(OR($C65&gt;20190630,$K65&gt;30,AT65="-",$D65="是",$E65="封闭期",$H65&lt;10,$BN65&lt;-6,$BR65&lt;70),"-",COUNTIFS(AT$4:AT$200,"&lt;&gt;-",$D$4:$D$200,"&lt;&gt;是",$E$4:$E$200,"&lt;&gt;封闭期",$H$4:$H$200,"&gt;10",$BN$4:$BN$200,"&gt;-6",$BR$4:$BR$200,"&gt;=70",$K$4:$K$200,"&lt;=30",$C$4:$C$200,"&lt;20190630",AT$4:AT$200,"&gt;="&amp;AT65)/COUNTIFS(AT$4:AT$200,"&lt;&gt;-",$D$4:$D$200,"&lt;&gt;是",$E$4:$E$200,"&lt;&gt;封闭期",$H$4:$H$200,"&gt;10",$BN$4:$BN$200,"&gt;-6",$BR$4:$BR$200,"&gt;=70",$C$4:$C$200,"&lt;20190630",$K$4:$K$200,"&lt;=30"))</f>
        <v>-</v>
      </c>
      <c r="AY65" s="19">
        <f>[1]!f_risk_calmar(A65,$AM$2,$L$2)</f>
        <v>2.7046412396120694</v>
      </c>
      <c r="AZ65" s="19" t="str">
        <f>IFERROR(RANK(AY65,AY:AY)&amp;"/"&amp;COUNT(AY:AY),"-")</f>
        <v>67/197</v>
      </c>
      <c r="BA65" s="26">
        <f>IFERROR(RANK(AY65,AY:AY)/COUNT(AY:AY),"-")</f>
        <v>0.34010152284263961</v>
      </c>
      <c r="BB65" s="34" t="str">
        <f>IF(OR($C65&gt;20190630,$K65&gt;30,AY65="-",$D65="是",$E65="封闭期",$H65&lt;10,$BN65&lt;-6,$BR65&lt;70),"-",COUNTIFS(AY$4:AY$200,"&lt;&gt;-",$D$4:$D$200,"&lt;&gt;是",$E$4:$E$200,"&lt;&gt;封闭期",$H$4:$H$200,"&gt;10",$BN$4:$BN$200,"&gt;-6",$BR$4:$BR$200,"&gt;=70",$K$4:$K$200,"&lt;=30",$C$4:$C$200,"&lt;20190630",AY$4:AY$200,"&gt;="&amp;AY65)&amp;"/"&amp;COUNTIFS(AY$4:AY$200,"&lt;&gt;-",$D$4:$D$200,"&lt;&gt;是",$E$4:$E$200,"&lt;&gt;封闭期",$H$4:$H$200,"&gt;10",$BN$4:$BN$200,"&gt;-6",$BR$4:$BR$200,"&gt;=70",$C$4:$C$200,"&lt;20190630",$K$4:$K$200,"&lt;=30"))</f>
        <v>-</v>
      </c>
      <c r="BC65" s="33" t="str">
        <f>IF(OR($C65&gt;20190630,$K65&gt;30,AY65="-",$D65="是",$E65="封闭期",$H65&lt;10,$BN65&lt;-6,$BR65&lt;70),"-",COUNTIFS(AY$4:AY$200,"&lt;&gt;-",$D$4:$D$200,"&lt;&gt;是",$E$4:$E$200,"&lt;&gt;封闭期",$H$4:$H$200,"&gt;10",$BN$4:$BN$200,"&gt;-6",$BR$4:$BR$200,"&gt;=70",$K$4:$K$200,"&lt;=30",$C$4:$C$200,"&lt;20190630",AY$4:AY$200,"&gt;="&amp;AY65)/COUNTIFS(AY$4:AY$200,"&lt;&gt;-",$D$4:$D$200,"&lt;&gt;是",$E$4:$E$200,"&lt;&gt;封闭期",$H$4:$H$200,"&gt;10",$BN$4:$BN$200,"&gt;-6",$BR$4:$BR$200,"&gt;=70",$C$4:$C$200,"&lt;20190630",$K$4:$K$200,"&lt;=30"))</f>
        <v>-</v>
      </c>
      <c r="BD65" s="20">
        <v>1</v>
      </c>
      <c r="BE65" s="19" t="str">
        <f>IFERROR(RANK(BD65,BD:BD)&amp;"/"&amp;COUNT(BD:BD),"-")</f>
        <v>1/197</v>
      </c>
      <c r="BF65" s="26">
        <f>IFERROR(RANK(BD65,BD:BD)/COUNT(BD:BD),"-")</f>
        <v>5.076142131979695E-3</v>
      </c>
      <c r="BG65" s="34" t="str">
        <f>IF(OR($C65&gt;20190630,$K65&gt;30,BD65="-",$D65="是",$E65="封闭期",$H65&lt;10,$BN65&lt;-6,$BR65&lt;70),"-",COUNTIFS(BD$4:BD$200,"&lt;&gt;-",$D$4:$D$200,"&lt;&gt;是",$E$4:$E$200,"&lt;&gt;封闭期",$H$4:$H$200,"&gt;10",$BN$4:$BN$200,"&gt;-6",$BR$4:$BR$200,"&gt;=70",$K$4:$K$200,"&lt;=30",$C$4:$C$200,"&lt;20190630",BD$4:BD$200,"&gt;="&amp;BD65)&amp;"/"&amp;COUNTIFS(BD$4:BD$200,"&lt;&gt;-",$D$4:$D$200,"&lt;&gt;是",$E$4:$E$200,"&lt;&gt;封闭期",$H$4:$H$200,"&gt;10",$BN$4:$BN$200,"&gt;-6",$BR$4:$BR$200,"&gt;=70",$C$4:$C$200,"&lt;20190630",$K$4:$K$200,"&lt;=30"))</f>
        <v>-</v>
      </c>
      <c r="BH65" s="33" t="str">
        <f>IF(OR($C65&gt;20190630,$K65&gt;30,BD65="-",$D65="是",$E65="封闭期",$H65&lt;10,$BN65&lt;-6,$BR65&lt;70),"-",COUNTIFS(BD$4:BD$200,"&lt;&gt;-",$D$4:$D$200,"&lt;&gt;是",$E$4:$E$200,"&lt;&gt;封闭期",$H$4:$H$200,"&gt;10",$BN$4:$BN$200,"&gt;-6",$BR$4:$BR$200,"&gt;=70",$K$4:$K$200,"&lt;=30",$C$4:$C$200,"&lt;20190630",BD$4:BD$200,"&gt;="&amp;BD65)/COUNTIFS(BD$4:BD$200,"&lt;&gt;-",$D$4:$D$200,"&lt;&gt;是",$E$4:$E$200,"&lt;&gt;封闭期",$H$4:$H$200,"&gt;10",$BN$4:$BN$200,"&gt;-6",$BR$4:$BR$200,"&gt;=70",$C$4:$C$200,"&lt;20190630",$K$4:$K$200,"&lt;=30"))</f>
        <v>-</v>
      </c>
      <c r="BI65" s="21">
        <f>[1]!f_risk_maxdownside(A65,$AM$2,$L$2)</f>
        <v>-3.4453781512604893</v>
      </c>
      <c r="BJ65" s="19" t="str">
        <f>IFERROR(RANK(BI65,BI:BI)&amp;"/"&amp;COUNT(BI:BI),"-")</f>
        <v>106/197</v>
      </c>
      <c r="BK65" s="26">
        <f>IFERROR(RANK(BI65,BI:BI)/COUNT(BI:BI),"-")</f>
        <v>0.53807106598984766</v>
      </c>
      <c r="BL65" s="34" t="str">
        <f>IF(OR($C65&gt;20190630,$K65&gt;30,BI65="-",$D65="是",$E65="封闭期",$H65&lt;10,$BN65&lt;-6,$BR65&lt;70),"-",COUNTIFS(BI$4:BI$200,"&lt;&gt;-",$D$4:$D$200,"&lt;&gt;是",$E$4:$E$200,"&lt;&gt;封闭期",$H$4:$H$200,"&gt;10",$BN$4:$BN$200,"&gt;-6",$BR$4:$BR$200,"&gt;=70",$K$4:$K$200,"&lt;=30",$C$4:$C$200,"&lt;20190630",BI$4:BI$200,"&gt;="&amp;BI65)&amp;"/"&amp;COUNTIFS(BI$4:BI$200,"&lt;&gt;-",$D$4:$D$200,"&lt;&gt;是",$E$4:$E$200,"&lt;&gt;封闭期",$H$4:$H$200,"&gt;10",$BN$4:$BN$200,"&gt;-6",$BR$4:$BR$200,"&gt;=70",$C$4:$C$200,"&lt;20190630",$K$4:$K$200,"&lt;=30"))</f>
        <v>-</v>
      </c>
      <c r="BM65" s="33" t="str">
        <f>IF(OR($C65&gt;20190630,$K65&gt;30,BI65="-",$D65="是",$E65="封闭期",$H65&lt;10,$BN65&lt;-6,$BR65&lt;70),"-",COUNTIFS(BI$4:BI$200,"&lt;&gt;-",$D$4:$D$200,"&lt;&gt;是",$E$4:$E$200,"&lt;&gt;封闭期",$H$4:$H$200,"&gt;10",$BN$4:$BN$200,"&gt;-6",$BR$4:$BR$200,"&gt;=70",$K$4:$K$200,"&lt;=30",$C$4:$C$200,"&lt;20190630",BI$4:BI$200,"&gt;="&amp;BI65)/COUNTIFS(BI$4:BI$200,"&lt;&gt;-",$D$4:$D$200,"&lt;&gt;是",$E$4:$E$200,"&lt;&gt;封闭期",$H$4:$H$200,"&gt;10",$BN$4:$BN$200,"&gt;-6",$BR$4:$BR$200,"&gt;=70",$C$4:$C$200,"&lt;20190630",$K$4:$K$200,"&lt;=30"))</f>
        <v>-</v>
      </c>
      <c r="BN65" s="21">
        <f>[1]!f_risk_maxdownside(A65,$AM$2,$E$1)</f>
        <v>-4.8519736842105141</v>
      </c>
      <c r="BO65" s="21">
        <f>IF(C65&lt;20190930,[1]!f_return_2y(A65,"0","20210930"),"-")</f>
        <v>13.113563643057963</v>
      </c>
      <c r="BP65" s="19" t="str">
        <f>IFERROR(RANK(BO65,BO:BO)&amp;"/"&amp;COUNT(BO:BO),"-")</f>
        <v>104/197</v>
      </c>
      <c r="BQ65" s="25">
        <f>IFERROR(RANK(BO65,BO:BO)/COUNT(BO:BO),"-")</f>
        <v>0.52791878172588835</v>
      </c>
      <c r="BR65" s="19">
        <f>IF(C65&lt;20190930,[1]!f_absolute_profitmonthper(A65,"20190930","20210930"),"-")</f>
        <v>62.5</v>
      </c>
      <c r="BS65" s="19" t="str">
        <f>IFERROR(RANK(BR65,BR:BR)&amp;"/"&amp;COUNT(BR:BR),"-")</f>
        <v>142/198</v>
      </c>
      <c r="BT65" s="25">
        <f>IFERROR(RANK(BR65,BR:BR)/COUNT(BR:BR),"-")</f>
        <v>0.71717171717171713</v>
      </c>
      <c r="BV65" s="12">
        <f>X65-3/M65</f>
        <v>0.18882123774542658</v>
      </c>
      <c r="BW65" s="76">
        <f>IFERROR(RANK(BV65,BV:BV)/COUNT(BV:BV),"-")</f>
        <v>0.84263959390862941</v>
      </c>
      <c r="BX65" s="76">
        <f>IFERROR(RANK(L65,L:L)/COUNT(L:L),"-")</f>
        <v>0.80808080808080807</v>
      </c>
      <c r="BY65" s="12">
        <f>AY65-3/AN65</f>
        <v>2.1537246994934538</v>
      </c>
      <c r="BZ65" s="76">
        <f>IFERROR(RANK(BY65,BY:BY)/COUNT(BY:BY),"-")</f>
        <v>0.28426395939086296</v>
      </c>
      <c r="CA65" s="76">
        <f>IFERROR(RANK(AM65,AM:AM)/COUNT(AM:AM),"-")</f>
        <v>0.31818181818181818</v>
      </c>
      <c r="CB65" s="2"/>
      <c r="CC65" s="77">
        <f>AV65+BF65+BZ65+CA65</f>
        <v>0.90193816335948318</v>
      </c>
      <c r="CD65" s="77">
        <f>BW65+BX65+AE65+U65</f>
        <v>3.0669640568117722</v>
      </c>
      <c r="CE65" s="77">
        <f>CC65+CD65</f>
        <v>3.9689022201712554</v>
      </c>
    </row>
    <row r="66" spans="1:83" s="2" customFormat="1" hidden="1" x14ac:dyDescent="0.35">
      <c r="A66" s="15" t="s">
        <v>269</v>
      </c>
      <c r="B66" s="15" t="s">
        <v>270</v>
      </c>
      <c r="C66" s="16">
        <v>20160825</v>
      </c>
      <c r="D66" s="16" t="str">
        <f>[1]!f_info_regulopenfundornot(A66)</f>
        <v>否</v>
      </c>
      <c r="E66" s="16" t="str">
        <f>[1]!f_dq_status(A66,$E$1)</f>
        <v>开放申购|开放赎回</v>
      </c>
      <c r="F66" s="17" t="str">
        <f>[1]!f_info_fundmanager(A66)</f>
        <v>闫宜乘,江刘玮</v>
      </c>
      <c r="G66" s="16">
        <v>20200902</v>
      </c>
      <c r="H66" s="18">
        <f>[1]!f_netasset_total(A66,$E$1,100000000)</f>
        <v>4.1105904937000002</v>
      </c>
      <c r="I66" s="18">
        <f>[1]!f_prt_convertiblebondtonav(A66,$E$1)</f>
        <v>10.026445388793945</v>
      </c>
      <c r="J66" s="18">
        <f>[1]!f_prt_stocktonav(A66,$E$1)+0.5*I66</f>
        <v>24.970870018005371</v>
      </c>
      <c r="K66" s="19">
        <v>29.286303314451711</v>
      </c>
      <c r="L66" s="19">
        <f>[1]!f_return($A66,"1",L$2,$E$1)</f>
        <v>4.6805952905539572</v>
      </c>
      <c r="M66" s="19">
        <f>[1]!f_risk_stdevyearly($A66,L$2,$E$1,1,1)</f>
        <v>5.3668697478959455</v>
      </c>
      <c r="N66" s="19">
        <f>IFERROR(L66/M66,"-")</f>
        <v>0.87212761077142986</v>
      </c>
      <c r="O66" s="19" t="str">
        <f>IFERROR(RANK(N66,N:N)&amp;"/"&amp;COUNT(N:N),"-")</f>
        <v>150/197</v>
      </c>
      <c r="P66" s="26">
        <f>IF(O66="-","-",RANK(N66,N:N)/COUNT(N:N))</f>
        <v>0.76142131979695427</v>
      </c>
      <c r="Q66" s="56">
        <v>0.6142131979695431</v>
      </c>
      <c r="R66" s="33" t="str">
        <f>IF(OR($C66&gt;20190630,$K66&gt;30,N66="-",$D66="是",$E66="封闭期",$H66&lt;10,$BN66&lt;-6,$BR66&lt;70),"-",COUNTIFS(N$4:N$200,"&lt;&gt;-",$D$4:$D$200,"&lt;&gt;是",$E$4:$E$200,"&lt;&gt;封闭期",$H$4:$H$200,"&gt;10",$BN$4:$BN$200,"&gt;-6",$BR$4:$BR$200,"&gt;=70",$K$4:$K$200,"&lt;=30",$C$4:$C$200,"&lt;20190630",N$4:N$200,"&gt;="&amp;N66)/COUNTIFS(N$4:N$200,"&lt;&gt;-",$D$4:$D$200,"&lt;&gt;是",$E$4:$E$200,"&lt;&gt;封闭期",$H$4:$H$200,"&gt;10",$BN$4:$BN$200,"&gt;-6",$BR$4:$BR$200,"&gt;=70",$C$4:$C$200,"&lt;20190630",$K$4:$K$200,"&lt;=30"))</f>
        <v>-</v>
      </c>
      <c r="S66" s="19">
        <f>IFERROR((L66-3)/M66,"-")</f>
        <v>0.31314255226947257</v>
      </c>
      <c r="T66" s="19" t="str">
        <f>IFERROR(RANK(S66,S:S)&amp;"/"&amp;COUNT(S:S),"-")</f>
        <v>138/197</v>
      </c>
      <c r="U66" s="26">
        <f>IFERROR(RANK(S66,S:S)/COUNT(S:S),"-")</f>
        <v>0.70050761421319796</v>
      </c>
      <c r="V66" s="34" t="str">
        <f>IF(OR($C66&gt;20190630,$K66&gt;30,S66="-",$D66="是",$E66="封闭期",$H66&lt;10,$BN66&lt;-6,$BR66&lt;70),"-",COUNTIFS(S$4:S$200,"&lt;&gt;-",$D$4:$D$200,"&lt;&gt;是",$E$4:$E$200,"&lt;&gt;封闭期",$H$4:$H$200,"&gt;10",$BN$4:$BN$200,"&gt;-6",$BR$4:$BR$200,"&gt;=70",$K$4:$K$200,"&lt;=30",$C$4:$C$200,"&lt;20190630",S$4:S$200,"&gt;="&amp;S66)&amp;"/"&amp;COUNTIFS(S$4:S$200,"&lt;&gt;-",$D$4:$D$200,"&lt;&gt;是",$E$4:$E$200,"&lt;&gt;封闭期",$H$4:$H$200,"&gt;10",$BN$4:$BN$200,"&gt;-6",$BR$4:$BR$200,"&gt;=70",$C$4:$C$200,"&lt;20190630",$K$4:$K$200,"&lt;=30"))</f>
        <v>-</v>
      </c>
      <c r="W66" s="33" t="str">
        <f>IF(OR($C66&gt;20190630,$K66&gt;30,S66="-",$D66="是",$E66="封闭期",$H66&lt;10,$BN66&lt;-6,$BR66&lt;70),"-",COUNTIFS(S$4:S$200,"&lt;&gt;-",$D$4:$D$200,"&lt;&gt;是",$E$4:$E$200,"&lt;&gt;封闭期",$H$4:$H$200,"&gt;10",$BN$4:$BN$200,"&gt;-6",$BR$4:$BR$200,"&gt;=70",$K$4:$K$200,"&lt;=30",$C$4:$C$200,"&lt;20190630",S$4:S$200,"&gt;="&amp;S66)/COUNTIFS(S$4:S$200,"&lt;&gt;-",$D$4:$D$200,"&lt;&gt;是",$E$4:$E$200,"&lt;&gt;封闭期",$H$4:$H$200,"&gt;10",$BN$4:$BN$200,"&gt;-6",$BR$4:$BR$200,"&gt;=70",$C$4:$C$200,"&lt;20190630",$K$4:$K$200,"&lt;=30"))</f>
        <v>-</v>
      </c>
      <c r="X66" s="19">
        <f>[1]!f_risk_calmar(A66,$L$2,$E$1)</f>
        <v>0.91935274662224076</v>
      </c>
      <c r="Y66" s="19" t="str">
        <f>IFERROR(RANK(X66,X:X)&amp;"/"&amp;COUNT(X:X),"-")</f>
        <v>164/197</v>
      </c>
      <c r="Z66" s="26">
        <f>IFERROR(RANK(X66,X:X)/COUNT(X:X),"-")</f>
        <v>0.8324873096446701</v>
      </c>
      <c r="AA66" s="34" t="str">
        <f>IF(OR($C66&gt;20190630,$K66&gt;30,X66="-",$D66="是",$E66="封闭期",$H66&lt;10,$BN66&lt;-6,$BR66&lt;70),"-",COUNTIFS(X$4:X$200,"&lt;&gt;-",$D$4:$D$200,"&lt;&gt;是",$E$4:$E$200,"&lt;&gt;封闭期",$H$4:$H$200,"&gt;10",$BN$4:$BN$200,"&gt;-6",$BR$4:$BR$200,"&gt;=70",$K$4:$K$200,"&lt;=30",$C$4:$C$200,"&lt;20190630",X$4:X$200,"&gt;="&amp;X66)&amp;"/"&amp;COUNTIFS(X$4:X$200,"&lt;&gt;-",$D$4:$D$200,"&lt;&gt;是",$E$4:$E$200,"&lt;&gt;封闭期",$H$4:$H$200,"&gt;10",$BN$4:$BN$200,"&gt;-6",$BR$4:$BR$200,"&gt;=70",$C$4:$C$200,"&lt;20190630",$K$4:$K$200,"&lt;=30"))</f>
        <v>-</v>
      </c>
      <c r="AB66" s="33" t="str">
        <f>IF(OR($C66&gt;20190630,$K66&gt;30,X66="-",$D66="是",$E66="封闭期",$H66&lt;10,$BN66&lt;-6,$BR66&lt;70),"-",COUNTIFS(X$4:X$200,"&lt;&gt;-",$D$4:$D$200,"&lt;&gt;是",$E$4:$E$200,"&lt;&gt;封闭期",$H$4:$H$200,"&gt;10",$BN$4:$BN$200,"&gt;-6",$BR$4:$BR$200,"&gt;=70",$K$4:$K$200,"&lt;=30",$C$4:$C$200,"&lt;20190630",X$4:X$200,"&gt;="&amp;X66)/COUNTIFS(X$4:X$200,"&lt;&gt;-",$D$4:$D$200,"&lt;&gt;是",$E$4:$E$200,"&lt;&gt;封闭期",$H$4:$H$200,"&gt;10",$BN$4:$BN$200,"&gt;-6",$BR$4:$BR$200,"&gt;=70",$C$4:$C$200,"&lt;20190630",$K$4:$K$200,"&lt;=30"))</f>
        <v>-</v>
      </c>
      <c r="AC66" s="20">
        <v>0.58823529411764708</v>
      </c>
      <c r="AD66" s="19" t="str">
        <f>IFERROR(RANK(AC66,AC:AC)&amp;"/"&amp;COUNT(AC:AC),"-")</f>
        <v>181/197</v>
      </c>
      <c r="AE66" s="26">
        <f>IFERROR(RANK(AC66,AC:AC)/COUNT(AC:AC),"-")</f>
        <v>0.91878172588832485</v>
      </c>
      <c r="AF66" s="34" t="str">
        <f>IF(OR($C66&gt;20190630,$K66&gt;30,AC66="-",$D66="是",$E66="封闭期",$H66&lt;10,$BN66&lt;-6,$BR66&lt;70),"-",COUNTIFS(AC$4:AC$200,"&lt;&gt;-",$D$4:$D$200,"&lt;&gt;是",$E$4:$E$200,"&lt;&gt;封闭期",$H$4:$H$200,"&gt;10",$BN$4:$BN$200,"&gt;-6",$BR$4:$BR$200,"&gt;=70",$K$4:$K$200,"&lt;=30",$C$4:$C$200,"&lt;20190630",AC$4:AC$200,"&gt;="&amp;AC66)&amp;"/"&amp;COUNTIFS(AC$4:AC$200,"&lt;&gt;-",$D$4:$D$200,"&lt;&gt;是",$E$4:$E$200,"&lt;&gt;封闭期",$H$4:$H$200,"&gt;10",$BN$4:$BN$200,"&gt;-6",$BR$4:$BR$200,"&gt;=70",$C$4:$C$200,"&lt;20190630",$K$4:$K$200,"&lt;=30"))</f>
        <v>-</v>
      </c>
      <c r="AG66" s="33" t="str">
        <f>IF(OR($C66&gt;20190630,$K66&gt;30,AC66="-",$D66="是",$E66="封闭期",$H66&lt;10,$BN66&lt;-6,$BR66&lt;70),"-",COUNTIFS(AC$4:AC$200,"&lt;&gt;-",$D$4:$D$200,"&lt;&gt;是",$E$4:$E$200,"&lt;&gt;封闭期",$H$4:$H$200,"&gt;10",$BN$4:$BN$200,"&gt;-6",$BR$4:$BR$200,"&gt;=70",$K$4:$K$200,"&lt;=30",$C$4:$C$200,"&lt;20190630",AC$4:AC$200,"&gt;="&amp;AC66)/COUNTIFS(AC$4:AC$200,"&lt;&gt;-",$D$4:$D$200,"&lt;&gt;是",$E$4:$E$200,"&lt;&gt;封闭期",$H$4:$H$200,"&gt;10",$BN$4:$BN$200,"&gt;-6",$BR$4:$BR$200,"&gt;=70",$C$4:$C$200,"&lt;20190630",$K$4:$K$200,"&lt;=30"))</f>
        <v>-</v>
      </c>
      <c r="AH66" s="21">
        <f>[1]!f_risk_maxdownside(A66,$L$2,$E$1)</f>
        <v>-5.0911854103343419</v>
      </c>
      <c r="AI66" s="19" t="str">
        <f>IFERROR(RANK(AH66,AH:AH)&amp;"/"&amp;COUNT(AH:AH),"-")</f>
        <v>157/197</v>
      </c>
      <c r="AJ66" s="26">
        <f>IFERROR(RANK(AH66,AH:AH)/COUNT(AH:AH),"-")</f>
        <v>0.79695431472081213</v>
      </c>
      <c r="AK66" s="34" t="str">
        <f>IF(OR($C66&gt;20190630,$K66&gt;30,AH66="-",$D66="是",$E66="封闭期",$H66&lt;10,$BN66&lt;-6,$BR66&lt;70),"-",COUNTIFS(AH$4:AH$200,"&lt;&gt;-",$D$4:$D$200,"&lt;&gt;是",$E$4:$E$200,"&lt;&gt;封闭期",$H$4:$H$200,"&gt;10",$BN$4:$BN$200,"&gt;-6",$BR$4:$BR$200,"&gt;=70",$K$4:$K$200,"&lt;=30",$C$4:$C$200,"&lt;20190630",AH$4:AH$200,"&gt;="&amp;AH66)&amp;"/"&amp;COUNTIFS(AH$4:AH$200,"&lt;&gt;-",$D$4:$D$200,"&lt;&gt;是",$E$4:$E$200,"&lt;&gt;封闭期",$H$4:$H$200,"&gt;10",$BN$4:$BN$200,"&gt;-6",$BR$4:$BR$200,"&gt;=70",$C$4:$C$200,"&lt;20190630",$K$4:$K$200,"&lt;=30"))</f>
        <v>-</v>
      </c>
      <c r="AL66" s="33" t="str">
        <f>IF(OR($C66&gt;20190630,$K66&gt;30,AH66="-",$D66="是",$E66="封闭期",$H66&lt;10,$BN66&lt;-6,$BR66&lt;70),"-",COUNTIFS(AH$4:AH$200,"&lt;&gt;-",$D$4:$D$200,"&lt;&gt;是",$E$4:$E$200,"&lt;&gt;封闭期",$H$4:$H$200,"&gt;10",$BN$4:$BN$200,"&gt;-6",$BR$4:$BR$200,"&gt;=70",$K$4:$K$200,"&lt;=30",$C$4:$C$200,"&lt;20190630",AH$4:AH$200,"&gt;="&amp;AH66)/COUNTIFS(AH$4:AH$200,"&lt;&gt;-",$D$4:$D$200,"&lt;&gt;是",$E$4:$E$200,"&lt;&gt;封闭期",$H$4:$H$200,"&gt;10",$BN$4:$BN$200,"&gt;-6",$BR$4:$BR$200,"&gt;=70",$C$4:$C$200,"&lt;20190630",$K$4:$K$200,"&lt;=30"))</f>
        <v>-</v>
      </c>
      <c r="AM66" s="19">
        <f>[1]!f_return($A66,"1",AM$2,$L$2)</f>
        <v>9.1649259201965307</v>
      </c>
      <c r="AN66" s="19">
        <f>[1]!f_risk_stdevyearly($A66,AM$2,$L$2,1,1)</f>
        <v>4.8641830245683568</v>
      </c>
      <c r="AO66" s="19">
        <f>IFERROR(AM66/AN66,"-")</f>
        <v>1.884165516368459</v>
      </c>
      <c r="AP66" s="19" t="str">
        <f>IFERROR(RANK(AO66,AO:AO)&amp;"/"&amp;COUNT(AO:AO),"-")</f>
        <v>64/197</v>
      </c>
      <c r="AQ66" s="26">
        <f>IF(AP66="-","-",RANK(AO66,AO:AO)/COUNT(AO:AO))</f>
        <v>0.32487309644670048</v>
      </c>
      <c r="AR66" s="57">
        <v>0.31979695431472083</v>
      </c>
      <c r="AS66" s="33" t="str">
        <f>IF(OR($C66&gt;20190630,$K66&gt;30,AO66="-",$D66="是",$E66="封闭期",$H66&lt;10,$BN66&lt;-6,$BR66&lt;70),"-",COUNTIFS(AO$4:AO$200,"&lt;&gt;-",$D$4:$D$200,"&lt;&gt;是",$E$4:$E$200,"&lt;&gt;封闭期",$H$4:$H$200,"&gt;10",$BN$4:$BN$200,"&gt;-6",$BR$4:$BR$200,"&gt;=70",$K$4:$K$200,"&lt;=30",$C$4:$C$200,"&lt;20190630",AO$4:AO$200,"&gt;="&amp;AO66)/COUNTIFS(AO$4:AO$200,"&lt;&gt;-",$D$4:$D$200,"&lt;&gt;是",$E$4:$E$200,"&lt;&gt;封闭期",$H$4:$H$200,"&gt;10",$BN$4:$BN$200,"&gt;-6",$BR$4:$BR$200,"&gt;=70",$C$4:$C$200,"&lt;20190630",$K$4:$K$200,"&lt;=30"))</f>
        <v>-</v>
      </c>
      <c r="AT66" s="19">
        <f>IFERROR((AM66-3)/AN66,"-")</f>
        <v>1.2674124080155476</v>
      </c>
      <c r="AU66" s="19" t="str">
        <f>IFERROR(RANK(AT66,AT:AT)&amp;"/"&amp;COUNT(AT:AT),"-")</f>
        <v>47/197</v>
      </c>
      <c r="AV66" s="26">
        <f>IFERROR(RANK(AT66,AT:AT)/COUNT(AT:AT),"-")</f>
        <v>0.23857868020304568</v>
      </c>
      <c r="AW66" s="34" t="str">
        <f>IF(OR($C66&gt;20190630,$K66&gt;30,AT66="-",$D66="是",$E66="封闭期",$H66&lt;10,$BN66&lt;-6,$BR66&lt;70),"-",COUNTIFS(AT$4:AT$200,"&lt;&gt;-",$D$4:$D$200,"&lt;&gt;是",$E$4:$E$200,"&lt;&gt;封闭期",$H$4:$H$200,"&gt;10",$BN$4:$BN$200,"&gt;-6",$BR$4:$BR$200,"&gt;=70",$K$4:$K$200,"&lt;=30",$C$4:$C$200,"&lt;20190630",AT$4:AT$200,"&gt;="&amp;AT66)&amp;"/"&amp;COUNTIFS(AT$4:AT$200,"&lt;&gt;-",$D$4:$D$200,"&lt;&gt;是",$E$4:$E$200,"&lt;&gt;封闭期",$H$4:$H$200,"&gt;10",$BN$4:$BN$200,"&gt;-6",$BR$4:$BR$200,"&gt;=70",$C$4:$C$200,"&lt;20190630",$K$4:$K$200,"&lt;=30"))</f>
        <v>-</v>
      </c>
      <c r="AX66" s="33" t="str">
        <f>IF(OR($C66&gt;20190630,$K66&gt;30,AT66="-",$D66="是",$E66="封闭期",$H66&lt;10,$BN66&lt;-6,$BR66&lt;70),"-",COUNTIFS(AT$4:AT$200,"&lt;&gt;-",$D$4:$D$200,"&lt;&gt;是",$E$4:$E$200,"&lt;&gt;封闭期",$H$4:$H$200,"&gt;10",$BN$4:$BN$200,"&gt;-6",$BR$4:$BR$200,"&gt;=70",$K$4:$K$200,"&lt;=30",$C$4:$C$200,"&lt;20190630",AT$4:AT$200,"&gt;="&amp;AT66)/COUNTIFS(AT$4:AT$200,"&lt;&gt;-",$D$4:$D$200,"&lt;&gt;是",$E$4:$E$200,"&lt;&gt;封闭期",$H$4:$H$200,"&gt;10",$BN$4:$BN$200,"&gt;-6",$BR$4:$BR$200,"&gt;=70",$C$4:$C$200,"&lt;20190630",$K$4:$K$200,"&lt;=30"))</f>
        <v>-</v>
      </c>
      <c r="AY66" s="19">
        <f>[1]!f_risk_calmar(A66,$AM$2,$L$2)</f>
        <v>2.8571656556212663</v>
      </c>
      <c r="AZ66" s="19" t="str">
        <f>IFERROR(RANK(AY66,AY:AY)&amp;"/"&amp;COUNT(AY:AY),"-")</f>
        <v>57/197</v>
      </c>
      <c r="BA66" s="26">
        <f>IFERROR(RANK(AY66,AY:AY)/COUNT(AY:AY),"-")</f>
        <v>0.28934010152284262</v>
      </c>
      <c r="BB66" s="34" t="str">
        <f>IF(OR($C66&gt;20190630,$K66&gt;30,AY66="-",$D66="是",$E66="封闭期",$H66&lt;10,$BN66&lt;-6,$BR66&lt;70),"-",COUNTIFS(AY$4:AY$200,"&lt;&gt;-",$D$4:$D$200,"&lt;&gt;是",$E$4:$E$200,"&lt;&gt;封闭期",$H$4:$H$200,"&gt;10",$BN$4:$BN$200,"&gt;-6",$BR$4:$BR$200,"&gt;=70",$K$4:$K$200,"&lt;=30",$C$4:$C$200,"&lt;20190630",AY$4:AY$200,"&gt;="&amp;AY66)&amp;"/"&amp;COUNTIFS(AY$4:AY$200,"&lt;&gt;-",$D$4:$D$200,"&lt;&gt;是",$E$4:$E$200,"&lt;&gt;封闭期",$H$4:$H$200,"&gt;10",$BN$4:$BN$200,"&gt;-6",$BR$4:$BR$200,"&gt;=70",$C$4:$C$200,"&lt;20190630",$K$4:$K$200,"&lt;=30"))</f>
        <v>-</v>
      </c>
      <c r="BC66" s="33" t="str">
        <f>IF(OR($C66&gt;20190630,$K66&gt;30,AY66="-",$D66="是",$E66="封闭期",$H66&lt;10,$BN66&lt;-6,$BR66&lt;70),"-",COUNTIFS(AY$4:AY$200,"&lt;&gt;-",$D$4:$D$200,"&lt;&gt;是",$E$4:$E$200,"&lt;&gt;封闭期",$H$4:$H$200,"&gt;10",$BN$4:$BN$200,"&gt;-6",$BR$4:$BR$200,"&gt;=70",$K$4:$K$200,"&lt;=30",$C$4:$C$200,"&lt;20190630",AY$4:AY$200,"&gt;="&amp;AY66)/COUNTIFS(AY$4:AY$200,"&lt;&gt;-",$D$4:$D$200,"&lt;&gt;是",$E$4:$E$200,"&lt;&gt;封闭期",$H$4:$H$200,"&gt;10",$BN$4:$BN$200,"&gt;-6",$BR$4:$BR$200,"&gt;=70",$C$4:$C$200,"&lt;20190630",$K$4:$K$200,"&lt;=30"))</f>
        <v>-</v>
      </c>
      <c r="BD66" s="20">
        <v>1</v>
      </c>
      <c r="BE66" s="19" t="str">
        <f>IFERROR(RANK(BD66,BD:BD)&amp;"/"&amp;COUNT(BD:BD),"-")</f>
        <v>1/197</v>
      </c>
      <c r="BF66" s="26">
        <f>IFERROR(RANK(BD66,BD:BD)/COUNT(BD:BD),"-")</f>
        <v>5.076142131979695E-3</v>
      </c>
      <c r="BG66" s="34" t="str">
        <f>IF(OR($C66&gt;20190630,$K66&gt;30,BD66="-",$D66="是",$E66="封闭期",$H66&lt;10,$BN66&lt;-6,$BR66&lt;70),"-",COUNTIFS(BD$4:BD$200,"&lt;&gt;-",$D$4:$D$200,"&lt;&gt;是",$E$4:$E$200,"&lt;&gt;封闭期",$H$4:$H$200,"&gt;10",$BN$4:$BN$200,"&gt;-6",$BR$4:$BR$200,"&gt;=70",$K$4:$K$200,"&lt;=30",$C$4:$C$200,"&lt;20190630",BD$4:BD$200,"&gt;="&amp;BD66)&amp;"/"&amp;COUNTIFS(BD$4:BD$200,"&lt;&gt;-",$D$4:$D$200,"&lt;&gt;是",$E$4:$E$200,"&lt;&gt;封闭期",$H$4:$H$200,"&gt;10",$BN$4:$BN$200,"&gt;-6",$BR$4:$BR$200,"&gt;=70",$C$4:$C$200,"&lt;20190630",$K$4:$K$200,"&lt;=30"))</f>
        <v>-</v>
      </c>
      <c r="BH66" s="33" t="str">
        <f>IF(OR($C66&gt;20190630,$K66&gt;30,BD66="-",$D66="是",$E66="封闭期",$H66&lt;10,$BN66&lt;-6,$BR66&lt;70),"-",COUNTIFS(BD$4:BD$200,"&lt;&gt;-",$D$4:$D$200,"&lt;&gt;是",$E$4:$E$200,"&lt;&gt;封闭期",$H$4:$H$200,"&gt;10",$BN$4:$BN$200,"&gt;-6",$BR$4:$BR$200,"&gt;=70",$K$4:$K$200,"&lt;=30",$C$4:$C$200,"&lt;20190630",BD$4:BD$200,"&gt;="&amp;BD66)/COUNTIFS(BD$4:BD$200,"&lt;&gt;-",$D$4:$D$200,"&lt;&gt;是",$E$4:$E$200,"&lt;&gt;封闭期",$H$4:$H$200,"&gt;10",$BN$4:$BN$200,"&gt;-6",$BR$4:$BR$200,"&gt;=70",$C$4:$C$200,"&lt;20190630",$K$4:$K$200,"&lt;=30"))</f>
        <v>-</v>
      </c>
      <c r="BI66" s="21">
        <f>[1]!f_risk_maxdownside(A66,$AM$2,$L$2)</f>
        <v>-3.2076984763432264</v>
      </c>
      <c r="BJ66" s="19" t="str">
        <f>IFERROR(RANK(BI66,BI:BI)&amp;"/"&amp;COUNT(BI:BI),"-")</f>
        <v>97/197</v>
      </c>
      <c r="BK66" s="26">
        <f>IFERROR(RANK(BI66,BI:BI)/COUNT(BI:BI),"-")</f>
        <v>0.49238578680203043</v>
      </c>
      <c r="BL66" s="34" t="str">
        <f>IF(OR($C66&gt;20190630,$K66&gt;30,BI66="-",$D66="是",$E66="封闭期",$H66&lt;10,$BN66&lt;-6,$BR66&lt;70),"-",COUNTIFS(BI$4:BI$200,"&lt;&gt;-",$D$4:$D$200,"&lt;&gt;是",$E$4:$E$200,"&lt;&gt;封闭期",$H$4:$H$200,"&gt;10",$BN$4:$BN$200,"&gt;-6",$BR$4:$BR$200,"&gt;=70",$K$4:$K$200,"&lt;=30",$C$4:$C$200,"&lt;20190630",BI$4:BI$200,"&gt;="&amp;BI66)&amp;"/"&amp;COUNTIFS(BI$4:BI$200,"&lt;&gt;-",$D$4:$D$200,"&lt;&gt;是",$E$4:$E$200,"&lt;&gt;封闭期",$H$4:$H$200,"&gt;10",$BN$4:$BN$200,"&gt;-6",$BR$4:$BR$200,"&gt;=70",$C$4:$C$200,"&lt;20190630",$K$4:$K$200,"&lt;=30"))</f>
        <v>-</v>
      </c>
      <c r="BM66" s="33" t="str">
        <f>IF(OR($C66&gt;20190630,$K66&gt;30,BI66="-",$D66="是",$E66="封闭期",$H66&lt;10,$BN66&lt;-6,$BR66&lt;70),"-",COUNTIFS(BI$4:BI$200,"&lt;&gt;-",$D$4:$D$200,"&lt;&gt;是",$E$4:$E$200,"&lt;&gt;封闭期",$H$4:$H$200,"&gt;10",$BN$4:$BN$200,"&gt;-6",$BR$4:$BR$200,"&gt;=70",$K$4:$K$200,"&lt;=30",$C$4:$C$200,"&lt;20190630",BI$4:BI$200,"&gt;="&amp;BI66)/COUNTIFS(BI$4:BI$200,"&lt;&gt;-",$D$4:$D$200,"&lt;&gt;是",$E$4:$E$200,"&lt;&gt;封闭期",$H$4:$H$200,"&gt;10",$BN$4:$BN$200,"&gt;-6",$BR$4:$BR$200,"&gt;=70",$C$4:$C$200,"&lt;20190630",$K$4:$K$200,"&lt;=30"))</f>
        <v>-</v>
      </c>
      <c r="BN66" s="21">
        <f>[1]!f_risk_maxdownside(A66,$AM$2,$E$1)</f>
        <v>-5.0911854103343419</v>
      </c>
      <c r="BO66" s="21">
        <f>IF(C66&lt;20190930,[1]!f_return_2y(A66,"0","20210930"),"-")</f>
        <v>14.634146341463428</v>
      </c>
      <c r="BP66" s="19" t="str">
        <f>IFERROR(RANK(BO66,BO:BO)&amp;"/"&amp;COUNT(BO:BO),"-")</f>
        <v>85/197</v>
      </c>
      <c r="BQ66" s="25">
        <f>IFERROR(RANK(BO66,BO:BO)/COUNT(BO:BO),"-")</f>
        <v>0.43147208121827413</v>
      </c>
      <c r="BR66" s="19">
        <f>IF(C66&lt;20190930,[1]!f_absolute_profitmonthper(A66,"20190930","20210930"),"-")</f>
        <v>66.666666666666657</v>
      </c>
      <c r="BS66" s="19" t="str">
        <f>IFERROR(RANK(BR66,BR:BR)&amp;"/"&amp;COUNT(BR:BR),"-")</f>
        <v>115/198</v>
      </c>
      <c r="BT66" s="25">
        <f>IFERROR(RANK(BR66,BR:BR)/COUNT(BR:BR),"-")</f>
        <v>0.58080808080808077</v>
      </c>
      <c r="BU66" s="17"/>
      <c r="BV66" s="12">
        <f>X66-3/M66</f>
        <v>0.36036768812028341</v>
      </c>
      <c r="BW66" s="76">
        <f>IFERROR(RANK(BV66,BV:BV)/COUNT(BV:BV),"-")</f>
        <v>0.79187817258883253</v>
      </c>
      <c r="BX66" s="76">
        <f>IFERROR(RANK(L66,L:L)/COUNT(L:L),"-")</f>
        <v>0.61616161616161613</v>
      </c>
      <c r="BY66" s="12">
        <f>AY66-3/AN66</f>
        <v>2.2404125472683551</v>
      </c>
      <c r="BZ66" s="76">
        <f>IFERROR(RANK(BY66,BY:BY)/COUNT(BY:BY),"-")</f>
        <v>0.24365482233502539</v>
      </c>
      <c r="CA66" s="76">
        <f>IFERROR(RANK(AM66,AM:AM)/COUNT(AM:AM),"-")</f>
        <v>0.32323232323232326</v>
      </c>
      <c r="CC66" s="77">
        <f>AV66+BF66+BZ66+CA66</f>
        <v>0.81054196790237398</v>
      </c>
      <c r="CD66" s="77">
        <f>BW66+BX66+AE66+U66</f>
        <v>3.0273291288519713</v>
      </c>
      <c r="CE66" s="77">
        <f>CC66+CD66</f>
        <v>3.8378710967543452</v>
      </c>
    </row>
    <row r="67" spans="1:83" s="17" customFormat="1" hidden="1" x14ac:dyDescent="0.35">
      <c r="A67" s="15" t="s">
        <v>91</v>
      </c>
      <c r="B67" s="15" t="s">
        <v>92</v>
      </c>
      <c r="C67" s="16">
        <v>20110323</v>
      </c>
      <c r="D67" s="16" t="str">
        <f>[1]!f_info_regulopenfundornot(A67)</f>
        <v>否</v>
      </c>
      <c r="E67" s="16" t="str">
        <f>[1]!f_dq_status(A67,$E$1)</f>
        <v>开放申购|开放赎回</v>
      </c>
      <c r="F67" s="17" t="str">
        <f>[1]!f_info_fundmanager(A67)</f>
        <v>王影峰,殷婧</v>
      </c>
      <c r="G67" s="16">
        <v>20210817</v>
      </c>
      <c r="H67" s="18">
        <f>[1]!f_netasset_total(A67,$E$1,100000000)</f>
        <v>0.53056636030000004</v>
      </c>
      <c r="I67" s="18">
        <f>[1]!f_prt_convertiblebondtonav(A67,$E$1)</f>
        <v>12.389941215515137</v>
      </c>
      <c r="J67" s="18">
        <f>[1]!f_prt_stocktonav(A67,$E$1)+0.5*I67</f>
        <v>11.886454582214355</v>
      </c>
      <c r="K67" s="19">
        <v>0</v>
      </c>
      <c r="L67" s="19">
        <f>[1]!f_return($A67,"1",L$2,$E$1)</f>
        <v>7.1660464199604146</v>
      </c>
      <c r="M67" s="19">
        <f>[1]!f_risk_stdevyearly($A67,L$2,$E$1,1,1)</f>
        <v>2.653673387323785</v>
      </c>
      <c r="N67" s="19">
        <f>IFERROR(L67/M67,"-")</f>
        <v>2.7004251744738386</v>
      </c>
      <c r="O67" s="19" t="str">
        <f>IFERROR(RANK(N67,N:N)&amp;"/"&amp;COUNT(N:N),"-")</f>
        <v>27/197</v>
      </c>
      <c r="P67" s="26">
        <f>IF(O67="-","-",RANK(N67,N:N)/COUNT(N:N))</f>
        <v>0.13705583756345177</v>
      </c>
      <c r="Q67" s="56">
        <v>0.35025380710659898</v>
      </c>
      <c r="R67" s="33" t="str">
        <f>IF(OR($C67&gt;20190630,$K67&gt;30,N67="-",$D67="是",$E67="封闭期",$H67&lt;10,$BN67&lt;-6,$BR67&lt;70),"-",COUNTIFS(N$4:N$200,"&lt;&gt;-",$D$4:$D$200,"&lt;&gt;是",$E$4:$E$200,"&lt;&gt;封闭期",$H$4:$H$200,"&gt;10",$BN$4:$BN$200,"&gt;-6",$BR$4:$BR$200,"&gt;=70",$K$4:$K$200,"&lt;=30",$C$4:$C$200,"&lt;20190630",N$4:N$200,"&gt;="&amp;N67)/COUNTIFS(N$4:N$200,"&lt;&gt;-",$D$4:$D$200,"&lt;&gt;是",$E$4:$E$200,"&lt;&gt;封闭期",$H$4:$H$200,"&gt;10",$BN$4:$BN$200,"&gt;-6",$BR$4:$BR$200,"&gt;=70",$C$4:$C$200,"&lt;20190630",$K$4:$K$200,"&lt;=30"))</f>
        <v>-</v>
      </c>
      <c r="S67" s="19">
        <f>IFERROR((L67-3)/M67,"-")</f>
        <v>1.5699167952849877</v>
      </c>
      <c r="T67" s="19" t="str">
        <f>IFERROR(RANK(S67,S:S)&amp;"/"&amp;COUNT(S:S),"-")</f>
        <v>28/197</v>
      </c>
      <c r="U67" s="26">
        <f>IFERROR(RANK(S67,S:S)/COUNT(S:S),"-")</f>
        <v>0.14213197969543148</v>
      </c>
      <c r="V67" s="34" t="str">
        <f>IF(OR($C67&gt;20190630,$K67&gt;30,S67="-",$D67="是",$E67="封闭期",$H67&lt;10,$BN67&lt;-6,$BR67&lt;70),"-",COUNTIFS(S$4:S$200,"&lt;&gt;-",$D$4:$D$200,"&lt;&gt;是",$E$4:$E$200,"&lt;&gt;封闭期",$H$4:$H$200,"&gt;10",$BN$4:$BN$200,"&gt;-6",$BR$4:$BR$200,"&gt;=70",$K$4:$K$200,"&lt;=30",$C$4:$C$200,"&lt;20190630",S$4:S$200,"&gt;="&amp;S67)&amp;"/"&amp;COUNTIFS(S$4:S$200,"&lt;&gt;-",$D$4:$D$200,"&lt;&gt;是",$E$4:$E$200,"&lt;&gt;封闭期",$H$4:$H$200,"&gt;10",$BN$4:$BN$200,"&gt;-6",$BR$4:$BR$200,"&gt;=70",$C$4:$C$200,"&lt;20190630",$K$4:$K$200,"&lt;=30"))</f>
        <v>-</v>
      </c>
      <c r="W67" s="33" t="str">
        <f>IF(OR($C67&gt;20190630,$K67&gt;30,S67="-",$D67="是",$E67="封闭期",$H67&lt;10,$BN67&lt;-6,$BR67&lt;70),"-",COUNTIFS(S$4:S$200,"&lt;&gt;-",$D$4:$D$200,"&lt;&gt;是",$E$4:$E$200,"&lt;&gt;封闭期",$H$4:$H$200,"&gt;10",$BN$4:$BN$200,"&gt;-6",$BR$4:$BR$200,"&gt;=70",$K$4:$K$200,"&lt;=30",$C$4:$C$200,"&lt;20190630",S$4:S$200,"&gt;="&amp;S67)/COUNTIFS(S$4:S$200,"&lt;&gt;-",$D$4:$D$200,"&lt;&gt;是",$E$4:$E$200,"&lt;&gt;封闭期",$H$4:$H$200,"&gt;10",$BN$4:$BN$200,"&gt;-6",$BR$4:$BR$200,"&gt;=70",$C$4:$C$200,"&lt;20190630",$K$4:$K$200,"&lt;=30"))</f>
        <v>-</v>
      </c>
      <c r="X67" s="19">
        <f>[1]!f_risk_calmar(A67,$L$2,$E$1)</f>
        <v>5.1721993866419806</v>
      </c>
      <c r="Y67" s="19" t="str">
        <f>IFERROR(RANK(X67,X:X)&amp;"/"&amp;COUNT(X:X),"-")</f>
        <v>32/197</v>
      </c>
      <c r="Z67" s="26">
        <f>IFERROR(RANK(X67,X:X)/COUNT(X:X),"-")</f>
        <v>0.16243654822335024</v>
      </c>
      <c r="AA67" s="34" t="str">
        <f>IF(OR($C67&gt;20190630,$K67&gt;30,X67="-",$D67="是",$E67="封闭期",$H67&lt;10,$BN67&lt;-6,$BR67&lt;70),"-",COUNTIFS(X$4:X$200,"&lt;&gt;-",$D$4:$D$200,"&lt;&gt;是",$E$4:$E$200,"&lt;&gt;封闭期",$H$4:$H$200,"&gt;10",$BN$4:$BN$200,"&gt;-6",$BR$4:$BR$200,"&gt;=70",$K$4:$K$200,"&lt;=30",$C$4:$C$200,"&lt;20190630",X$4:X$200,"&gt;="&amp;X67)&amp;"/"&amp;COUNTIFS(X$4:X$200,"&lt;&gt;-",$D$4:$D$200,"&lt;&gt;是",$E$4:$E$200,"&lt;&gt;封闭期",$H$4:$H$200,"&gt;10",$BN$4:$BN$200,"&gt;-6",$BR$4:$BR$200,"&gt;=70",$C$4:$C$200,"&lt;20190630",$K$4:$K$200,"&lt;=30"))</f>
        <v>-</v>
      </c>
      <c r="AB67" s="33" t="str">
        <f>IF(OR($C67&gt;20190630,$K67&gt;30,X67="-",$D67="是",$E67="封闭期",$H67&lt;10,$BN67&lt;-6,$BR67&lt;70),"-",COUNTIFS(X$4:X$200,"&lt;&gt;-",$D$4:$D$200,"&lt;&gt;是",$E$4:$E$200,"&lt;&gt;封闭期",$H$4:$H$200,"&gt;10",$BN$4:$BN$200,"&gt;-6",$BR$4:$BR$200,"&gt;=70",$K$4:$K$200,"&lt;=30",$C$4:$C$200,"&lt;20190630",X$4:X$200,"&gt;="&amp;X67)/COUNTIFS(X$4:X$200,"&lt;&gt;-",$D$4:$D$200,"&lt;&gt;是",$E$4:$E$200,"&lt;&gt;封闭期",$H$4:$H$200,"&gt;10",$BN$4:$BN$200,"&gt;-6",$BR$4:$BR$200,"&gt;=70",$C$4:$C$200,"&lt;20190630",$K$4:$K$200,"&lt;=30"))</f>
        <v>-</v>
      </c>
      <c r="AC67" s="20">
        <v>1</v>
      </c>
      <c r="AD67" s="19" t="str">
        <f>IFERROR(RANK(AC67,AC:AC)&amp;"/"&amp;COUNT(AC:AC),"-")</f>
        <v>1/197</v>
      </c>
      <c r="AE67" s="26">
        <f>IFERROR(RANK(AC67,AC:AC)/COUNT(AC:AC),"-")</f>
        <v>5.076142131979695E-3</v>
      </c>
      <c r="AF67" s="34" t="str">
        <f>IF(OR($C67&gt;20190630,$K67&gt;30,AC67="-",$D67="是",$E67="封闭期",$H67&lt;10,$BN67&lt;-6,$BR67&lt;70),"-",COUNTIFS(AC$4:AC$200,"&lt;&gt;-",$D$4:$D$200,"&lt;&gt;是",$E$4:$E$200,"&lt;&gt;封闭期",$H$4:$H$200,"&gt;10",$BN$4:$BN$200,"&gt;-6",$BR$4:$BR$200,"&gt;=70",$K$4:$K$200,"&lt;=30",$C$4:$C$200,"&lt;20190630",AC$4:AC$200,"&gt;="&amp;AC67)&amp;"/"&amp;COUNTIFS(AC$4:AC$200,"&lt;&gt;-",$D$4:$D$200,"&lt;&gt;是",$E$4:$E$200,"&lt;&gt;封闭期",$H$4:$H$200,"&gt;10",$BN$4:$BN$200,"&gt;-6",$BR$4:$BR$200,"&gt;=70",$C$4:$C$200,"&lt;20190630",$K$4:$K$200,"&lt;=30"))</f>
        <v>-</v>
      </c>
      <c r="AG67" s="33" t="str">
        <f>IF(OR($C67&gt;20190630,$K67&gt;30,AC67="-",$D67="是",$E67="封闭期",$H67&lt;10,$BN67&lt;-6,$BR67&lt;70),"-",COUNTIFS(AC$4:AC$200,"&lt;&gt;-",$D$4:$D$200,"&lt;&gt;是",$E$4:$E$200,"&lt;&gt;封闭期",$H$4:$H$200,"&gt;10",$BN$4:$BN$200,"&gt;-6",$BR$4:$BR$200,"&gt;=70",$K$4:$K$200,"&lt;=30",$C$4:$C$200,"&lt;20190630",AC$4:AC$200,"&gt;="&amp;AC67)/COUNTIFS(AC$4:AC$200,"&lt;&gt;-",$D$4:$D$200,"&lt;&gt;是",$E$4:$E$200,"&lt;&gt;封闭期",$H$4:$H$200,"&gt;10",$BN$4:$BN$200,"&gt;-6",$BR$4:$BR$200,"&gt;=70",$C$4:$C$200,"&lt;20190630",$K$4:$K$200,"&lt;=30"))</f>
        <v>-</v>
      </c>
      <c r="AH67" s="21">
        <f>[1]!f_risk_maxdownside(A67,$L$2,$E$1)</f>
        <v>-1.385493072534647</v>
      </c>
      <c r="AI67" s="19" t="str">
        <f>IFERROR(RANK(AH67,AH:AH)&amp;"/"&amp;COUNT(AH:AH),"-")</f>
        <v>39/197</v>
      </c>
      <c r="AJ67" s="26">
        <f>IFERROR(RANK(AH67,AH:AH)/COUNT(AH:AH),"-")</f>
        <v>0.19796954314720813</v>
      </c>
      <c r="AK67" s="34" t="str">
        <f>IF(OR($C67&gt;20190630,$K67&gt;30,AH67="-",$D67="是",$E67="封闭期",$H67&lt;10,$BN67&lt;-6,$BR67&lt;70),"-",COUNTIFS(AH$4:AH$200,"&lt;&gt;-",$D$4:$D$200,"&lt;&gt;是",$E$4:$E$200,"&lt;&gt;封闭期",$H$4:$H$200,"&gt;10",$BN$4:$BN$200,"&gt;-6",$BR$4:$BR$200,"&gt;=70",$K$4:$K$200,"&lt;=30",$C$4:$C$200,"&lt;20190630",AH$4:AH$200,"&gt;="&amp;AH67)&amp;"/"&amp;COUNTIFS(AH$4:AH$200,"&lt;&gt;-",$D$4:$D$200,"&lt;&gt;是",$E$4:$E$200,"&lt;&gt;封闭期",$H$4:$H$200,"&gt;10",$BN$4:$BN$200,"&gt;-6",$BR$4:$BR$200,"&gt;=70",$C$4:$C$200,"&lt;20190630",$K$4:$K$200,"&lt;=30"))</f>
        <v>-</v>
      </c>
      <c r="AL67" s="33" t="str">
        <f>IF(OR($C67&gt;20190630,$K67&gt;30,AH67="-",$D67="是",$E67="封闭期",$H67&lt;10,$BN67&lt;-6,$BR67&lt;70),"-",COUNTIFS(AH$4:AH$200,"&lt;&gt;-",$D$4:$D$200,"&lt;&gt;是",$E$4:$E$200,"&lt;&gt;封闭期",$H$4:$H$200,"&gt;10",$BN$4:$BN$200,"&gt;-6",$BR$4:$BR$200,"&gt;=70",$K$4:$K$200,"&lt;=30",$C$4:$C$200,"&lt;20190630",AH$4:AH$200,"&gt;="&amp;AH67)/COUNTIFS(AH$4:AH$200,"&lt;&gt;-",$D$4:$D$200,"&lt;&gt;是",$E$4:$E$200,"&lt;&gt;封闭期",$H$4:$H$200,"&gt;10",$BN$4:$BN$200,"&gt;-6",$BR$4:$BR$200,"&gt;=70",$C$4:$C$200,"&lt;20190630",$K$4:$K$200,"&lt;=30"))</f>
        <v>-</v>
      </c>
      <c r="AM67" s="19">
        <f>[1]!f_return($A67,"1",AM$2,$L$2)</f>
        <v>9.1536827333995383</v>
      </c>
      <c r="AN67" s="19">
        <f>[1]!f_risk_stdevyearly($A67,AM$2,$L$2,1,1)</f>
        <v>5.0458046924214202</v>
      </c>
      <c r="AO67" s="19">
        <f>IFERROR(AM67/AN67,"-")</f>
        <v>1.8141175276062453</v>
      </c>
      <c r="AP67" s="19" t="str">
        <f>IFERROR(RANK(AO67,AO:AO)&amp;"/"&amp;COUNT(AO:AO),"-")</f>
        <v>67/197</v>
      </c>
      <c r="AQ67" s="26">
        <f>IF(AP67="-","-",RANK(AO67,AO:AO)/COUNT(AO:AO))</f>
        <v>0.34010152284263961</v>
      </c>
      <c r="AR67" s="57">
        <v>0.32487309644670048</v>
      </c>
      <c r="AS67" s="33" t="str">
        <f>IF(OR($C67&gt;20190630,$K67&gt;30,AO67="-",$D67="是",$E67="封闭期",$H67&lt;10,$BN67&lt;-6,$BR67&lt;70),"-",COUNTIFS(AO$4:AO$200,"&lt;&gt;-",$D$4:$D$200,"&lt;&gt;是",$E$4:$E$200,"&lt;&gt;封闭期",$H$4:$H$200,"&gt;10",$BN$4:$BN$200,"&gt;-6",$BR$4:$BR$200,"&gt;=70",$K$4:$K$200,"&lt;=30",$C$4:$C$200,"&lt;20190630",AO$4:AO$200,"&gt;="&amp;AO67)/COUNTIFS(AO$4:AO$200,"&lt;&gt;-",$D$4:$D$200,"&lt;&gt;是",$E$4:$E$200,"&lt;&gt;封闭期",$H$4:$H$200,"&gt;10",$BN$4:$BN$200,"&gt;-6",$BR$4:$BR$200,"&gt;=70",$C$4:$C$200,"&lt;20190630",$K$4:$K$200,"&lt;=30"))</f>
        <v>-</v>
      </c>
      <c r="AT67" s="19">
        <f>IFERROR((AM67-3)/AN67,"-")</f>
        <v>1.2195641941199395</v>
      </c>
      <c r="AU67" s="19" t="str">
        <f>IFERROR(RANK(AT67,AT:AT)&amp;"/"&amp;COUNT(AT:AT),"-")</f>
        <v>52/197</v>
      </c>
      <c r="AV67" s="26">
        <f>IFERROR(RANK(AT67,AT:AT)/COUNT(AT:AT),"-")</f>
        <v>0.26395939086294418</v>
      </c>
      <c r="AW67" s="34" t="str">
        <f>IF(OR($C67&gt;20190630,$K67&gt;30,AT67="-",$D67="是",$E67="封闭期",$H67&lt;10,$BN67&lt;-6,$BR67&lt;70),"-",COUNTIFS(AT$4:AT$200,"&lt;&gt;-",$D$4:$D$200,"&lt;&gt;是",$E$4:$E$200,"&lt;&gt;封闭期",$H$4:$H$200,"&gt;10",$BN$4:$BN$200,"&gt;-6",$BR$4:$BR$200,"&gt;=70",$K$4:$K$200,"&lt;=30",$C$4:$C$200,"&lt;20190630",AT$4:AT$200,"&gt;="&amp;AT67)&amp;"/"&amp;COUNTIFS(AT$4:AT$200,"&lt;&gt;-",$D$4:$D$200,"&lt;&gt;是",$E$4:$E$200,"&lt;&gt;封闭期",$H$4:$H$200,"&gt;10",$BN$4:$BN$200,"&gt;-6",$BR$4:$BR$200,"&gt;=70",$C$4:$C$200,"&lt;20190630",$K$4:$K$200,"&lt;=30"))</f>
        <v>-</v>
      </c>
      <c r="AX67" s="33" t="str">
        <f>IF(OR($C67&gt;20190630,$K67&gt;30,AT67="-",$D67="是",$E67="封闭期",$H67&lt;10,$BN67&lt;-6,$BR67&lt;70),"-",COUNTIFS(AT$4:AT$200,"&lt;&gt;-",$D$4:$D$200,"&lt;&gt;是",$E$4:$E$200,"&lt;&gt;封闭期",$H$4:$H$200,"&gt;10",$BN$4:$BN$200,"&gt;-6",$BR$4:$BR$200,"&gt;=70",$K$4:$K$200,"&lt;=30",$C$4:$C$200,"&lt;20190630",AT$4:AT$200,"&gt;="&amp;AT67)/COUNTIFS(AT$4:AT$200,"&lt;&gt;-",$D$4:$D$200,"&lt;&gt;是",$E$4:$E$200,"&lt;&gt;封闭期",$H$4:$H$200,"&gt;10",$BN$4:$BN$200,"&gt;-6",$BR$4:$BR$200,"&gt;=70",$C$4:$C$200,"&lt;20190630",$K$4:$K$200,"&lt;=30"))</f>
        <v>-</v>
      </c>
      <c r="AY67" s="19">
        <f>[1]!f_risk_calmar(A67,$AM$2,$L$2)</f>
        <v>3.8109832446720131</v>
      </c>
      <c r="AZ67" s="19" t="str">
        <f>IFERROR(RANK(AY67,AY:AY)&amp;"/"&amp;COUNT(AY:AY),"-")</f>
        <v>26/197</v>
      </c>
      <c r="BA67" s="26">
        <f>IFERROR(RANK(AY67,AY:AY)/COUNT(AY:AY),"-")</f>
        <v>0.13197969543147209</v>
      </c>
      <c r="BB67" s="34" t="str">
        <f>IF(OR($C67&gt;20190630,$K67&gt;30,AY67="-",$D67="是",$E67="封闭期",$H67&lt;10,$BN67&lt;-6,$BR67&lt;70),"-",COUNTIFS(AY$4:AY$200,"&lt;&gt;-",$D$4:$D$200,"&lt;&gt;是",$E$4:$E$200,"&lt;&gt;封闭期",$H$4:$H$200,"&gt;10",$BN$4:$BN$200,"&gt;-6",$BR$4:$BR$200,"&gt;=70",$K$4:$K$200,"&lt;=30",$C$4:$C$200,"&lt;20190630",AY$4:AY$200,"&gt;="&amp;AY67)&amp;"/"&amp;COUNTIFS(AY$4:AY$200,"&lt;&gt;-",$D$4:$D$200,"&lt;&gt;是",$E$4:$E$200,"&lt;&gt;封闭期",$H$4:$H$200,"&gt;10",$BN$4:$BN$200,"&gt;-6",$BR$4:$BR$200,"&gt;=70",$C$4:$C$200,"&lt;20190630",$K$4:$K$200,"&lt;=30"))</f>
        <v>-</v>
      </c>
      <c r="BC67" s="33" t="str">
        <f>IF(OR($C67&gt;20190630,$K67&gt;30,AY67="-",$D67="是",$E67="封闭期",$H67&lt;10,$BN67&lt;-6,$BR67&lt;70),"-",COUNTIFS(AY$4:AY$200,"&lt;&gt;-",$D$4:$D$200,"&lt;&gt;是",$E$4:$E$200,"&lt;&gt;封闭期",$H$4:$H$200,"&gt;10",$BN$4:$BN$200,"&gt;-6",$BR$4:$BR$200,"&gt;=70",$K$4:$K$200,"&lt;=30",$C$4:$C$200,"&lt;20190630",AY$4:AY$200,"&gt;="&amp;AY67)/COUNTIFS(AY$4:AY$200,"&lt;&gt;-",$D$4:$D$200,"&lt;&gt;是",$E$4:$E$200,"&lt;&gt;封闭期",$H$4:$H$200,"&gt;10",$BN$4:$BN$200,"&gt;-6",$BR$4:$BR$200,"&gt;=70",$C$4:$C$200,"&lt;20190630",$K$4:$K$200,"&lt;=30"))</f>
        <v>-</v>
      </c>
      <c r="BD67" s="20">
        <v>1</v>
      </c>
      <c r="BE67" s="19" t="str">
        <f>IFERROR(RANK(BD67,BD:BD)&amp;"/"&amp;COUNT(BD:BD),"-")</f>
        <v>1/197</v>
      </c>
      <c r="BF67" s="26">
        <f>IFERROR(RANK(BD67,BD:BD)/COUNT(BD:BD),"-")</f>
        <v>5.076142131979695E-3</v>
      </c>
      <c r="BG67" s="34" t="str">
        <f>IF(OR($C67&gt;20190630,$K67&gt;30,BD67="-",$D67="是",$E67="封闭期",$H67&lt;10,$BN67&lt;-6,$BR67&lt;70),"-",COUNTIFS(BD$4:BD$200,"&lt;&gt;-",$D$4:$D$200,"&lt;&gt;是",$E$4:$E$200,"&lt;&gt;封闭期",$H$4:$H$200,"&gt;10",$BN$4:$BN$200,"&gt;-6",$BR$4:$BR$200,"&gt;=70",$K$4:$K$200,"&lt;=30",$C$4:$C$200,"&lt;20190630",BD$4:BD$200,"&gt;="&amp;BD67)&amp;"/"&amp;COUNTIFS(BD$4:BD$200,"&lt;&gt;-",$D$4:$D$200,"&lt;&gt;是",$E$4:$E$200,"&lt;&gt;封闭期",$H$4:$H$200,"&gt;10",$BN$4:$BN$200,"&gt;-6",$BR$4:$BR$200,"&gt;=70",$C$4:$C$200,"&lt;20190630",$K$4:$K$200,"&lt;=30"))</f>
        <v>-</v>
      </c>
      <c r="BH67" s="33" t="str">
        <f>IF(OR($C67&gt;20190630,$K67&gt;30,BD67="-",$D67="是",$E67="封闭期",$H67&lt;10,$BN67&lt;-6,$BR67&lt;70),"-",COUNTIFS(BD$4:BD$200,"&lt;&gt;-",$D$4:$D$200,"&lt;&gt;是",$E$4:$E$200,"&lt;&gt;封闭期",$H$4:$H$200,"&gt;10",$BN$4:$BN$200,"&gt;-6",$BR$4:$BR$200,"&gt;=70",$K$4:$K$200,"&lt;=30",$C$4:$C$200,"&lt;20190630",BD$4:BD$200,"&gt;="&amp;BD67)/COUNTIFS(BD$4:BD$200,"&lt;&gt;-",$D$4:$D$200,"&lt;&gt;是",$E$4:$E$200,"&lt;&gt;封闭期",$H$4:$H$200,"&gt;10",$BN$4:$BN$200,"&gt;-6",$BR$4:$BR$200,"&gt;=70",$C$4:$C$200,"&lt;20190630",$K$4:$K$200,"&lt;=30"))</f>
        <v>-</v>
      </c>
      <c r="BI67" s="21">
        <f>[1]!f_risk_maxdownside(A67,$AM$2,$L$2)</f>
        <v>-2.4019215372297804</v>
      </c>
      <c r="BJ67" s="19" t="str">
        <f>IFERROR(RANK(BI67,BI:BI)&amp;"/"&amp;COUNT(BI:BI),"-")</f>
        <v>55/197</v>
      </c>
      <c r="BK67" s="26">
        <f>IFERROR(RANK(BI67,BI:BI)/COUNT(BI:BI),"-")</f>
        <v>0.27918781725888325</v>
      </c>
      <c r="BL67" s="34" t="str">
        <f>IF(OR($C67&gt;20190630,$K67&gt;30,BI67="-",$D67="是",$E67="封闭期",$H67&lt;10,$BN67&lt;-6,$BR67&lt;70),"-",COUNTIFS(BI$4:BI$200,"&lt;&gt;-",$D$4:$D$200,"&lt;&gt;是",$E$4:$E$200,"&lt;&gt;封闭期",$H$4:$H$200,"&gt;10",$BN$4:$BN$200,"&gt;-6",$BR$4:$BR$200,"&gt;=70",$K$4:$K$200,"&lt;=30",$C$4:$C$200,"&lt;20190630",BI$4:BI$200,"&gt;="&amp;BI67)&amp;"/"&amp;COUNTIFS(BI$4:BI$200,"&lt;&gt;-",$D$4:$D$200,"&lt;&gt;是",$E$4:$E$200,"&lt;&gt;封闭期",$H$4:$H$200,"&gt;10",$BN$4:$BN$200,"&gt;-6",$BR$4:$BR$200,"&gt;=70",$C$4:$C$200,"&lt;20190630",$K$4:$K$200,"&lt;=30"))</f>
        <v>-</v>
      </c>
      <c r="BM67" s="33" t="str">
        <f>IF(OR($C67&gt;20190630,$K67&gt;30,BI67="-",$D67="是",$E67="封闭期",$H67&lt;10,$BN67&lt;-6,$BR67&lt;70),"-",COUNTIFS(BI$4:BI$200,"&lt;&gt;-",$D$4:$D$200,"&lt;&gt;是",$E$4:$E$200,"&lt;&gt;封闭期",$H$4:$H$200,"&gt;10",$BN$4:$BN$200,"&gt;-6",$BR$4:$BR$200,"&gt;=70",$K$4:$K$200,"&lt;=30",$C$4:$C$200,"&lt;20190630",BI$4:BI$200,"&gt;="&amp;BI67)/COUNTIFS(BI$4:BI$200,"&lt;&gt;-",$D$4:$D$200,"&lt;&gt;是",$E$4:$E$200,"&lt;&gt;封闭期",$H$4:$H$200,"&gt;10",$BN$4:$BN$200,"&gt;-6",$BR$4:$BR$200,"&gt;=70",$C$4:$C$200,"&lt;20190630",$K$4:$K$200,"&lt;=30"))</f>
        <v>-</v>
      </c>
      <c r="BN67" s="21">
        <f>[1]!f_risk_maxdownside(A67,$AM$2,$E$1)</f>
        <v>-2.4019215372297804</v>
      </c>
      <c r="BO67" s="21">
        <f>IF(C67&lt;20190930,[1]!f_return_2y(A67,"0","20210930"),"-")</f>
        <v>16.963503551403274</v>
      </c>
      <c r="BP67" s="19" t="str">
        <f>IFERROR(RANK(BO67,BO:BO)&amp;"/"&amp;COUNT(BO:BO),"-")</f>
        <v>67/197</v>
      </c>
      <c r="BQ67" s="25">
        <f>IFERROR(RANK(BO67,BO:BO)/COUNT(BO:BO),"-")</f>
        <v>0.34010152284263961</v>
      </c>
      <c r="BR67" s="19">
        <f>IF(C67&lt;20190930,[1]!f_absolute_profitmonthper(A67,"20190930","20210930"),"-")</f>
        <v>79.166666666666657</v>
      </c>
      <c r="BS67" s="19" t="str">
        <f>IFERROR(RANK(BR67,BR:BR)&amp;"/"&amp;COUNT(BR:BR),"-")</f>
        <v>16/198</v>
      </c>
      <c r="BT67" s="25">
        <f>IFERROR(RANK(BR67,BR:BR)/COUNT(BR:BR),"-")</f>
        <v>8.0808080808080815E-2</v>
      </c>
      <c r="BV67" s="12">
        <f>X67-3/M67</f>
        <v>4.0416910074531298</v>
      </c>
      <c r="BW67" s="76">
        <f>IFERROR(RANK(BV67,BV:BV)/COUNT(BV:BV),"-")</f>
        <v>0.15228426395939088</v>
      </c>
      <c r="BX67" s="76">
        <f>IFERROR(RANK(L67,L:L)/COUNT(L:L),"-")</f>
        <v>0.35353535353535354</v>
      </c>
      <c r="BY67" s="12">
        <f>AY67-3/AN67</f>
        <v>3.2164299111857071</v>
      </c>
      <c r="BZ67" s="76">
        <f>IFERROR(RANK(BY67,BY:BY)/COUNT(BY:BY),"-")</f>
        <v>0.12182741116751269</v>
      </c>
      <c r="CA67" s="76">
        <f>IFERROR(RANK(AM67,AM:AM)/COUNT(AM:AM),"-")</f>
        <v>0.32828282828282829</v>
      </c>
      <c r="CB67" s="2"/>
      <c r="CC67" s="77">
        <f>AV67+BF67+BZ67+CA67</f>
        <v>0.7191457724452649</v>
      </c>
      <c r="CD67" s="77">
        <f>BW67+BX67+AE67+U67</f>
        <v>0.65302773932215563</v>
      </c>
      <c r="CE67" s="77">
        <f>CC67+CD67</f>
        <v>1.3721735117674205</v>
      </c>
    </row>
    <row r="68" spans="1:83" s="17" customFormat="1" hidden="1" x14ac:dyDescent="0.35">
      <c r="A68" s="15" t="s">
        <v>297</v>
      </c>
      <c r="B68" s="15" t="s">
        <v>298</v>
      </c>
      <c r="C68" s="16">
        <v>20161117</v>
      </c>
      <c r="D68" s="16" t="str">
        <f>[1]!f_info_regulopenfundornot(A68)</f>
        <v>否</v>
      </c>
      <c r="E68" s="16" t="str">
        <f>[1]!f_dq_status(A68,$E$1)</f>
        <v>开放申购|开放赎回</v>
      </c>
      <c r="F68" s="17" t="str">
        <f>[1]!f_info_fundmanager(A68)</f>
        <v>童国林,张英</v>
      </c>
      <c r="G68" s="16">
        <v>20190604</v>
      </c>
      <c r="H68" s="18">
        <f>[1]!f_netasset_total(A68,$E$1,100000000)</f>
        <v>0.98739128349999994</v>
      </c>
      <c r="I68" s="18">
        <f>[1]!f_prt_convertiblebondtonav(A68,$E$1)</f>
        <v>19.149221420288086</v>
      </c>
      <c r="J68" s="18">
        <f>[1]!f_prt_stocktonav(A68,$E$1)+0.5*I68</f>
        <v>16.433810234069824</v>
      </c>
      <c r="K68" s="19">
        <v>0</v>
      </c>
      <c r="L68" s="19">
        <f>[1]!f_return($A68,"1",L$2,$E$1)</f>
        <v>12.597655077390657</v>
      </c>
      <c r="M68" s="19">
        <f>[1]!f_risk_stdevyearly($A68,L$2,$E$1,1,1)</f>
        <v>8.3105761631677915</v>
      </c>
      <c r="N68" s="19">
        <f>IFERROR(L68/M68,"-")</f>
        <v>1.5158582064650419</v>
      </c>
      <c r="O68" s="19" t="str">
        <f>IFERROR(RANK(N68,N:N)&amp;"/"&amp;COUNT(N:N),"-")</f>
        <v>86/197</v>
      </c>
      <c r="P68" s="26">
        <f>IF(O68="-","-",RANK(N68,N:N)/COUNT(N:N))</f>
        <v>0.43654822335025378</v>
      </c>
      <c r="Q68" s="56">
        <v>7.1065989847715741E-2</v>
      </c>
      <c r="R68" s="33" t="str">
        <f>IF(OR($C68&gt;20190630,$K68&gt;30,N68="-",$D68="是",$E68="封闭期",$H68&lt;10,$BN68&lt;-6,$BR68&lt;70),"-",COUNTIFS(N$4:N$200,"&lt;&gt;-",$D$4:$D$200,"&lt;&gt;是",$E$4:$E$200,"&lt;&gt;封闭期",$H$4:$H$200,"&gt;10",$BN$4:$BN$200,"&gt;-6",$BR$4:$BR$200,"&gt;=70",$K$4:$K$200,"&lt;=30",$C$4:$C$200,"&lt;20190630",N$4:N$200,"&gt;="&amp;N68)/COUNTIFS(N$4:N$200,"&lt;&gt;-",$D$4:$D$200,"&lt;&gt;是",$E$4:$E$200,"&lt;&gt;封闭期",$H$4:$H$200,"&gt;10",$BN$4:$BN$200,"&gt;-6",$BR$4:$BR$200,"&gt;=70",$C$4:$C$200,"&lt;20190630",$K$4:$K$200,"&lt;=30"))</f>
        <v>-</v>
      </c>
      <c r="S68" s="19">
        <f>IFERROR((L68-3)/M68,"-")</f>
        <v>1.1548724046266681</v>
      </c>
      <c r="T68" s="19" t="str">
        <f>IFERROR(RANK(S68,S:S)&amp;"/"&amp;COUNT(S:S),"-")</f>
        <v>61/197</v>
      </c>
      <c r="U68" s="26">
        <f>IFERROR(RANK(S68,S:S)/COUNT(S:S),"-")</f>
        <v>0.30964467005076141</v>
      </c>
      <c r="V68" s="34" t="str">
        <f>IF(OR($C68&gt;20190630,$K68&gt;30,S68="-",$D68="是",$E68="封闭期",$H68&lt;10,$BN68&lt;-6,$BR68&lt;70),"-",COUNTIFS(S$4:S$200,"&lt;&gt;-",$D$4:$D$200,"&lt;&gt;是",$E$4:$E$200,"&lt;&gt;封闭期",$H$4:$H$200,"&gt;10",$BN$4:$BN$200,"&gt;-6",$BR$4:$BR$200,"&gt;=70",$K$4:$K$200,"&lt;=30",$C$4:$C$200,"&lt;20190630",S$4:S$200,"&gt;="&amp;S68)&amp;"/"&amp;COUNTIFS(S$4:S$200,"&lt;&gt;-",$D$4:$D$200,"&lt;&gt;是",$E$4:$E$200,"&lt;&gt;封闭期",$H$4:$H$200,"&gt;10",$BN$4:$BN$200,"&gt;-6",$BR$4:$BR$200,"&gt;=70",$C$4:$C$200,"&lt;20190630",$K$4:$K$200,"&lt;=30"))</f>
        <v>-</v>
      </c>
      <c r="W68" s="33" t="str">
        <f>IF(OR($C68&gt;20190630,$K68&gt;30,S68="-",$D68="是",$E68="封闭期",$H68&lt;10,$BN68&lt;-6,$BR68&lt;70),"-",COUNTIFS(S$4:S$200,"&lt;&gt;-",$D$4:$D$200,"&lt;&gt;是",$E$4:$E$200,"&lt;&gt;封闭期",$H$4:$H$200,"&gt;10",$BN$4:$BN$200,"&gt;-6",$BR$4:$BR$200,"&gt;=70",$K$4:$K$200,"&lt;=30",$C$4:$C$200,"&lt;20190630",S$4:S$200,"&gt;="&amp;S68)/COUNTIFS(S$4:S$200,"&lt;&gt;-",$D$4:$D$200,"&lt;&gt;是",$E$4:$E$200,"&lt;&gt;封闭期",$H$4:$H$200,"&gt;10",$BN$4:$BN$200,"&gt;-6",$BR$4:$BR$200,"&gt;=70",$C$4:$C$200,"&lt;20190630",$K$4:$K$200,"&lt;=30"))</f>
        <v>-</v>
      </c>
      <c r="X68" s="19">
        <f>[1]!f_risk_calmar(A68,$L$2,$E$1)</f>
        <v>2.324438925174567</v>
      </c>
      <c r="Y68" s="19" t="str">
        <f>IFERROR(RANK(X68,X:X)&amp;"/"&amp;COUNT(X:X),"-")</f>
        <v>80/197</v>
      </c>
      <c r="Z68" s="26">
        <f>IFERROR(RANK(X68,X:X)/COUNT(X:X),"-")</f>
        <v>0.40609137055837563</v>
      </c>
      <c r="AA68" s="34" t="str">
        <f>IF(OR($C68&gt;20190630,$K68&gt;30,X68="-",$D68="是",$E68="封闭期",$H68&lt;10,$BN68&lt;-6,$BR68&lt;70),"-",COUNTIFS(X$4:X$200,"&lt;&gt;-",$D$4:$D$200,"&lt;&gt;是",$E$4:$E$200,"&lt;&gt;封闭期",$H$4:$H$200,"&gt;10",$BN$4:$BN$200,"&gt;-6",$BR$4:$BR$200,"&gt;=70",$K$4:$K$200,"&lt;=30",$C$4:$C$200,"&lt;20190630",X$4:X$200,"&gt;="&amp;X68)&amp;"/"&amp;COUNTIFS(X$4:X$200,"&lt;&gt;-",$D$4:$D$200,"&lt;&gt;是",$E$4:$E$200,"&lt;&gt;封闭期",$H$4:$H$200,"&gt;10",$BN$4:$BN$200,"&gt;-6",$BR$4:$BR$200,"&gt;=70",$C$4:$C$200,"&lt;20190630",$K$4:$K$200,"&lt;=30"))</f>
        <v>-</v>
      </c>
      <c r="AB68" s="33" t="str">
        <f>IF(OR($C68&gt;20190630,$K68&gt;30,X68="-",$D68="是",$E68="封闭期",$H68&lt;10,$BN68&lt;-6,$BR68&lt;70),"-",COUNTIFS(X$4:X$200,"&lt;&gt;-",$D$4:$D$200,"&lt;&gt;是",$E$4:$E$200,"&lt;&gt;封闭期",$H$4:$H$200,"&gt;10",$BN$4:$BN$200,"&gt;-6",$BR$4:$BR$200,"&gt;=70",$K$4:$K$200,"&lt;=30",$C$4:$C$200,"&lt;20190630",X$4:X$200,"&gt;="&amp;X68)/COUNTIFS(X$4:X$200,"&lt;&gt;-",$D$4:$D$200,"&lt;&gt;是",$E$4:$E$200,"&lt;&gt;封闭期",$H$4:$H$200,"&gt;10",$BN$4:$BN$200,"&gt;-6",$BR$4:$BR$200,"&gt;=70",$C$4:$C$200,"&lt;20190630",$K$4:$K$200,"&lt;=30"))</f>
        <v>-</v>
      </c>
      <c r="AC68" s="20">
        <v>0.96638655462184875</v>
      </c>
      <c r="AD68" s="19" t="str">
        <f>IFERROR(RANK(AC68,AC:AC)&amp;"/"&amp;COUNT(AC:AC),"-")</f>
        <v>101/197</v>
      </c>
      <c r="AE68" s="26">
        <f>IFERROR(RANK(AC68,AC:AC)/COUNT(AC:AC),"-")</f>
        <v>0.51269035532994922</v>
      </c>
      <c r="AF68" s="34" t="str">
        <f>IF(OR($C68&gt;20190630,$K68&gt;30,AC68="-",$D68="是",$E68="封闭期",$H68&lt;10,$BN68&lt;-6,$BR68&lt;70),"-",COUNTIFS(AC$4:AC$200,"&lt;&gt;-",$D$4:$D$200,"&lt;&gt;是",$E$4:$E$200,"&lt;&gt;封闭期",$H$4:$H$200,"&gt;10",$BN$4:$BN$200,"&gt;-6",$BR$4:$BR$200,"&gt;=70",$K$4:$K$200,"&lt;=30",$C$4:$C$200,"&lt;20190630",AC$4:AC$200,"&gt;="&amp;AC68)&amp;"/"&amp;COUNTIFS(AC$4:AC$200,"&lt;&gt;-",$D$4:$D$200,"&lt;&gt;是",$E$4:$E$200,"&lt;&gt;封闭期",$H$4:$H$200,"&gt;10",$BN$4:$BN$200,"&gt;-6",$BR$4:$BR$200,"&gt;=70",$C$4:$C$200,"&lt;20190630",$K$4:$K$200,"&lt;=30"))</f>
        <v>-</v>
      </c>
      <c r="AG68" s="33" t="str">
        <f>IF(OR($C68&gt;20190630,$K68&gt;30,AC68="-",$D68="是",$E68="封闭期",$H68&lt;10,$BN68&lt;-6,$BR68&lt;70),"-",COUNTIFS(AC$4:AC$200,"&lt;&gt;-",$D$4:$D$200,"&lt;&gt;是",$E$4:$E$200,"&lt;&gt;封闭期",$H$4:$H$200,"&gt;10",$BN$4:$BN$200,"&gt;-6",$BR$4:$BR$200,"&gt;=70",$K$4:$K$200,"&lt;=30",$C$4:$C$200,"&lt;20190630",AC$4:AC$200,"&gt;="&amp;AC68)/COUNTIFS(AC$4:AC$200,"&lt;&gt;-",$D$4:$D$200,"&lt;&gt;是",$E$4:$E$200,"&lt;&gt;封闭期",$H$4:$H$200,"&gt;10",$BN$4:$BN$200,"&gt;-6",$BR$4:$BR$200,"&gt;=70",$C$4:$C$200,"&lt;20190630",$K$4:$K$200,"&lt;=30"))</f>
        <v>-</v>
      </c>
      <c r="AH68" s="21">
        <f>[1]!f_risk_maxdownside(A68,$L$2,$E$1)</f>
        <v>-5.4196541543652579</v>
      </c>
      <c r="AI68" s="19" t="str">
        <f>IFERROR(RANK(AH68,AH:AH)&amp;"/"&amp;COUNT(AH:AH),"-")</f>
        <v>162/197</v>
      </c>
      <c r="AJ68" s="26">
        <f>IFERROR(RANK(AH68,AH:AH)/COUNT(AH:AH),"-")</f>
        <v>0.82233502538071068</v>
      </c>
      <c r="AK68" s="34" t="str">
        <f>IF(OR($C68&gt;20190630,$K68&gt;30,AH68="-",$D68="是",$E68="封闭期",$H68&lt;10,$BN68&lt;-6,$BR68&lt;70),"-",COUNTIFS(AH$4:AH$200,"&lt;&gt;-",$D$4:$D$200,"&lt;&gt;是",$E$4:$E$200,"&lt;&gt;封闭期",$H$4:$H$200,"&gt;10",$BN$4:$BN$200,"&gt;-6",$BR$4:$BR$200,"&gt;=70",$K$4:$K$200,"&lt;=30",$C$4:$C$200,"&lt;20190630",AH$4:AH$200,"&gt;="&amp;AH68)&amp;"/"&amp;COUNTIFS(AH$4:AH$200,"&lt;&gt;-",$D$4:$D$200,"&lt;&gt;是",$E$4:$E$200,"&lt;&gt;封闭期",$H$4:$H$200,"&gt;10",$BN$4:$BN$200,"&gt;-6",$BR$4:$BR$200,"&gt;=70",$C$4:$C$200,"&lt;20190630",$K$4:$K$200,"&lt;=30"))</f>
        <v>-</v>
      </c>
      <c r="AL68" s="33" t="str">
        <f>IF(OR($C68&gt;20190630,$K68&gt;30,AH68="-",$D68="是",$E68="封闭期",$H68&lt;10,$BN68&lt;-6,$BR68&lt;70),"-",COUNTIFS(AH$4:AH$200,"&lt;&gt;-",$D$4:$D$200,"&lt;&gt;是",$E$4:$E$200,"&lt;&gt;封闭期",$H$4:$H$200,"&gt;10",$BN$4:$BN$200,"&gt;-6",$BR$4:$BR$200,"&gt;=70",$K$4:$K$200,"&lt;=30",$C$4:$C$200,"&lt;20190630",AH$4:AH$200,"&gt;="&amp;AH68)/COUNTIFS(AH$4:AH$200,"&lt;&gt;-",$D$4:$D$200,"&lt;&gt;是",$E$4:$E$200,"&lt;&gt;封闭期",$H$4:$H$200,"&gt;10",$BN$4:$BN$200,"&gt;-6",$BR$4:$BR$200,"&gt;=70",$C$4:$C$200,"&lt;20190630",$K$4:$K$200,"&lt;=30"))</f>
        <v>-</v>
      </c>
      <c r="AM68" s="19">
        <f>[1]!f_return($A68,"1",AM$2,$L$2)</f>
        <v>9.1326877043784283</v>
      </c>
      <c r="AN68" s="19">
        <f>[1]!f_risk_stdevyearly($A68,AM$2,$L$2,1,1)</f>
        <v>6.4866492878654309</v>
      </c>
      <c r="AO68" s="19">
        <f>IFERROR(AM68/AN68,"-")</f>
        <v>1.4079206843297261</v>
      </c>
      <c r="AP68" s="19" t="str">
        <f>IFERROR(RANK(AO68,AO:AO)&amp;"/"&amp;COUNT(AO:AO),"-")</f>
        <v>120/197</v>
      </c>
      <c r="AQ68" s="26">
        <f>IF(AP68="-","-",RANK(AO68,AO:AO)/COUNT(AO:AO))</f>
        <v>0.6091370558375635</v>
      </c>
      <c r="AR68" s="57">
        <v>0.32994923857868019</v>
      </c>
      <c r="AS68" s="33" t="str">
        <f>IF(OR($C68&gt;20190630,$K68&gt;30,AO68="-",$D68="是",$E68="封闭期",$H68&lt;10,$BN68&lt;-6,$BR68&lt;70),"-",COUNTIFS(AO$4:AO$200,"&lt;&gt;-",$D$4:$D$200,"&lt;&gt;是",$E$4:$E$200,"&lt;&gt;封闭期",$H$4:$H$200,"&gt;10",$BN$4:$BN$200,"&gt;-6",$BR$4:$BR$200,"&gt;=70",$K$4:$K$200,"&lt;=30",$C$4:$C$200,"&lt;20190630",AO$4:AO$200,"&gt;="&amp;AO68)/COUNTIFS(AO$4:AO$200,"&lt;&gt;-",$D$4:$D$200,"&lt;&gt;是",$E$4:$E$200,"&lt;&gt;封闭期",$H$4:$H$200,"&gt;10",$BN$4:$BN$200,"&gt;-6",$BR$4:$BR$200,"&gt;=70",$C$4:$C$200,"&lt;20190630",$K$4:$K$200,"&lt;=30"))</f>
        <v>-</v>
      </c>
      <c r="AT68" s="19">
        <f>IFERROR((AM68-3)/AN68,"-")</f>
        <v>0.94543229211587587</v>
      </c>
      <c r="AU68" s="19" t="str">
        <f>IFERROR(RANK(AT68,AT:AT)&amp;"/"&amp;COUNT(AT:AT),"-")</f>
        <v>92/197</v>
      </c>
      <c r="AV68" s="26">
        <f>IFERROR(RANK(AT68,AT:AT)/COUNT(AT:AT),"-")</f>
        <v>0.46700507614213199</v>
      </c>
      <c r="AW68" s="34" t="str">
        <f>IF(OR($C68&gt;20190630,$K68&gt;30,AT68="-",$D68="是",$E68="封闭期",$H68&lt;10,$BN68&lt;-6,$BR68&lt;70),"-",COUNTIFS(AT$4:AT$200,"&lt;&gt;-",$D$4:$D$200,"&lt;&gt;是",$E$4:$E$200,"&lt;&gt;封闭期",$H$4:$H$200,"&gt;10",$BN$4:$BN$200,"&gt;-6",$BR$4:$BR$200,"&gt;=70",$K$4:$K$200,"&lt;=30",$C$4:$C$200,"&lt;20190630",AT$4:AT$200,"&gt;="&amp;AT68)&amp;"/"&amp;COUNTIFS(AT$4:AT$200,"&lt;&gt;-",$D$4:$D$200,"&lt;&gt;是",$E$4:$E$200,"&lt;&gt;封闭期",$H$4:$H$200,"&gt;10",$BN$4:$BN$200,"&gt;-6",$BR$4:$BR$200,"&gt;=70",$C$4:$C$200,"&lt;20190630",$K$4:$K$200,"&lt;=30"))</f>
        <v>-</v>
      </c>
      <c r="AX68" s="33" t="str">
        <f>IF(OR($C68&gt;20190630,$K68&gt;30,AT68="-",$D68="是",$E68="封闭期",$H68&lt;10,$BN68&lt;-6,$BR68&lt;70),"-",COUNTIFS(AT$4:AT$200,"&lt;&gt;-",$D$4:$D$200,"&lt;&gt;是",$E$4:$E$200,"&lt;&gt;封闭期",$H$4:$H$200,"&gt;10",$BN$4:$BN$200,"&gt;-6",$BR$4:$BR$200,"&gt;=70",$K$4:$K$200,"&lt;=30",$C$4:$C$200,"&lt;20190630",AT$4:AT$200,"&gt;="&amp;AT68)/COUNTIFS(AT$4:AT$200,"&lt;&gt;-",$D$4:$D$200,"&lt;&gt;是",$E$4:$E$200,"&lt;&gt;封闭期",$H$4:$H$200,"&gt;10",$BN$4:$BN$200,"&gt;-6",$BR$4:$BR$200,"&gt;=70",$C$4:$C$200,"&lt;20190630",$K$4:$K$200,"&lt;=30"))</f>
        <v>-</v>
      </c>
      <c r="AY68" s="19">
        <f>[1]!f_risk_calmar(A68,$AM$2,$L$2)</f>
        <v>2.0022128292755221</v>
      </c>
      <c r="AZ68" s="19" t="str">
        <f>IFERROR(RANK(AY68,AY:AY)&amp;"/"&amp;COUNT(AY:AY),"-")</f>
        <v>110/197</v>
      </c>
      <c r="BA68" s="26">
        <f>IFERROR(RANK(AY68,AY:AY)/COUNT(AY:AY),"-")</f>
        <v>0.55837563451776651</v>
      </c>
      <c r="BB68" s="34" t="str">
        <f>IF(OR($C68&gt;20190630,$K68&gt;30,AY68="-",$D68="是",$E68="封闭期",$H68&lt;10,$BN68&lt;-6,$BR68&lt;70),"-",COUNTIFS(AY$4:AY$200,"&lt;&gt;-",$D$4:$D$200,"&lt;&gt;是",$E$4:$E$200,"&lt;&gt;封闭期",$H$4:$H$200,"&gt;10",$BN$4:$BN$200,"&gt;-6",$BR$4:$BR$200,"&gt;=70",$K$4:$K$200,"&lt;=30",$C$4:$C$200,"&lt;20190630",AY$4:AY$200,"&gt;="&amp;AY68)&amp;"/"&amp;COUNTIFS(AY$4:AY$200,"&lt;&gt;-",$D$4:$D$200,"&lt;&gt;是",$E$4:$E$200,"&lt;&gt;封闭期",$H$4:$H$200,"&gt;10",$BN$4:$BN$200,"&gt;-6",$BR$4:$BR$200,"&gt;=70",$C$4:$C$200,"&lt;20190630",$K$4:$K$200,"&lt;=30"))</f>
        <v>-</v>
      </c>
      <c r="BC68" s="33" t="str">
        <f>IF(OR($C68&gt;20190630,$K68&gt;30,AY68="-",$D68="是",$E68="封闭期",$H68&lt;10,$BN68&lt;-6,$BR68&lt;70),"-",COUNTIFS(AY$4:AY$200,"&lt;&gt;-",$D$4:$D$200,"&lt;&gt;是",$E$4:$E$200,"&lt;&gt;封闭期",$H$4:$H$200,"&gt;10",$BN$4:$BN$200,"&gt;-6",$BR$4:$BR$200,"&gt;=70",$K$4:$K$200,"&lt;=30",$C$4:$C$200,"&lt;20190630",AY$4:AY$200,"&gt;="&amp;AY68)/COUNTIFS(AY$4:AY$200,"&lt;&gt;-",$D$4:$D$200,"&lt;&gt;是",$E$4:$E$200,"&lt;&gt;封闭期",$H$4:$H$200,"&gt;10",$BN$4:$BN$200,"&gt;-6",$BR$4:$BR$200,"&gt;=70",$C$4:$C$200,"&lt;20190630",$K$4:$K$200,"&lt;=30"))</f>
        <v>-</v>
      </c>
      <c r="BD68" s="20">
        <v>0.98333333333333328</v>
      </c>
      <c r="BE68" s="19" t="str">
        <f>IFERROR(RANK(BD68,BD:BD)&amp;"/"&amp;COUNT(BD:BD),"-")</f>
        <v>147/197</v>
      </c>
      <c r="BF68" s="26">
        <f>IFERROR(RANK(BD68,BD:BD)/COUNT(BD:BD),"-")</f>
        <v>0.74619289340101524</v>
      </c>
      <c r="BG68" s="34" t="str">
        <f>IF(OR($C68&gt;20190630,$K68&gt;30,BD68="-",$D68="是",$E68="封闭期",$H68&lt;10,$BN68&lt;-6,$BR68&lt;70),"-",COUNTIFS(BD$4:BD$200,"&lt;&gt;-",$D$4:$D$200,"&lt;&gt;是",$E$4:$E$200,"&lt;&gt;封闭期",$H$4:$H$200,"&gt;10",$BN$4:$BN$200,"&gt;-6",$BR$4:$BR$200,"&gt;=70",$K$4:$K$200,"&lt;=30",$C$4:$C$200,"&lt;20190630",BD$4:BD$200,"&gt;="&amp;BD68)&amp;"/"&amp;COUNTIFS(BD$4:BD$200,"&lt;&gt;-",$D$4:$D$200,"&lt;&gt;是",$E$4:$E$200,"&lt;&gt;封闭期",$H$4:$H$200,"&gt;10",$BN$4:$BN$200,"&gt;-6",$BR$4:$BR$200,"&gt;=70",$C$4:$C$200,"&lt;20190630",$K$4:$K$200,"&lt;=30"))</f>
        <v>-</v>
      </c>
      <c r="BH68" s="33" t="str">
        <f>IF(OR($C68&gt;20190630,$K68&gt;30,BD68="-",$D68="是",$E68="封闭期",$H68&lt;10,$BN68&lt;-6,$BR68&lt;70),"-",COUNTIFS(BD$4:BD$200,"&lt;&gt;-",$D$4:$D$200,"&lt;&gt;是",$E$4:$E$200,"&lt;&gt;封闭期",$H$4:$H$200,"&gt;10",$BN$4:$BN$200,"&gt;-6",$BR$4:$BR$200,"&gt;=70",$K$4:$K$200,"&lt;=30",$C$4:$C$200,"&lt;20190630",BD$4:BD$200,"&gt;="&amp;BD68)/COUNTIFS(BD$4:BD$200,"&lt;&gt;-",$D$4:$D$200,"&lt;&gt;是",$E$4:$E$200,"&lt;&gt;封闭期",$H$4:$H$200,"&gt;10",$BN$4:$BN$200,"&gt;-6",$BR$4:$BR$200,"&gt;=70",$C$4:$C$200,"&lt;20190630",$K$4:$K$200,"&lt;=30"))</f>
        <v>-</v>
      </c>
      <c r="BI68" s="21">
        <f>[1]!f_risk_maxdownside(A68,$AM$2,$L$2)</f>
        <v>-4.5612971662373107</v>
      </c>
      <c r="BJ68" s="19" t="str">
        <f>IFERROR(RANK(BI68,BI:BI)&amp;"/"&amp;COUNT(BI:BI),"-")</f>
        <v>148/197</v>
      </c>
      <c r="BK68" s="26">
        <f>IFERROR(RANK(BI68,BI:BI)/COUNT(BI:BI),"-")</f>
        <v>0.75126903553299496</v>
      </c>
      <c r="BL68" s="34" t="str">
        <f>IF(OR($C68&gt;20190630,$K68&gt;30,BI68="-",$D68="是",$E68="封闭期",$H68&lt;10,$BN68&lt;-6,$BR68&lt;70),"-",COUNTIFS(BI$4:BI$200,"&lt;&gt;-",$D$4:$D$200,"&lt;&gt;是",$E$4:$E$200,"&lt;&gt;封闭期",$H$4:$H$200,"&gt;10",$BN$4:$BN$200,"&gt;-6",$BR$4:$BR$200,"&gt;=70",$K$4:$K$200,"&lt;=30",$C$4:$C$200,"&lt;20190630",BI$4:BI$200,"&gt;="&amp;BI68)&amp;"/"&amp;COUNTIFS(BI$4:BI$200,"&lt;&gt;-",$D$4:$D$200,"&lt;&gt;是",$E$4:$E$200,"&lt;&gt;封闭期",$H$4:$H$200,"&gt;10",$BN$4:$BN$200,"&gt;-6",$BR$4:$BR$200,"&gt;=70",$C$4:$C$200,"&lt;20190630",$K$4:$K$200,"&lt;=30"))</f>
        <v>-</v>
      </c>
      <c r="BM68" s="33" t="str">
        <f>IF(OR($C68&gt;20190630,$K68&gt;30,BI68="-",$D68="是",$E68="封闭期",$H68&lt;10,$BN68&lt;-6,$BR68&lt;70),"-",COUNTIFS(BI$4:BI$200,"&lt;&gt;-",$D$4:$D$200,"&lt;&gt;是",$E$4:$E$200,"&lt;&gt;封闭期",$H$4:$H$200,"&gt;10",$BN$4:$BN$200,"&gt;-6",$BR$4:$BR$200,"&gt;=70",$K$4:$K$200,"&lt;=30",$C$4:$C$200,"&lt;20190630",BI$4:BI$200,"&gt;="&amp;BI68)/COUNTIFS(BI$4:BI$200,"&lt;&gt;-",$D$4:$D$200,"&lt;&gt;是",$E$4:$E$200,"&lt;&gt;封闭期",$H$4:$H$200,"&gt;10",$BN$4:$BN$200,"&gt;-6",$BR$4:$BR$200,"&gt;=70",$C$4:$C$200,"&lt;20190630",$K$4:$K$200,"&lt;=30"))</f>
        <v>-</v>
      </c>
      <c r="BN68" s="21">
        <f>[1]!f_risk_maxdownside(A68,$AM$2,$E$1)</f>
        <v>-5.4196541543652579</v>
      </c>
      <c r="BO68" s="21">
        <f>IF(C68&lt;20190930,[1]!f_return_2y(A68,"0","20210930"),"-")</f>
        <v>22.538881883144178</v>
      </c>
      <c r="BP68" s="19" t="str">
        <f>IFERROR(RANK(BO68,BO:BO)&amp;"/"&amp;COUNT(BO:BO),"-")</f>
        <v>28/197</v>
      </c>
      <c r="BQ68" s="25">
        <f>IFERROR(RANK(BO68,BO:BO)/COUNT(BO:BO),"-")</f>
        <v>0.14213197969543148</v>
      </c>
      <c r="BR68" s="19">
        <f>IF(C68&lt;20190930,[1]!f_absolute_profitmonthper(A68,"20190930","20210930"),"-")</f>
        <v>62.5</v>
      </c>
      <c r="BS68" s="19" t="str">
        <f>IFERROR(RANK(BR68,BR:BR)&amp;"/"&amp;COUNT(BR:BR),"-")</f>
        <v>142/198</v>
      </c>
      <c r="BT68" s="25">
        <f>IFERROR(RANK(BR68,BR:BR)/COUNT(BR:BR),"-")</f>
        <v>0.71717171717171713</v>
      </c>
      <c r="BV68" s="12">
        <f>X68-3/M68</f>
        <v>1.9634531233361934</v>
      </c>
      <c r="BW68" s="76">
        <f>IFERROR(RANK(BV68,BV:BV)/COUNT(BV:BV),"-")</f>
        <v>0.34517766497461927</v>
      </c>
      <c r="BX68" s="76">
        <f>IFERROR(RANK(L68,L:L)/COUNT(L:L),"-")</f>
        <v>7.575757575757576E-2</v>
      </c>
      <c r="BY68" s="12">
        <f>AY68-3/AN68</f>
        <v>1.5397244370616718</v>
      </c>
      <c r="BZ68" s="76">
        <f>IFERROR(RANK(BY68,BY:BY)/COUNT(BY:BY),"-")</f>
        <v>0.52791878172588835</v>
      </c>
      <c r="CA68" s="76">
        <f>IFERROR(RANK(AM68,AM:AM)/COUNT(AM:AM),"-")</f>
        <v>0.33333333333333331</v>
      </c>
      <c r="CB68" s="2"/>
      <c r="CC68" s="77">
        <f>AV68+BF68+BZ68+CA68</f>
        <v>2.0744500846023688</v>
      </c>
      <c r="CD68" s="77">
        <f>BW68+BX68+AE68+U68</f>
        <v>1.2432702661129056</v>
      </c>
      <c r="CE68" s="77">
        <f>CC68+CD68</f>
        <v>3.3177203507152742</v>
      </c>
    </row>
    <row r="69" spans="1:83" s="17" customFormat="1" hidden="1" x14ac:dyDescent="0.35">
      <c r="A69" s="15" t="s">
        <v>101</v>
      </c>
      <c r="B69" s="15" t="s">
        <v>102</v>
      </c>
      <c r="C69" s="16">
        <v>20110701</v>
      </c>
      <c r="D69" s="16" t="str">
        <f>[1]!f_info_regulopenfundornot(A69)</f>
        <v>否</v>
      </c>
      <c r="E69" s="16" t="str">
        <f>[1]!f_dq_status(A69,$E$1)</f>
        <v>开放申购|开放赎回</v>
      </c>
      <c r="F69" s="17" t="str">
        <f>[1]!f_info_fundmanager(A69)</f>
        <v>史向明,周宇</v>
      </c>
      <c r="G69" s="16">
        <v>20110701</v>
      </c>
      <c r="H69" s="18">
        <f>[1]!f_netasset_total(A69,$E$1,100000000)</f>
        <v>0.94374978840000001</v>
      </c>
      <c r="I69" s="18">
        <f>[1]!f_prt_convertiblebondtonav(A69,$E$1)</f>
        <v>3.1163606643676758</v>
      </c>
      <c r="J69" s="18">
        <f>[1]!f_prt_stocktonav(A69,$E$1)+0.5*I69</f>
        <v>7.2599425315856934</v>
      </c>
      <c r="K69" s="19">
        <v>12.191578892437709</v>
      </c>
      <c r="L69" s="19">
        <f>[1]!f_return($A69,"1",L$2,$E$1)</f>
        <v>4.3152676757215236</v>
      </c>
      <c r="M69" s="19">
        <f>[1]!f_risk_stdevyearly($A69,L$2,$E$1,1,1)</f>
        <v>2.5812843759536128</v>
      </c>
      <c r="N69" s="19">
        <f>IFERROR(L69/M69,"-")</f>
        <v>1.6717521385559542</v>
      </c>
      <c r="O69" s="19" t="str">
        <f>IFERROR(RANK(N69,N:N)&amp;"/"&amp;COUNT(N:N),"-")</f>
        <v>72/197</v>
      </c>
      <c r="P69" s="26">
        <f>IF(O69="-","-",RANK(N69,N:N)/COUNT(N:N))</f>
        <v>0.36548223350253806</v>
      </c>
      <c r="Q69" s="56">
        <v>0.68020304568527923</v>
      </c>
      <c r="R69" s="33" t="str">
        <f>IF(OR($C69&gt;20190630,$K69&gt;30,N69="-",$D69="是",$E69="封闭期",$H69&lt;10,$BN69&lt;-6,$BR69&lt;70),"-",COUNTIFS(N$4:N$200,"&lt;&gt;-",$D$4:$D$200,"&lt;&gt;是",$E$4:$E$200,"&lt;&gt;封闭期",$H$4:$H$200,"&gt;10",$BN$4:$BN$200,"&gt;-6",$BR$4:$BR$200,"&gt;=70",$K$4:$K$200,"&lt;=30",$C$4:$C$200,"&lt;20190630",N$4:N$200,"&gt;="&amp;N69)/COUNTIFS(N$4:N$200,"&lt;&gt;-",$D$4:$D$200,"&lt;&gt;是",$E$4:$E$200,"&lt;&gt;封闭期",$H$4:$H$200,"&gt;10",$BN$4:$BN$200,"&gt;-6",$BR$4:$BR$200,"&gt;=70",$C$4:$C$200,"&lt;20190630",$K$4:$K$200,"&lt;=30"))</f>
        <v>-</v>
      </c>
      <c r="S69" s="19">
        <f>IFERROR((L69-3)/M69,"-")</f>
        <v>0.50954001348093225</v>
      </c>
      <c r="T69" s="19" t="str">
        <f>IFERROR(RANK(S69,S:S)&amp;"/"&amp;COUNT(S:S),"-")</f>
        <v>117/197</v>
      </c>
      <c r="U69" s="26">
        <f>IFERROR(RANK(S69,S:S)/COUNT(S:S),"-")</f>
        <v>0.59390862944162437</v>
      </c>
      <c r="V69" s="34" t="str">
        <f>IF(OR($C69&gt;20190630,$K69&gt;30,S69="-",$D69="是",$E69="封闭期",$H69&lt;10,$BN69&lt;-6,$BR69&lt;70),"-",COUNTIFS(S$4:S$200,"&lt;&gt;-",$D$4:$D$200,"&lt;&gt;是",$E$4:$E$200,"&lt;&gt;封闭期",$H$4:$H$200,"&gt;10",$BN$4:$BN$200,"&gt;-6",$BR$4:$BR$200,"&gt;=70",$K$4:$K$200,"&lt;=30",$C$4:$C$200,"&lt;20190630",S$4:S$200,"&gt;="&amp;S69)&amp;"/"&amp;COUNTIFS(S$4:S$200,"&lt;&gt;-",$D$4:$D$200,"&lt;&gt;是",$E$4:$E$200,"&lt;&gt;封闭期",$H$4:$H$200,"&gt;10",$BN$4:$BN$200,"&gt;-6",$BR$4:$BR$200,"&gt;=70",$C$4:$C$200,"&lt;20190630",$K$4:$K$200,"&lt;=30"))</f>
        <v>-</v>
      </c>
      <c r="W69" s="33" t="str">
        <f>IF(OR($C69&gt;20190630,$K69&gt;30,S69="-",$D69="是",$E69="封闭期",$H69&lt;10,$BN69&lt;-6,$BR69&lt;70),"-",COUNTIFS(S$4:S$200,"&lt;&gt;-",$D$4:$D$200,"&lt;&gt;是",$E$4:$E$200,"&lt;&gt;封闭期",$H$4:$H$200,"&gt;10",$BN$4:$BN$200,"&gt;-6",$BR$4:$BR$200,"&gt;=70",$K$4:$K$200,"&lt;=30",$C$4:$C$200,"&lt;20190630",S$4:S$200,"&gt;="&amp;S69)/COUNTIFS(S$4:S$200,"&lt;&gt;-",$D$4:$D$200,"&lt;&gt;是",$E$4:$E$200,"&lt;&gt;封闭期",$H$4:$H$200,"&gt;10",$BN$4:$BN$200,"&gt;-6",$BR$4:$BR$200,"&gt;=70",$C$4:$C$200,"&lt;20190630",$K$4:$K$200,"&lt;=30"))</f>
        <v>-</v>
      </c>
      <c r="X69" s="19">
        <f>[1]!f_risk_calmar(A69,$L$2,$E$1)</f>
        <v>3.2027031506092407</v>
      </c>
      <c r="Y69" s="19" t="str">
        <f>IFERROR(RANK(X69,X:X)&amp;"/"&amp;COUNT(X:X),"-")</f>
        <v>57/197</v>
      </c>
      <c r="Z69" s="26">
        <f>IFERROR(RANK(X69,X:X)/COUNT(X:X),"-")</f>
        <v>0.28934010152284262</v>
      </c>
      <c r="AA69" s="34" t="str">
        <f>IF(OR($C69&gt;20190630,$K69&gt;30,X69="-",$D69="是",$E69="封闭期",$H69&lt;10,$BN69&lt;-6,$BR69&lt;70),"-",COUNTIFS(X$4:X$200,"&lt;&gt;-",$D$4:$D$200,"&lt;&gt;是",$E$4:$E$200,"&lt;&gt;封闭期",$H$4:$H$200,"&gt;10",$BN$4:$BN$200,"&gt;-6",$BR$4:$BR$200,"&gt;=70",$K$4:$K$200,"&lt;=30",$C$4:$C$200,"&lt;20190630",X$4:X$200,"&gt;="&amp;X69)&amp;"/"&amp;COUNTIFS(X$4:X$200,"&lt;&gt;-",$D$4:$D$200,"&lt;&gt;是",$E$4:$E$200,"&lt;&gt;封闭期",$H$4:$H$200,"&gt;10",$BN$4:$BN$200,"&gt;-6",$BR$4:$BR$200,"&gt;=70",$C$4:$C$200,"&lt;20190630",$K$4:$K$200,"&lt;=30"))</f>
        <v>-</v>
      </c>
      <c r="AB69" s="33" t="str">
        <f>IF(OR($C69&gt;20190630,$K69&gt;30,X69="-",$D69="是",$E69="封闭期",$H69&lt;10,$BN69&lt;-6,$BR69&lt;70),"-",COUNTIFS(X$4:X$200,"&lt;&gt;-",$D$4:$D$200,"&lt;&gt;是",$E$4:$E$200,"&lt;&gt;封闭期",$H$4:$H$200,"&gt;10",$BN$4:$BN$200,"&gt;-6",$BR$4:$BR$200,"&gt;=70",$K$4:$K$200,"&lt;=30",$C$4:$C$200,"&lt;20190630",X$4:X$200,"&gt;="&amp;X69)/COUNTIFS(X$4:X$200,"&lt;&gt;-",$D$4:$D$200,"&lt;&gt;是",$E$4:$E$200,"&lt;&gt;封闭期",$H$4:$H$200,"&gt;10",$BN$4:$BN$200,"&gt;-6",$BR$4:$BR$200,"&gt;=70",$C$4:$C$200,"&lt;20190630",$K$4:$K$200,"&lt;=30"))</f>
        <v>-</v>
      </c>
      <c r="AC69" s="20">
        <v>1</v>
      </c>
      <c r="AD69" s="19" t="str">
        <f>IFERROR(RANK(AC69,AC:AC)&amp;"/"&amp;COUNT(AC:AC),"-")</f>
        <v>1/197</v>
      </c>
      <c r="AE69" s="26">
        <f>IFERROR(RANK(AC69,AC:AC)/COUNT(AC:AC),"-")</f>
        <v>5.076142131979695E-3</v>
      </c>
      <c r="AF69" s="34" t="str">
        <f>IF(OR($C69&gt;20190630,$K69&gt;30,AC69="-",$D69="是",$E69="封闭期",$H69&lt;10,$BN69&lt;-6,$BR69&lt;70),"-",COUNTIFS(AC$4:AC$200,"&lt;&gt;-",$D$4:$D$200,"&lt;&gt;是",$E$4:$E$200,"&lt;&gt;封闭期",$H$4:$H$200,"&gt;10",$BN$4:$BN$200,"&gt;-6",$BR$4:$BR$200,"&gt;=70",$K$4:$K$200,"&lt;=30",$C$4:$C$200,"&lt;20190630",AC$4:AC$200,"&gt;="&amp;AC69)&amp;"/"&amp;COUNTIFS(AC$4:AC$200,"&lt;&gt;-",$D$4:$D$200,"&lt;&gt;是",$E$4:$E$200,"&lt;&gt;封闭期",$H$4:$H$200,"&gt;10",$BN$4:$BN$200,"&gt;-6",$BR$4:$BR$200,"&gt;=70",$C$4:$C$200,"&lt;20190630",$K$4:$K$200,"&lt;=30"))</f>
        <v>-</v>
      </c>
      <c r="AG69" s="33" t="str">
        <f>IF(OR($C69&gt;20190630,$K69&gt;30,AC69="-",$D69="是",$E69="封闭期",$H69&lt;10,$BN69&lt;-6,$BR69&lt;70),"-",COUNTIFS(AC$4:AC$200,"&lt;&gt;-",$D$4:$D$200,"&lt;&gt;是",$E$4:$E$200,"&lt;&gt;封闭期",$H$4:$H$200,"&gt;10",$BN$4:$BN$200,"&gt;-6",$BR$4:$BR$200,"&gt;=70",$K$4:$K$200,"&lt;=30",$C$4:$C$200,"&lt;20190630",AC$4:AC$200,"&gt;="&amp;AC69)/COUNTIFS(AC$4:AC$200,"&lt;&gt;-",$D$4:$D$200,"&lt;&gt;是",$E$4:$E$200,"&lt;&gt;封闭期",$H$4:$H$200,"&gt;10",$BN$4:$BN$200,"&gt;-6",$BR$4:$BR$200,"&gt;=70",$C$4:$C$200,"&lt;20190630",$K$4:$K$200,"&lt;=30"))</f>
        <v>-</v>
      </c>
      <c r="AH69" s="21">
        <f>[1]!f_risk_maxdownside(A69,$L$2,$E$1)</f>
        <v>-1.3473829676973474</v>
      </c>
      <c r="AI69" s="19" t="str">
        <f>IFERROR(RANK(AH69,AH:AH)&amp;"/"&amp;COUNT(AH:AH),"-")</f>
        <v>37/197</v>
      </c>
      <c r="AJ69" s="26">
        <f>IFERROR(RANK(AH69,AH:AH)/COUNT(AH:AH),"-")</f>
        <v>0.18781725888324874</v>
      </c>
      <c r="AK69" s="34" t="str">
        <f>IF(OR($C69&gt;20190630,$K69&gt;30,AH69="-",$D69="是",$E69="封闭期",$H69&lt;10,$BN69&lt;-6,$BR69&lt;70),"-",COUNTIFS(AH$4:AH$200,"&lt;&gt;-",$D$4:$D$200,"&lt;&gt;是",$E$4:$E$200,"&lt;&gt;封闭期",$H$4:$H$200,"&gt;10",$BN$4:$BN$200,"&gt;-6",$BR$4:$BR$200,"&gt;=70",$K$4:$K$200,"&lt;=30",$C$4:$C$200,"&lt;20190630",AH$4:AH$200,"&gt;="&amp;AH69)&amp;"/"&amp;COUNTIFS(AH$4:AH$200,"&lt;&gt;-",$D$4:$D$200,"&lt;&gt;是",$E$4:$E$200,"&lt;&gt;封闭期",$H$4:$H$200,"&gt;10",$BN$4:$BN$200,"&gt;-6",$BR$4:$BR$200,"&gt;=70",$C$4:$C$200,"&lt;20190630",$K$4:$K$200,"&lt;=30"))</f>
        <v>-</v>
      </c>
      <c r="AL69" s="33" t="str">
        <f>IF(OR($C69&gt;20190630,$K69&gt;30,AH69="-",$D69="是",$E69="封闭期",$H69&lt;10,$BN69&lt;-6,$BR69&lt;70),"-",COUNTIFS(AH$4:AH$200,"&lt;&gt;-",$D$4:$D$200,"&lt;&gt;是",$E$4:$E$200,"&lt;&gt;封闭期",$H$4:$H$200,"&gt;10",$BN$4:$BN$200,"&gt;-6",$BR$4:$BR$200,"&gt;=70",$K$4:$K$200,"&lt;=30",$C$4:$C$200,"&lt;20190630",AH$4:AH$200,"&gt;="&amp;AH69)/COUNTIFS(AH$4:AH$200,"&lt;&gt;-",$D$4:$D$200,"&lt;&gt;是",$E$4:$E$200,"&lt;&gt;封闭期",$H$4:$H$200,"&gt;10",$BN$4:$BN$200,"&gt;-6",$BR$4:$BR$200,"&gt;=70",$C$4:$C$200,"&lt;20190630",$K$4:$K$200,"&lt;=30"))</f>
        <v>-</v>
      </c>
      <c r="AM69" s="19">
        <f>[1]!f_return($A69,"1",AM$2,$L$2)</f>
        <v>9.0655870114215062</v>
      </c>
      <c r="AN69" s="19">
        <f>[1]!f_risk_stdevyearly($A69,AM$2,$L$2,1,1)</f>
        <v>3.8921207237517761</v>
      </c>
      <c r="AO69" s="19">
        <f>IFERROR(AM69/AN69,"-")</f>
        <v>2.3292152671674615</v>
      </c>
      <c r="AP69" s="19" t="str">
        <f>IFERROR(RANK(AO69,AO:AO)&amp;"/"&amp;COUNT(AO:AO),"-")</f>
        <v>26/197</v>
      </c>
      <c r="AQ69" s="26">
        <f>IF(AP69="-","-",RANK(AO69,AO:AO)/COUNT(AO:AO))</f>
        <v>0.13197969543147209</v>
      </c>
      <c r="AR69" s="57">
        <v>0.3350253807106599</v>
      </c>
      <c r="AS69" s="33" t="str">
        <f>IF(OR($C69&gt;20190630,$K69&gt;30,AO69="-",$D69="是",$E69="封闭期",$H69&lt;10,$BN69&lt;-6,$BR69&lt;70),"-",COUNTIFS(AO$4:AO$200,"&lt;&gt;-",$D$4:$D$200,"&lt;&gt;是",$E$4:$E$200,"&lt;&gt;封闭期",$H$4:$H$200,"&gt;10",$BN$4:$BN$200,"&gt;-6",$BR$4:$BR$200,"&gt;=70",$K$4:$K$200,"&lt;=30",$C$4:$C$200,"&lt;20190630",AO$4:AO$200,"&gt;="&amp;AO69)/COUNTIFS(AO$4:AO$200,"&lt;&gt;-",$D$4:$D$200,"&lt;&gt;是",$E$4:$E$200,"&lt;&gt;封闭期",$H$4:$H$200,"&gt;10",$BN$4:$BN$200,"&gt;-6",$BR$4:$BR$200,"&gt;=70",$C$4:$C$200,"&lt;20190630",$K$4:$K$200,"&lt;=30"))</f>
        <v>-</v>
      </c>
      <c r="AT69" s="19">
        <f>IFERROR((AM69-3)/AN69,"-")</f>
        <v>1.5584272539148365</v>
      </c>
      <c r="AU69" s="19" t="str">
        <f>IFERROR(RANK(AT69,AT:AT)&amp;"/"&amp;COUNT(AT:AT),"-")</f>
        <v>25/197</v>
      </c>
      <c r="AV69" s="26">
        <f>IFERROR(RANK(AT69,AT:AT)/COUNT(AT:AT),"-")</f>
        <v>0.12690355329949238</v>
      </c>
      <c r="AW69" s="34" t="str">
        <f>IF(OR($C69&gt;20190630,$K69&gt;30,AT69="-",$D69="是",$E69="封闭期",$H69&lt;10,$BN69&lt;-6,$BR69&lt;70),"-",COUNTIFS(AT$4:AT$200,"&lt;&gt;-",$D$4:$D$200,"&lt;&gt;是",$E$4:$E$200,"&lt;&gt;封闭期",$H$4:$H$200,"&gt;10",$BN$4:$BN$200,"&gt;-6",$BR$4:$BR$200,"&gt;=70",$K$4:$K$200,"&lt;=30",$C$4:$C$200,"&lt;20190630",AT$4:AT$200,"&gt;="&amp;AT69)&amp;"/"&amp;COUNTIFS(AT$4:AT$200,"&lt;&gt;-",$D$4:$D$200,"&lt;&gt;是",$E$4:$E$200,"&lt;&gt;封闭期",$H$4:$H$200,"&gt;10",$BN$4:$BN$200,"&gt;-6",$BR$4:$BR$200,"&gt;=70",$C$4:$C$200,"&lt;20190630",$K$4:$K$200,"&lt;=30"))</f>
        <v>-</v>
      </c>
      <c r="AX69" s="33" t="str">
        <f>IF(OR($C69&gt;20190630,$K69&gt;30,AT69="-",$D69="是",$E69="封闭期",$H69&lt;10,$BN69&lt;-6,$BR69&lt;70),"-",COUNTIFS(AT$4:AT$200,"&lt;&gt;-",$D$4:$D$200,"&lt;&gt;是",$E$4:$E$200,"&lt;&gt;封闭期",$H$4:$H$200,"&gt;10",$BN$4:$BN$200,"&gt;-6",$BR$4:$BR$200,"&gt;=70",$K$4:$K$200,"&lt;=30",$C$4:$C$200,"&lt;20190630",AT$4:AT$200,"&gt;="&amp;AT69)/COUNTIFS(AT$4:AT$200,"&lt;&gt;-",$D$4:$D$200,"&lt;&gt;是",$E$4:$E$200,"&lt;&gt;封闭期",$H$4:$H$200,"&gt;10",$BN$4:$BN$200,"&gt;-6",$BR$4:$BR$200,"&gt;=70",$C$4:$C$200,"&lt;20190630",$K$4:$K$200,"&lt;=30"))</f>
        <v>-</v>
      </c>
      <c r="AY69" s="19">
        <f>[1]!f_risk_calmar(A69,$AM$2,$L$2)</f>
        <v>3.6358697279623677</v>
      </c>
      <c r="AZ69" s="19" t="str">
        <f>IFERROR(RANK(AY69,AY:AY)&amp;"/"&amp;COUNT(AY:AY),"-")</f>
        <v>27/197</v>
      </c>
      <c r="BA69" s="26">
        <f>IFERROR(RANK(AY69,AY:AY)/COUNT(AY:AY),"-")</f>
        <v>0.13705583756345177</v>
      </c>
      <c r="BB69" s="34" t="str">
        <f>IF(OR($C69&gt;20190630,$K69&gt;30,AY69="-",$D69="是",$E69="封闭期",$H69&lt;10,$BN69&lt;-6,$BR69&lt;70),"-",COUNTIFS(AY$4:AY$200,"&lt;&gt;-",$D$4:$D$200,"&lt;&gt;是",$E$4:$E$200,"&lt;&gt;封闭期",$H$4:$H$200,"&gt;10",$BN$4:$BN$200,"&gt;-6",$BR$4:$BR$200,"&gt;=70",$K$4:$K$200,"&lt;=30",$C$4:$C$200,"&lt;20190630",AY$4:AY$200,"&gt;="&amp;AY69)&amp;"/"&amp;COUNTIFS(AY$4:AY$200,"&lt;&gt;-",$D$4:$D$200,"&lt;&gt;是",$E$4:$E$200,"&lt;&gt;封闭期",$H$4:$H$200,"&gt;10",$BN$4:$BN$200,"&gt;-6",$BR$4:$BR$200,"&gt;=70",$C$4:$C$200,"&lt;20190630",$K$4:$K$200,"&lt;=30"))</f>
        <v>-</v>
      </c>
      <c r="BC69" s="33" t="str">
        <f>IF(OR($C69&gt;20190630,$K69&gt;30,AY69="-",$D69="是",$E69="封闭期",$H69&lt;10,$BN69&lt;-6,$BR69&lt;70),"-",COUNTIFS(AY$4:AY$200,"&lt;&gt;-",$D$4:$D$200,"&lt;&gt;是",$E$4:$E$200,"&lt;&gt;封闭期",$H$4:$H$200,"&gt;10",$BN$4:$BN$200,"&gt;-6",$BR$4:$BR$200,"&gt;=70",$K$4:$K$200,"&lt;=30",$C$4:$C$200,"&lt;20190630",AY$4:AY$200,"&gt;="&amp;AY69)/COUNTIFS(AY$4:AY$200,"&lt;&gt;-",$D$4:$D$200,"&lt;&gt;是",$E$4:$E$200,"&lt;&gt;封闭期",$H$4:$H$200,"&gt;10",$BN$4:$BN$200,"&gt;-6",$BR$4:$BR$200,"&gt;=70",$C$4:$C$200,"&lt;20190630",$K$4:$K$200,"&lt;=30"))</f>
        <v>-</v>
      </c>
      <c r="BD69" s="20">
        <v>1</v>
      </c>
      <c r="BE69" s="19" t="str">
        <f>IFERROR(RANK(BD69,BD:BD)&amp;"/"&amp;COUNT(BD:BD),"-")</f>
        <v>1/197</v>
      </c>
      <c r="BF69" s="26">
        <f>IFERROR(RANK(BD69,BD:BD)/COUNT(BD:BD),"-")</f>
        <v>5.076142131979695E-3</v>
      </c>
      <c r="BG69" s="34" t="str">
        <f>IF(OR($C69&gt;20190630,$K69&gt;30,BD69="-",$D69="是",$E69="封闭期",$H69&lt;10,$BN69&lt;-6,$BR69&lt;70),"-",COUNTIFS(BD$4:BD$200,"&lt;&gt;-",$D$4:$D$200,"&lt;&gt;是",$E$4:$E$200,"&lt;&gt;封闭期",$H$4:$H$200,"&gt;10",$BN$4:$BN$200,"&gt;-6",$BR$4:$BR$200,"&gt;=70",$K$4:$K$200,"&lt;=30",$C$4:$C$200,"&lt;20190630",BD$4:BD$200,"&gt;="&amp;BD69)&amp;"/"&amp;COUNTIFS(BD$4:BD$200,"&lt;&gt;-",$D$4:$D$200,"&lt;&gt;是",$E$4:$E$200,"&lt;&gt;封闭期",$H$4:$H$200,"&gt;10",$BN$4:$BN$200,"&gt;-6",$BR$4:$BR$200,"&gt;=70",$C$4:$C$200,"&lt;20190630",$K$4:$K$200,"&lt;=30"))</f>
        <v>-</v>
      </c>
      <c r="BH69" s="33" t="str">
        <f>IF(OR($C69&gt;20190630,$K69&gt;30,BD69="-",$D69="是",$E69="封闭期",$H69&lt;10,$BN69&lt;-6,$BR69&lt;70),"-",COUNTIFS(BD$4:BD$200,"&lt;&gt;-",$D$4:$D$200,"&lt;&gt;是",$E$4:$E$200,"&lt;&gt;封闭期",$H$4:$H$200,"&gt;10",$BN$4:$BN$200,"&gt;-6",$BR$4:$BR$200,"&gt;=70",$K$4:$K$200,"&lt;=30",$C$4:$C$200,"&lt;20190630",BD$4:BD$200,"&gt;="&amp;BD69)/COUNTIFS(BD$4:BD$200,"&lt;&gt;-",$D$4:$D$200,"&lt;&gt;是",$E$4:$E$200,"&lt;&gt;封闭期",$H$4:$H$200,"&gt;10",$BN$4:$BN$200,"&gt;-6",$BR$4:$BR$200,"&gt;=70",$C$4:$C$200,"&lt;20190630",$K$4:$K$200,"&lt;=30"))</f>
        <v>-</v>
      </c>
      <c r="BI69" s="21">
        <f>[1]!f_risk_maxdownside(A69,$AM$2,$L$2)</f>
        <v>-2.4933750903396881</v>
      </c>
      <c r="BJ69" s="19" t="str">
        <f>IFERROR(RANK(BI69,BI:BI)&amp;"/"&amp;COUNT(BI:BI),"-")</f>
        <v>61/197</v>
      </c>
      <c r="BK69" s="26">
        <f>IFERROR(RANK(BI69,BI:BI)/COUNT(BI:BI),"-")</f>
        <v>0.30964467005076141</v>
      </c>
      <c r="BL69" s="34" t="str">
        <f>IF(OR($C69&gt;20190630,$K69&gt;30,BI69="-",$D69="是",$E69="封闭期",$H69&lt;10,$BN69&lt;-6,$BR69&lt;70),"-",COUNTIFS(BI$4:BI$200,"&lt;&gt;-",$D$4:$D$200,"&lt;&gt;是",$E$4:$E$200,"&lt;&gt;封闭期",$H$4:$H$200,"&gt;10",$BN$4:$BN$200,"&gt;-6",$BR$4:$BR$200,"&gt;=70",$K$4:$K$200,"&lt;=30",$C$4:$C$200,"&lt;20190630",BI$4:BI$200,"&gt;="&amp;BI69)&amp;"/"&amp;COUNTIFS(BI$4:BI$200,"&lt;&gt;-",$D$4:$D$200,"&lt;&gt;是",$E$4:$E$200,"&lt;&gt;封闭期",$H$4:$H$200,"&gt;10",$BN$4:$BN$200,"&gt;-6",$BR$4:$BR$200,"&gt;=70",$C$4:$C$200,"&lt;20190630",$K$4:$K$200,"&lt;=30"))</f>
        <v>-</v>
      </c>
      <c r="BM69" s="33" t="str">
        <f>IF(OR($C69&gt;20190630,$K69&gt;30,BI69="-",$D69="是",$E69="封闭期",$H69&lt;10,$BN69&lt;-6,$BR69&lt;70),"-",COUNTIFS(BI$4:BI$200,"&lt;&gt;-",$D$4:$D$200,"&lt;&gt;是",$E$4:$E$200,"&lt;&gt;封闭期",$H$4:$H$200,"&gt;10",$BN$4:$BN$200,"&gt;-6",$BR$4:$BR$200,"&gt;=70",$K$4:$K$200,"&lt;=30",$C$4:$C$200,"&lt;20190630",BI$4:BI$200,"&gt;="&amp;BI69)/COUNTIFS(BI$4:BI$200,"&lt;&gt;-",$D$4:$D$200,"&lt;&gt;是",$E$4:$E$200,"&lt;&gt;封闭期",$H$4:$H$200,"&gt;10",$BN$4:$BN$200,"&gt;-6",$BR$4:$BR$200,"&gt;=70",$C$4:$C$200,"&lt;20190630",$K$4:$K$200,"&lt;=30"))</f>
        <v>-</v>
      </c>
      <c r="BN69" s="21">
        <f>[1]!f_risk_maxdownside(A69,$AM$2,$E$1)</f>
        <v>-2.4933750903396881</v>
      </c>
      <c r="BO69" s="21">
        <f>IF(C69&lt;20190930,[1]!f_return_2y(A69,"0","20210930"),"-")</f>
        <v>13.958068614993637</v>
      </c>
      <c r="BP69" s="19" t="str">
        <f>IFERROR(RANK(BO69,BO:BO)&amp;"/"&amp;COUNT(BO:BO),"-")</f>
        <v>90/197</v>
      </c>
      <c r="BQ69" s="25">
        <f>IFERROR(RANK(BO69,BO:BO)/COUNT(BO:BO),"-")</f>
        <v>0.45685279187817257</v>
      </c>
      <c r="BR69" s="19">
        <f>IF(C69&lt;20190930,[1]!f_absolute_profitmonthper(A69,"20190930","20210930"),"-")</f>
        <v>70.833333333333343</v>
      </c>
      <c r="BS69" s="19" t="str">
        <f>IFERROR(RANK(BR69,BR:BR)&amp;"/"&amp;COUNT(BR:BR),"-")</f>
        <v>55/198</v>
      </c>
      <c r="BT69" s="25">
        <f>IFERROR(RANK(BR69,BR:BR)/COUNT(BR:BR),"-")</f>
        <v>0.27777777777777779</v>
      </c>
      <c r="BV69" s="12">
        <f>X69-3/M69</f>
        <v>2.0404910255342186</v>
      </c>
      <c r="BW69" s="76">
        <f>IFERROR(RANK(BV69,BV:BV)/COUNT(BV:BV),"-")</f>
        <v>0.32994923857868019</v>
      </c>
      <c r="BX69" s="76">
        <f>IFERROR(RANK(L69,L:L)/COUNT(L:L),"-")</f>
        <v>0.68181818181818177</v>
      </c>
      <c r="BY69" s="12">
        <f>AY69-3/AN69</f>
        <v>2.8650817147097429</v>
      </c>
      <c r="BZ69" s="76">
        <f>IFERROR(RANK(BY69,BY:BY)/COUNT(BY:BY),"-")</f>
        <v>0.14720812182741116</v>
      </c>
      <c r="CA69" s="76">
        <f>IFERROR(RANK(AM69,AM:AM)/COUNT(AM:AM),"-")</f>
        <v>0.3383838383838384</v>
      </c>
      <c r="CB69" s="2"/>
      <c r="CC69" s="77">
        <f>AV69+BF69+BZ69+CA69</f>
        <v>0.61757165564272154</v>
      </c>
      <c r="CD69" s="77">
        <f>BW69+BX69+AE69+U69</f>
        <v>1.6107521919704659</v>
      </c>
      <c r="CE69" s="77">
        <f>CC69+CD69</f>
        <v>2.2283238476131872</v>
      </c>
    </row>
    <row r="70" spans="1:83" s="17" customFormat="1" hidden="1" x14ac:dyDescent="0.35">
      <c r="A70" s="15" t="s">
        <v>337</v>
      </c>
      <c r="B70" s="15" t="s">
        <v>338</v>
      </c>
      <c r="C70" s="16">
        <v>20170801</v>
      </c>
      <c r="D70" s="16" t="str">
        <f>[1]!f_info_regulopenfundornot(A70)</f>
        <v>否</v>
      </c>
      <c r="E70" s="16" t="str">
        <f>[1]!f_dq_status(A70,$E$1)</f>
        <v>开放申购|开放赎回</v>
      </c>
      <c r="F70" s="17" t="str">
        <f>[1]!f_info_fundmanager(A70)</f>
        <v>朱垚,程放</v>
      </c>
      <c r="G70" s="16">
        <v>20190515</v>
      </c>
      <c r="H70" s="18">
        <f>[1]!f_netasset_total(A70,$E$1,100000000)</f>
        <v>2.1362822134999999</v>
      </c>
      <c r="I70" s="18">
        <f>[1]!f_prt_convertiblebondtonav(A70,$E$1)</f>
        <v>9.6361913681030273</v>
      </c>
      <c r="J70" s="18">
        <f>[1]!f_prt_stocktonav(A70,$E$1)+0.5*I70</f>
        <v>9.4392690658569336</v>
      </c>
      <c r="K70" s="19">
        <v>9.5057665469815511</v>
      </c>
      <c r="L70" s="19">
        <f>[1]!f_return($A70,"1",L$2,$E$1)</f>
        <v>9.7435506942497252</v>
      </c>
      <c r="M70" s="19">
        <f>[1]!f_risk_stdevyearly($A70,L$2,$E$1,1,1)</f>
        <v>3.2244460479280104</v>
      </c>
      <c r="N70" s="19">
        <f>IFERROR(L70/M70,"-")</f>
        <v>3.0217750737404372</v>
      </c>
      <c r="O70" s="19" t="str">
        <f>IFERROR(RANK(N70,N:N)&amp;"/"&amp;COUNT(N:N),"-")</f>
        <v>19/197</v>
      </c>
      <c r="P70" s="26">
        <f>IF(O70="-","-",RANK(N70,N:N)/COUNT(N:N))</f>
        <v>9.6446700507614211E-2</v>
      </c>
      <c r="Q70" s="56">
        <v>0.16243654822335024</v>
      </c>
      <c r="R70" s="33" t="str">
        <f>IF(OR($C70&gt;20190630,$K70&gt;30,N70="-",$D70="是",$E70="封闭期",$H70&lt;10,$BN70&lt;-6,$BR70&lt;70),"-",COUNTIFS(N$4:N$200,"&lt;&gt;-",$D$4:$D$200,"&lt;&gt;是",$E$4:$E$200,"&lt;&gt;封闭期",$H$4:$H$200,"&gt;10",$BN$4:$BN$200,"&gt;-6",$BR$4:$BR$200,"&gt;=70",$K$4:$K$200,"&lt;=30",$C$4:$C$200,"&lt;20190630",N$4:N$200,"&gt;="&amp;N70)/COUNTIFS(N$4:N$200,"&lt;&gt;-",$D$4:$D$200,"&lt;&gt;是",$E$4:$E$200,"&lt;&gt;封闭期",$H$4:$H$200,"&gt;10",$BN$4:$BN$200,"&gt;-6",$BR$4:$BR$200,"&gt;=70",$C$4:$C$200,"&lt;20190630",$K$4:$K$200,"&lt;=30"))</f>
        <v>-</v>
      </c>
      <c r="S70" s="19">
        <f>IFERROR((L70-3)/M70,"-")</f>
        <v>2.0913827038858499</v>
      </c>
      <c r="T70" s="19" t="str">
        <f>IFERROR(RANK(S70,S:S)&amp;"/"&amp;COUNT(S:S),"-")</f>
        <v>13/197</v>
      </c>
      <c r="U70" s="26">
        <f>IFERROR(RANK(S70,S:S)/COUNT(S:S),"-")</f>
        <v>6.5989847715736044E-2</v>
      </c>
      <c r="V70" s="34" t="str">
        <f>IF(OR($C70&gt;20190630,$K70&gt;30,S70="-",$D70="是",$E70="封闭期",$H70&lt;10,$BN70&lt;-6,$BR70&lt;70),"-",COUNTIFS(S$4:S$200,"&lt;&gt;-",$D$4:$D$200,"&lt;&gt;是",$E$4:$E$200,"&lt;&gt;封闭期",$H$4:$H$200,"&gt;10",$BN$4:$BN$200,"&gt;-6",$BR$4:$BR$200,"&gt;=70",$K$4:$K$200,"&lt;=30",$C$4:$C$200,"&lt;20190630",S$4:S$200,"&gt;="&amp;S70)&amp;"/"&amp;COUNTIFS(S$4:S$200,"&lt;&gt;-",$D$4:$D$200,"&lt;&gt;是",$E$4:$E$200,"&lt;&gt;封闭期",$H$4:$H$200,"&gt;10",$BN$4:$BN$200,"&gt;-6",$BR$4:$BR$200,"&gt;=70",$C$4:$C$200,"&lt;20190630",$K$4:$K$200,"&lt;=30"))</f>
        <v>-</v>
      </c>
      <c r="W70" s="33" t="str">
        <f>IF(OR($C70&gt;20190630,$K70&gt;30,S70="-",$D70="是",$E70="封闭期",$H70&lt;10,$BN70&lt;-6,$BR70&lt;70),"-",COUNTIFS(S$4:S$200,"&lt;&gt;-",$D$4:$D$200,"&lt;&gt;是",$E$4:$E$200,"&lt;&gt;封闭期",$H$4:$H$200,"&gt;10",$BN$4:$BN$200,"&gt;-6",$BR$4:$BR$200,"&gt;=70",$K$4:$K$200,"&lt;=30",$C$4:$C$200,"&lt;20190630",S$4:S$200,"&gt;="&amp;S70)/COUNTIFS(S$4:S$200,"&lt;&gt;-",$D$4:$D$200,"&lt;&gt;是",$E$4:$E$200,"&lt;&gt;封闭期",$H$4:$H$200,"&gt;10",$BN$4:$BN$200,"&gt;-6",$BR$4:$BR$200,"&gt;=70",$C$4:$C$200,"&lt;20190630",$K$4:$K$200,"&lt;=30"))</f>
        <v>-</v>
      </c>
      <c r="X70" s="19">
        <f>[1]!f_risk_calmar(A70,$L$2,$E$1)</f>
        <v>5.367678449623261</v>
      </c>
      <c r="Y70" s="19" t="str">
        <f>IFERROR(RANK(X70,X:X)&amp;"/"&amp;COUNT(X:X),"-")</f>
        <v>29/197</v>
      </c>
      <c r="Z70" s="26">
        <f>IFERROR(RANK(X70,X:X)/COUNT(X:X),"-")</f>
        <v>0.14720812182741116</v>
      </c>
      <c r="AA70" s="34" t="str">
        <f>IF(OR($C70&gt;20190630,$K70&gt;30,X70="-",$D70="是",$E70="封闭期",$H70&lt;10,$BN70&lt;-6,$BR70&lt;70),"-",COUNTIFS(X$4:X$200,"&lt;&gt;-",$D$4:$D$200,"&lt;&gt;是",$E$4:$E$200,"&lt;&gt;封闭期",$H$4:$H$200,"&gt;10",$BN$4:$BN$200,"&gt;-6",$BR$4:$BR$200,"&gt;=70",$K$4:$K$200,"&lt;=30",$C$4:$C$200,"&lt;20190630",X$4:X$200,"&gt;="&amp;X70)&amp;"/"&amp;COUNTIFS(X$4:X$200,"&lt;&gt;-",$D$4:$D$200,"&lt;&gt;是",$E$4:$E$200,"&lt;&gt;封闭期",$H$4:$H$200,"&gt;10",$BN$4:$BN$200,"&gt;-6",$BR$4:$BR$200,"&gt;=70",$C$4:$C$200,"&lt;20190630",$K$4:$K$200,"&lt;=30"))</f>
        <v>-</v>
      </c>
      <c r="AB70" s="33" t="str">
        <f>IF(OR($C70&gt;20190630,$K70&gt;30,X70="-",$D70="是",$E70="封闭期",$H70&lt;10,$BN70&lt;-6,$BR70&lt;70),"-",COUNTIFS(X$4:X$200,"&lt;&gt;-",$D$4:$D$200,"&lt;&gt;是",$E$4:$E$200,"&lt;&gt;封闭期",$H$4:$H$200,"&gt;10",$BN$4:$BN$200,"&gt;-6",$BR$4:$BR$200,"&gt;=70",$K$4:$K$200,"&lt;=30",$C$4:$C$200,"&lt;20190630",X$4:X$200,"&gt;="&amp;X70)/COUNTIFS(X$4:X$200,"&lt;&gt;-",$D$4:$D$200,"&lt;&gt;是",$E$4:$E$200,"&lt;&gt;封闭期",$H$4:$H$200,"&gt;10",$BN$4:$BN$200,"&gt;-6",$BR$4:$BR$200,"&gt;=70",$C$4:$C$200,"&lt;20190630",$K$4:$K$200,"&lt;=30"))</f>
        <v>-</v>
      </c>
      <c r="AC70" s="20">
        <v>1</v>
      </c>
      <c r="AD70" s="19" t="str">
        <f>IFERROR(RANK(AC70,AC:AC)&amp;"/"&amp;COUNT(AC:AC),"-")</f>
        <v>1/197</v>
      </c>
      <c r="AE70" s="26">
        <f>IFERROR(RANK(AC70,AC:AC)/COUNT(AC:AC),"-")</f>
        <v>5.076142131979695E-3</v>
      </c>
      <c r="AF70" s="34" t="str">
        <f>IF(OR($C70&gt;20190630,$K70&gt;30,AC70="-",$D70="是",$E70="封闭期",$H70&lt;10,$BN70&lt;-6,$BR70&lt;70),"-",COUNTIFS(AC$4:AC$200,"&lt;&gt;-",$D$4:$D$200,"&lt;&gt;是",$E$4:$E$200,"&lt;&gt;封闭期",$H$4:$H$200,"&gt;10",$BN$4:$BN$200,"&gt;-6",$BR$4:$BR$200,"&gt;=70",$K$4:$K$200,"&lt;=30",$C$4:$C$200,"&lt;20190630",AC$4:AC$200,"&gt;="&amp;AC70)&amp;"/"&amp;COUNTIFS(AC$4:AC$200,"&lt;&gt;-",$D$4:$D$200,"&lt;&gt;是",$E$4:$E$200,"&lt;&gt;封闭期",$H$4:$H$200,"&gt;10",$BN$4:$BN$200,"&gt;-6",$BR$4:$BR$200,"&gt;=70",$C$4:$C$200,"&lt;20190630",$K$4:$K$200,"&lt;=30"))</f>
        <v>-</v>
      </c>
      <c r="AG70" s="33" t="str">
        <f>IF(OR($C70&gt;20190630,$K70&gt;30,AC70="-",$D70="是",$E70="封闭期",$H70&lt;10,$BN70&lt;-6,$BR70&lt;70),"-",COUNTIFS(AC$4:AC$200,"&lt;&gt;-",$D$4:$D$200,"&lt;&gt;是",$E$4:$E$200,"&lt;&gt;封闭期",$H$4:$H$200,"&gt;10",$BN$4:$BN$200,"&gt;-6",$BR$4:$BR$200,"&gt;=70",$K$4:$K$200,"&lt;=30",$C$4:$C$200,"&lt;20190630",AC$4:AC$200,"&gt;="&amp;AC70)/COUNTIFS(AC$4:AC$200,"&lt;&gt;-",$D$4:$D$200,"&lt;&gt;是",$E$4:$E$200,"&lt;&gt;封闭期",$H$4:$H$200,"&gt;10",$BN$4:$BN$200,"&gt;-6",$BR$4:$BR$200,"&gt;=70",$C$4:$C$200,"&lt;20190630",$K$4:$K$200,"&lt;=30"))</f>
        <v>-</v>
      </c>
      <c r="AH70" s="21">
        <f>[1]!f_risk_maxdownside(A70,$L$2,$E$1)</f>
        <v>-1.81522622595502</v>
      </c>
      <c r="AI70" s="19" t="str">
        <f>IFERROR(RANK(AH70,AH:AH)&amp;"/"&amp;COUNT(AH:AH),"-")</f>
        <v>52/197</v>
      </c>
      <c r="AJ70" s="26">
        <f>IFERROR(RANK(AH70,AH:AH)/COUNT(AH:AH),"-")</f>
        <v>0.26395939086294418</v>
      </c>
      <c r="AK70" s="34" t="str">
        <f>IF(OR($C70&gt;20190630,$K70&gt;30,AH70="-",$D70="是",$E70="封闭期",$H70&lt;10,$BN70&lt;-6,$BR70&lt;70),"-",COUNTIFS(AH$4:AH$200,"&lt;&gt;-",$D$4:$D$200,"&lt;&gt;是",$E$4:$E$200,"&lt;&gt;封闭期",$H$4:$H$200,"&gt;10",$BN$4:$BN$200,"&gt;-6",$BR$4:$BR$200,"&gt;=70",$K$4:$K$200,"&lt;=30",$C$4:$C$200,"&lt;20190630",AH$4:AH$200,"&gt;="&amp;AH70)&amp;"/"&amp;COUNTIFS(AH$4:AH$200,"&lt;&gt;-",$D$4:$D$200,"&lt;&gt;是",$E$4:$E$200,"&lt;&gt;封闭期",$H$4:$H$200,"&gt;10",$BN$4:$BN$200,"&gt;-6",$BR$4:$BR$200,"&gt;=70",$C$4:$C$200,"&lt;20190630",$K$4:$K$200,"&lt;=30"))</f>
        <v>-</v>
      </c>
      <c r="AL70" s="33" t="str">
        <f>IF(OR($C70&gt;20190630,$K70&gt;30,AH70="-",$D70="是",$E70="封闭期",$H70&lt;10,$BN70&lt;-6,$BR70&lt;70),"-",COUNTIFS(AH$4:AH$200,"&lt;&gt;-",$D$4:$D$200,"&lt;&gt;是",$E$4:$E$200,"&lt;&gt;封闭期",$H$4:$H$200,"&gt;10",$BN$4:$BN$200,"&gt;-6",$BR$4:$BR$200,"&gt;=70",$K$4:$K$200,"&lt;=30",$C$4:$C$200,"&lt;20190630",AH$4:AH$200,"&gt;="&amp;AH70)/COUNTIFS(AH$4:AH$200,"&lt;&gt;-",$D$4:$D$200,"&lt;&gt;是",$E$4:$E$200,"&lt;&gt;封闭期",$H$4:$H$200,"&gt;10",$BN$4:$BN$200,"&gt;-6",$BR$4:$BR$200,"&gt;=70",$C$4:$C$200,"&lt;20190630",$K$4:$K$200,"&lt;=30"))</f>
        <v>-</v>
      </c>
      <c r="AM70" s="19">
        <f>[1]!f_return($A70,"1",AM$2,$L$2)</f>
        <v>8.986651775156318</v>
      </c>
      <c r="AN70" s="19">
        <f>[1]!f_risk_stdevyearly($A70,AM$2,$L$2,1,1)</f>
        <v>4.7489580070823081</v>
      </c>
      <c r="AO70" s="19">
        <f>IFERROR(AM70/AN70,"-")</f>
        <v>1.8923418067193203</v>
      </c>
      <c r="AP70" s="19" t="str">
        <f>IFERROR(RANK(AO70,AO:AO)&amp;"/"&amp;COUNT(AO:AO),"-")</f>
        <v>63/197</v>
      </c>
      <c r="AQ70" s="26">
        <f>IF(AP70="-","-",RANK(AO70,AO:AO)/COUNT(AO:AO))</f>
        <v>0.31979695431472083</v>
      </c>
      <c r="AR70" s="57">
        <v>0.34010152284263961</v>
      </c>
      <c r="AS70" s="33" t="str">
        <f>IF(OR($C70&gt;20190630,$K70&gt;30,AO70="-",$D70="是",$E70="封闭期",$H70&lt;10,$BN70&lt;-6,$BR70&lt;70),"-",COUNTIFS(AO$4:AO$200,"&lt;&gt;-",$D$4:$D$200,"&lt;&gt;是",$E$4:$E$200,"&lt;&gt;封闭期",$H$4:$H$200,"&gt;10",$BN$4:$BN$200,"&gt;-6",$BR$4:$BR$200,"&gt;=70",$K$4:$K$200,"&lt;=30",$C$4:$C$200,"&lt;20190630",AO$4:AO$200,"&gt;="&amp;AO70)/COUNTIFS(AO$4:AO$200,"&lt;&gt;-",$D$4:$D$200,"&lt;&gt;是",$E$4:$E$200,"&lt;&gt;封闭期",$H$4:$H$200,"&gt;10",$BN$4:$BN$200,"&gt;-6",$BR$4:$BR$200,"&gt;=70",$C$4:$C$200,"&lt;20190630",$K$4:$K$200,"&lt;=30"))</f>
        <v>-</v>
      </c>
      <c r="AT70" s="19">
        <f>IFERROR((AM70-3)/AN70,"-")</f>
        <v>1.260624281416721</v>
      </c>
      <c r="AU70" s="19" t="str">
        <f>IFERROR(RANK(AT70,AT:AT)&amp;"/"&amp;COUNT(AT:AT),"-")</f>
        <v>48/197</v>
      </c>
      <c r="AV70" s="26">
        <f>IFERROR(RANK(AT70,AT:AT)/COUNT(AT:AT),"-")</f>
        <v>0.24365482233502539</v>
      </c>
      <c r="AW70" s="34" t="str">
        <f>IF(OR($C70&gt;20190630,$K70&gt;30,AT70="-",$D70="是",$E70="封闭期",$H70&lt;10,$BN70&lt;-6,$BR70&lt;70),"-",COUNTIFS(AT$4:AT$200,"&lt;&gt;-",$D$4:$D$200,"&lt;&gt;是",$E$4:$E$200,"&lt;&gt;封闭期",$H$4:$H$200,"&gt;10",$BN$4:$BN$200,"&gt;-6",$BR$4:$BR$200,"&gt;=70",$K$4:$K$200,"&lt;=30",$C$4:$C$200,"&lt;20190630",AT$4:AT$200,"&gt;="&amp;AT70)&amp;"/"&amp;COUNTIFS(AT$4:AT$200,"&lt;&gt;-",$D$4:$D$200,"&lt;&gt;是",$E$4:$E$200,"&lt;&gt;封闭期",$H$4:$H$200,"&gt;10",$BN$4:$BN$200,"&gt;-6",$BR$4:$BR$200,"&gt;=70",$C$4:$C$200,"&lt;20190630",$K$4:$K$200,"&lt;=30"))</f>
        <v>-</v>
      </c>
      <c r="AX70" s="33" t="str">
        <f>IF(OR($C70&gt;20190630,$K70&gt;30,AT70="-",$D70="是",$E70="封闭期",$H70&lt;10,$BN70&lt;-6,$BR70&lt;70),"-",COUNTIFS(AT$4:AT$200,"&lt;&gt;-",$D$4:$D$200,"&lt;&gt;是",$E$4:$E$200,"&lt;&gt;封闭期",$H$4:$H$200,"&gt;10",$BN$4:$BN$200,"&gt;-6",$BR$4:$BR$200,"&gt;=70",$K$4:$K$200,"&lt;=30",$C$4:$C$200,"&lt;20190630",AT$4:AT$200,"&gt;="&amp;AT70)/COUNTIFS(AT$4:AT$200,"&lt;&gt;-",$D$4:$D$200,"&lt;&gt;是",$E$4:$E$200,"&lt;&gt;封闭期",$H$4:$H$200,"&gt;10",$BN$4:$BN$200,"&gt;-6",$BR$4:$BR$200,"&gt;=70",$C$4:$C$200,"&lt;20190630",$K$4:$K$200,"&lt;=30"))</f>
        <v>-</v>
      </c>
      <c r="AY70" s="19">
        <f>[1]!f_risk_calmar(A70,$AM$2,$L$2)</f>
        <v>2.9799935886457569</v>
      </c>
      <c r="AZ70" s="19" t="str">
        <f>IFERROR(RANK(AY70,AY:AY)&amp;"/"&amp;COUNT(AY:AY),"-")</f>
        <v>50/197</v>
      </c>
      <c r="BA70" s="26">
        <f>IFERROR(RANK(AY70,AY:AY)/COUNT(AY:AY),"-")</f>
        <v>0.25380710659898476</v>
      </c>
      <c r="BB70" s="34" t="str">
        <f>IF(OR($C70&gt;20190630,$K70&gt;30,AY70="-",$D70="是",$E70="封闭期",$H70&lt;10,$BN70&lt;-6,$BR70&lt;70),"-",COUNTIFS(AY$4:AY$200,"&lt;&gt;-",$D$4:$D$200,"&lt;&gt;是",$E$4:$E$200,"&lt;&gt;封闭期",$H$4:$H$200,"&gt;10",$BN$4:$BN$200,"&gt;-6",$BR$4:$BR$200,"&gt;=70",$K$4:$K$200,"&lt;=30",$C$4:$C$200,"&lt;20190630",AY$4:AY$200,"&gt;="&amp;AY70)&amp;"/"&amp;COUNTIFS(AY$4:AY$200,"&lt;&gt;-",$D$4:$D$200,"&lt;&gt;是",$E$4:$E$200,"&lt;&gt;封闭期",$H$4:$H$200,"&gt;10",$BN$4:$BN$200,"&gt;-6",$BR$4:$BR$200,"&gt;=70",$C$4:$C$200,"&lt;20190630",$K$4:$K$200,"&lt;=30"))</f>
        <v>-</v>
      </c>
      <c r="BC70" s="33" t="str">
        <f>IF(OR($C70&gt;20190630,$K70&gt;30,AY70="-",$D70="是",$E70="封闭期",$H70&lt;10,$BN70&lt;-6,$BR70&lt;70),"-",COUNTIFS(AY$4:AY$200,"&lt;&gt;-",$D$4:$D$200,"&lt;&gt;是",$E$4:$E$200,"&lt;&gt;封闭期",$H$4:$H$200,"&gt;10",$BN$4:$BN$200,"&gt;-6",$BR$4:$BR$200,"&gt;=70",$K$4:$K$200,"&lt;=30",$C$4:$C$200,"&lt;20190630",AY$4:AY$200,"&gt;="&amp;AY70)/COUNTIFS(AY$4:AY$200,"&lt;&gt;-",$D$4:$D$200,"&lt;&gt;是",$E$4:$E$200,"&lt;&gt;封闭期",$H$4:$H$200,"&gt;10",$BN$4:$BN$200,"&gt;-6",$BR$4:$BR$200,"&gt;=70",$C$4:$C$200,"&lt;20190630",$K$4:$K$200,"&lt;=30"))</f>
        <v>-</v>
      </c>
      <c r="BD70" s="20">
        <v>1</v>
      </c>
      <c r="BE70" s="19" t="str">
        <f>IFERROR(RANK(BD70,BD:BD)&amp;"/"&amp;COUNT(BD:BD),"-")</f>
        <v>1/197</v>
      </c>
      <c r="BF70" s="26">
        <f>IFERROR(RANK(BD70,BD:BD)/COUNT(BD:BD),"-")</f>
        <v>5.076142131979695E-3</v>
      </c>
      <c r="BG70" s="34" t="str">
        <f>IF(OR($C70&gt;20190630,$K70&gt;30,BD70="-",$D70="是",$E70="封闭期",$H70&lt;10,$BN70&lt;-6,$BR70&lt;70),"-",COUNTIFS(BD$4:BD$200,"&lt;&gt;-",$D$4:$D$200,"&lt;&gt;是",$E$4:$E$200,"&lt;&gt;封闭期",$H$4:$H$200,"&gt;10",$BN$4:$BN$200,"&gt;-6",$BR$4:$BR$200,"&gt;=70",$K$4:$K$200,"&lt;=30",$C$4:$C$200,"&lt;20190630",BD$4:BD$200,"&gt;="&amp;BD70)&amp;"/"&amp;COUNTIFS(BD$4:BD$200,"&lt;&gt;-",$D$4:$D$200,"&lt;&gt;是",$E$4:$E$200,"&lt;&gt;封闭期",$H$4:$H$200,"&gt;10",$BN$4:$BN$200,"&gt;-6",$BR$4:$BR$200,"&gt;=70",$C$4:$C$200,"&lt;20190630",$K$4:$K$200,"&lt;=30"))</f>
        <v>-</v>
      </c>
      <c r="BH70" s="33" t="str">
        <f>IF(OR($C70&gt;20190630,$K70&gt;30,BD70="-",$D70="是",$E70="封闭期",$H70&lt;10,$BN70&lt;-6,$BR70&lt;70),"-",COUNTIFS(BD$4:BD$200,"&lt;&gt;-",$D$4:$D$200,"&lt;&gt;是",$E$4:$E$200,"&lt;&gt;封闭期",$H$4:$H$200,"&gt;10",$BN$4:$BN$200,"&gt;-6",$BR$4:$BR$200,"&gt;=70",$K$4:$K$200,"&lt;=30",$C$4:$C$200,"&lt;20190630",BD$4:BD$200,"&gt;="&amp;BD70)/COUNTIFS(BD$4:BD$200,"&lt;&gt;-",$D$4:$D$200,"&lt;&gt;是",$E$4:$E$200,"&lt;&gt;封闭期",$H$4:$H$200,"&gt;10",$BN$4:$BN$200,"&gt;-6",$BR$4:$BR$200,"&gt;=70",$C$4:$C$200,"&lt;20190630",$K$4:$K$200,"&lt;=30"))</f>
        <v>-</v>
      </c>
      <c r="BI70" s="21">
        <f>[1]!f_risk_maxdownside(A70,$AM$2,$L$2)</f>
        <v>-3.0156614461846063</v>
      </c>
      <c r="BJ70" s="19" t="str">
        <f>IFERROR(RANK(BI70,BI:BI)&amp;"/"&amp;COUNT(BI:BI),"-")</f>
        <v>87/197</v>
      </c>
      <c r="BK70" s="26">
        <f>IFERROR(RANK(BI70,BI:BI)/COUNT(BI:BI),"-")</f>
        <v>0.44162436548223349</v>
      </c>
      <c r="BL70" s="34" t="str">
        <f>IF(OR($C70&gt;20190630,$K70&gt;30,BI70="-",$D70="是",$E70="封闭期",$H70&lt;10,$BN70&lt;-6,$BR70&lt;70),"-",COUNTIFS(BI$4:BI$200,"&lt;&gt;-",$D$4:$D$200,"&lt;&gt;是",$E$4:$E$200,"&lt;&gt;封闭期",$H$4:$H$200,"&gt;10",$BN$4:$BN$200,"&gt;-6",$BR$4:$BR$200,"&gt;=70",$K$4:$K$200,"&lt;=30",$C$4:$C$200,"&lt;20190630",BI$4:BI$200,"&gt;="&amp;BI70)&amp;"/"&amp;COUNTIFS(BI$4:BI$200,"&lt;&gt;-",$D$4:$D$200,"&lt;&gt;是",$E$4:$E$200,"&lt;&gt;封闭期",$H$4:$H$200,"&gt;10",$BN$4:$BN$200,"&gt;-6",$BR$4:$BR$200,"&gt;=70",$C$4:$C$200,"&lt;20190630",$K$4:$K$200,"&lt;=30"))</f>
        <v>-</v>
      </c>
      <c r="BM70" s="33" t="str">
        <f>IF(OR($C70&gt;20190630,$K70&gt;30,BI70="-",$D70="是",$E70="封闭期",$H70&lt;10,$BN70&lt;-6,$BR70&lt;70),"-",COUNTIFS(BI$4:BI$200,"&lt;&gt;-",$D$4:$D$200,"&lt;&gt;是",$E$4:$E$200,"&lt;&gt;封闭期",$H$4:$H$200,"&gt;10",$BN$4:$BN$200,"&gt;-6",$BR$4:$BR$200,"&gt;=70",$K$4:$K$200,"&lt;=30",$C$4:$C$200,"&lt;20190630",BI$4:BI$200,"&gt;="&amp;BI70)/COUNTIFS(BI$4:BI$200,"&lt;&gt;-",$D$4:$D$200,"&lt;&gt;是",$E$4:$E$200,"&lt;&gt;封闭期",$H$4:$H$200,"&gt;10",$BN$4:$BN$200,"&gt;-6",$BR$4:$BR$200,"&gt;=70",$C$4:$C$200,"&lt;20190630",$K$4:$K$200,"&lt;=30"))</f>
        <v>-</v>
      </c>
      <c r="BN70" s="21">
        <f>[1]!f_risk_maxdownside(A70,$AM$2,$E$1)</f>
        <v>-3.0156614461846063</v>
      </c>
      <c r="BO70" s="21">
        <f>IF(C70&lt;20190930,[1]!f_return_2y(A70,"0","20210930"),"-")</f>
        <v>19.792988523418909</v>
      </c>
      <c r="BP70" s="19" t="str">
        <f>IFERROR(RANK(BO70,BO:BO)&amp;"/"&amp;COUNT(BO:BO),"-")</f>
        <v>38/197</v>
      </c>
      <c r="BQ70" s="25">
        <f>IFERROR(RANK(BO70,BO:BO)/COUNT(BO:BO),"-")</f>
        <v>0.19289340101522842</v>
      </c>
      <c r="BR70" s="19">
        <f>IF(C70&lt;20190930,[1]!f_absolute_profitmonthper(A70,"20190930","20210930"),"-")</f>
        <v>70.833333333333343</v>
      </c>
      <c r="BS70" s="19" t="str">
        <f>IFERROR(RANK(BR70,BR:BR)&amp;"/"&amp;COUNT(BR:BR),"-")</f>
        <v>55/198</v>
      </c>
      <c r="BT70" s="25">
        <f>IFERROR(RANK(BR70,BR:BR)/COUNT(BR:BR),"-")</f>
        <v>0.27777777777777779</v>
      </c>
      <c r="BV70" s="12">
        <f>X70-3/M70</f>
        <v>4.4372860797686737</v>
      </c>
      <c r="BW70" s="76">
        <f>IFERROR(RANK(BV70,BV:BV)/COUNT(BV:BV),"-")</f>
        <v>0.12690355329949238</v>
      </c>
      <c r="BX70" s="76">
        <f>IFERROR(RANK(L70,L:L)/COUNT(L:L),"-")</f>
        <v>0.16666666666666666</v>
      </c>
      <c r="BY70" s="12">
        <f>AY70-3/AN70</f>
        <v>2.3482760633431576</v>
      </c>
      <c r="BZ70" s="76">
        <f>IFERROR(RANK(BY70,BY:BY)/COUNT(BY:BY),"-")</f>
        <v>0.2233502538071066</v>
      </c>
      <c r="CA70" s="76">
        <f>IFERROR(RANK(AM70,AM:AM)/COUNT(AM:AM),"-")</f>
        <v>0.34343434343434343</v>
      </c>
      <c r="CB70" s="2"/>
      <c r="CC70" s="77">
        <f>AV70+BF70+BZ70+CA70</f>
        <v>0.81551556170845507</v>
      </c>
      <c r="CD70" s="77">
        <f>BW70+BX70+AE70+U70</f>
        <v>0.36463620981387479</v>
      </c>
      <c r="CE70" s="77">
        <f>CC70+CD70</f>
        <v>1.18015177152233</v>
      </c>
    </row>
    <row r="71" spans="1:83" s="17" customFormat="1" x14ac:dyDescent="0.35">
      <c r="A71" s="3" t="s">
        <v>199</v>
      </c>
      <c r="B71" s="3" t="s">
        <v>200</v>
      </c>
      <c r="C71" s="4">
        <v>20120820</v>
      </c>
      <c r="D71" s="4" t="str">
        <f>[1]!f_info_regulopenfundornot(A71)</f>
        <v>否</v>
      </c>
      <c r="E71" s="4" t="str">
        <f>[1]!f_dq_status(A71,$E$1)</f>
        <v>暂停大额申购|开放赎回</v>
      </c>
      <c r="F71" s="17" t="str">
        <f>[1]!f_info_fundmanager(A71)</f>
        <v>尹晓红,蔡振</v>
      </c>
      <c r="G71" s="4">
        <v>20171230</v>
      </c>
      <c r="H71" s="11">
        <f>[1]!f_netasset_total(A71,$E$1,100000000)</f>
        <v>26.6603018472</v>
      </c>
      <c r="I71" s="11">
        <f>[1]!f_prt_convertiblebondtonav(A71,$E$1)</f>
        <v>4.7040448188781738</v>
      </c>
      <c r="J71" s="11">
        <f>[1]!f_prt_stocktonav(A71,$E$1)+0.5*I71</f>
        <v>22.395654916763306</v>
      </c>
      <c r="K71" s="12">
        <v>17.18885264789786</v>
      </c>
      <c r="L71" s="19">
        <f>[1]!f_return($A71,"1",L$2,$E$1)</f>
        <v>8.6357499795974171</v>
      </c>
      <c r="M71" s="19">
        <f>[1]!f_risk_stdevyearly($A71,L$2,$E$1,1,1)</f>
        <v>4.007882414917697</v>
      </c>
      <c r="N71" s="12">
        <f>IFERROR(L71/M71,"-")</f>
        <v>2.1546914518885041</v>
      </c>
      <c r="O71" s="12" t="str">
        <f>IFERROR(RANK(N71,N:N)&amp;"/"&amp;COUNT(N:N),"-")</f>
        <v>42/197</v>
      </c>
      <c r="P71" s="26">
        <f>IF(O71="-","-",RANK(N71,N:N)/COUNT(N:N))</f>
        <v>0.21319796954314721</v>
      </c>
      <c r="Q71" s="58">
        <v>0.23857868020304568</v>
      </c>
      <c r="R71" s="33">
        <f>IF(OR($C71&gt;20190630,$K71&gt;30,N71="-",$D71="是",$E71="封闭期",$H71&lt;10,$BN71&lt;-6,$BR71&lt;70),"-",COUNTIFS(N$4:N$200,"&lt;&gt;-",$D$4:$D$200,"&lt;&gt;是",$E$4:$E$200,"&lt;&gt;封闭期",$H$4:$H$200,"&gt;10",$BN$4:$BN$200,"&gt;-6",$BR$4:$BR$200,"&gt;=70",$K$4:$K$200,"&lt;=30",$C$4:$C$200,"&lt;20190630",N$4:N$200,"&gt;="&amp;N71)/COUNTIFS(N$4:N$200,"&lt;&gt;-",$D$4:$D$200,"&lt;&gt;是",$E$4:$E$200,"&lt;&gt;封闭期",$H$4:$H$200,"&gt;10",$BN$4:$BN$200,"&gt;-6",$BR$4:$BR$200,"&gt;=70",$C$4:$C$200,"&lt;20190630",$K$4:$K$200,"&lt;=30"))</f>
        <v>0.38461538461538464</v>
      </c>
      <c r="S71" s="12">
        <f>IFERROR((L71-3)/M71,"-")</f>
        <v>1.406166497954294</v>
      </c>
      <c r="T71" s="12" t="str">
        <f>IFERROR(RANK(S71,S:S)&amp;"/"&amp;COUNT(S:S),"-")</f>
        <v>35/197</v>
      </c>
      <c r="U71" s="26">
        <f>IFERROR(RANK(S71,S:S)/COUNT(S:S),"-")</f>
        <v>0.17766497461928935</v>
      </c>
      <c r="V71" s="13" t="str">
        <f>IF(OR($C71&gt;20190630,$K71&gt;30,S71="-",$D71="是",$E71="封闭期",$H71&lt;10,$BN71&lt;-6,$BR71&lt;70),"-",COUNTIFS(S$4:S$200,"&lt;&gt;-",$D$4:$D$200,"&lt;&gt;是",$E$4:$E$200,"&lt;&gt;封闭期",$H$4:$H$200,"&gt;10",$BN$4:$BN$200,"&gt;-6",$BR$4:$BR$200,"&gt;=70",$K$4:$K$200,"&lt;=30",$C$4:$C$200,"&lt;20190630",S$4:S$200,"&gt;="&amp;S71)&amp;"/"&amp;COUNTIFS(S$4:S$200,"&lt;&gt;-",$D$4:$D$200,"&lt;&gt;是",$E$4:$E$200,"&lt;&gt;封闭期",$H$4:$H$200,"&gt;10",$BN$4:$BN$200,"&gt;-6",$BR$4:$BR$200,"&gt;=70",$C$4:$C$200,"&lt;20190630",$K$4:$K$200,"&lt;=30"))</f>
        <v>12/39</v>
      </c>
      <c r="W71" s="33">
        <f>IF(OR($C71&gt;20190630,$K71&gt;30,S71="-",$D71="是",$E71="封闭期",$H71&lt;10,$BN71&lt;-6,$BR71&lt;70),"-",COUNTIFS(S$4:S$200,"&lt;&gt;-",$D$4:$D$200,"&lt;&gt;是",$E$4:$E$200,"&lt;&gt;封闭期",$H$4:$H$200,"&gt;10",$BN$4:$BN$200,"&gt;-6",$BR$4:$BR$200,"&gt;=70",$K$4:$K$200,"&lt;=30",$C$4:$C$200,"&lt;20190630",S$4:S$200,"&gt;="&amp;S71)/COUNTIFS(S$4:S$200,"&lt;&gt;-",$D$4:$D$200,"&lt;&gt;是",$E$4:$E$200,"&lt;&gt;封闭期",$H$4:$H$200,"&gt;10",$BN$4:$BN$200,"&gt;-6",$BR$4:$BR$200,"&gt;=70",$C$4:$C$200,"&lt;20190630",$K$4:$K$200,"&lt;=30"))</f>
        <v>0.30769230769230771</v>
      </c>
      <c r="X71" s="19">
        <f>[1]!f_risk_calmar(A71,$L$2,$E$1)</f>
        <v>2.9404501320317937</v>
      </c>
      <c r="Y71" s="12" t="str">
        <f>IFERROR(RANK(X71,X:X)&amp;"/"&amp;COUNT(X:X),"-")</f>
        <v>64/197</v>
      </c>
      <c r="Z71" s="26">
        <f>IFERROR(RANK(X71,X:X)/COUNT(X:X),"-")</f>
        <v>0.32487309644670048</v>
      </c>
      <c r="AA71" s="13" t="str">
        <f>IF(OR($C71&gt;20190630,$K71&gt;30,X71="-",$D71="是",$E71="封闭期",$H71&lt;10,$BN71&lt;-6,$BR71&lt;70),"-",COUNTIFS(X$4:X$200,"&lt;&gt;-",$D$4:$D$200,"&lt;&gt;是",$E$4:$E$200,"&lt;&gt;封闭期",$H$4:$H$200,"&gt;10",$BN$4:$BN$200,"&gt;-6",$BR$4:$BR$200,"&gt;=70",$K$4:$K$200,"&lt;=30",$C$4:$C$200,"&lt;20190630",X$4:X$200,"&gt;="&amp;X71)&amp;"/"&amp;COUNTIFS(X$4:X$200,"&lt;&gt;-",$D$4:$D$200,"&lt;&gt;是",$E$4:$E$200,"&lt;&gt;封闭期",$H$4:$H$200,"&gt;10",$BN$4:$BN$200,"&gt;-6",$BR$4:$BR$200,"&gt;=70",$C$4:$C$200,"&lt;20190630",$K$4:$K$200,"&lt;=30"))</f>
        <v>21/39</v>
      </c>
      <c r="AB71" s="33">
        <f>IF(OR($C71&gt;20190630,$K71&gt;30,X71="-",$D71="是",$E71="封闭期",$H71&lt;10,$BN71&lt;-6,$BR71&lt;70),"-",COUNTIFS(X$4:X$200,"&lt;&gt;-",$D$4:$D$200,"&lt;&gt;是",$E$4:$E$200,"&lt;&gt;封闭期",$H$4:$H$200,"&gt;10",$BN$4:$BN$200,"&gt;-6",$BR$4:$BR$200,"&gt;=70",$K$4:$K$200,"&lt;=30",$C$4:$C$200,"&lt;20190630",X$4:X$200,"&gt;="&amp;X71)/COUNTIFS(X$4:X$200,"&lt;&gt;-",$D$4:$D$200,"&lt;&gt;是",$E$4:$E$200,"&lt;&gt;封闭期",$H$4:$H$200,"&gt;10",$BN$4:$BN$200,"&gt;-6",$BR$4:$BR$200,"&gt;=70",$C$4:$C$200,"&lt;20190630",$K$4:$K$200,"&lt;=30"))</f>
        <v>0.53846153846153844</v>
      </c>
      <c r="AC71" s="20">
        <v>1</v>
      </c>
      <c r="AD71" s="12" t="str">
        <f>IFERROR(RANK(AC71,AC:AC)&amp;"/"&amp;COUNT(AC:AC),"-")</f>
        <v>1/197</v>
      </c>
      <c r="AE71" s="26">
        <f>IFERROR(RANK(AC71,AC:AC)/COUNT(AC:AC),"-")</f>
        <v>5.076142131979695E-3</v>
      </c>
      <c r="AF71" s="13" t="str">
        <f>IF(OR($C71&gt;20190630,$K71&gt;30,AC71="-",$D71="是",$E71="封闭期",$H71&lt;10,$BN71&lt;-6,$BR71&lt;70),"-",COUNTIFS(AC$4:AC$200,"&lt;&gt;-",$D$4:$D$200,"&lt;&gt;是",$E$4:$E$200,"&lt;&gt;封闭期",$H$4:$H$200,"&gt;10",$BN$4:$BN$200,"&gt;-6",$BR$4:$BR$200,"&gt;=70",$K$4:$K$200,"&lt;=30",$C$4:$C$200,"&lt;20190630",AC$4:AC$200,"&gt;="&amp;AC71)&amp;"/"&amp;COUNTIFS(AC$4:AC$200,"&lt;&gt;-",$D$4:$D$200,"&lt;&gt;是",$E$4:$E$200,"&lt;&gt;封闭期",$H$4:$H$200,"&gt;10",$BN$4:$BN$200,"&gt;-6",$BR$4:$BR$200,"&gt;=70",$C$4:$C$200,"&lt;20190630",$K$4:$K$200,"&lt;=30"))</f>
        <v>28/39</v>
      </c>
      <c r="AG71" s="33">
        <f>IF(OR($C71&gt;20190630,$K71&gt;30,AC71="-",$D71="是",$E71="封闭期",$H71&lt;10,$BN71&lt;-6,$BR71&lt;70),"-",COUNTIFS(AC$4:AC$200,"&lt;&gt;-",$D$4:$D$200,"&lt;&gt;是",$E$4:$E$200,"&lt;&gt;封闭期",$H$4:$H$200,"&gt;10",$BN$4:$BN$200,"&gt;-6",$BR$4:$BR$200,"&gt;=70",$K$4:$K$200,"&lt;=30",$C$4:$C$200,"&lt;20190630",AC$4:AC$200,"&gt;="&amp;AC71)/COUNTIFS(AC$4:AC$200,"&lt;&gt;-",$D$4:$D$200,"&lt;&gt;是",$E$4:$E$200,"&lt;&gt;封闭期",$H$4:$H$200,"&gt;10",$BN$4:$BN$200,"&gt;-6",$BR$4:$BR$200,"&gt;=70",$C$4:$C$200,"&lt;20190630",$K$4:$K$200,"&lt;=30"))</f>
        <v>0.71794871794871795</v>
      </c>
      <c r="AH71" s="21">
        <f>[1]!f_risk_maxdownside(A71,$L$2,$E$1)</f>
        <v>-2.9368802706510388</v>
      </c>
      <c r="AI71" s="19" t="str">
        <f>IFERROR(RANK(AH71,AH:AH)&amp;"/"&amp;COUNT(AH:AH),"-")</f>
        <v>91/197</v>
      </c>
      <c r="AJ71" s="26">
        <f>IFERROR(RANK(AH71,AH:AH)/COUNT(AH:AH),"-")</f>
        <v>0.46192893401015228</v>
      </c>
      <c r="AK71" s="34" t="str">
        <f>IF(OR($C71&gt;20190630,$K71&gt;30,AH71="-",$D71="是",$E71="封闭期",$H71&lt;10,$BN71&lt;-6,$BR71&lt;70),"-",COUNTIFS(AH$4:AH$200,"&lt;&gt;-",$D$4:$D$200,"&lt;&gt;是",$E$4:$E$200,"&lt;&gt;封闭期",$H$4:$H$200,"&gt;10",$BN$4:$BN$200,"&gt;-6",$BR$4:$BR$200,"&gt;=70",$K$4:$K$200,"&lt;=30",$C$4:$C$200,"&lt;20190630",AH$4:AH$200,"&gt;="&amp;AH71)&amp;"/"&amp;COUNTIFS(AH$4:AH$200,"&lt;&gt;-",$D$4:$D$200,"&lt;&gt;是",$E$4:$E$200,"&lt;&gt;封闭期",$H$4:$H$200,"&gt;10",$BN$4:$BN$200,"&gt;-6",$BR$4:$BR$200,"&gt;=70",$C$4:$C$200,"&lt;20190630",$K$4:$K$200,"&lt;=30"))</f>
        <v>23/39</v>
      </c>
      <c r="AL71" s="33">
        <f>IF(OR($C71&gt;20190630,$K71&gt;30,AH71="-",$D71="是",$E71="封闭期",$H71&lt;10,$BN71&lt;-6,$BR71&lt;70),"-",COUNTIFS(AH$4:AH$200,"&lt;&gt;-",$D$4:$D$200,"&lt;&gt;是",$E$4:$E$200,"&lt;&gt;封闭期",$H$4:$H$200,"&gt;10",$BN$4:$BN$200,"&gt;-6",$BR$4:$BR$200,"&gt;=70",$K$4:$K$200,"&lt;=30",$C$4:$C$200,"&lt;20190630",AH$4:AH$200,"&gt;="&amp;AH71)/COUNTIFS(AH$4:AH$200,"&lt;&gt;-",$D$4:$D$200,"&lt;&gt;是",$E$4:$E$200,"&lt;&gt;封闭期",$H$4:$H$200,"&gt;10",$BN$4:$BN$200,"&gt;-6",$BR$4:$BR$200,"&gt;=70",$C$4:$C$200,"&lt;20190630",$K$4:$K$200,"&lt;=30"))</f>
        <v>0.58974358974358976</v>
      </c>
      <c r="AM71" s="19">
        <f>[1]!f_return($A71,"1",AM$2,$L$2)</f>
        <v>8.863821351125555</v>
      </c>
      <c r="AN71" s="19">
        <f>[1]!f_risk_stdevyearly($A71,AM$2,$L$2,1,1)</f>
        <v>5.2422009027684053</v>
      </c>
      <c r="AO71" s="12">
        <f>IFERROR(AM71/AN71,"-")</f>
        <v>1.6908587662950065</v>
      </c>
      <c r="AP71" s="12" t="str">
        <f>IFERROR(RANK(AO71,AO:AO)&amp;"/"&amp;COUNT(AO:AO),"-")</f>
        <v>87/197</v>
      </c>
      <c r="AQ71" s="26">
        <f>IF(AP71="-","-",RANK(AO71,AO:AO)/COUNT(AO:AO))</f>
        <v>0.44162436548223349</v>
      </c>
      <c r="AR71" s="60">
        <v>0.34517766497461927</v>
      </c>
      <c r="AS71" s="35">
        <f>IF(OR($C71&gt;20190630,$K71&gt;30,AO71="-",$D71="是",$E71="封闭期",$H71&lt;10,$BN71&lt;-6,$BR71&lt;70),"-",COUNTIFS(AO$4:AO$200,"&lt;&gt;-",$D$4:$D$200,"&lt;&gt;是",$E$4:$E$200,"&lt;&gt;封闭期",$H$4:$H$200,"&gt;10",$BN$4:$BN$200,"&gt;-6",$BR$4:$BR$200,"&gt;=70",$K$4:$K$200,"&lt;=30",$C$4:$C$200,"&lt;20190630",AO$4:AO$200,"&gt;="&amp;AO71)/COUNTIFS(AO$4:AO$200,"&lt;&gt;-",$D$4:$D$200,"&lt;&gt;是",$E$4:$E$200,"&lt;&gt;封闭期",$H$4:$H$200,"&gt;10",$BN$4:$BN$200,"&gt;-6",$BR$4:$BR$200,"&gt;=70",$C$4:$C$200,"&lt;20190630",$K$4:$K$200,"&lt;=30"))</f>
        <v>0.69230769230769229</v>
      </c>
      <c r="AT71" s="12">
        <f>IFERROR((AM71-3)/AN71,"-")</f>
        <v>1.1185800506098253</v>
      </c>
      <c r="AU71" s="12" t="str">
        <f>IFERROR(RANK(AT71,AT:AT)&amp;"/"&amp;COUNT(AT:AT),"-")</f>
        <v>67/197</v>
      </c>
      <c r="AV71" s="26">
        <f>IFERROR(RANK(AT71,AT:AT)/COUNT(AT:AT),"-")</f>
        <v>0.34010152284263961</v>
      </c>
      <c r="AW71" s="13" t="str">
        <f>IF(OR($C71&gt;20190630,$K71&gt;30,AT71="-",$D71="是",$E71="封闭期",$H71&lt;10,$BN71&lt;-6,$BR71&lt;70),"-",COUNTIFS(AT$4:AT$200,"&lt;&gt;-",$D$4:$D$200,"&lt;&gt;是",$E$4:$E$200,"&lt;&gt;封闭期",$H$4:$H$200,"&gt;10",$BN$4:$BN$200,"&gt;-6",$BR$4:$BR$200,"&gt;=70",$K$4:$K$200,"&lt;=30",$C$4:$C$200,"&lt;20190630",AT$4:AT$200,"&gt;="&amp;AT71)&amp;"/"&amp;COUNTIFS(AT$4:AT$200,"&lt;&gt;-",$D$4:$D$200,"&lt;&gt;是",$E$4:$E$200,"&lt;&gt;封闭期",$H$4:$H$200,"&gt;10",$BN$4:$BN$200,"&gt;-6",$BR$4:$BR$200,"&gt;=70",$C$4:$C$200,"&lt;20190630",$K$4:$K$200,"&lt;=30"))</f>
        <v>19/39</v>
      </c>
      <c r="AX71" s="33">
        <f>IF(OR($C71&gt;20190630,$K71&gt;30,AT71="-",$D71="是",$E71="封闭期",$H71&lt;10,$BN71&lt;-6,$BR71&lt;70),"-",COUNTIFS(AT$4:AT$200,"&lt;&gt;-",$D$4:$D$200,"&lt;&gt;是",$E$4:$E$200,"&lt;&gt;封闭期",$H$4:$H$200,"&gt;10",$BN$4:$BN$200,"&gt;-6",$BR$4:$BR$200,"&gt;=70",$K$4:$K$200,"&lt;=30",$C$4:$C$200,"&lt;20190630",AT$4:AT$200,"&gt;="&amp;AT71)/COUNTIFS(AT$4:AT$200,"&lt;&gt;-",$D$4:$D$200,"&lt;&gt;是",$E$4:$E$200,"&lt;&gt;封闭期",$H$4:$H$200,"&gt;10",$BN$4:$BN$200,"&gt;-6",$BR$4:$BR$200,"&gt;=70",$C$4:$C$200,"&lt;20190630",$K$4:$K$200,"&lt;=30"))</f>
        <v>0.48717948717948717</v>
      </c>
      <c r="AY71" s="19">
        <f>[1]!f_risk_calmar(A71,$AM$2,$L$2)</f>
        <v>3.051580953983891</v>
      </c>
      <c r="AZ71" s="12" t="str">
        <f>IFERROR(RANK(AY71,AY:AY)&amp;"/"&amp;COUNT(AY:AY),"-")</f>
        <v>47/197</v>
      </c>
      <c r="BA71" s="26">
        <f>IFERROR(RANK(AY71,AY:AY)/COUNT(AY:AY),"-")</f>
        <v>0.23857868020304568</v>
      </c>
      <c r="BB71" s="13" t="str">
        <f>IF(OR($C71&gt;20190630,$K71&gt;30,AY71="-",$D71="是",$E71="封闭期",$H71&lt;10,$BN71&lt;-6,$BR71&lt;70),"-",COUNTIFS(AY$4:AY$200,"&lt;&gt;-",$D$4:$D$200,"&lt;&gt;是",$E$4:$E$200,"&lt;&gt;封闭期",$H$4:$H$200,"&gt;10",$BN$4:$BN$200,"&gt;-6",$BR$4:$BR$200,"&gt;=70",$K$4:$K$200,"&lt;=30",$C$4:$C$200,"&lt;20190630",AY$4:AY$200,"&gt;="&amp;AY71)&amp;"/"&amp;COUNTIFS(AY$4:AY$200,"&lt;&gt;-",$D$4:$D$200,"&lt;&gt;是",$E$4:$E$200,"&lt;&gt;封闭期",$H$4:$H$200,"&gt;10",$BN$4:$BN$200,"&gt;-6",$BR$4:$BR$200,"&gt;=70",$C$4:$C$200,"&lt;20190630",$K$4:$K$200,"&lt;=30"))</f>
        <v>17/39</v>
      </c>
      <c r="BC71" s="33">
        <f>IF(OR($C71&gt;20190630,$K71&gt;30,AY71="-",$D71="是",$E71="封闭期",$H71&lt;10,$BN71&lt;-6,$BR71&lt;70),"-",COUNTIFS(AY$4:AY$200,"&lt;&gt;-",$D$4:$D$200,"&lt;&gt;是",$E$4:$E$200,"&lt;&gt;封闭期",$H$4:$H$200,"&gt;10",$BN$4:$BN$200,"&gt;-6",$BR$4:$BR$200,"&gt;=70",$K$4:$K$200,"&lt;=30",$C$4:$C$200,"&lt;20190630",AY$4:AY$200,"&gt;="&amp;AY71)/COUNTIFS(AY$4:AY$200,"&lt;&gt;-",$D$4:$D$200,"&lt;&gt;是",$E$4:$E$200,"&lt;&gt;封闭期",$H$4:$H$200,"&gt;10",$BN$4:$BN$200,"&gt;-6",$BR$4:$BR$200,"&gt;=70",$C$4:$C$200,"&lt;20190630",$K$4:$K$200,"&lt;=30"))</f>
        <v>0.4358974358974359</v>
      </c>
      <c r="BD71" s="20">
        <v>1</v>
      </c>
      <c r="BE71" s="12" t="str">
        <f>IFERROR(RANK(BD71,BD:BD)&amp;"/"&amp;COUNT(BD:BD),"-")</f>
        <v>1/197</v>
      </c>
      <c r="BF71" s="26">
        <f>IFERROR(RANK(BD71,BD:BD)/COUNT(BD:BD),"-")</f>
        <v>5.076142131979695E-3</v>
      </c>
      <c r="BG71" s="13" t="str">
        <f>IF(OR($C71&gt;20190630,$K71&gt;30,BD71="-",$D71="是",$E71="封闭期",$H71&lt;10,$BN71&lt;-6,$BR71&lt;70),"-",COUNTIFS(BD$4:BD$200,"&lt;&gt;-",$D$4:$D$200,"&lt;&gt;是",$E$4:$E$200,"&lt;&gt;封闭期",$H$4:$H$200,"&gt;10",$BN$4:$BN$200,"&gt;-6",$BR$4:$BR$200,"&gt;=70",$K$4:$K$200,"&lt;=30",$C$4:$C$200,"&lt;20190630",BD$4:BD$200,"&gt;="&amp;BD71)&amp;"/"&amp;COUNTIFS(BD$4:BD$200,"&lt;&gt;-",$D$4:$D$200,"&lt;&gt;是",$E$4:$E$200,"&lt;&gt;封闭期",$H$4:$H$200,"&gt;10",$BN$4:$BN$200,"&gt;-6",$BR$4:$BR$200,"&gt;=70",$C$4:$C$200,"&lt;20190630",$K$4:$K$200,"&lt;=30"))</f>
        <v>35/39</v>
      </c>
      <c r="BH71" s="33">
        <f>IF(OR($C71&gt;20190630,$K71&gt;30,BD71="-",$D71="是",$E71="封闭期",$H71&lt;10,$BN71&lt;-6,$BR71&lt;70),"-",COUNTIFS(BD$4:BD$200,"&lt;&gt;-",$D$4:$D$200,"&lt;&gt;是",$E$4:$E$200,"&lt;&gt;封闭期",$H$4:$H$200,"&gt;10",$BN$4:$BN$200,"&gt;-6",$BR$4:$BR$200,"&gt;=70",$K$4:$K$200,"&lt;=30",$C$4:$C$200,"&lt;20190630",BD$4:BD$200,"&gt;="&amp;BD71)/COUNTIFS(BD$4:BD$200,"&lt;&gt;-",$D$4:$D$200,"&lt;&gt;是",$E$4:$E$200,"&lt;&gt;封闭期",$H$4:$H$200,"&gt;10",$BN$4:$BN$200,"&gt;-6",$BR$4:$BR$200,"&gt;=70",$C$4:$C$200,"&lt;20190630",$K$4:$K$200,"&lt;=30"))</f>
        <v>0.89743589743589747</v>
      </c>
      <c r="BI71" s="21">
        <f>[1]!f_risk_maxdownside(A71,$AM$2,$L$2)</f>
        <v>-2.9046653144016008</v>
      </c>
      <c r="BJ71" s="19" t="str">
        <f>IFERROR(RANK(BI71,BI:BI)&amp;"/"&amp;COUNT(BI:BI),"-")</f>
        <v>84/197</v>
      </c>
      <c r="BK71" s="26">
        <f>IFERROR(RANK(BI71,BI:BI)/COUNT(BI:BI),"-")</f>
        <v>0.42639593908629442</v>
      </c>
      <c r="BL71" s="34" t="str">
        <f>IF(OR($C71&gt;20190630,$K71&gt;30,BI71="-",$D71="是",$E71="封闭期",$H71&lt;10,$BN71&lt;-6,$BR71&lt;70),"-",COUNTIFS(BI$4:BI$200,"&lt;&gt;-",$D$4:$D$200,"&lt;&gt;是",$E$4:$E$200,"&lt;&gt;封闭期",$H$4:$H$200,"&gt;10",$BN$4:$BN$200,"&gt;-6",$BR$4:$BR$200,"&gt;=70",$K$4:$K$200,"&lt;=30",$C$4:$C$200,"&lt;20190630",BI$4:BI$200,"&gt;="&amp;BI71)&amp;"/"&amp;COUNTIFS(BI$4:BI$200,"&lt;&gt;-",$D$4:$D$200,"&lt;&gt;是",$E$4:$E$200,"&lt;&gt;封闭期",$H$4:$H$200,"&gt;10",$BN$4:$BN$200,"&gt;-6",$BR$4:$BR$200,"&gt;=70",$C$4:$C$200,"&lt;20190630",$K$4:$K$200,"&lt;=30"))</f>
        <v>17/39</v>
      </c>
      <c r="BM71" s="33">
        <f>IF(OR($C71&gt;20190630,$K71&gt;30,BI71="-",$D71="是",$E71="封闭期",$H71&lt;10,$BN71&lt;-6,$BR71&lt;70),"-",COUNTIFS(BI$4:BI$200,"&lt;&gt;-",$D$4:$D$200,"&lt;&gt;是",$E$4:$E$200,"&lt;&gt;封闭期",$H$4:$H$200,"&gt;10",$BN$4:$BN$200,"&gt;-6",$BR$4:$BR$200,"&gt;=70",$K$4:$K$200,"&lt;=30",$C$4:$C$200,"&lt;20190630",BI$4:BI$200,"&gt;="&amp;BI71)/COUNTIFS(BI$4:BI$200,"&lt;&gt;-",$D$4:$D$200,"&lt;&gt;是",$E$4:$E$200,"&lt;&gt;封闭期",$H$4:$H$200,"&gt;10",$BN$4:$BN$200,"&gt;-6",$BR$4:$BR$200,"&gt;=70",$C$4:$C$200,"&lt;20190630",$K$4:$K$200,"&lt;=30"))</f>
        <v>0.4358974358974359</v>
      </c>
      <c r="BN71" s="21">
        <f>[1]!f_risk_maxdownside(A71,$AM$2,$E$1)</f>
        <v>-2.9368802706510388</v>
      </c>
      <c r="BO71" s="14">
        <f>IF(C71&lt;20190930,[1]!f_return_2y(A71,"0","20210930"),"-")</f>
        <v>18.505191283302025</v>
      </c>
      <c r="BP71" s="12" t="str">
        <f>IFERROR(RANK(BO71,BO:BO)&amp;"/"&amp;COUNT(BO:BO),"-")</f>
        <v>50/197</v>
      </c>
      <c r="BQ71" s="25">
        <f>IFERROR(RANK(BO71,BO:BO)/COUNT(BO:BO),"-")</f>
        <v>0.25380710659898476</v>
      </c>
      <c r="BR71" s="12">
        <f>IF(C71&lt;20190930,[1]!f_absolute_profitmonthper(A71,"20190930","20210930"),"-")</f>
        <v>70.833333333333343</v>
      </c>
      <c r="BS71" s="12" t="str">
        <f>IFERROR(RANK(BR71,BR:BR)&amp;"/"&amp;COUNT(BR:BR),"-")</f>
        <v>55/198</v>
      </c>
      <c r="BT71" s="25">
        <f>IFERROR(RANK(BR71,BR:BR)/COUNT(BR:BR),"-")</f>
        <v>0.27777777777777779</v>
      </c>
      <c r="BV71" s="12">
        <f>X71-3/M71</f>
        <v>2.1919251780975837</v>
      </c>
      <c r="BW71" s="76">
        <f>IFERROR(RANK(BV71,BV:BV)/COUNT(BV:BV),"-")</f>
        <v>0.28934010152284262</v>
      </c>
      <c r="BX71" s="76">
        <f>IFERROR(RANK(L71,L:L)/COUNT(L:L),"-")</f>
        <v>0.24242424242424243</v>
      </c>
      <c r="BY71" s="12">
        <f>AY71-3/AN71</f>
        <v>2.4793022382987098</v>
      </c>
      <c r="BZ71" s="76">
        <f>IFERROR(RANK(BY71,BY:BY)/COUNT(BY:BY),"-")</f>
        <v>0.19796954314720813</v>
      </c>
      <c r="CA71" s="76">
        <f>IFERROR(RANK(AM71,AM:AM)/COUNT(AM:AM),"-")</f>
        <v>0.34848484848484851</v>
      </c>
      <c r="CB71" s="2"/>
      <c r="CC71" s="77">
        <f>AV71+BF71+BZ71+CA71</f>
        <v>0.89163205660667599</v>
      </c>
      <c r="CD71" s="77">
        <f>BW71+BX71+AE71+U71</f>
        <v>0.71450546069835408</v>
      </c>
      <c r="CE71" s="77">
        <f>CC71+CD71</f>
        <v>1.6061375173050301</v>
      </c>
    </row>
    <row r="72" spans="1:83" s="17" customFormat="1" hidden="1" x14ac:dyDescent="0.35">
      <c r="A72" s="15" t="s">
        <v>339</v>
      </c>
      <c r="B72" s="15" t="s">
        <v>340</v>
      </c>
      <c r="C72" s="16">
        <v>20170809</v>
      </c>
      <c r="D72" s="16" t="str">
        <f>[1]!f_info_regulopenfundornot(A72)</f>
        <v>否</v>
      </c>
      <c r="E72" s="16" t="str">
        <f>[1]!f_dq_status(A72,$E$1)</f>
        <v>开放申购|开放赎回</v>
      </c>
      <c r="F72" s="17" t="str">
        <f>[1]!f_info_fundmanager(A72)</f>
        <v>王玉玺,蒲延杰</v>
      </c>
      <c r="G72" s="16">
        <v>20170809</v>
      </c>
      <c r="H72" s="18">
        <f>[1]!f_netasset_total(A72,$E$1,100000000)</f>
        <v>6.6548445865999994</v>
      </c>
      <c r="I72" s="18">
        <f>[1]!f_prt_convertiblebondtonav(A72,$E$1)</f>
        <v>6.5901813507080078</v>
      </c>
      <c r="J72" s="18">
        <f>[1]!f_prt_stocktonav(A72,$E$1)+0.5*I72</f>
        <v>16.784377098083496</v>
      </c>
      <c r="K72" s="19">
        <v>12.386164534326561</v>
      </c>
      <c r="L72" s="19">
        <f>[1]!f_return($A72,"1",L$2,$E$1)</f>
        <v>7.7728099339891221</v>
      </c>
      <c r="M72" s="19">
        <f>[1]!f_risk_stdevyearly($A72,L$2,$E$1,1,1)</f>
        <v>5.9670476764375229</v>
      </c>
      <c r="N72" s="19">
        <f>IFERROR(L72/M72,"-")</f>
        <v>1.3026223947702198</v>
      </c>
      <c r="O72" s="19" t="str">
        <f>IFERROR(RANK(N72,N:N)&amp;"/"&amp;COUNT(N:N),"-")</f>
        <v>112/197</v>
      </c>
      <c r="P72" s="26">
        <f>IF(O72="-","-",RANK(N72,N:N)/COUNT(N:N))</f>
        <v>0.56852791878172593</v>
      </c>
      <c r="Q72" s="56">
        <v>0.28934010152284262</v>
      </c>
      <c r="R72" s="33" t="str">
        <f>IF(OR($C72&gt;20190630,$K72&gt;30,N72="-",$D72="是",$E72="封闭期",$H72&lt;10,$BN72&lt;-6,$BR72&lt;70),"-",COUNTIFS(N$4:N$200,"&lt;&gt;-",$D$4:$D$200,"&lt;&gt;是",$E$4:$E$200,"&lt;&gt;封闭期",$H$4:$H$200,"&gt;10",$BN$4:$BN$200,"&gt;-6",$BR$4:$BR$200,"&gt;=70",$K$4:$K$200,"&lt;=30",$C$4:$C$200,"&lt;20190630",N$4:N$200,"&gt;="&amp;N72)/COUNTIFS(N$4:N$200,"&lt;&gt;-",$D$4:$D$200,"&lt;&gt;是",$E$4:$E$200,"&lt;&gt;封闭期",$H$4:$H$200,"&gt;10",$BN$4:$BN$200,"&gt;-6",$BR$4:$BR$200,"&gt;=70",$C$4:$C$200,"&lt;20190630",$K$4:$K$200,"&lt;=30"))</f>
        <v>-</v>
      </c>
      <c r="S72" s="19">
        <f>IFERROR((L72-3)/M72,"-")</f>
        <v>0.79986120319363851</v>
      </c>
      <c r="T72" s="19" t="str">
        <f>IFERROR(RANK(S72,S:S)&amp;"/"&amp;COUNT(S:S),"-")</f>
        <v>91/197</v>
      </c>
      <c r="U72" s="26">
        <f>IFERROR(RANK(S72,S:S)/COUNT(S:S),"-")</f>
        <v>0.46192893401015228</v>
      </c>
      <c r="V72" s="34" t="str">
        <f>IF(OR($C72&gt;20190630,$K72&gt;30,S72="-",$D72="是",$E72="封闭期",$H72&lt;10,$BN72&lt;-6,$BR72&lt;70),"-",COUNTIFS(S$4:S$200,"&lt;&gt;-",$D$4:$D$200,"&lt;&gt;是",$E$4:$E$200,"&lt;&gt;封闭期",$H$4:$H$200,"&gt;10",$BN$4:$BN$200,"&gt;-6",$BR$4:$BR$200,"&gt;=70",$K$4:$K$200,"&lt;=30",$C$4:$C$200,"&lt;20190630",S$4:S$200,"&gt;="&amp;S72)&amp;"/"&amp;COUNTIFS(S$4:S$200,"&lt;&gt;-",$D$4:$D$200,"&lt;&gt;是",$E$4:$E$200,"&lt;&gt;封闭期",$H$4:$H$200,"&gt;10",$BN$4:$BN$200,"&gt;-6",$BR$4:$BR$200,"&gt;=70",$C$4:$C$200,"&lt;20190630",$K$4:$K$200,"&lt;=30"))</f>
        <v>-</v>
      </c>
      <c r="W72" s="33" t="str">
        <f>IF(OR($C72&gt;20190630,$K72&gt;30,S72="-",$D72="是",$E72="封闭期",$H72&lt;10,$BN72&lt;-6,$BR72&lt;70),"-",COUNTIFS(S$4:S$200,"&lt;&gt;-",$D$4:$D$200,"&lt;&gt;是",$E$4:$E$200,"&lt;&gt;封闭期",$H$4:$H$200,"&gt;10",$BN$4:$BN$200,"&gt;-6",$BR$4:$BR$200,"&gt;=70",$K$4:$K$200,"&lt;=30",$C$4:$C$200,"&lt;20190630",S$4:S$200,"&gt;="&amp;S72)/COUNTIFS(S$4:S$200,"&lt;&gt;-",$D$4:$D$200,"&lt;&gt;是",$E$4:$E$200,"&lt;&gt;封闭期",$H$4:$H$200,"&gt;10",$BN$4:$BN$200,"&gt;-6",$BR$4:$BR$200,"&gt;=70",$C$4:$C$200,"&lt;20190630",$K$4:$K$200,"&lt;=30"))</f>
        <v>-</v>
      </c>
      <c r="X72" s="19">
        <f>[1]!f_risk_calmar(A72,$L$2,$E$1)</f>
        <v>1.4830101832075802</v>
      </c>
      <c r="Y72" s="19" t="str">
        <f>IFERROR(RANK(X72,X:X)&amp;"/"&amp;COUNT(X:X),"-")</f>
        <v>128/197</v>
      </c>
      <c r="Z72" s="26">
        <f>IFERROR(RANK(X72,X:X)/COUNT(X:X),"-")</f>
        <v>0.64974619289340096</v>
      </c>
      <c r="AA72" s="34" t="str">
        <f>IF(OR($C72&gt;20190630,$K72&gt;30,X72="-",$D72="是",$E72="封闭期",$H72&lt;10,$BN72&lt;-6,$BR72&lt;70),"-",COUNTIFS(X$4:X$200,"&lt;&gt;-",$D$4:$D$200,"&lt;&gt;是",$E$4:$E$200,"&lt;&gt;封闭期",$H$4:$H$200,"&gt;10",$BN$4:$BN$200,"&gt;-6",$BR$4:$BR$200,"&gt;=70",$K$4:$K$200,"&lt;=30",$C$4:$C$200,"&lt;20190630",X$4:X$200,"&gt;="&amp;X72)&amp;"/"&amp;COUNTIFS(X$4:X$200,"&lt;&gt;-",$D$4:$D$200,"&lt;&gt;是",$E$4:$E$200,"&lt;&gt;封闭期",$H$4:$H$200,"&gt;10",$BN$4:$BN$200,"&gt;-6",$BR$4:$BR$200,"&gt;=70",$C$4:$C$200,"&lt;20190630",$K$4:$K$200,"&lt;=30"))</f>
        <v>-</v>
      </c>
      <c r="AB72" s="33" t="str">
        <f>IF(OR($C72&gt;20190630,$K72&gt;30,X72="-",$D72="是",$E72="封闭期",$H72&lt;10,$BN72&lt;-6,$BR72&lt;70),"-",COUNTIFS(X$4:X$200,"&lt;&gt;-",$D$4:$D$200,"&lt;&gt;是",$E$4:$E$200,"&lt;&gt;封闭期",$H$4:$H$200,"&gt;10",$BN$4:$BN$200,"&gt;-6",$BR$4:$BR$200,"&gt;=70",$K$4:$K$200,"&lt;=30",$C$4:$C$200,"&lt;20190630",X$4:X$200,"&gt;="&amp;X72)/COUNTIFS(X$4:X$200,"&lt;&gt;-",$D$4:$D$200,"&lt;&gt;是",$E$4:$E$200,"&lt;&gt;封闭期",$H$4:$H$200,"&gt;10",$BN$4:$BN$200,"&gt;-6",$BR$4:$BR$200,"&gt;=70",$C$4:$C$200,"&lt;20190630",$K$4:$K$200,"&lt;=30"))</f>
        <v>-</v>
      </c>
      <c r="AC72" s="20">
        <v>1</v>
      </c>
      <c r="AD72" s="19" t="str">
        <f>IFERROR(RANK(AC72,AC:AC)&amp;"/"&amp;COUNT(AC:AC),"-")</f>
        <v>1/197</v>
      </c>
      <c r="AE72" s="26">
        <f>IFERROR(RANK(AC72,AC:AC)/COUNT(AC:AC),"-")</f>
        <v>5.076142131979695E-3</v>
      </c>
      <c r="AF72" s="34" t="str">
        <f>IF(OR($C72&gt;20190630,$K72&gt;30,AC72="-",$D72="是",$E72="封闭期",$H72&lt;10,$BN72&lt;-6,$BR72&lt;70),"-",COUNTIFS(AC$4:AC$200,"&lt;&gt;-",$D$4:$D$200,"&lt;&gt;是",$E$4:$E$200,"&lt;&gt;封闭期",$H$4:$H$200,"&gt;10",$BN$4:$BN$200,"&gt;-6",$BR$4:$BR$200,"&gt;=70",$K$4:$K$200,"&lt;=30",$C$4:$C$200,"&lt;20190630",AC$4:AC$200,"&gt;="&amp;AC72)&amp;"/"&amp;COUNTIFS(AC$4:AC$200,"&lt;&gt;-",$D$4:$D$200,"&lt;&gt;是",$E$4:$E$200,"&lt;&gt;封闭期",$H$4:$H$200,"&gt;10",$BN$4:$BN$200,"&gt;-6",$BR$4:$BR$200,"&gt;=70",$C$4:$C$200,"&lt;20190630",$K$4:$K$200,"&lt;=30"))</f>
        <v>-</v>
      </c>
      <c r="AG72" s="33" t="str">
        <f>IF(OR($C72&gt;20190630,$K72&gt;30,AC72="-",$D72="是",$E72="封闭期",$H72&lt;10,$BN72&lt;-6,$BR72&lt;70),"-",COUNTIFS(AC$4:AC$200,"&lt;&gt;-",$D$4:$D$200,"&lt;&gt;是",$E$4:$E$200,"&lt;&gt;封闭期",$H$4:$H$200,"&gt;10",$BN$4:$BN$200,"&gt;-6",$BR$4:$BR$200,"&gt;=70",$K$4:$K$200,"&lt;=30",$C$4:$C$200,"&lt;20190630",AC$4:AC$200,"&gt;="&amp;AC72)/COUNTIFS(AC$4:AC$200,"&lt;&gt;-",$D$4:$D$200,"&lt;&gt;是",$E$4:$E$200,"&lt;&gt;封闭期",$H$4:$H$200,"&gt;10",$BN$4:$BN$200,"&gt;-6",$BR$4:$BR$200,"&gt;=70",$C$4:$C$200,"&lt;20190630",$K$4:$K$200,"&lt;=30"))</f>
        <v>-</v>
      </c>
      <c r="AH72" s="21">
        <f>[1]!f_risk_maxdownside(A72,$L$2,$E$1)</f>
        <v>-5.2412384095552396</v>
      </c>
      <c r="AI72" s="19" t="str">
        <f>IFERROR(RANK(AH72,AH:AH)&amp;"/"&amp;COUNT(AH:AH),"-")</f>
        <v>161/197</v>
      </c>
      <c r="AJ72" s="26">
        <f>IFERROR(RANK(AH72,AH:AH)/COUNT(AH:AH),"-")</f>
        <v>0.81725888324873097</v>
      </c>
      <c r="AK72" s="34" t="str">
        <f>IF(OR($C72&gt;20190630,$K72&gt;30,AH72="-",$D72="是",$E72="封闭期",$H72&lt;10,$BN72&lt;-6,$BR72&lt;70),"-",COUNTIFS(AH$4:AH$200,"&lt;&gt;-",$D$4:$D$200,"&lt;&gt;是",$E$4:$E$200,"&lt;&gt;封闭期",$H$4:$H$200,"&gt;10",$BN$4:$BN$200,"&gt;-6",$BR$4:$BR$200,"&gt;=70",$K$4:$K$200,"&lt;=30",$C$4:$C$200,"&lt;20190630",AH$4:AH$200,"&gt;="&amp;AH72)&amp;"/"&amp;COUNTIFS(AH$4:AH$200,"&lt;&gt;-",$D$4:$D$200,"&lt;&gt;是",$E$4:$E$200,"&lt;&gt;封闭期",$H$4:$H$200,"&gt;10",$BN$4:$BN$200,"&gt;-6",$BR$4:$BR$200,"&gt;=70",$C$4:$C$200,"&lt;20190630",$K$4:$K$200,"&lt;=30"))</f>
        <v>-</v>
      </c>
      <c r="AL72" s="33" t="str">
        <f>IF(OR($C72&gt;20190630,$K72&gt;30,AH72="-",$D72="是",$E72="封闭期",$H72&lt;10,$BN72&lt;-6,$BR72&lt;70),"-",COUNTIFS(AH$4:AH$200,"&lt;&gt;-",$D$4:$D$200,"&lt;&gt;是",$E$4:$E$200,"&lt;&gt;封闭期",$H$4:$H$200,"&gt;10",$BN$4:$BN$200,"&gt;-6",$BR$4:$BR$200,"&gt;=70",$K$4:$K$200,"&lt;=30",$C$4:$C$200,"&lt;20190630",AH$4:AH$200,"&gt;="&amp;AH72)/COUNTIFS(AH$4:AH$200,"&lt;&gt;-",$D$4:$D$200,"&lt;&gt;是",$E$4:$E$200,"&lt;&gt;封闭期",$H$4:$H$200,"&gt;10",$BN$4:$BN$200,"&gt;-6",$BR$4:$BR$200,"&gt;=70",$C$4:$C$200,"&lt;20190630",$K$4:$K$200,"&lt;=30"))</f>
        <v>-</v>
      </c>
      <c r="AM72" s="19">
        <f>[1]!f_return($A72,"1",AM$2,$L$2)</f>
        <v>8.8531900204177116</v>
      </c>
      <c r="AN72" s="19">
        <f>[1]!f_risk_stdevyearly($A72,AM$2,$L$2,1,1)</f>
        <v>5.1681491627312104</v>
      </c>
      <c r="AO72" s="19">
        <f>IFERROR(AM72/AN72,"-")</f>
        <v>1.7130291215780369</v>
      </c>
      <c r="AP72" s="19" t="str">
        <f>IFERROR(RANK(AO72,AO:AO)&amp;"/"&amp;COUNT(AO:AO),"-")</f>
        <v>81/197</v>
      </c>
      <c r="AQ72" s="26">
        <f>IF(AP72="-","-",RANK(AO72,AO:AO)/COUNT(AO:AO))</f>
        <v>0.41116751269035534</v>
      </c>
      <c r="AR72" s="57">
        <v>0.35025380710659898</v>
      </c>
      <c r="AS72" s="33" t="str">
        <f>IF(OR($C72&gt;20190630,$K72&gt;30,AO72="-",$D72="是",$E72="封闭期",$H72&lt;10,$BN72&lt;-6,$BR72&lt;70),"-",COUNTIFS(AO$4:AO$200,"&lt;&gt;-",$D$4:$D$200,"&lt;&gt;是",$E$4:$E$200,"&lt;&gt;封闭期",$H$4:$H$200,"&gt;10",$BN$4:$BN$200,"&gt;-6",$BR$4:$BR$200,"&gt;=70",$K$4:$K$200,"&lt;=30",$C$4:$C$200,"&lt;20190630",AO$4:AO$200,"&gt;="&amp;AO72)/COUNTIFS(AO$4:AO$200,"&lt;&gt;-",$D$4:$D$200,"&lt;&gt;是",$E$4:$E$200,"&lt;&gt;封闭期",$H$4:$H$200,"&gt;10",$BN$4:$BN$200,"&gt;-6",$BR$4:$BR$200,"&gt;=70",$C$4:$C$200,"&lt;20190630",$K$4:$K$200,"&lt;=30"))</f>
        <v>-</v>
      </c>
      <c r="AT72" s="19">
        <f>IFERROR((AM72-3)/AN72,"-")</f>
        <v>1.132550519754054</v>
      </c>
      <c r="AU72" s="19" t="str">
        <f>IFERROR(RANK(AT72,AT:AT)&amp;"/"&amp;COUNT(AT:AT),"-")</f>
        <v>63/197</v>
      </c>
      <c r="AV72" s="26">
        <f>IFERROR(RANK(AT72,AT:AT)/COUNT(AT:AT),"-")</f>
        <v>0.31979695431472083</v>
      </c>
      <c r="AW72" s="34" t="str">
        <f>IF(OR($C72&gt;20190630,$K72&gt;30,AT72="-",$D72="是",$E72="封闭期",$H72&lt;10,$BN72&lt;-6,$BR72&lt;70),"-",COUNTIFS(AT$4:AT$200,"&lt;&gt;-",$D$4:$D$200,"&lt;&gt;是",$E$4:$E$200,"&lt;&gt;封闭期",$H$4:$H$200,"&gt;10",$BN$4:$BN$200,"&gt;-6",$BR$4:$BR$200,"&gt;=70",$K$4:$K$200,"&lt;=30",$C$4:$C$200,"&lt;20190630",AT$4:AT$200,"&gt;="&amp;AT72)&amp;"/"&amp;COUNTIFS(AT$4:AT$200,"&lt;&gt;-",$D$4:$D$200,"&lt;&gt;是",$E$4:$E$200,"&lt;&gt;封闭期",$H$4:$H$200,"&gt;10",$BN$4:$BN$200,"&gt;-6",$BR$4:$BR$200,"&gt;=70",$C$4:$C$200,"&lt;20190630",$K$4:$K$200,"&lt;=30"))</f>
        <v>-</v>
      </c>
      <c r="AX72" s="33" t="str">
        <f>IF(OR($C72&gt;20190630,$K72&gt;30,AT72="-",$D72="是",$E72="封闭期",$H72&lt;10,$BN72&lt;-6,$BR72&lt;70),"-",COUNTIFS(AT$4:AT$200,"&lt;&gt;-",$D$4:$D$200,"&lt;&gt;是",$E$4:$E$200,"&lt;&gt;封闭期",$H$4:$H$200,"&gt;10",$BN$4:$BN$200,"&gt;-6",$BR$4:$BR$200,"&gt;=70",$K$4:$K$200,"&lt;=30",$C$4:$C$200,"&lt;20190630",AT$4:AT$200,"&gt;="&amp;AT72)/COUNTIFS(AT$4:AT$200,"&lt;&gt;-",$D$4:$D$200,"&lt;&gt;是",$E$4:$E$200,"&lt;&gt;封闭期",$H$4:$H$200,"&gt;10",$BN$4:$BN$200,"&gt;-6",$BR$4:$BR$200,"&gt;=70",$C$4:$C$200,"&lt;20190630",$K$4:$K$200,"&lt;=30"))</f>
        <v>-</v>
      </c>
      <c r="AY72" s="19">
        <f>[1]!f_risk_calmar(A72,$AM$2,$L$2)</f>
        <v>2.8269569777525612</v>
      </c>
      <c r="AZ72" s="19" t="str">
        <f>IFERROR(RANK(AY72,AY:AY)&amp;"/"&amp;COUNT(AY:AY),"-")</f>
        <v>59/197</v>
      </c>
      <c r="BA72" s="26">
        <f>IFERROR(RANK(AY72,AY:AY)/COUNT(AY:AY),"-")</f>
        <v>0.29949238578680204</v>
      </c>
      <c r="BB72" s="34" t="str">
        <f>IF(OR($C72&gt;20190630,$K72&gt;30,AY72="-",$D72="是",$E72="封闭期",$H72&lt;10,$BN72&lt;-6,$BR72&lt;70),"-",COUNTIFS(AY$4:AY$200,"&lt;&gt;-",$D$4:$D$200,"&lt;&gt;是",$E$4:$E$200,"&lt;&gt;封闭期",$H$4:$H$200,"&gt;10",$BN$4:$BN$200,"&gt;-6",$BR$4:$BR$200,"&gt;=70",$K$4:$K$200,"&lt;=30",$C$4:$C$200,"&lt;20190630",AY$4:AY$200,"&gt;="&amp;AY72)&amp;"/"&amp;COUNTIFS(AY$4:AY$200,"&lt;&gt;-",$D$4:$D$200,"&lt;&gt;是",$E$4:$E$200,"&lt;&gt;封闭期",$H$4:$H$200,"&gt;10",$BN$4:$BN$200,"&gt;-6",$BR$4:$BR$200,"&gt;=70",$C$4:$C$200,"&lt;20190630",$K$4:$K$200,"&lt;=30"))</f>
        <v>-</v>
      </c>
      <c r="BC72" s="33" t="str">
        <f>IF(OR($C72&gt;20190630,$K72&gt;30,AY72="-",$D72="是",$E72="封闭期",$H72&lt;10,$BN72&lt;-6,$BR72&lt;70),"-",COUNTIFS(AY$4:AY$200,"&lt;&gt;-",$D$4:$D$200,"&lt;&gt;是",$E$4:$E$200,"&lt;&gt;封闭期",$H$4:$H$200,"&gt;10",$BN$4:$BN$200,"&gt;-6",$BR$4:$BR$200,"&gt;=70",$K$4:$K$200,"&lt;=30",$C$4:$C$200,"&lt;20190630",AY$4:AY$200,"&gt;="&amp;AY72)/COUNTIFS(AY$4:AY$200,"&lt;&gt;-",$D$4:$D$200,"&lt;&gt;是",$E$4:$E$200,"&lt;&gt;封闭期",$H$4:$H$200,"&gt;10",$BN$4:$BN$200,"&gt;-6",$BR$4:$BR$200,"&gt;=70",$C$4:$C$200,"&lt;20190630",$K$4:$K$200,"&lt;=30"))</f>
        <v>-</v>
      </c>
      <c r="BD72" s="20">
        <v>1</v>
      </c>
      <c r="BE72" s="19" t="str">
        <f>IFERROR(RANK(BD72,BD:BD)&amp;"/"&amp;COUNT(BD:BD),"-")</f>
        <v>1/197</v>
      </c>
      <c r="BF72" s="26">
        <f>IFERROR(RANK(BD72,BD:BD)/COUNT(BD:BD),"-")</f>
        <v>5.076142131979695E-3</v>
      </c>
      <c r="BG72" s="34" t="str">
        <f>IF(OR($C72&gt;20190630,$K72&gt;30,BD72="-",$D72="是",$E72="封闭期",$H72&lt;10,$BN72&lt;-6,$BR72&lt;70),"-",COUNTIFS(BD$4:BD$200,"&lt;&gt;-",$D$4:$D$200,"&lt;&gt;是",$E$4:$E$200,"&lt;&gt;封闭期",$H$4:$H$200,"&gt;10",$BN$4:$BN$200,"&gt;-6",$BR$4:$BR$200,"&gt;=70",$K$4:$K$200,"&lt;=30",$C$4:$C$200,"&lt;20190630",BD$4:BD$200,"&gt;="&amp;BD72)&amp;"/"&amp;COUNTIFS(BD$4:BD$200,"&lt;&gt;-",$D$4:$D$200,"&lt;&gt;是",$E$4:$E$200,"&lt;&gt;封闭期",$H$4:$H$200,"&gt;10",$BN$4:$BN$200,"&gt;-6",$BR$4:$BR$200,"&gt;=70",$C$4:$C$200,"&lt;20190630",$K$4:$K$200,"&lt;=30"))</f>
        <v>-</v>
      </c>
      <c r="BH72" s="33" t="str">
        <f>IF(OR($C72&gt;20190630,$K72&gt;30,BD72="-",$D72="是",$E72="封闭期",$H72&lt;10,$BN72&lt;-6,$BR72&lt;70),"-",COUNTIFS(BD$4:BD$200,"&lt;&gt;-",$D$4:$D$200,"&lt;&gt;是",$E$4:$E$200,"&lt;&gt;封闭期",$H$4:$H$200,"&gt;10",$BN$4:$BN$200,"&gt;-6",$BR$4:$BR$200,"&gt;=70",$K$4:$K$200,"&lt;=30",$C$4:$C$200,"&lt;20190630",BD$4:BD$200,"&gt;="&amp;BD72)/COUNTIFS(BD$4:BD$200,"&lt;&gt;-",$D$4:$D$200,"&lt;&gt;是",$E$4:$E$200,"&lt;&gt;封闭期",$H$4:$H$200,"&gt;10",$BN$4:$BN$200,"&gt;-6",$BR$4:$BR$200,"&gt;=70",$C$4:$C$200,"&lt;20190630",$K$4:$K$200,"&lt;=30"))</f>
        <v>-</v>
      </c>
      <c r="BI72" s="21">
        <f>[1]!f_risk_maxdownside(A72,$AM$2,$L$2)</f>
        <v>-3.1317031317031301</v>
      </c>
      <c r="BJ72" s="19" t="str">
        <f>IFERROR(RANK(BI72,BI:BI)&amp;"/"&amp;COUNT(BI:BI),"-")</f>
        <v>94/197</v>
      </c>
      <c r="BK72" s="26">
        <f>IFERROR(RANK(BI72,BI:BI)/COUNT(BI:BI),"-")</f>
        <v>0.47715736040609136</v>
      </c>
      <c r="BL72" s="34" t="str">
        <f>IF(OR($C72&gt;20190630,$K72&gt;30,BI72="-",$D72="是",$E72="封闭期",$H72&lt;10,$BN72&lt;-6,$BR72&lt;70),"-",COUNTIFS(BI$4:BI$200,"&lt;&gt;-",$D$4:$D$200,"&lt;&gt;是",$E$4:$E$200,"&lt;&gt;封闭期",$H$4:$H$200,"&gt;10",$BN$4:$BN$200,"&gt;-6",$BR$4:$BR$200,"&gt;=70",$K$4:$K$200,"&lt;=30",$C$4:$C$200,"&lt;20190630",BI$4:BI$200,"&gt;="&amp;BI72)&amp;"/"&amp;COUNTIFS(BI$4:BI$200,"&lt;&gt;-",$D$4:$D$200,"&lt;&gt;是",$E$4:$E$200,"&lt;&gt;封闭期",$H$4:$H$200,"&gt;10",$BN$4:$BN$200,"&gt;-6",$BR$4:$BR$200,"&gt;=70",$C$4:$C$200,"&lt;20190630",$K$4:$K$200,"&lt;=30"))</f>
        <v>-</v>
      </c>
      <c r="BM72" s="33" t="str">
        <f>IF(OR($C72&gt;20190630,$K72&gt;30,BI72="-",$D72="是",$E72="封闭期",$H72&lt;10,$BN72&lt;-6,$BR72&lt;70),"-",COUNTIFS(BI$4:BI$200,"&lt;&gt;-",$D$4:$D$200,"&lt;&gt;是",$E$4:$E$200,"&lt;&gt;封闭期",$H$4:$H$200,"&gt;10",$BN$4:$BN$200,"&gt;-6",$BR$4:$BR$200,"&gt;=70",$K$4:$K$200,"&lt;=30",$C$4:$C$200,"&lt;20190630",BI$4:BI$200,"&gt;="&amp;BI72)/COUNTIFS(BI$4:BI$200,"&lt;&gt;-",$D$4:$D$200,"&lt;&gt;是",$E$4:$E$200,"&lt;&gt;封闭期",$H$4:$H$200,"&gt;10",$BN$4:$BN$200,"&gt;-6",$BR$4:$BR$200,"&gt;=70",$C$4:$C$200,"&lt;20190630",$K$4:$K$200,"&lt;=30"))</f>
        <v>-</v>
      </c>
      <c r="BN72" s="21">
        <f>[1]!f_risk_maxdownside(A72,$AM$2,$E$1)</f>
        <v>-5.2412384095552396</v>
      </c>
      <c r="BO72" s="21">
        <f>IF(C72&lt;20190930,[1]!f_return_2y(A72,"0","20210930"),"-")</f>
        <v>17.428026518935607</v>
      </c>
      <c r="BP72" s="19" t="str">
        <f>IFERROR(RANK(BO72,BO:BO)&amp;"/"&amp;COUNT(BO:BO),"-")</f>
        <v>58/197</v>
      </c>
      <c r="BQ72" s="25">
        <f>IFERROR(RANK(BO72,BO:BO)/COUNT(BO:BO),"-")</f>
        <v>0.29441624365482233</v>
      </c>
      <c r="BR72" s="19">
        <f>IF(C72&lt;20190930,[1]!f_absolute_profitmonthper(A72,"20190930","20210930"),"-")</f>
        <v>75</v>
      </c>
      <c r="BS72" s="19" t="str">
        <f>IFERROR(RANK(BR72,BR:BR)&amp;"/"&amp;COUNT(BR:BR),"-")</f>
        <v>26/198</v>
      </c>
      <c r="BT72" s="25">
        <f>IFERROR(RANK(BR72,BR:BR)/COUNT(BR:BR),"-")</f>
        <v>0.13131313131313133</v>
      </c>
      <c r="BV72" s="12">
        <f>X72-3/M72</f>
        <v>0.98024899163099877</v>
      </c>
      <c r="BW72" s="76">
        <f>IFERROR(RANK(BV72,BV:BV)/COUNT(BV:BV),"-")</f>
        <v>0.6091370558375635</v>
      </c>
      <c r="BX72" s="76">
        <f>IFERROR(RANK(L72,L:L)/COUNT(L:L),"-")</f>
        <v>0.29292929292929293</v>
      </c>
      <c r="BY72" s="12">
        <f>AY72-3/AN72</f>
        <v>2.2464783759285787</v>
      </c>
      <c r="BZ72" s="76">
        <f>IFERROR(RANK(BY72,BY:BY)/COUNT(BY:BY),"-")</f>
        <v>0.23857868020304568</v>
      </c>
      <c r="CA72" s="76">
        <f>IFERROR(RANK(AM72,AM:AM)/COUNT(AM:AM),"-")</f>
        <v>0.35353535353535354</v>
      </c>
      <c r="CB72" s="2"/>
      <c r="CC72" s="77">
        <f>AV72+BF72+BZ72+CA72</f>
        <v>0.91698713018509981</v>
      </c>
      <c r="CD72" s="77">
        <f>BW72+BX72+AE72+U72</f>
        <v>1.3690714249089884</v>
      </c>
      <c r="CE72" s="77">
        <f>CC72+CD72</f>
        <v>2.2860585550940882</v>
      </c>
    </row>
    <row r="73" spans="1:83" s="17" customFormat="1" hidden="1" x14ac:dyDescent="0.35">
      <c r="A73" s="15" t="s">
        <v>107</v>
      </c>
      <c r="B73" s="15" t="s">
        <v>108</v>
      </c>
      <c r="C73" s="16">
        <v>20120222</v>
      </c>
      <c r="D73" s="16" t="str">
        <f>[1]!f_info_regulopenfundornot(A73)</f>
        <v>否</v>
      </c>
      <c r="E73" s="16" t="str">
        <f>[1]!f_dq_status(A73,$E$1)</f>
        <v>开放申购|开放赎回</v>
      </c>
      <c r="F73" s="17" t="str">
        <f>[1]!f_info_fundmanager(A73)</f>
        <v>王欢,李德清</v>
      </c>
      <c r="G73" s="16">
        <v>20171229</v>
      </c>
      <c r="H73" s="18">
        <f>[1]!f_netasset_total(A73,$E$1,100000000)</f>
        <v>0.51051016890000001</v>
      </c>
      <c r="I73" s="18">
        <f>[1]!f_prt_convertiblebondtonav(A73,$E$1)</f>
        <v>6.8621015548706055</v>
      </c>
      <c r="J73" s="18">
        <f>[1]!f_prt_stocktonav(A73,$E$1)+0.5*I73</f>
        <v>12.253115177154541</v>
      </c>
      <c r="K73" s="19">
        <v>0</v>
      </c>
      <c r="L73" s="19">
        <f>[1]!f_return($A73,"1",L$2,$E$1)</f>
        <v>3.1015525751427298</v>
      </c>
      <c r="M73" s="19">
        <f>[1]!f_risk_stdevyearly($A73,L$2,$E$1,1,1)</f>
        <v>3.8213632568367988</v>
      </c>
      <c r="N73" s="19">
        <f>IFERROR(L73/M73,"-")</f>
        <v>0.81163510681528217</v>
      </c>
      <c r="O73" s="19" t="str">
        <f>IFERROR(RANK(N73,N:N)&amp;"/"&amp;COUNT(N:N),"-")</f>
        <v>154/197</v>
      </c>
      <c r="P73" s="26">
        <f>IF(O73="-","-",RANK(N73,N:N)/COUNT(N:N))</f>
        <v>0.78172588832487311</v>
      </c>
      <c r="Q73" s="56">
        <v>0.82741116751269039</v>
      </c>
      <c r="R73" s="33" t="str">
        <f>IF(OR($C73&gt;20190630,$K73&gt;30,N73="-",$D73="是",$E73="封闭期",$H73&lt;10,$BN73&lt;-6,$BR73&lt;70),"-",COUNTIFS(N$4:N$200,"&lt;&gt;-",$D$4:$D$200,"&lt;&gt;是",$E$4:$E$200,"&lt;&gt;封闭期",$H$4:$H$200,"&gt;10",$BN$4:$BN$200,"&gt;-6",$BR$4:$BR$200,"&gt;=70",$K$4:$K$200,"&lt;=30",$C$4:$C$200,"&lt;20190630",N$4:N$200,"&gt;="&amp;N73)/COUNTIFS(N$4:N$200,"&lt;&gt;-",$D$4:$D$200,"&lt;&gt;是",$E$4:$E$200,"&lt;&gt;封闭期",$H$4:$H$200,"&gt;10",$BN$4:$BN$200,"&gt;-6",$BR$4:$BR$200,"&gt;=70",$C$4:$C$200,"&lt;20190630",$K$4:$K$200,"&lt;=30"))</f>
        <v>-</v>
      </c>
      <c r="S73" s="19">
        <f>IFERROR((L73-3)/M73,"-")</f>
        <v>2.6574959855240693E-2</v>
      </c>
      <c r="T73" s="19" t="str">
        <f>IFERROR(RANK(S73,S:S)&amp;"/"&amp;COUNT(S:S),"-")</f>
        <v>163/197</v>
      </c>
      <c r="U73" s="26">
        <f>IFERROR(RANK(S73,S:S)/COUNT(S:S),"-")</f>
        <v>0.82741116751269039</v>
      </c>
      <c r="V73" s="34" t="str">
        <f>IF(OR($C73&gt;20190630,$K73&gt;30,S73="-",$D73="是",$E73="封闭期",$H73&lt;10,$BN73&lt;-6,$BR73&lt;70),"-",COUNTIFS(S$4:S$200,"&lt;&gt;-",$D$4:$D$200,"&lt;&gt;是",$E$4:$E$200,"&lt;&gt;封闭期",$H$4:$H$200,"&gt;10",$BN$4:$BN$200,"&gt;-6",$BR$4:$BR$200,"&gt;=70",$K$4:$K$200,"&lt;=30",$C$4:$C$200,"&lt;20190630",S$4:S$200,"&gt;="&amp;S73)&amp;"/"&amp;COUNTIFS(S$4:S$200,"&lt;&gt;-",$D$4:$D$200,"&lt;&gt;是",$E$4:$E$200,"&lt;&gt;封闭期",$H$4:$H$200,"&gt;10",$BN$4:$BN$200,"&gt;-6",$BR$4:$BR$200,"&gt;=70",$C$4:$C$200,"&lt;20190630",$K$4:$K$200,"&lt;=30"))</f>
        <v>-</v>
      </c>
      <c r="W73" s="33" t="str">
        <f>IF(OR($C73&gt;20190630,$K73&gt;30,S73="-",$D73="是",$E73="封闭期",$H73&lt;10,$BN73&lt;-6,$BR73&lt;70),"-",COUNTIFS(S$4:S$200,"&lt;&gt;-",$D$4:$D$200,"&lt;&gt;是",$E$4:$E$200,"&lt;&gt;封闭期",$H$4:$H$200,"&gt;10",$BN$4:$BN$200,"&gt;-6",$BR$4:$BR$200,"&gt;=70",$K$4:$K$200,"&lt;=30",$C$4:$C$200,"&lt;20190630",S$4:S$200,"&gt;="&amp;S73)/COUNTIFS(S$4:S$200,"&lt;&gt;-",$D$4:$D$200,"&lt;&gt;是",$E$4:$E$200,"&lt;&gt;封闭期",$H$4:$H$200,"&gt;10",$BN$4:$BN$200,"&gt;-6",$BR$4:$BR$200,"&gt;=70",$C$4:$C$200,"&lt;20190630",$K$4:$K$200,"&lt;=30"))</f>
        <v>-</v>
      </c>
      <c r="X73" s="19">
        <f>[1]!f_risk_calmar(A73,$L$2,$E$1)</f>
        <v>0.9970917167495843</v>
      </c>
      <c r="Y73" s="19" t="str">
        <f>IFERROR(RANK(X73,X:X)&amp;"/"&amp;COUNT(X:X),"-")</f>
        <v>158/197</v>
      </c>
      <c r="Z73" s="26">
        <f>IFERROR(RANK(X73,X:X)/COUNT(X:X),"-")</f>
        <v>0.80203045685279184</v>
      </c>
      <c r="AA73" s="34" t="str">
        <f>IF(OR($C73&gt;20190630,$K73&gt;30,X73="-",$D73="是",$E73="封闭期",$H73&lt;10,$BN73&lt;-6,$BR73&lt;70),"-",COUNTIFS(X$4:X$200,"&lt;&gt;-",$D$4:$D$200,"&lt;&gt;是",$E$4:$E$200,"&lt;&gt;封闭期",$H$4:$H$200,"&gt;10",$BN$4:$BN$200,"&gt;-6",$BR$4:$BR$200,"&gt;=70",$K$4:$K$200,"&lt;=30",$C$4:$C$200,"&lt;20190630",X$4:X$200,"&gt;="&amp;X73)&amp;"/"&amp;COUNTIFS(X$4:X$200,"&lt;&gt;-",$D$4:$D$200,"&lt;&gt;是",$E$4:$E$200,"&lt;&gt;封闭期",$H$4:$H$200,"&gt;10",$BN$4:$BN$200,"&gt;-6",$BR$4:$BR$200,"&gt;=70",$C$4:$C$200,"&lt;20190630",$K$4:$K$200,"&lt;=30"))</f>
        <v>-</v>
      </c>
      <c r="AB73" s="33" t="str">
        <f>IF(OR($C73&gt;20190630,$K73&gt;30,X73="-",$D73="是",$E73="封闭期",$H73&lt;10,$BN73&lt;-6,$BR73&lt;70),"-",COUNTIFS(X$4:X$200,"&lt;&gt;-",$D$4:$D$200,"&lt;&gt;是",$E$4:$E$200,"&lt;&gt;封闭期",$H$4:$H$200,"&gt;10",$BN$4:$BN$200,"&gt;-6",$BR$4:$BR$200,"&gt;=70",$K$4:$K$200,"&lt;=30",$C$4:$C$200,"&lt;20190630",X$4:X$200,"&gt;="&amp;X73)/COUNTIFS(X$4:X$200,"&lt;&gt;-",$D$4:$D$200,"&lt;&gt;是",$E$4:$E$200,"&lt;&gt;封闭期",$H$4:$H$200,"&gt;10",$BN$4:$BN$200,"&gt;-6",$BR$4:$BR$200,"&gt;=70",$C$4:$C$200,"&lt;20190630",$K$4:$K$200,"&lt;=30"))</f>
        <v>-</v>
      </c>
      <c r="AC73" s="20">
        <v>0.80672268907563027</v>
      </c>
      <c r="AD73" s="19" t="str">
        <f>IFERROR(RANK(AC73,AC:AC)&amp;"/"&amp;COUNT(AC:AC),"-")</f>
        <v>148/197</v>
      </c>
      <c r="AE73" s="26">
        <f>IFERROR(RANK(AC73,AC:AC)/COUNT(AC:AC),"-")</f>
        <v>0.75126903553299496</v>
      </c>
      <c r="AF73" s="34" t="str">
        <f>IF(OR($C73&gt;20190630,$K73&gt;30,AC73="-",$D73="是",$E73="封闭期",$H73&lt;10,$BN73&lt;-6,$BR73&lt;70),"-",COUNTIFS(AC$4:AC$200,"&lt;&gt;-",$D$4:$D$200,"&lt;&gt;是",$E$4:$E$200,"&lt;&gt;封闭期",$H$4:$H$200,"&gt;10",$BN$4:$BN$200,"&gt;-6",$BR$4:$BR$200,"&gt;=70",$K$4:$K$200,"&lt;=30",$C$4:$C$200,"&lt;20190630",AC$4:AC$200,"&gt;="&amp;AC73)&amp;"/"&amp;COUNTIFS(AC$4:AC$200,"&lt;&gt;-",$D$4:$D$200,"&lt;&gt;是",$E$4:$E$200,"&lt;&gt;封闭期",$H$4:$H$200,"&gt;10",$BN$4:$BN$200,"&gt;-6",$BR$4:$BR$200,"&gt;=70",$C$4:$C$200,"&lt;20190630",$K$4:$K$200,"&lt;=30"))</f>
        <v>-</v>
      </c>
      <c r="AG73" s="33" t="str">
        <f>IF(OR($C73&gt;20190630,$K73&gt;30,AC73="-",$D73="是",$E73="封闭期",$H73&lt;10,$BN73&lt;-6,$BR73&lt;70),"-",COUNTIFS(AC$4:AC$200,"&lt;&gt;-",$D$4:$D$200,"&lt;&gt;是",$E$4:$E$200,"&lt;&gt;封闭期",$H$4:$H$200,"&gt;10",$BN$4:$BN$200,"&gt;-6",$BR$4:$BR$200,"&gt;=70",$K$4:$K$200,"&lt;=30",$C$4:$C$200,"&lt;20190630",AC$4:AC$200,"&gt;="&amp;AC73)/COUNTIFS(AC$4:AC$200,"&lt;&gt;-",$D$4:$D$200,"&lt;&gt;是",$E$4:$E$200,"&lt;&gt;封闭期",$H$4:$H$200,"&gt;10",$BN$4:$BN$200,"&gt;-6",$BR$4:$BR$200,"&gt;=70",$C$4:$C$200,"&lt;20190630",$K$4:$K$200,"&lt;=30"))</f>
        <v>-</v>
      </c>
      <c r="AH73" s="21">
        <f>[1]!f_risk_maxdownside(A73,$L$2,$E$1)</f>
        <v>-3.1105990783410276</v>
      </c>
      <c r="AI73" s="19" t="str">
        <f>IFERROR(RANK(AH73,AH:AH)&amp;"/"&amp;COUNT(AH:AH),"-")</f>
        <v>97/197</v>
      </c>
      <c r="AJ73" s="26">
        <f>IFERROR(RANK(AH73,AH:AH)/COUNT(AH:AH),"-")</f>
        <v>0.49238578680203043</v>
      </c>
      <c r="AK73" s="34" t="str">
        <f>IF(OR($C73&gt;20190630,$K73&gt;30,AH73="-",$D73="是",$E73="封闭期",$H73&lt;10,$BN73&lt;-6,$BR73&lt;70),"-",COUNTIFS(AH$4:AH$200,"&lt;&gt;-",$D$4:$D$200,"&lt;&gt;是",$E$4:$E$200,"&lt;&gt;封闭期",$H$4:$H$200,"&gt;10",$BN$4:$BN$200,"&gt;-6",$BR$4:$BR$200,"&gt;=70",$K$4:$K$200,"&lt;=30",$C$4:$C$200,"&lt;20190630",AH$4:AH$200,"&gt;="&amp;AH73)&amp;"/"&amp;COUNTIFS(AH$4:AH$200,"&lt;&gt;-",$D$4:$D$200,"&lt;&gt;是",$E$4:$E$200,"&lt;&gt;封闭期",$H$4:$H$200,"&gt;10",$BN$4:$BN$200,"&gt;-6",$BR$4:$BR$200,"&gt;=70",$C$4:$C$200,"&lt;20190630",$K$4:$K$200,"&lt;=30"))</f>
        <v>-</v>
      </c>
      <c r="AL73" s="33" t="str">
        <f>IF(OR($C73&gt;20190630,$K73&gt;30,AH73="-",$D73="是",$E73="封闭期",$H73&lt;10,$BN73&lt;-6,$BR73&lt;70),"-",COUNTIFS(AH$4:AH$200,"&lt;&gt;-",$D$4:$D$200,"&lt;&gt;是",$E$4:$E$200,"&lt;&gt;封闭期",$H$4:$H$200,"&gt;10",$BN$4:$BN$200,"&gt;-6",$BR$4:$BR$200,"&gt;=70",$K$4:$K$200,"&lt;=30",$C$4:$C$200,"&lt;20190630",AH$4:AH$200,"&gt;="&amp;AH73)/COUNTIFS(AH$4:AH$200,"&lt;&gt;-",$D$4:$D$200,"&lt;&gt;是",$E$4:$E$200,"&lt;&gt;封闭期",$H$4:$H$200,"&gt;10",$BN$4:$BN$200,"&gt;-6",$BR$4:$BR$200,"&gt;=70",$C$4:$C$200,"&lt;20190630",$K$4:$K$200,"&lt;=30"))</f>
        <v>-</v>
      </c>
      <c r="AM73" s="19">
        <f>[1]!f_return($A73,"1",AM$2,$L$2)</f>
        <v>8.819095671764309</v>
      </c>
      <c r="AN73" s="19">
        <f>[1]!f_risk_stdevyearly($A73,AM$2,$L$2,1,1)</f>
        <v>5.2694399790675099</v>
      </c>
      <c r="AO73" s="19">
        <f>IFERROR(AM73/AN73,"-")</f>
        <v>1.6736305388803294</v>
      </c>
      <c r="AP73" s="19" t="str">
        <f>IFERROR(RANK(AO73,AO:AO)&amp;"/"&amp;COUNT(AO:AO),"-")</f>
        <v>90/197</v>
      </c>
      <c r="AQ73" s="26">
        <f>IF(AP73="-","-",RANK(AO73,AO:AO)/COUNT(AO:AO))</f>
        <v>0.45685279187817257</v>
      </c>
      <c r="AR73" s="57">
        <v>0.35532994923857869</v>
      </c>
      <c r="AS73" s="33" t="str">
        <f>IF(OR($C73&gt;20190630,$K73&gt;30,AO73="-",$D73="是",$E73="封闭期",$H73&lt;10,$BN73&lt;-6,$BR73&lt;70),"-",COUNTIFS(AO$4:AO$200,"&lt;&gt;-",$D$4:$D$200,"&lt;&gt;是",$E$4:$E$200,"&lt;&gt;封闭期",$H$4:$H$200,"&gt;10",$BN$4:$BN$200,"&gt;-6",$BR$4:$BR$200,"&gt;=70",$K$4:$K$200,"&lt;=30",$C$4:$C$200,"&lt;20190630",AO$4:AO$200,"&gt;="&amp;AO73)/COUNTIFS(AO$4:AO$200,"&lt;&gt;-",$D$4:$D$200,"&lt;&gt;是",$E$4:$E$200,"&lt;&gt;封闭期",$H$4:$H$200,"&gt;10",$BN$4:$BN$200,"&gt;-6",$BR$4:$BR$200,"&gt;=70",$C$4:$C$200,"&lt;20190630",$K$4:$K$200,"&lt;=30"))</f>
        <v>-</v>
      </c>
      <c r="AT73" s="19">
        <f>IFERROR((AM73-3)/AN73,"-")</f>
        <v>1.1043100775187247</v>
      </c>
      <c r="AU73" s="19" t="str">
        <f>IFERROR(RANK(AT73,AT:AT)&amp;"/"&amp;COUNT(AT:AT),"-")</f>
        <v>73/197</v>
      </c>
      <c r="AV73" s="26">
        <f>IFERROR(RANK(AT73,AT:AT)/COUNT(AT:AT),"-")</f>
        <v>0.37055837563451777</v>
      </c>
      <c r="AW73" s="34" t="str">
        <f>IF(OR($C73&gt;20190630,$K73&gt;30,AT73="-",$D73="是",$E73="封闭期",$H73&lt;10,$BN73&lt;-6,$BR73&lt;70),"-",COUNTIFS(AT$4:AT$200,"&lt;&gt;-",$D$4:$D$200,"&lt;&gt;是",$E$4:$E$200,"&lt;&gt;封闭期",$H$4:$H$200,"&gt;10",$BN$4:$BN$200,"&gt;-6",$BR$4:$BR$200,"&gt;=70",$K$4:$K$200,"&lt;=30",$C$4:$C$200,"&lt;20190630",AT$4:AT$200,"&gt;="&amp;AT73)&amp;"/"&amp;COUNTIFS(AT$4:AT$200,"&lt;&gt;-",$D$4:$D$200,"&lt;&gt;是",$E$4:$E$200,"&lt;&gt;封闭期",$H$4:$H$200,"&gt;10",$BN$4:$BN$200,"&gt;-6",$BR$4:$BR$200,"&gt;=70",$C$4:$C$200,"&lt;20190630",$K$4:$K$200,"&lt;=30"))</f>
        <v>-</v>
      </c>
      <c r="AX73" s="33" t="str">
        <f>IF(OR($C73&gt;20190630,$K73&gt;30,AT73="-",$D73="是",$E73="封闭期",$H73&lt;10,$BN73&lt;-6,$BR73&lt;70),"-",COUNTIFS(AT$4:AT$200,"&lt;&gt;-",$D$4:$D$200,"&lt;&gt;是",$E$4:$E$200,"&lt;&gt;封闭期",$H$4:$H$200,"&gt;10",$BN$4:$BN$200,"&gt;-6",$BR$4:$BR$200,"&gt;=70",$K$4:$K$200,"&lt;=30",$C$4:$C$200,"&lt;20190630",AT$4:AT$200,"&gt;="&amp;AT73)/COUNTIFS(AT$4:AT$200,"&lt;&gt;-",$D$4:$D$200,"&lt;&gt;是",$E$4:$E$200,"&lt;&gt;封闭期",$H$4:$H$200,"&gt;10",$BN$4:$BN$200,"&gt;-6",$BR$4:$BR$200,"&gt;=70",$C$4:$C$200,"&lt;20190630",$K$4:$K$200,"&lt;=30"))</f>
        <v>-</v>
      </c>
      <c r="AY73" s="19">
        <f>[1]!f_risk_calmar(A73,$AM$2,$L$2)</f>
        <v>2.6782545741801091</v>
      </c>
      <c r="AZ73" s="19" t="str">
        <f>IFERROR(RANK(AY73,AY:AY)&amp;"/"&amp;COUNT(AY:AY),"-")</f>
        <v>70/197</v>
      </c>
      <c r="BA73" s="26">
        <f>IFERROR(RANK(AY73,AY:AY)/COUNT(AY:AY),"-")</f>
        <v>0.35532994923857869</v>
      </c>
      <c r="BB73" s="34" t="str">
        <f>IF(OR($C73&gt;20190630,$K73&gt;30,AY73="-",$D73="是",$E73="封闭期",$H73&lt;10,$BN73&lt;-6,$BR73&lt;70),"-",COUNTIFS(AY$4:AY$200,"&lt;&gt;-",$D$4:$D$200,"&lt;&gt;是",$E$4:$E$200,"&lt;&gt;封闭期",$H$4:$H$200,"&gt;10",$BN$4:$BN$200,"&gt;-6",$BR$4:$BR$200,"&gt;=70",$K$4:$K$200,"&lt;=30",$C$4:$C$200,"&lt;20190630",AY$4:AY$200,"&gt;="&amp;AY73)&amp;"/"&amp;COUNTIFS(AY$4:AY$200,"&lt;&gt;-",$D$4:$D$200,"&lt;&gt;是",$E$4:$E$200,"&lt;&gt;封闭期",$H$4:$H$200,"&gt;10",$BN$4:$BN$200,"&gt;-6",$BR$4:$BR$200,"&gt;=70",$C$4:$C$200,"&lt;20190630",$K$4:$K$200,"&lt;=30"))</f>
        <v>-</v>
      </c>
      <c r="BC73" s="33" t="str">
        <f>IF(OR($C73&gt;20190630,$K73&gt;30,AY73="-",$D73="是",$E73="封闭期",$H73&lt;10,$BN73&lt;-6,$BR73&lt;70),"-",COUNTIFS(AY$4:AY$200,"&lt;&gt;-",$D$4:$D$200,"&lt;&gt;是",$E$4:$E$200,"&lt;&gt;封闭期",$H$4:$H$200,"&gt;10",$BN$4:$BN$200,"&gt;-6",$BR$4:$BR$200,"&gt;=70",$K$4:$K$200,"&lt;=30",$C$4:$C$200,"&lt;20190630",AY$4:AY$200,"&gt;="&amp;AY73)/COUNTIFS(AY$4:AY$200,"&lt;&gt;-",$D$4:$D$200,"&lt;&gt;是",$E$4:$E$200,"&lt;&gt;封闭期",$H$4:$H$200,"&gt;10",$BN$4:$BN$200,"&gt;-6",$BR$4:$BR$200,"&gt;=70",$C$4:$C$200,"&lt;20190630",$K$4:$K$200,"&lt;=30"))</f>
        <v>-</v>
      </c>
      <c r="BD73" s="20">
        <v>1</v>
      </c>
      <c r="BE73" s="19" t="str">
        <f>IFERROR(RANK(BD73,BD:BD)&amp;"/"&amp;COUNT(BD:BD),"-")</f>
        <v>1/197</v>
      </c>
      <c r="BF73" s="26">
        <f>IFERROR(RANK(BD73,BD:BD)/COUNT(BD:BD),"-")</f>
        <v>5.076142131979695E-3</v>
      </c>
      <c r="BG73" s="34" t="str">
        <f>IF(OR($C73&gt;20190630,$K73&gt;30,BD73="-",$D73="是",$E73="封闭期",$H73&lt;10,$BN73&lt;-6,$BR73&lt;70),"-",COUNTIFS(BD$4:BD$200,"&lt;&gt;-",$D$4:$D$200,"&lt;&gt;是",$E$4:$E$200,"&lt;&gt;封闭期",$H$4:$H$200,"&gt;10",$BN$4:$BN$200,"&gt;-6",$BR$4:$BR$200,"&gt;=70",$K$4:$K$200,"&lt;=30",$C$4:$C$200,"&lt;20190630",BD$4:BD$200,"&gt;="&amp;BD73)&amp;"/"&amp;COUNTIFS(BD$4:BD$200,"&lt;&gt;-",$D$4:$D$200,"&lt;&gt;是",$E$4:$E$200,"&lt;&gt;封闭期",$H$4:$H$200,"&gt;10",$BN$4:$BN$200,"&gt;-6",$BR$4:$BR$200,"&gt;=70",$C$4:$C$200,"&lt;20190630",$K$4:$K$200,"&lt;=30"))</f>
        <v>-</v>
      </c>
      <c r="BH73" s="33" t="str">
        <f>IF(OR($C73&gt;20190630,$K73&gt;30,BD73="-",$D73="是",$E73="封闭期",$H73&lt;10,$BN73&lt;-6,$BR73&lt;70),"-",COUNTIFS(BD$4:BD$200,"&lt;&gt;-",$D$4:$D$200,"&lt;&gt;是",$E$4:$E$200,"&lt;&gt;封闭期",$H$4:$H$200,"&gt;10",$BN$4:$BN$200,"&gt;-6",$BR$4:$BR$200,"&gt;=70",$K$4:$K$200,"&lt;=30",$C$4:$C$200,"&lt;20190630",BD$4:BD$200,"&gt;="&amp;BD73)/COUNTIFS(BD$4:BD$200,"&lt;&gt;-",$D$4:$D$200,"&lt;&gt;是",$E$4:$E$200,"&lt;&gt;封闭期",$H$4:$H$200,"&gt;10",$BN$4:$BN$200,"&gt;-6",$BR$4:$BR$200,"&gt;=70",$C$4:$C$200,"&lt;20190630",$K$4:$K$200,"&lt;=30"))</f>
        <v>-</v>
      </c>
      <c r="BI73" s="21">
        <f>[1]!f_risk_maxdownside(A73,$AM$2,$L$2)</f>
        <v>-3.2928519031705892</v>
      </c>
      <c r="BJ73" s="19" t="str">
        <f>IFERROR(RANK(BI73,BI:BI)&amp;"/"&amp;COUNT(BI:BI),"-")</f>
        <v>101/197</v>
      </c>
      <c r="BK73" s="26">
        <f>IFERROR(RANK(BI73,BI:BI)/COUNT(BI:BI),"-")</f>
        <v>0.51269035532994922</v>
      </c>
      <c r="BL73" s="34" t="str">
        <f>IF(OR($C73&gt;20190630,$K73&gt;30,BI73="-",$D73="是",$E73="封闭期",$H73&lt;10,$BN73&lt;-6,$BR73&lt;70),"-",COUNTIFS(BI$4:BI$200,"&lt;&gt;-",$D$4:$D$200,"&lt;&gt;是",$E$4:$E$200,"&lt;&gt;封闭期",$H$4:$H$200,"&gt;10",$BN$4:$BN$200,"&gt;-6",$BR$4:$BR$200,"&gt;=70",$K$4:$K$200,"&lt;=30",$C$4:$C$200,"&lt;20190630",BI$4:BI$200,"&gt;="&amp;BI73)&amp;"/"&amp;COUNTIFS(BI$4:BI$200,"&lt;&gt;-",$D$4:$D$200,"&lt;&gt;是",$E$4:$E$200,"&lt;&gt;封闭期",$H$4:$H$200,"&gt;10",$BN$4:$BN$200,"&gt;-6",$BR$4:$BR$200,"&gt;=70",$C$4:$C$200,"&lt;20190630",$K$4:$K$200,"&lt;=30"))</f>
        <v>-</v>
      </c>
      <c r="BM73" s="33" t="str">
        <f>IF(OR($C73&gt;20190630,$K73&gt;30,BI73="-",$D73="是",$E73="封闭期",$H73&lt;10,$BN73&lt;-6,$BR73&lt;70),"-",COUNTIFS(BI$4:BI$200,"&lt;&gt;-",$D$4:$D$200,"&lt;&gt;是",$E$4:$E$200,"&lt;&gt;封闭期",$H$4:$H$200,"&gt;10",$BN$4:$BN$200,"&gt;-6",$BR$4:$BR$200,"&gt;=70",$K$4:$K$200,"&lt;=30",$C$4:$C$200,"&lt;20190630",BI$4:BI$200,"&gt;="&amp;BI73)/COUNTIFS(BI$4:BI$200,"&lt;&gt;-",$D$4:$D$200,"&lt;&gt;是",$E$4:$E$200,"&lt;&gt;封闭期",$H$4:$H$200,"&gt;10",$BN$4:$BN$200,"&gt;-6",$BR$4:$BR$200,"&gt;=70",$C$4:$C$200,"&lt;20190630",$K$4:$K$200,"&lt;=30"))</f>
        <v>-</v>
      </c>
      <c r="BN73" s="21">
        <f>[1]!f_risk_maxdownside(A73,$AM$2,$E$1)</f>
        <v>-3.2928519031705892</v>
      </c>
      <c r="BO73" s="21">
        <f>IF(C73&lt;20190930,[1]!f_return_2y(A73,"0","20210930"),"-")</f>
        <v>12.035968973158807</v>
      </c>
      <c r="BP73" s="19" t="str">
        <f>IFERROR(RANK(BO73,BO:BO)&amp;"/"&amp;COUNT(BO:BO),"-")</f>
        <v>117/197</v>
      </c>
      <c r="BQ73" s="25">
        <f>IFERROR(RANK(BO73,BO:BO)/COUNT(BO:BO),"-")</f>
        <v>0.59390862944162437</v>
      </c>
      <c r="BR73" s="19">
        <f>IF(C73&lt;20190930,[1]!f_absolute_profitmonthper(A73,"20190930","20210930"),"-")</f>
        <v>62.5</v>
      </c>
      <c r="BS73" s="19" t="str">
        <f>IFERROR(RANK(BR73,BR:BR)&amp;"/"&amp;COUNT(BR:BR),"-")</f>
        <v>142/198</v>
      </c>
      <c r="BT73" s="25">
        <f>IFERROR(RANK(BR73,BR:BR)/COUNT(BR:BR),"-")</f>
        <v>0.71717171717171713</v>
      </c>
      <c r="BV73" s="12">
        <f>X73-3/M73</f>
        <v>0.21203156978954285</v>
      </c>
      <c r="BW73" s="76">
        <f>IFERROR(RANK(BV73,BV:BV)/COUNT(BV:BV),"-")</f>
        <v>0.82233502538071068</v>
      </c>
      <c r="BX73" s="76">
        <f>IFERROR(RANK(L73,L:L)/COUNT(L:L),"-")</f>
        <v>0.82828282828282829</v>
      </c>
      <c r="BY73" s="12">
        <f>AY73-3/AN73</f>
        <v>2.1089341128185044</v>
      </c>
      <c r="BZ73" s="76">
        <f>IFERROR(RANK(BY73,BY:BY)/COUNT(BY:BY),"-")</f>
        <v>0.30456852791878175</v>
      </c>
      <c r="CA73" s="76">
        <f>IFERROR(RANK(AM73,AM:AM)/COUNT(AM:AM),"-")</f>
        <v>0.35858585858585856</v>
      </c>
      <c r="CB73" s="2"/>
      <c r="CC73" s="77">
        <f>AV73+BF73+BZ73+CA73</f>
        <v>1.0387889042711378</v>
      </c>
      <c r="CD73" s="77">
        <f>BW73+BX73+AE73+U73</f>
        <v>3.2292980567092244</v>
      </c>
      <c r="CE73" s="77">
        <f>CC73+CD73</f>
        <v>4.2680869609803622</v>
      </c>
    </row>
    <row r="74" spans="1:83" s="17" customFormat="1" hidden="1" x14ac:dyDescent="0.35">
      <c r="A74" s="15" t="s">
        <v>395</v>
      </c>
      <c r="B74" s="15" t="s">
        <v>396</v>
      </c>
      <c r="C74" s="16">
        <v>20190411</v>
      </c>
      <c r="D74" s="16" t="str">
        <f>[1]!f_info_regulopenfundornot(A74)</f>
        <v>否</v>
      </c>
      <c r="E74" s="16" t="str">
        <f>[1]!f_dq_status(A74,$E$1)</f>
        <v>开放申购|开放赎回</v>
      </c>
      <c r="F74" s="17" t="str">
        <f>[1]!f_info_fundmanager(A74)</f>
        <v>姚秋,姚海明</v>
      </c>
      <c r="G74" s="16">
        <v>20190411</v>
      </c>
      <c r="H74" s="18">
        <f>[1]!f_netasset_total(A74,$E$1,100000000)</f>
        <v>0.38672936539999997</v>
      </c>
      <c r="I74" s="18">
        <f>[1]!f_prt_convertiblebondtonav(A74,$E$1)</f>
        <v>16.731220245361328</v>
      </c>
      <c r="J74" s="18">
        <f>[1]!f_prt_stocktonav(A74,$E$1)+0.5*I74</f>
        <v>22.140752792358398</v>
      </c>
      <c r="K74" s="19">
        <v>0</v>
      </c>
      <c r="L74" s="19">
        <f>[1]!f_return($A74,"1",L$2,$E$1)</f>
        <v>2.8350639341629957</v>
      </c>
      <c r="M74" s="19">
        <f>[1]!f_risk_stdevyearly($A74,L$2,$E$1,1,1)</f>
        <v>2.0894323701262407</v>
      </c>
      <c r="N74" s="19">
        <f>IFERROR(L74/M74,"-")</f>
        <v>1.3568584342319272</v>
      </c>
      <c r="O74" s="19" t="str">
        <f>IFERROR(RANK(N74,N:N)&amp;"/"&amp;COUNT(N:N),"-")</f>
        <v>104/197</v>
      </c>
      <c r="P74" s="26">
        <f>IF(O74="-","-",RANK(N74,N:N)/COUNT(N:N))</f>
        <v>0.52791878172588835</v>
      </c>
      <c r="Q74" s="56">
        <v>0.84263959390862941</v>
      </c>
      <c r="R74" s="33" t="str">
        <f>IF(OR($C74&gt;20190630,$K74&gt;30,N74="-",$D74="是",$E74="封闭期",$H74&lt;10,$BN74&lt;-6,$BR74&lt;70),"-",COUNTIFS(N$4:N$200,"&lt;&gt;-",$D$4:$D$200,"&lt;&gt;是",$E$4:$E$200,"&lt;&gt;封闭期",$H$4:$H$200,"&gt;10",$BN$4:$BN$200,"&gt;-6",$BR$4:$BR$200,"&gt;=70",$K$4:$K$200,"&lt;=30",$C$4:$C$200,"&lt;20190630",N$4:N$200,"&gt;="&amp;N74)/COUNTIFS(N$4:N$200,"&lt;&gt;-",$D$4:$D$200,"&lt;&gt;是",$E$4:$E$200,"&lt;&gt;封闭期",$H$4:$H$200,"&gt;10",$BN$4:$BN$200,"&gt;-6",$BR$4:$BR$200,"&gt;=70",$C$4:$C$200,"&lt;20190630",$K$4:$K$200,"&lt;=30"))</f>
        <v>-</v>
      </c>
      <c r="S74" s="19">
        <f>IFERROR((L74-3)/M74,"-")</f>
        <v>-7.8938216998638275E-2</v>
      </c>
      <c r="T74" s="19" t="str">
        <f>IFERROR(RANK(S74,S:S)&amp;"/"&amp;COUNT(S:S),"-")</f>
        <v>167/197</v>
      </c>
      <c r="U74" s="26">
        <f>IFERROR(RANK(S74,S:S)/COUNT(S:S),"-")</f>
        <v>0.84771573604060912</v>
      </c>
      <c r="V74" s="34" t="str">
        <f>IF(OR($C74&gt;20190630,$K74&gt;30,S74="-",$D74="是",$E74="封闭期",$H74&lt;10,$BN74&lt;-6,$BR74&lt;70),"-",COUNTIFS(S$4:S$200,"&lt;&gt;-",$D$4:$D$200,"&lt;&gt;是",$E$4:$E$200,"&lt;&gt;封闭期",$H$4:$H$200,"&gt;10",$BN$4:$BN$200,"&gt;-6",$BR$4:$BR$200,"&gt;=70",$K$4:$K$200,"&lt;=30",$C$4:$C$200,"&lt;20190630",S$4:S$200,"&gt;="&amp;S74)&amp;"/"&amp;COUNTIFS(S$4:S$200,"&lt;&gt;-",$D$4:$D$200,"&lt;&gt;是",$E$4:$E$200,"&lt;&gt;封闭期",$H$4:$H$200,"&gt;10",$BN$4:$BN$200,"&gt;-6",$BR$4:$BR$200,"&gt;=70",$C$4:$C$200,"&lt;20190630",$K$4:$K$200,"&lt;=30"))</f>
        <v>-</v>
      </c>
      <c r="W74" s="33" t="str">
        <f>IF(OR($C74&gt;20190630,$K74&gt;30,S74="-",$D74="是",$E74="封闭期",$H74&lt;10,$BN74&lt;-6,$BR74&lt;70),"-",COUNTIFS(S$4:S$200,"&lt;&gt;-",$D$4:$D$200,"&lt;&gt;是",$E$4:$E$200,"&lt;&gt;封闭期",$H$4:$H$200,"&gt;10",$BN$4:$BN$200,"&gt;-6",$BR$4:$BR$200,"&gt;=70",$K$4:$K$200,"&lt;=30",$C$4:$C$200,"&lt;20190630",S$4:S$200,"&gt;="&amp;S74)/COUNTIFS(S$4:S$200,"&lt;&gt;-",$D$4:$D$200,"&lt;&gt;是",$E$4:$E$200,"&lt;&gt;封闭期",$H$4:$H$200,"&gt;10",$BN$4:$BN$200,"&gt;-6",$BR$4:$BR$200,"&gt;=70",$C$4:$C$200,"&lt;20190630",$K$4:$K$200,"&lt;=30"))</f>
        <v>-</v>
      </c>
      <c r="X74" s="19">
        <f>[1]!f_risk_calmar(A74,$L$2,$E$1)</f>
        <v>2.181535970500768</v>
      </c>
      <c r="Y74" s="19" t="str">
        <f>IFERROR(RANK(X74,X:X)&amp;"/"&amp;COUNT(X:X),"-")</f>
        <v>89/197</v>
      </c>
      <c r="Z74" s="26">
        <f>IFERROR(RANK(X74,X:X)/COUNT(X:X),"-")</f>
        <v>0.45177664974619292</v>
      </c>
      <c r="AA74" s="34" t="str">
        <f>IF(OR($C74&gt;20190630,$K74&gt;30,X74="-",$D74="是",$E74="封闭期",$H74&lt;10,$BN74&lt;-6,$BR74&lt;70),"-",COUNTIFS(X$4:X$200,"&lt;&gt;-",$D$4:$D$200,"&lt;&gt;是",$E$4:$E$200,"&lt;&gt;封闭期",$H$4:$H$200,"&gt;10",$BN$4:$BN$200,"&gt;-6",$BR$4:$BR$200,"&gt;=70",$K$4:$K$200,"&lt;=30",$C$4:$C$200,"&lt;20190630",X$4:X$200,"&gt;="&amp;X74)&amp;"/"&amp;COUNTIFS(X$4:X$200,"&lt;&gt;-",$D$4:$D$200,"&lt;&gt;是",$E$4:$E$200,"&lt;&gt;封闭期",$H$4:$H$200,"&gt;10",$BN$4:$BN$200,"&gt;-6",$BR$4:$BR$200,"&gt;=70",$C$4:$C$200,"&lt;20190630",$K$4:$K$200,"&lt;=30"))</f>
        <v>-</v>
      </c>
      <c r="AB74" s="33" t="str">
        <f>IF(OR($C74&gt;20190630,$K74&gt;30,X74="-",$D74="是",$E74="封闭期",$H74&lt;10,$BN74&lt;-6,$BR74&lt;70),"-",COUNTIFS(X$4:X$200,"&lt;&gt;-",$D$4:$D$200,"&lt;&gt;是",$E$4:$E$200,"&lt;&gt;封闭期",$H$4:$H$200,"&gt;10",$BN$4:$BN$200,"&gt;-6",$BR$4:$BR$200,"&gt;=70",$K$4:$K$200,"&lt;=30",$C$4:$C$200,"&lt;20190630",X$4:X$200,"&gt;="&amp;X74)/COUNTIFS(X$4:X$200,"&lt;&gt;-",$D$4:$D$200,"&lt;&gt;是",$E$4:$E$200,"&lt;&gt;封闭期",$H$4:$H$200,"&gt;10",$BN$4:$BN$200,"&gt;-6",$BR$4:$BR$200,"&gt;=70",$C$4:$C$200,"&lt;20190630",$K$4:$K$200,"&lt;=30"))</f>
        <v>-</v>
      </c>
      <c r="AC74" s="20">
        <v>0.89915966386554624</v>
      </c>
      <c r="AD74" s="19" t="str">
        <f>IFERROR(RANK(AC74,AC:AC)&amp;"/"&amp;COUNT(AC:AC),"-")</f>
        <v>130/197</v>
      </c>
      <c r="AE74" s="26">
        <f>IFERROR(RANK(AC74,AC:AC)/COUNT(AC:AC),"-")</f>
        <v>0.65989847715736039</v>
      </c>
      <c r="AF74" s="34" t="str">
        <f>IF(OR($C74&gt;20190630,$K74&gt;30,AC74="-",$D74="是",$E74="封闭期",$H74&lt;10,$BN74&lt;-6,$BR74&lt;70),"-",COUNTIFS(AC$4:AC$200,"&lt;&gt;-",$D$4:$D$200,"&lt;&gt;是",$E$4:$E$200,"&lt;&gt;封闭期",$H$4:$H$200,"&gt;10",$BN$4:$BN$200,"&gt;-6",$BR$4:$BR$200,"&gt;=70",$K$4:$K$200,"&lt;=30",$C$4:$C$200,"&lt;20190630",AC$4:AC$200,"&gt;="&amp;AC74)&amp;"/"&amp;COUNTIFS(AC$4:AC$200,"&lt;&gt;-",$D$4:$D$200,"&lt;&gt;是",$E$4:$E$200,"&lt;&gt;封闭期",$H$4:$H$200,"&gt;10",$BN$4:$BN$200,"&gt;-6",$BR$4:$BR$200,"&gt;=70",$C$4:$C$200,"&lt;20190630",$K$4:$K$200,"&lt;=30"))</f>
        <v>-</v>
      </c>
      <c r="AG74" s="33" t="str">
        <f>IF(OR($C74&gt;20190630,$K74&gt;30,AC74="-",$D74="是",$E74="封闭期",$H74&lt;10,$BN74&lt;-6,$BR74&lt;70),"-",COUNTIFS(AC$4:AC$200,"&lt;&gt;-",$D$4:$D$200,"&lt;&gt;是",$E$4:$E$200,"&lt;&gt;封闭期",$H$4:$H$200,"&gt;10",$BN$4:$BN$200,"&gt;-6",$BR$4:$BR$200,"&gt;=70",$K$4:$K$200,"&lt;=30",$C$4:$C$200,"&lt;20190630",AC$4:AC$200,"&gt;="&amp;AC74)/COUNTIFS(AC$4:AC$200,"&lt;&gt;-",$D$4:$D$200,"&lt;&gt;是",$E$4:$E$200,"&lt;&gt;封闭期",$H$4:$H$200,"&gt;10",$BN$4:$BN$200,"&gt;-6",$BR$4:$BR$200,"&gt;=70",$C$4:$C$200,"&lt;20190630",$K$4:$K$200,"&lt;=30"))</f>
        <v>-</v>
      </c>
      <c r="AH74" s="21">
        <f>[1]!f_risk_maxdownside(A74,$L$2,$E$1)</f>
        <v>-1.2995723987591237</v>
      </c>
      <c r="AI74" s="19" t="str">
        <f>IFERROR(RANK(AH74,AH:AH)&amp;"/"&amp;COUNT(AH:AH),"-")</f>
        <v>34/197</v>
      </c>
      <c r="AJ74" s="26">
        <f>IFERROR(RANK(AH74,AH:AH)/COUNT(AH:AH),"-")</f>
        <v>0.17258883248730963</v>
      </c>
      <c r="AK74" s="34" t="str">
        <f>IF(OR($C74&gt;20190630,$K74&gt;30,AH74="-",$D74="是",$E74="封闭期",$H74&lt;10,$BN74&lt;-6,$BR74&lt;70),"-",COUNTIFS(AH$4:AH$200,"&lt;&gt;-",$D$4:$D$200,"&lt;&gt;是",$E$4:$E$200,"&lt;&gt;封闭期",$H$4:$H$200,"&gt;10",$BN$4:$BN$200,"&gt;-6",$BR$4:$BR$200,"&gt;=70",$K$4:$K$200,"&lt;=30",$C$4:$C$200,"&lt;20190630",AH$4:AH$200,"&gt;="&amp;AH74)&amp;"/"&amp;COUNTIFS(AH$4:AH$200,"&lt;&gt;-",$D$4:$D$200,"&lt;&gt;是",$E$4:$E$200,"&lt;&gt;封闭期",$H$4:$H$200,"&gt;10",$BN$4:$BN$200,"&gt;-6",$BR$4:$BR$200,"&gt;=70",$C$4:$C$200,"&lt;20190630",$K$4:$K$200,"&lt;=30"))</f>
        <v>-</v>
      </c>
      <c r="AL74" s="33" t="str">
        <f>IF(OR($C74&gt;20190630,$K74&gt;30,AH74="-",$D74="是",$E74="封闭期",$H74&lt;10,$BN74&lt;-6,$BR74&lt;70),"-",COUNTIFS(AH$4:AH$200,"&lt;&gt;-",$D$4:$D$200,"&lt;&gt;是",$E$4:$E$200,"&lt;&gt;封闭期",$H$4:$H$200,"&gt;10",$BN$4:$BN$200,"&gt;-6",$BR$4:$BR$200,"&gt;=70",$K$4:$K$200,"&lt;=30",$C$4:$C$200,"&lt;20190630",AH$4:AH$200,"&gt;="&amp;AH74)/COUNTIFS(AH$4:AH$200,"&lt;&gt;-",$D$4:$D$200,"&lt;&gt;是",$E$4:$E$200,"&lt;&gt;封闭期",$H$4:$H$200,"&gt;10",$BN$4:$BN$200,"&gt;-6",$BR$4:$BR$200,"&gt;=70",$C$4:$C$200,"&lt;20190630",$K$4:$K$200,"&lt;=30"))</f>
        <v>-</v>
      </c>
      <c r="AM74" s="19">
        <f>[1]!f_return($A74,"1",AM$2,$L$2)</f>
        <v>8.5222436784745845</v>
      </c>
      <c r="AN74" s="19">
        <f>[1]!f_risk_stdevyearly($A74,AM$2,$L$2,1,1)</f>
        <v>3.1243560786675872</v>
      </c>
      <c r="AO74" s="19">
        <f>IFERROR(AM74/AN74,"-")</f>
        <v>2.727680028746589</v>
      </c>
      <c r="AP74" s="19" t="str">
        <f>IFERROR(RANK(AO74,AO:AO)&amp;"/"&amp;COUNT(AO:AO),"-")</f>
        <v>17/197</v>
      </c>
      <c r="AQ74" s="26">
        <f>IF(AP74="-","-",RANK(AO74,AO:AO)/COUNT(AO:AO))</f>
        <v>8.6294416243654817E-2</v>
      </c>
      <c r="AR74" s="57">
        <v>0.3604060913705584</v>
      </c>
      <c r="AS74" s="33" t="str">
        <f>IF(OR($C74&gt;20190630,$K74&gt;30,AO74="-",$D74="是",$E74="封闭期",$H74&lt;10,$BN74&lt;-6,$BR74&lt;70),"-",COUNTIFS(AO$4:AO$200,"&lt;&gt;-",$D$4:$D$200,"&lt;&gt;是",$E$4:$E$200,"&lt;&gt;封闭期",$H$4:$H$200,"&gt;10",$BN$4:$BN$200,"&gt;-6",$BR$4:$BR$200,"&gt;=70",$K$4:$K$200,"&lt;=30",$C$4:$C$200,"&lt;20190630",AO$4:AO$200,"&gt;="&amp;AO74)/COUNTIFS(AO$4:AO$200,"&lt;&gt;-",$D$4:$D$200,"&lt;&gt;是",$E$4:$E$200,"&lt;&gt;封闭期",$H$4:$H$200,"&gt;10",$BN$4:$BN$200,"&gt;-6",$BR$4:$BR$200,"&gt;=70",$C$4:$C$200,"&lt;20190630",$K$4:$K$200,"&lt;=30"))</f>
        <v>-</v>
      </c>
      <c r="AT74" s="19">
        <f>IFERROR((AM74-3)/AN74,"-")</f>
        <v>1.7674821753446235</v>
      </c>
      <c r="AU74" s="19" t="str">
        <f>IFERROR(RANK(AT74,AT:AT)&amp;"/"&amp;COUNT(AT:AT),"-")</f>
        <v>15/197</v>
      </c>
      <c r="AV74" s="26">
        <f>IFERROR(RANK(AT74,AT:AT)/COUNT(AT:AT),"-")</f>
        <v>7.6142131979695438E-2</v>
      </c>
      <c r="AW74" s="34" t="str">
        <f>IF(OR($C74&gt;20190630,$K74&gt;30,AT74="-",$D74="是",$E74="封闭期",$H74&lt;10,$BN74&lt;-6,$BR74&lt;70),"-",COUNTIFS(AT$4:AT$200,"&lt;&gt;-",$D$4:$D$200,"&lt;&gt;是",$E$4:$E$200,"&lt;&gt;封闭期",$H$4:$H$200,"&gt;10",$BN$4:$BN$200,"&gt;-6",$BR$4:$BR$200,"&gt;=70",$K$4:$K$200,"&lt;=30",$C$4:$C$200,"&lt;20190630",AT$4:AT$200,"&gt;="&amp;AT74)&amp;"/"&amp;COUNTIFS(AT$4:AT$200,"&lt;&gt;-",$D$4:$D$200,"&lt;&gt;是",$E$4:$E$200,"&lt;&gt;封闭期",$H$4:$H$200,"&gt;10",$BN$4:$BN$200,"&gt;-6",$BR$4:$BR$200,"&gt;=70",$C$4:$C$200,"&lt;20190630",$K$4:$K$200,"&lt;=30"))</f>
        <v>-</v>
      </c>
      <c r="AX74" s="33" t="str">
        <f>IF(OR($C74&gt;20190630,$K74&gt;30,AT74="-",$D74="是",$E74="封闭期",$H74&lt;10,$BN74&lt;-6,$BR74&lt;70),"-",COUNTIFS(AT$4:AT$200,"&lt;&gt;-",$D$4:$D$200,"&lt;&gt;是",$E$4:$E$200,"&lt;&gt;封闭期",$H$4:$H$200,"&gt;10",$BN$4:$BN$200,"&gt;-6",$BR$4:$BR$200,"&gt;=70",$K$4:$K$200,"&lt;=30",$C$4:$C$200,"&lt;20190630",AT$4:AT$200,"&gt;="&amp;AT74)/COUNTIFS(AT$4:AT$200,"&lt;&gt;-",$D$4:$D$200,"&lt;&gt;是",$E$4:$E$200,"&lt;&gt;封闭期",$H$4:$H$200,"&gt;10",$BN$4:$BN$200,"&gt;-6",$BR$4:$BR$200,"&gt;=70",$C$4:$C$200,"&lt;20190630",$K$4:$K$200,"&lt;=30"))</f>
        <v>-</v>
      </c>
      <c r="AY74" s="19">
        <f>[1]!f_risk_calmar(A74,$AM$2,$L$2)</f>
        <v>3.1764218405540712</v>
      </c>
      <c r="AZ74" s="19" t="str">
        <f>IFERROR(RANK(AY74,AY:AY)&amp;"/"&amp;COUNT(AY:AY),"-")</f>
        <v>42/197</v>
      </c>
      <c r="BA74" s="26">
        <f>IFERROR(RANK(AY74,AY:AY)/COUNT(AY:AY),"-")</f>
        <v>0.21319796954314721</v>
      </c>
      <c r="BB74" s="34" t="str">
        <f>IF(OR($C74&gt;20190630,$K74&gt;30,AY74="-",$D74="是",$E74="封闭期",$H74&lt;10,$BN74&lt;-6,$BR74&lt;70),"-",COUNTIFS(AY$4:AY$200,"&lt;&gt;-",$D$4:$D$200,"&lt;&gt;是",$E$4:$E$200,"&lt;&gt;封闭期",$H$4:$H$200,"&gt;10",$BN$4:$BN$200,"&gt;-6",$BR$4:$BR$200,"&gt;=70",$K$4:$K$200,"&lt;=30",$C$4:$C$200,"&lt;20190630",AY$4:AY$200,"&gt;="&amp;AY74)&amp;"/"&amp;COUNTIFS(AY$4:AY$200,"&lt;&gt;-",$D$4:$D$200,"&lt;&gt;是",$E$4:$E$200,"&lt;&gt;封闭期",$H$4:$H$200,"&gt;10",$BN$4:$BN$200,"&gt;-6",$BR$4:$BR$200,"&gt;=70",$C$4:$C$200,"&lt;20190630",$K$4:$K$200,"&lt;=30"))</f>
        <v>-</v>
      </c>
      <c r="BC74" s="33" t="str">
        <f>IF(OR($C74&gt;20190630,$K74&gt;30,AY74="-",$D74="是",$E74="封闭期",$H74&lt;10,$BN74&lt;-6,$BR74&lt;70),"-",COUNTIFS(AY$4:AY$200,"&lt;&gt;-",$D$4:$D$200,"&lt;&gt;是",$E$4:$E$200,"&lt;&gt;封闭期",$H$4:$H$200,"&gt;10",$BN$4:$BN$200,"&gt;-6",$BR$4:$BR$200,"&gt;=70",$K$4:$K$200,"&lt;=30",$C$4:$C$200,"&lt;20190630",AY$4:AY$200,"&gt;="&amp;AY74)/COUNTIFS(AY$4:AY$200,"&lt;&gt;-",$D$4:$D$200,"&lt;&gt;是",$E$4:$E$200,"&lt;&gt;封闭期",$H$4:$H$200,"&gt;10",$BN$4:$BN$200,"&gt;-6",$BR$4:$BR$200,"&gt;=70",$C$4:$C$200,"&lt;20190630",$K$4:$K$200,"&lt;=30"))</f>
        <v>-</v>
      </c>
      <c r="BD74" s="20">
        <v>1</v>
      </c>
      <c r="BE74" s="19" t="str">
        <f>IFERROR(RANK(BD74,BD:BD)&amp;"/"&amp;COUNT(BD:BD),"-")</f>
        <v>1/197</v>
      </c>
      <c r="BF74" s="26">
        <f>IFERROR(RANK(BD74,BD:BD)/COUNT(BD:BD),"-")</f>
        <v>5.076142131979695E-3</v>
      </c>
      <c r="BG74" s="34" t="str">
        <f>IF(OR($C74&gt;20190630,$K74&gt;30,BD74="-",$D74="是",$E74="封闭期",$H74&lt;10,$BN74&lt;-6,$BR74&lt;70),"-",COUNTIFS(BD$4:BD$200,"&lt;&gt;-",$D$4:$D$200,"&lt;&gt;是",$E$4:$E$200,"&lt;&gt;封闭期",$H$4:$H$200,"&gt;10",$BN$4:$BN$200,"&gt;-6",$BR$4:$BR$200,"&gt;=70",$K$4:$K$200,"&lt;=30",$C$4:$C$200,"&lt;20190630",BD$4:BD$200,"&gt;="&amp;BD74)&amp;"/"&amp;COUNTIFS(BD$4:BD$200,"&lt;&gt;-",$D$4:$D$200,"&lt;&gt;是",$E$4:$E$200,"&lt;&gt;封闭期",$H$4:$H$200,"&gt;10",$BN$4:$BN$200,"&gt;-6",$BR$4:$BR$200,"&gt;=70",$C$4:$C$200,"&lt;20190630",$K$4:$K$200,"&lt;=30"))</f>
        <v>-</v>
      </c>
      <c r="BH74" s="33" t="str">
        <f>IF(OR($C74&gt;20190630,$K74&gt;30,BD74="-",$D74="是",$E74="封闭期",$H74&lt;10,$BN74&lt;-6,$BR74&lt;70),"-",COUNTIFS(BD$4:BD$200,"&lt;&gt;-",$D$4:$D$200,"&lt;&gt;是",$E$4:$E$200,"&lt;&gt;封闭期",$H$4:$H$200,"&gt;10",$BN$4:$BN$200,"&gt;-6",$BR$4:$BR$200,"&gt;=70",$K$4:$K$200,"&lt;=30",$C$4:$C$200,"&lt;20190630",BD$4:BD$200,"&gt;="&amp;BD74)/COUNTIFS(BD$4:BD$200,"&lt;&gt;-",$D$4:$D$200,"&lt;&gt;是",$E$4:$E$200,"&lt;&gt;封闭期",$H$4:$H$200,"&gt;10",$BN$4:$BN$200,"&gt;-6",$BR$4:$BR$200,"&gt;=70",$C$4:$C$200,"&lt;20190630",$K$4:$K$200,"&lt;=30"))</f>
        <v>-</v>
      </c>
      <c r="BI74" s="21">
        <f>[1]!f_risk_maxdownside(A74,$AM$2,$L$2)</f>
        <v>-2.6829697396199834</v>
      </c>
      <c r="BJ74" s="19" t="str">
        <f>IFERROR(RANK(BI74,BI:BI)&amp;"/"&amp;COUNT(BI:BI),"-")</f>
        <v>69/197</v>
      </c>
      <c r="BK74" s="26">
        <f>IFERROR(RANK(BI74,BI:BI)/COUNT(BI:BI),"-")</f>
        <v>0.35025380710659898</v>
      </c>
      <c r="BL74" s="34" t="str">
        <f>IF(OR($C74&gt;20190630,$K74&gt;30,BI74="-",$D74="是",$E74="封闭期",$H74&lt;10,$BN74&lt;-6,$BR74&lt;70),"-",COUNTIFS(BI$4:BI$200,"&lt;&gt;-",$D$4:$D$200,"&lt;&gt;是",$E$4:$E$200,"&lt;&gt;封闭期",$H$4:$H$200,"&gt;10",$BN$4:$BN$200,"&gt;-6",$BR$4:$BR$200,"&gt;=70",$K$4:$K$200,"&lt;=30",$C$4:$C$200,"&lt;20190630",BI$4:BI$200,"&gt;="&amp;BI74)&amp;"/"&amp;COUNTIFS(BI$4:BI$200,"&lt;&gt;-",$D$4:$D$200,"&lt;&gt;是",$E$4:$E$200,"&lt;&gt;封闭期",$H$4:$H$200,"&gt;10",$BN$4:$BN$200,"&gt;-6",$BR$4:$BR$200,"&gt;=70",$C$4:$C$200,"&lt;20190630",$K$4:$K$200,"&lt;=30"))</f>
        <v>-</v>
      </c>
      <c r="BM74" s="33" t="str">
        <f>IF(OR($C74&gt;20190630,$K74&gt;30,BI74="-",$D74="是",$E74="封闭期",$H74&lt;10,$BN74&lt;-6,$BR74&lt;70),"-",COUNTIFS(BI$4:BI$200,"&lt;&gt;-",$D$4:$D$200,"&lt;&gt;是",$E$4:$E$200,"&lt;&gt;封闭期",$H$4:$H$200,"&gt;10",$BN$4:$BN$200,"&gt;-6",$BR$4:$BR$200,"&gt;=70",$K$4:$K$200,"&lt;=30",$C$4:$C$200,"&lt;20190630",BI$4:BI$200,"&gt;="&amp;BI74)/COUNTIFS(BI$4:BI$200,"&lt;&gt;-",$D$4:$D$200,"&lt;&gt;是",$E$4:$E$200,"&lt;&gt;封闭期",$H$4:$H$200,"&gt;10",$BN$4:$BN$200,"&gt;-6",$BR$4:$BR$200,"&gt;=70",$C$4:$C$200,"&lt;20190630",$K$4:$K$200,"&lt;=30"))</f>
        <v>-</v>
      </c>
      <c r="BN74" s="21">
        <f>[1]!f_risk_maxdownside(A74,$AM$2,$E$1)</f>
        <v>-2.6829697396199834</v>
      </c>
      <c r="BO74" s="21">
        <f>IF(C74&lt;20190930,[1]!f_return_2y(A74,"0","20210930"),"-")</f>
        <v>11.750213209513893</v>
      </c>
      <c r="BP74" s="19" t="str">
        <f>IFERROR(RANK(BO74,BO:BO)&amp;"/"&amp;COUNT(BO:BO),"-")</f>
        <v>119/197</v>
      </c>
      <c r="BQ74" s="25">
        <f>IFERROR(RANK(BO74,BO:BO)/COUNT(BO:BO),"-")</f>
        <v>0.60406091370558379</v>
      </c>
      <c r="BR74" s="19">
        <f>IF(C74&lt;20190930,[1]!f_absolute_profitmonthper(A74,"20190930","20210930"),"-")</f>
        <v>79.166666666666657</v>
      </c>
      <c r="BS74" s="19" t="str">
        <f>IFERROR(RANK(BR74,BR:BR)&amp;"/"&amp;COUNT(BR:BR),"-")</f>
        <v>16/198</v>
      </c>
      <c r="BT74" s="25">
        <f>IFERROR(RANK(BR74,BR:BR)/COUNT(BR:BR),"-")</f>
        <v>8.0808080808080815E-2</v>
      </c>
      <c r="BV74" s="12">
        <f>X74-3/M74</f>
        <v>0.74573931927020243</v>
      </c>
      <c r="BW74" s="76">
        <f>IFERROR(RANK(BV74,BV:BV)/COUNT(BV:BV),"-")</f>
        <v>0.65989847715736039</v>
      </c>
      <c r="BX74" s="76">
        <f>IFERROR(RANK(L74,L:L)/COUNT(L:L),"-")</f>
        <v>0.84343434343434343</v>
      </c>
      <c r="BY74" s="12">
        <f>AY74-3/AN74</f>
        <v>2.2162239871521057</v>
      </c>
      <c r="BZ74" s="76">
        <f>IFERROR(RANK(BY74,BY:BY)/COUNT(BY:BY),"-")</f>
        <v>0.26395939086294418</v>
      </c>
      <c r="CA74" s="76">
        <f>IFERROR(RANK(AM74,AM:AM)/COUNT(AM:AM),"-")</f>
        <v>0.36363636363636365</v>
      </c>
      <c r="CB74" s="2"/>
      <c r="CC74" s="77">
        <f>AV74+BF74+BZ74+CA74</f>
        <v>0.70881402861098297</v>
      </c>
      <c r="CD74" s="77">
        <f>BW74+BX74+AE74+U74</f>
        <v>3.0109470337896731</v>
      </c>
      <c r="CE74" s="77">
        <f>CC74+CD74</f>
        <v>3.7197610624006563</v>
      </c>
    </row>
    <row r="75" spans="1:83" s="2" customFormat="1" hidden="1" x14ac:dyDescent="0.35">
      <c r="A75" s="15" t="s">
        <v>121</v>
      </c>
      <c r="B75" s="15" t="s">
        <v>122</v>
      </c>
      <c r="C75" s="16">
        <v>20120907</v>
      </c>
      <c r="D75" s="16" t="str">
        <f>[1]!f_info_regulopenfundornot(A75)</f>
        <v>否</v>
      </c>
      <c r="E75" s="16" t="str">
        <f>[1]!f_dq_status(A75,$E$1)</f>
        <v>暂停大额申购|开放赎回</v>
      </c>
      <c r="F75" s="17" t="str">
        <f>[1]!f_info_fundmanager(A75)</f>
        <v>郑可成</v>
      </c>
      <c r="G75" s="16">
        <v>20120907</v>
      </c>
      <c r="H75" s="18">
        <f>[1]!f_netasset_total(A75,$E$1,100000000)</f>
        <v>0.95552872040000003</v>
      </c>
      <c r="I75" s="18">
        <f>[1]!f_prt_convertiblebondtonav(A75,$E$1)</f>
        <v>0.50374877452850342</v>
      </c>
      <c r="J75" s="18">
        <f>[1]!f_prt_stocktonav(A75,$E$1)+0.5*I75</f>
        <v>4.9456319212913513</v>
      </c>
      <c r="K75" s="19">
        <v>0</v>
      </c>
      <c r="L75" s="19">
        <f>[1]!f_return($A75,"1",L$2,$E$1)</f>
        <v>9.624362029263267</v>
      </c>
      <c r="M75" s="19">
        <f>[1]!f_risk_stdevyearly($A75,L$2,$E$1,1,1)</f>
        <v>8.4125284162512131</v>
      </c>
      <c r="N75" s="19">
        <f>IFERROR(L75/M75,"-")</f>
        <v>1.1440510573100768</v>
      </c>
      <c r="O75" s="19" t="str">
        <f>IFERROR(RANK(N75,N:N)&amp;"/"&amp;COUNT(N:N),"-")</f>
        <v>126/197</v>
      </c>
      <c r="P75" s="26">
        <f>IF(O75="-","-",RANK(N75,N:N)/COUNT(N:N))</f>
        <v>0.63959390862944165</v>
      </c>
      <c r="Q75" s="56">
        <v>0.18781725888324874</v>
      </c>
      <c r="R75" s="33" t="str">
        <f>IF(OR($C75&gt;20190630,$K75&gt;30,N75="-",$D75="是",$E75="封闭期",$H75&lt;10,$BN75&lt;-6,$BR75&lt;70),"-",COUNTIFS(N$4:N$200,"&lt;&gt;-",$D$4:$D$200,"&lt;&gt;是",$E$4:$E$200,"&lt;&gt;封闭期",$H$4:$H$200,"&gt;10",$BN$4:$BN$200,"&gt;-6",$BR$4:$BR$200,"&gt;=70",$K$4:$K$200,"&lt;=30",$C$4:$C$200,"&lt;20190630",N$4:N$200,"&gt;="&amp;N75)/COUNTIFS(N$4:N$200,"&lt;&gt;-",$D$4:$D$200,"&lt;&gt;是",$E$4:$E$200,"&lt;&gt;封闭期",$H$4:$H$200,"&gt;10",$BN$4:$BN$200,"&gt;-6",$BR$4:$BR$200,"&gt;=70",$C$4:$C$200,"&lt;20190630",$K$4:$K$200,"&lt;=30"))</f>
        <v>-</v>
      </c>
      <c r="S75" s="19">
        <f>IFERROR((L75-3)/M75,"-")</f>
        <v>0.78744007764258017</v>
      </c>
      <c r="T75" s="19" t="str">
        <f>IFERROR(RANK(S75,S:S)&amp;"/"&amp;COUNT(S:S),"-")</f>
        <v>94/197</v>
      </c>
      <c r="U75" s="26">
        <f>IFERROR(RANK(S75,S:S)/COUNT(S:S),"-")</f>
        <v>0.47715736040609136</v>
      </c>
      <c r="V75" s="34" t="str">
        <f>IF(OR($C75&gt;20190630,$K75&gt;30,S75="-",$D75="是",$E75="封闭期",$H75&lt;10,$BN75&lt;-6,$BR75&lt;70),"-",COUNTIFS(S$4:S$200,"&lt;&gt;-",$D$4:$D$200,"&lt;&gt;是",$E$4:$E$200,"&lt;&gt;封闭期",$H$4:$H$200,"&gt;10",$BN$4:$BN$200,"&gt;-6",$BR$4:$BR$200,"&gt;=70",$K$4:$K$200,"&lt;=30",$C$4:$C$200,"&lt;20190630",S$4:S$200,"&gt;="&amp;S75)&amp;"/"&amp;COUNTIFS(S$4:S$200,"&lt;&gt;-",$D$4:$D$200,"&lt;&gt;是",$E$4:$E$200,"&lt;&gt;封闭期",$H$4:$H$200,"&gt;10",$BN$4:$BN$200,"&gt;-6",$BR$4:$BR$200,"&gt;=70",$C$4:$C$200,"&lt;20190630",$K$4:$K$200,"&lt;=30"))</f>
        <v>-</v>
      </c>
      <c r="W75" s="33" t="str">
        <f>IF(OR($C75&gt;20190630,$K75&gt;30,S75="-",$D75="是",$E75="封闭期",$H75&lt;10,$BN75&lt;-6,$BR75&lt;70),"-",COUNTIFS(S$4:S$200,"&lt;&gt;-",$D$4:$D$200,"&lt;&gt;是",$E$4:$E$200,"&lt;&gt;封闭期",$H$4:$H$200,"&gt;10",$BN$4:$BN$200,"&gt;-6",$BR$4:$BR$200,"&gt;=70",$K$4:$K$200,"&lt;=30",$C$4:$C$200,"&lt;20190630",S$4:S$200,"&gt;="&amp;S75)/COUNTIFS(S$4:S$200,"&lt;&gt;-",$D$4:$D$200,"&lt;&gt;是",$E$4:$E$200,"&lt;&gt;封闭期",$H$4:$H$200,"&gt;10",$BN$4:$BN$200,"&gt;-6",$BR$4:$BR$200,"&gt;=70",$C$4:$C$200,"&lt;20190630",$K$4:$K$200,"&lt;=30"))</f>
        <v>-</v>
      </c>
      <c r="X75" s="19">
        <f>[1]!f_risk_calmar(A75,$L$2,$E$1)</f>
        <v>1.352813861072895</v>
      </c>
      <c r="Y75" s="19" t="str">
        <f>IFERROR(RANK(X75,X:X)&amp;"/"&amp;COUNT(X:X),"-")</f>
        <v>139/197</v>
      </c>
      <c r="Z75" s="26">
        <f>IFERROR(RANK(X75,X:X)/COUNT(X:X),"-")</f>
        <v>0.70558375634517767</v>
      </c>
      <c r="AA75" s="34" t="str">
        <f>IF(OR($C75&gt;20190630,$K75&gt;30,X75="-",$D75="是",$E75="封闭期",$H75&lt;10,$BN75&lt;-6,$BR75&lt;70),"-",COUNTIFS(X$4:X$200,"&lt;&gt;-",$D$4:$D$200,"&lt;&gt;是",$E$4:$E$200,"&lt;&gt;封闭期",$H$4:$H$200,"&gt;10",$BN$4:$BN$200,"&gt;-6",$BR$4:$BR$200,"&gt;=70",$K$4:$K$200,"&lt;=30",$C$4:$C$200,"&lt;20190630",X$4:X$200,"&gt;="&amp;X75)&amp;"/"&amp;COUNTIFS(X$4:X$200,"&lt;&gt;-",$D$4:$D$200,"&lt;&gt;是",$E$4:$E$200,"&lt;&gt;封闭期",$H$4:$H$200,"&gt;10",$BN$4:$BN$200,"&gt;-6",$BR$4:$BR$200,"&gt;=70",$C$4:$C$200,"&lt;20190630",$K$4:$K$200,"&lt;=30"))</f>
        <v>-</v>
      </c>
      <c r="AB75" s="33" t="str">
        <f>IF(OR($C75&gt;20190630,$K75&gt;30,X75="-",$D75="是",$E75="封闭期",$H75&lt;10,$BN75&lt;-6,$BR75&lt;70),"-",COUNTIFS(X$4:X$200,"&lt;&gt;-",$D$4:$D$200,"&lt;&gt;是",$E$4:$E$200,"&lt;&gt;封闭期",$H$4:$H$200,"&gt;10",$BN$4:$BN$200,"&gt;-6",$BR$4:$BR$200,"&gt;=70",$K$4:$K$200,"&lt;=30",$C$4:$C$200,"&lt;20190630",X$4:X$200,"&gt;="&amp;X75)/COUNTIFS(X$4:X$200,"&lt;&gt;-",$D$4:$D$200,"&lt;&gt;是",$E$4:$E$200,"&lt;&gt;封闭期",$H$4:$H$200,"&gt;10",$BN$4:$BN$200,"&gt;-6",$BR$4:$BR$200,"&gt;=70",$C$4:$C$200,"&lt;20190630",$K$4:$K$200,"&lt;=30"))</f>
        <v>-</v>
      </c>
      <c r="AC75" s="20">
        <v>0.73109243697478987</v>
      </c>
      <c r="AD75" s="19" t="str">
        <f>IFERROR(RANK(AC75,AC:AC)&amp;"/"&amp;COUNT(AC:AC),"-")</f>
        <v>162/197</v>
      </c>
      <c r="AE75" s="26">
        <f>IFERROR(RANK(AC75,AC:AC)/COUNT(AC:AC),"-")</f>
        <v>0.82233502538071068</v>
      </c>
      <c r="AF75" s="34" t="str">
        <f>IF(OR($C75&gt;20190630,$K75&gt;30,AC75="-",$D75="是",$E75="封闭期",$H75&lt;10,$BN75&lt;-6,$BR75&lt;70),"-",COUNTIFS(AC$4:AC$200,"&lt;&gt;-",$D$4:$D$200,"&lt;&gt;是",$E$4:$E$200,"&lt;&gt;封闭期",$H$4:$H$200,"&gt;10",$BN$4:$BN$200,"&gt;-6",$BR$4:$BR$200,"&gt;=70",$K$4:$K$200,"&lt;=30",$C$4:$C$200,"&lt;20190630",AC$4:AC$200,"&gt;="&amp;AC75)&amp;"/"&amp;COUNTIFS(AC$4:AC$200,"&lt;&gt;-",$D$4:$D$200,"&lt;&gt;是",$E$4:$E$200,"&lt;&gt;封闭期",$H$4:$H$200,"&gt;10",$BN$4:$BN$200,"&gt;-6",$BR$4:$BR$200,"&gt;=70",$C$4:$C$200,"&lt;20190630",$K$4:$K$200,"&lt;=30"))</f>
        <v>-</v>
      </c>
      <c r="AG75" s="33" t="str">
        <f>IF(OR($C75&gt;20190630,$K75&gt;30,AC75="-",$D75="是",$E75="封闭期",$H75&lt;10,$BN75&lt;-6,$BR75&lt;70),"-",COUNTIFS(AC$4:AC$200,"&lt;&gt;-",$D$4:$D$200,"&lt;&gt;是",$E$4:$E$200,"&lt;&gt;封闭期",$H$4:$H$200,"&gt;10",$BN$4:$BN$200,"&gt;-6",$BR$4:$BR$200,"&gt;=70",$K$4:$K$200,"&lt;=30",$C$4:$C$200,"&lt;20190630",AC$4:AC$200,"&gt;="&amp;AC75)/COUNTIFS(AC$4:AC$200,"&lt;&gt;-",$D$4:$D$200,"&lt;&gt;是",$E$4:$E$200,"&lt;&gt;封闭期",$H$4:$H$200,"&gt;10",$BN$4:$BN$200,"&gt;-6",$BR$4:$BR$200,"&gt;=70",$C$4:$C$200,"&lt;20190630",$K$4:$K$200,"&lt;=30"))</f>
        <v>-</v>
      </c>
      <c r="AH75" s="21">
        <f>[1]!f_risk_maxdownside(A75,$L$2,$E$1)</f>
        <v>-7.1143283685978345</v>
      </c>
      <c r="AI75" s="19" t="str">
        <f>IFERROR(RANK(AH75,AH:AH)&amp;"/"&amp;COUNT(AH:AH),"-")</f>
        <v>187/197</v>
      </c>
      <c r="AJ75" s="26">
        <f>IFERROR(RANK(AH75,AH:AH)/COUNT(AH:AH),"-")</f>
        <v>0.949238578680203</v>
      </c>
      <c r="AK75" s="34" t="str">
        <f>IF(OR($C75&gt;20190630,$K75&gt;30,AH75="-",$D75="是",$E75="封闭期",$H75&lt;10,$BN75&lt;-6,$BR75&lt;70),"-",COUNTIFS(AH$4:AH$200,"&lt;&gt;-",$D$4:$D$200,"&lt;&gt;是",$E$4:$E$200,"&lt;&gt;封闭期",$H$4:$H$200,"&gt;10",$BN$4:$BN$200,"&gt;-6",$BR$4:$BR$200,"&gt;=70",$K$4:$K$200,"&lt;=30",$C$4:$C$200,"&lt;20190630",AH$4:AH$200,"&gt;="&amp;AH75)&amp;"/"&amp;COUNTIFS(AH$4:AH$200,"&lt;&gt;-",$D$4:$D$200,"&lt;&gt;是",$E$4:$E$200,"&lt;&gt;封闭期",$H$4:$H$200,"&gt;10",$BN$4:$BN$200,"&gt;-6",$BR$4:$BR$200,"&gt;=70",$C$4:$C$200,"&lt;20190630",$K$4:$K$200,"&lt;=30"))</f>
        <v>-</v>
      </c>
      <c r="AL75" s="33" t="str">
        <f>IF(OR($C75&gt;20190630,$K75&gt;30,AH75="-",$D75="是",$E75="封闭期",$H75&lt;10,$BN75&lt;-6,$BR75&lt;70),"-",COUNTIFS(AH$4:AH$200,"&lt;&gt;-",$D$4:$D$200,"&lt;&gt;是",$E$4:$E$200,"&lt;&gt;封闭期",$H$4:$H$200,"&gt;10",$BN$4:$BN$200,"&gt;-6",$BR$4:$BR$200,"&gt;=70",$K$4:$K$200,"&lt;=30",$C$4:$C$200,"&lt;20190630",AH$4:AH$200,"&gt;="&amp;AH75)/COUNTIFS(AH$4:AH$200,"&lt;&gt;-",$D$4:$D$200,"&lt;&gt;是",$E$4:$E$200,"&lt;&gt;封闭期",$H$4:$H$200,"&gt;10",$BN$4:$BN$200,"&gt;-6",$BR$4:$BR$200,"&gt;=70",$C$4:$C$200,"&lt;20190630",$K$4:$K$200,"&lt;=30"))</f>
        <v>-</v>
      </c>
      <c r="AM75" s="19">
        <f>[1]!f_return($A75,"1",AM$2,$L$2)</f>
        <v>8.5028218364914032</v>
      </c>
      <c r="AN75" s="19">
        <f>[1]!f_risk_stdevyearly($A75,AM$2,$L$2,1,1)</f>
        <v>7.5256244214587946</v>
      </c>
      <c r="AO75" s="19">
        <f>IFERROR(AM75/AN75,"-")</f>
        <v>1.1298493467527024</v>
      </c>
      <c r="AP75" s="19" t="str">
        <f>IFERROR(RANK(AO75,AO:AO)&amp;"/"&amp;COUNT(AO:AO),"-")</f>
        <v>147/197</v>
      </c>
      <c r="AQ75" s="26">
        <f>IF(AP75="-","-",RANK(AO75,AO:AO)/COUNT(AO:AO))</f>
        <v>0.74619289340101524</v>
      </c>
      <c r="AR75" s="57">
        <v>0.36548223350253806</v>
      </c>
      <c r="AS75" s="33" t="str">
        <f>IF(OR($C75&gt;20190630,$K75&gt;30,AO75="-",$D75="是",$E75="封闭期",$H75&lt;10,$BN75&lt;-6,$BR75&lt;70),"-",COUNTIFS(AO$4:AO$200,"&lt;&gt;-",$D$4:$D$200,"&lt;&gt;是",$E$4:$E$200,"&lt;&gt;封闭期",$H$4:$H$200,"&gt;10",$BN$4:$BN$200,"&gt;-6",$BR$4:$BR$200,"&gt;=70",$K$4:$K$200,"&lt;=30",$C$4:$C$200,"&lt;20190630",AO$4:AO$200,"&gt;="&amp;AO75)/COUNTIFS(AO$4:AO$200,"&lt;&gt;-",$D$4:$D$200,"&lt;&gt;是",$E$4:$E$200,"&lt;&gt;封闭期",$H$4:$H$200,"&gt;10",$BN$4:$BN$200,"&gt;-6",$BR$4:$BR$200,"&gt;=70",$C$4:$C$200,"&lt;20190630",$K$4:$K$200,"&lt;=30"))</f>
        <v>-</v>
      </c>
      <c r="AT75" s="19">
        <f>IFERROR((AM75-3)/AN75,"-")</f>
        <v>0.7312113292287733</v>
      </c>
      <c r="AU75" s="19" t="str">
        <f>IFERROR(RANK(AT75,AT:AT)&amp;"/"&amp;COUNT(AT:AT),"-")</f>
        <v>117/197</v>
      </c>
      <c r="AV75" s="26">
        <f>IFERROR(RANK(AT75,AT:AT)/COUNT(AT:AT),"-")</f>
        <v>0.59390862944162437</v>
      </c>
      <c r="AW75" s="34" t="str">
        <f>IF(OR($C75&gt;20190630,$K75&gt;30,AT75="-",$D75="是",$E75="封闭期",$H75&lt;10,$BN75&lt;-6,$BR75&lt;70),"-",COUNTIFS(AT$4:AT$200,"&lt;&gt;-",$D$4:$D$200,"&lt;&gt;是",$E$4:$E$200,"&lt;&gt;封闭期",$H$4:$H$200,"&gt;10",$BN$4:$BN$200,"&gt;-6",$BR$4:$BR$200,"&gt;=70",$K$4:$K$200,"&lt;=30",$C$4:$C$200,"&lt;20190630",AT$4:AT$200,"&gt;="&amp;AT75)&amp;"/"&amp;COUNTIFS(AT$4:AT$200,"&lt;&gt;-",$D$4:$D$200,"&lt;&gt;是",$E$4:$E$200,"&lt;&gt;封闭期",$H$4:$H$200,"&gt;10",$BN$4:$BN$200,"&gt;-6",$BR$4:$BR$200,"&gt;=70",$C$4:$C$200,"&lt;20190630",$K$4:$K$200,"&lt;=30"))</f>
        <v>-</v>
      </c>
      <c r="AX75" s="33" t="str">
        <f>IF(OR($C75&gt;20190630,$K75&gt;30,AT75="-",$D75="是",$E75="封闭期",$H75&lt;10,$BN75&lt;-6,$BR75&lt;70),"-",COUNTIFS(AT$4:AT$200,"&lt;&gt;-",$D$4:$D$200,"&lt;&gt;是",$E$4:$E$200,"&lt;&gt;封闭期",$H$4:$H$200,"&gt;10",$BN$4:$BN$200,"&gt;-6",$BR$4:$BR$200,"&gt;=70",$K$4:$K$200,"&lt;=30",$C$4:$C$200,"&lt;20190630",AT$4:AT$200,"&gt;="&amp;AT75)/COUNTIFS(AT$4:AT$200,"&lt;&gt;-",$D$4:$D$200,"&lt;&gt;是",$E$4:$E$200,"&lt;&gt;封闭期",$H$4:$H$200,"&gt;10",$BN$4:$BN$200,"&gt;-6",$BR$4:$BR$200,"&gt;=70",$C$4:$C$200,"&lt;20190630",$K$4:$K$200,"&lt;=30"))</f>
        <v>-</v>
      </c>
      <c r="AY75" s="19">
        <f>[1]!f_risk_calmar(A75,$AM$2,$L$2)</f>
        <v>1.6045647659185431</v>
      </c>
      <c r="AZ75" s="19" t="str">
        <f>IFERROR(RANK(AY75,AY:AY)&amp;"/"&amp;COUNT(AY:AY),"-")</f>
        <v>138/197</v>
      </c>
      <c r="BA75" s="26">
        <f>IFERROR(RANK(AY75,AY:AY)/COUNT(AY:AY),"-")</f>
        <v>0.70050761421319796</v>
      </c>
      <c r="BB75" s="34" t="str">
        <f>IF(OR($C75&gt;20190630,$K75&gt;30,AY75="-",$D75="是",$E75="封闭期",$H75&lt;10,$BN75&lt;-6,$BR75&lt;70),"-",COUNTIFS(AY$4:AY$200,"&lt;&gt;-",$D$4:$D$200,"&lt;&gt;是",$E$4:$E$200,"&lt;&gt;封闭期",$H$4:$H$200,"&gt;10",$BN$4:$BN$200,"&gt;-6",$BR$4:$BR$200,"&gt;=70",$K$4:$K$200,"&lt;=30",$C$4:$C$200,"&lt;20190630",AY$4:AY$200,"&gt;="&amp;AY75)&amp;"/"&amp;COUNTIFS(AY$4:AY$200,"&lt;&gt;-",$D$4:$D$200,"&lt;&gt;是",$E$4:$E$200,"&lt;&gt;封闭期",$H$4:$H$200,"&gt;10",$BN$4:$BN$200,"&gt;-6",$BR$4:$BR$200,"&gt;=70",$C$4:$C$200,"&lt;20190630",$K$4:$K$200,"&lt;=30"))</f>
        <v>-</v>
      </c>
      <c r="BC75" s="33" t="str">
        <f>IF(OR($C75&gt;20190630,$K75&gt;30,AY75="-",$D75="是",$E75="封闭期",$H75&lt;10,$BN75&lt;-6,$BR75&lt;70),"-",COUNTIFS(AY$4:AY$200,"&lt;&gt;-",$D$4:$D$200,"&lt;&gt;是",$E$4:$E$200,"&lt;&gt;封闭期",$H$4:$H$200,"&gt;10",$BN$4:$BN$200,"&gt;-6",$BR$4:$BR$200,"&gt;=70",$K$4:$K$200,"&lt;=30",$C$4:$C$200,"&lt;20190630",AY$4:AY$200,"&gt;="&amp;AY75)/COUNTIFS(AY$4:AY$200,"&lt;&gt;-",$D$4:$D$200,"&lt;&gt;是",$E$4:$E$200,"&lt;&gt;封闭期",$H$4:$H$200,"&gt;10",$BN$4:$BN$200,"&gt;-6",$BR$4:$BR$200,"&gt;=70",$C$4:$C$200,"&lt;20190630",$K$4:$K$200,"&lt;=30"))</f>
        <v>-</v>
      </c>
      <c r="BD75" s="20">
        <v>1</v>
      </c>
      <c r="BE75" s="19" t="str">
        <f>IFERROR(RANK(BD75,BD:BD)&amp;"/"&amp;COUNT(BD:BD),"-")</f>
        <v>1/197</v>
      </c>
      <c r="BF75" s="26">
        <f>IFERROR(RANK(BD75,BD:BD)/COUNT(BD:BD),"-")</f>
        <v>5.076142131979695E-3</v>
      </c>
      <c r="BG75" s="34" t="str">
        <f>IF(OR($C75&gt;20190630,$K75&gt;30,BD75="-",$D75="是",$E75="封闭期",$H75&lt;10,$BN75&lt;-6,$BR75&lt;70),"-",COUNTIFS(BD$4:BD$200,"&lt;&gt;-",$D$4:$D$200,"&lt;&gt;是",$E$4:$E$200,"&lt;&gt;封闭期",$H$4:$H$200,"&gt;10",$BN$4:$BN$200,"&gt;-6",$BR$4:$BR$200,"&gt;=70",$K$4:$K$200,"&lt;=30",$C$4:$C$200,"&lt;20190630",BD$4:BD$200,"&gt;="&amp;BD75)&amp;"/"&amp;COUNTIFS(BD$4:BD$200,"&lt;&gt;-",$D$4:$D$200,"&lt;&gt;是",$E$4:$E$200,"&lt;&gt;封闭期",$H$4:$H$200,"&gt;10",$BN$4:$BN$200,"&gt;-6",$BR$4:$BR$200,"&gt;=70",$C$4:$C$200,"&lt;20190630",$K$4:$K$200,"&lt;=30"))</f>
        <v>-</v>
      </c>
      <c r="BH75" s="33" t="str">
        <f>IF(OR($C75&gt;20190630,$K75&gt;30,BD75="-",$D75="是",$E75="封闭期",$H75&lt;10,$BN75&lt;-6,$BR75&lt;70),"-",COUNTIFS(BD$4:BD$200,"&lt;&gt;-",$D$4:$D$200,"&lt;&gt;是",$E$4:$E$200,"&lt;&gt;封闭期",$H$4:$H$200,"&gt;10",$BN$4:$BN$200,"&gt;-6",$BR$4:$BR$200,"&gt;=70",$K$4:$K$200,"&lt;=30",$C$4:$C$200,"&lt;20190630",BD$4:BD$200,"&gt;="&amp;BD75)/COUNTIFS(BD$4:BD$200,"&lt;&gt;-",$D$4:$D$200,"&lt;&gt;是",$E$4:$E$200,"&lt;&gt;封闭期",$H$4:$H$200,"&gt;10",$BN$4:$BN$200,"&gt;-6",$BR$4:$BR$200,"&gt;=70",$C$4:$C$200,"&lt;20190630",$K$4:$K$200,"&lt;=30"))</f>
        <v>-</v>
      </c>
      <c r="BI75" s="21">
        <f>[1]!f_risk_maxdownside(A75,$AM$2,$L$2)</f>
        <v>-5.2991452991452856</v>
      </c>
      <c r="BJ75" s="19" t="str">
        <f>IFERROR(RANK(BI75,BI:BI)&amp;"/"&amp;COUNT(BI:BI),"-")</f>
        <v>158/197</v>
      </c>
      <c r="BK75" s="26">
        <f>IFERROR(RANK(BI75,BI:BI)/COUNT(BI:BI),"-")</f>
        <v>0.80203045685279184</v>
      </c>
      <c r="BL75" s="34" t="str">
        <f>IF(OR($C75&gt;20190630,$K75&gt;30,BI75="-",$D75="是",$E75="封闭期",$H75&lt;10,$BN75&lt;-6,$BR75&lt;70),"-",COUNTIFS(BI$4:BI$200,"&lt;&gt;-",$D$4:$D$200,"&lt;&gt;是",$E$4:$E$200,"&lt;&gt;封闭期",$H$4:$H$200,"&gt;10",$BN$4:$BN$200,"&gt;-6",$BR$4:$BR$200,"&gt;=70",$K$4:$K$200,"&lt;=30",$C$4:$C$200,"&lt;20190630",BI$4:BI$200,"&gt;="&amp;BI75)&amp;"/"&amp;COUNTIFS(BI$4:BI$200,"&lt;&gt;-",$D$4:$D$200,"&lt;&gt;是",$E$4:$E$200,"&lt;&gt;封闭期",$H$4:$H$200,"&gt;10",$BN$4:$BN$200,"&gt;-6",$BR$4:$BR$200,"&gt;=70",$C$4:$C$200,"&lt;20190630",$K$4:$K$200,"&lt;=30"))</f>
        <v>-</v>
      </c>
      <c r="BM75" s="33" t="str">
        <f>IF(OR($C75&gt;20190630,$K75&gt;30,BI75="-",$D75="是",$E75="封闭期",$H75&lt;10,$BN75&lt;-6,$BR75&lt;70),"-",COUNTIFS(BI$4:BI$200,"&lt;&gt;-",$D$4:$D$200,"&lt;&gt;是",$E$4:$E$200,"&lt;&gt;封闭期",$H$4:$H$200,"&gt;10",$BN$4:$BN$200,"&gt;-6",$BR$4:$BR$200,"&gt;=70",$K$4:$K$200,"&lt;=30",$C$4:$C$200,"&lt;20190630",BI$4:BI$200,"&gt;="&amp;BI75)/COUNTIFS(BI$4:BI$200,"&lt;&gt;-",$D$4:$D$200,"&lt;&gt;是",$E$4:$E$200,"&lt;&gt;封闭期",$H$4:$H$200,"&gt;10",$BN$4:$BN$200,"&gt;-6",$BR$4:$BR$200,"&gt;=70",$C$4:$C$200,"&lt;20190630",$K$4:$K$200,"&lt;=30"))</f>
        <v>-</v>
      </c>
      <c r="BN75" s="21">
        <f>[1]!f_risk_maxdownside(A75,$AM$2,$E$1)</f>
        <v>-7.1143283685978345</v>
      </c>
      <c r="BO75" s="21">
        <f>IF(C75&lt;20190930,[1]!f_return_2y(A75,"0","20210930"),"-")</f>
        <v>19.235904916076972</v>
      </c>
      <c r="BP75" s="19" t="str">
        <f>IFERROR(RANK(BO75,BO:BO)&amp;"/"&amp;COUNT(BO:BO),"-")</f>
        <v>42/197</v>
      </c>
      <c r="BQ75" s="25">
        <f>IFERROR(RANK(BO75,BO:BO)/COUNT(BO:BO),"-")</f>
        <v>0.21319796954314721</v>
      </c>
      <c r="BR75" s="19">
        <f>IF(C75&lt;20190930,[1]!f_absolute_profitmonthper(A75,"20190930","20210930"),"-")</f>
        <v>54.166666666666664</v>
      </c>
      <c r="BS75" s="19" t="str">
        <f>IFERROR(RANK(BR75,BR:BR)&amp;"/"&amp;COUNT(BR:BR),"-")</f>
        <v>184/198</v>
      </c>
      <c r="BT75" s="25">
        <f>IFERROR(RANK(BR75,BR:BR)/COUNT(BR:BR),"-")</f>
        <v>0.92929292929292928</v>
      </c>
      <c r="BU75" s="17"/>
      <c r="BV75" s="12">
        <f>X75-3/M75</f>
        <v>0.99620288140539826</v>
      </c>
      <c r="BW75" s="76">
        <f>IFERROR(RANK(BV75,BV:BV)/COUNT(BV:BV),"-")</f>
        <v>0.59898477157360408</v>
      </c>
      <c r="BX75" s="76">
        <f>IFERROR(RANK(L75,L:L)/COUNT(L:L),"-")</f>
        <v>0.19191919191919191</v>
      </c>
      <c r="BY75" s="12">
        <f>AY75-3/AN75</f>
        <v>1.2059267483946141</v>
      </c>
      <c r="BZ75" s="76">
        <f>IFERROR(RANK(BY75,BY:BY)/COUNT(BY:BY),"-")</f>
        <v>0.62944162436548223</v>
      </c>
      <c r="CA75" s="76">
        <f>IFERROR(RANK(AM75,AM:AM)/COUNT(AM:AM),"-")</f>
        <v>0.36868686868686867</v>
      </c>
      <c r="CC75" s="77">
        <f>AV75+BF75+BZ75+CA75</f>
        <v>1.5971132646259549</v>
      </c>
      <c r="CD75" s="77">
        <f>BW75+BX75+AE75+U75</f>
        <v>2.0903963492795978</v>
      </c>
      <c r="CE75" s="77">
        <f>CC75+CD75</f>
        <v>3.6875096139055525</v>
      </c>
    </row>
    <row r="76" spans="1:83" s="17" customFormat="1" hidden="1" x14ac:dyDescent="0.35">
      <c r="A76" s="15" t="s">
        <v>93</v>
      </c>
      <c r="B76" s="15" t="s">
        <v>94</v>
      </c>
      <c r="C76" s="16">
        <v>20110323</v>
      </c>
      <c r="D76" s="16" t="str">
        <f>[1]!f_info_regulopenfundornot(A76)</f>
        <v>否</v>
      </c>
      <c r="E76" s="16" t="str">
        <f>[1]!f_dq_status(A76,$E$1)</f>
        <v>开放申购|开放赎回</v>
      </c>
      <c r="F76" s="17" t="str">
        <f>[1]!f_info_fundmanager(A76)</f>
        <v>王汉博,罗伟卿</v>
      </c>
      <c r="G76" s="16">
        <v>20201128</v>
      </c>
      <c r="H76" s="18">
        <f>[1]!f_netasset_total(A76,$E$1,100000000)</f>
        <v>0.70213797989999993</v>
      </c>
      <c r="I76" s="18">
        <f>[1]!f_prt_convertiblebondtonav(A76,$E$1)</f>
        <v>24.963268280029297</v>
      </c>
      <c r="J76" s="18">
        <f>[1]!f_prt_stocktonav(A76,$E$1)+0.5*I76</f>
        <v>31.49858283996582</v>
      </c>
      <c r="K76" s="19">
        <v>0</v>
      </c>
      <c r="L76" s="19">
        <f>[1]!f_return($A76,"1",L$2,$E$1)</f>
        <v>2.4149706689667871</v>
      </c>
      <c r="M76" s="19">
        <f>[1]!f_risk_stdevyearly($A76,L$2,$E$1,1,1)</f>
        <v>5.1255214716847739</v>
      </c>
      <c r="N76" s="19">
        <f>IFERROR(L76/M76,"-")</f>
        <v>0.47116584767188169</v>
      </c>
      <c r="O76" s="19" t="str">
        <f>IFERROR(RANK(N76,N:N)&amp;"/"&amp;COUNT(N:N),"-")</f>
        <v>175/197</v>
      </c>
      <c r="P76" s="26">
        <f>IF(O76="-","-",RANK(N76,N:N)/COUNT(N:N))</f>
        <v>0.8883248730964467</v>
      </c>
      <c r="Q76" s="56">
        <v>0.87309644670050757</v>
      </c>
      <c r="R76" s="33" t="str">
        <f>IF(OR($C76&gt;20190630,$K76&gt;30,N76="-",$D76="是",$E76="封闭期",$H76&lt;10,$BN76&lt;-6,$BR76&lt;70),"-",COUNTIFS(N$4:N$200,"&lt;&gt;-",$D$4:$D$200,"&lt;&gt;是",$E$4:$E$200,"&lt;&gt;封闭期",$H$4:$H$200,"&gt;10",$BN$4:$BN$200,"&gt;-6",$BR$4:$BR$200,"&gt;=70",$K$4:$K$200,"&lt;=30",$C$4:$C$200,"&lt;20190630",N$4:N$200,"&gt;="&amp;N76)/COUNTIFS(N$4:N$200,"&lt;&gt;-",$D$4:$D$200,"&lt;&gt;是",$E$4:$E$200,"&lt;&gt;封闭期",$H$4:$H$200,"&gt;10",$BN$4:$BN$200,"&gt;-6",$BR$4:$BR$200,"&gt;=70",$C$4:$C$200,"&lt;20190630",$K$4:$K$200,"&lt;=30"))</f>
        <v>-</v>
      </c>
      <c r="S76" s="19">
        <f>IFERROR((L76-3)/M76,"-")</f>
        <v>-0.11414045073562282</v>
      </c>
      <c r="T76" s="19" t="str">
        <f>IFERROR(RANK(S76,S:S)&amp;"/"&amp;COUNT(S:S),"-")</f>
        <v>169/197</v>
      </c>
      <c r="U76" s="26">
        <f>IFERROR(RANK(S76,S:S)/COUNT(S:S),"-")</f>
        <v>0.85786802030456855</v>
      </c>
      <c r="V76" s="34" t="str">
        <f>IF(OR($C76&gt;20190630,$K76&gt;30,S76="-",$D76="是",$E76="封闭期",$H76&lt;10,$BN76&lt;-6,$BR76&lt;70),"-",COUNTIFS(S$4:S$200,"&lt;&gt;-",$D$4:$D$200,"&lt;&gt;是",$E$4:$E$200,"&lt;&gt;封闭期",$H$4:$H$200,"&gt;10",$BN$4:$BN$200,"&gt;-6",$BR$4:$BR$200,"&gt;=70",$K$4:$K$200,"&lt;=30",$C$4:$C$200,"&lt;20190630",S$4:S$200,"&gt;="&amp;S76)&amp;"/"&amp;COUNTIFS(S$4:S$200,"&lt;&gt;-",$D$4:$D$200,"&lt;&gt;是",$E$4:$E$200,"&lt;&gt;封闭期",$H$4:$H$200,"&gt;10",$BN$4:$BN$200,"&gt;-6",$BR$4:$BR$200,"&gt;=70",$C$4:$C$200,"&lt;20190630",$K$4:$K$200,"&lt;=30"))</f>
        <v>-</v>
      </c>
      <c r="W76" s="33" t="str">
        <f>IF(OR($C76&gt;20190630,$K76&gt;30,S76="-",$D76="是",$E76="封闭期",$H76&lt;10,$BN76&lt;-6,$BR76&lt;70),"-",COUNTIFS(S$4:S$200,"&lt;&gt;-",$D$4:$D$200,"&lt;&gt;是",$E$4:$E$200,"&lt;&gt;封闭期",$H$4:$H$200,"&gt;10",$BN$4:$BN$200,"&gt;-6",$BR$4:$BR$200,"&gt;=70",$K$4:$K$200,"&lt;=30",$C$4:$C$200,"&lt;20190630",S$4:S$200,"&gt;="&amp;S76)/COUNTIFS(S$4:S$200,"&lt;&gt;-",$D$4:$D$200,"&lt;&gt;是",$E$4:$E$200,"&lt;&gt;封闭期",$H$4:$H$200,"&gt;10",$BN$4:$BN$200,"&gt;-6",$BR$4:$BR$200,"&gt;=70",$C$4:$C$200,"&lt;20190630",$K$4:$K$200,"&lt;=30"))</f>
        <v>-</v>
      </c>
      <c r="X76" s="19">
        <f>[1]!f_risk_calmar(A76,$L$2,$E$1)</f>
        <v>0.73150016728675193</v>
      </c>
      <c r="Y76" s="19" t="str">
        <f>IFERROR(RANK(X76,X:X)&amp;"/"&amp;COUNT(X:X),"-")</f>
        <v>170/197</v>
      </c>
      <c r="Z76" s="26">
        <f>IFERROR(RANK(X76,X:X)/COUNT(X:X),"-")</f>
        <v>0.86294416243654826</v>
      </c>
      <c r="AA76" s="34" t="str">
        <f>IF(OR($C76&gt;20190630,$K76&gt;30,X76="-",$D76="是",$E76="封闭期",$H76&lt;10,$BN76&lt;-6,$BR76&lt;70),"-",COUNTIFS(X$4:X$200,"&lt;&gt;-",$D$4:$D$200,"&lt;&gt;是",$E$4:$E$200,"&lt;&gt;封闭期",$H$4:$H$200,"&gt;10",$BN$4:$BN$200,"&gt;-6",$BR$4:$BR$200,"&gt;=70",$K$4:$K$200,"&lt;=30",$C$4:$C$200,"&lt;20190630",X$4:X$200,"&gt;="&amp;X76)&amp;"/"&amp;COUNTIFS(X$4:X$200,"&lt;&gt;-",$D$4:$D$200,"&lt;&gt;是",$E$4:$E$200,"&lt;&gt;封闭期",$H$4:$H$200,"&gt;10",$BN$4:$BN$200,"&gt;-6",$BR$4:$BR$200,"&gt;=70",$C$4:$C$200,"&lt;20190630",$K$4:$K$200,"&lt;=30"))</f>
        <v>-</v>
      </c>
      <c r="AB76" s="33" t="str">
        <f>IF(OR($C76&gt;20190630,$K76&gt;30,X76="-",$D76="是",$E76="封闭期",$H76&lt;10,$BN76&lt;-6,$BR76&lt;70),"-",COUNTIFS(X$4:X$200,"&lt;&gt;-",$D$4:$D$200,"&lt;&gt;是",$E$4:$E$200,"&lt;&gt;封闭期",$H$4:$H$200,"&gt;10",$BN$4:$BN$200,"&gt;-6",$BR$4:$BR$200,"&gt;=70",$K$4:$K$200,"&lt;=30",$C$4:$C$200,"&lt;20190630",X$4:X$200,"&gt;="&amp;X76)/COUNTIFS(X$4:X$200,"&lt;&gt;-",$D$4:$D$200,"&lt;&gt;是",$E$4:$E$200,"&lt;&gt;封闭期",$H$4:$H$200,"&gt;10",$BN$4:$BN$200,"&gt;-6",$BR$4:$BR$200,"&gt;=70",$C$4:$C$200,"&lt;20190630",$K$4:$K$200,"&lt;=30"))</f>
        <v>-</v>
      </c>
      <c r="AC76" s="20">
        <v>0.77310924369747902</v>
      </c>
      <c r="AD76" s="19" t="str">
        <f>IFERROR(RANK(AC76,AC:AC)&amp;"/"&amp;COUNT(AC:AC),"-")</f>
        <v>152/197</v>
      </c>
      <c r="AE76" s="26">
        <f>IFERROR(RANK(AC76,AC:AC)/COUNT(AC:AC),"-")</f>
        <v>0.77157360406091369</v>
      </c>
      <c r="AF76" s="34" t="str">
        <f>IF(OR($C76&gt;20190630,$K76&gt;30,AC76="-",$D76="是",$E76="封闭期",$H76&lt;10,$BN76&lt;-6,$BR76&lt;70),"-",COUNTIFS(AC$4:AC$200,"&lt;&gt;-",$D$4:$D$200,"&lt;&gt;是",$E$4:$E$200,"&lt;&gt;封闭期",$H$4:$H$200,"&gt;10",$BN$4:$BN$200,"&gt;-6",$BR$4:$BR$200,"&gt;=70",$K$4:$K$200,"&lt;=30",$C$4:$C$200,"&lt;20190630",AC$4:AC$200,"&gt;="&amp;AC76)&amp;"/"&amp;COUNTIFS(AC$4:AC$200,"&lt;&gt;-",$D$4:$D$200,"&lt;&gt;是",$E$4:$E$200,"&lt;&gt;封闭期",$H$4:$H$200,"&gt;10",$BN$4:$BN$200,"&gt;-6",$BR$4:$BR$200,"&gt;=70",$C$4:$C$200,"&lt;20190630",$K$4:$K$200,"&lt;=30"))</f>
        <v>-</v>
      </c>
      <c r="AG76" s="33" t="str">
        <f>IF(OR($C76&gt;20190630,$K76&gt;30,AC76="-",$D76="是",$E76="封闭期",$H76&lt;10,$BN76&lt;-6,$BR76&lt;70),"-",COUNTIFS(AC$4:AC$200,"&lt;&gt;-",$D$4:$D$200,"&lt;&gt;是",$E$4:$E$200,"&lt;&gt;封闭期",$H$4:$H$200,"&gt;10",$BN$4:$BN$200,"&gt;-6",$BR$4:$BR$200,"&gt;=70",$K$4:$K$200,"&lt;=30",$C$4:$C$200,"&lt;20190630",AC$4:AC$200,"&gt;="&amp;AC76)/COUNTIFS(AC$4:AC$200,"&lt;&gt;-",$D$4:$D$200,"&lt;&gt;是",$E$4:$E$200,"&lt;&gt;封闭期",$H$4:$H$200,"&gt;10",$BN$4:$BN$200,"&gt;-6",$BR$4:$BR$200,"&gt;=70",$C$4:$C$200,"&lt;20190630",$K$4:$K$200,"&lt;=30"))</f>
        <v>-</v>
      </c>
      <c r="AH76" s="21">
        <f>[1]!f_risk_maxdownside(A76,$L$2,$E$1)</f>
        <v>-3.3013945545963299</v>
      </c>
      <c r="AI76" s="19" t="str">
        <f>IFERROR(RANK(AH76,AH:AH)&amp;"/"&amp;COUNT(AH:AH),"-")</f>
        <v>106/197</v>
      </c>
      <c r="AJ76" s="26">
        <f>IFERROR(RANK(AH76,AH:AH)/COUNT(AH:AH),"-")</f>
        <v>0.53807106598984766</v>
      </c>
      <c r="AK76" s="34" t="str">
        <f>IF(OR($C76&gt;20190630,$K76&gt;30,AH76="-",$D76="是",$E76="封闭期",$H76&lt;10,$BN76&lt;-6,$BR76&lt;70),"-",COUNTIFS(AH$4:AH$200,"&lt;&gt;-",$D$4:$D$200,"&lt;&gt;是",$E$4:$E$200,"&lt;&gt;封闭期",$H$4:$H$200,"&gt;10",$BN$4:$BN$200,"&gt;-6",$BR$4:$BR$200,"&gt;=70",$K$4:$K$200,"&lt;=30",$C$4:$C$200,"&lt;20190630",AH$4:AH$200,"&gt;="&amp;AH76)&amp;"/"&amp;COUNTIFS(AH$4:AH$200,"&lt;&gt;-",$D$4:$D$200,"&lt;&gt;是",$E$4:$E$200,"&lt;&gt;封闭期",$H$4:$H$200,"&gt;10",$BN$4:$BN$200,"&gt;-6",$BR$4:$BR$200,"&gt;=70",$C$4:$C$200,"&lt;20190630",$K$4:$K$200,"&lt;=30"))</f>
        <v>-</v>
      </c>
      <c r="AL76" s="33" t="str">
        <f>IF(OR($C76&gt;20190630,$K76&gt;30,AH76="-",$D76="是",$E76="封闭期",$H76&lt;10,$BN76&lt;-6,$BR76&lt;70),"-",COUNTIFS(AH$4:AH$200,"&lt;&gt;-",$D$4:$D$200,"&lt;&gt;是",$E$4:$E$200,"&lt;&gt;封闭期",$H$4:$H$200,"&gt;10",$BN$4:$BN$200,"&gt;-6",$BR$4:$BR$200,"&gt;=70",$K$4:$K$200,"&lt;=30",$C$4:$C$200,"&lt;20190630",AH$4:AH$200,"&gt;="&amp;AH76)/COUNTIFS(AH$4:AH$200,"&lt;&gt;-",$D$4:$D$200,"&lt;&gt;是",$E$4:$E$200,"&lt;&gt;封闭期",$H$4:$H$200,"&gt;10",$BN$4:$BN$200,"&gt;-6",$BR$4:$BR$200,"&gt;=70",$C$4:$C$200,"&lt;20190630",$K$4:$K$200,"&lt;=30"))</f>
        <v>-</v>
      </c>
      <c r="AM76" s="19">
        <f>[1]!f_return($A76,"1",AM$2,$L$2)</f>
        <v>8.429771278681585</v>
      </c>
      <c r="AN76" s="19">
        <f>[1]!f_risk_stdevyearly($A76,AM$2,$L$2,1,1)</f>
        <v>4.225149089281361</v>
      </c>
      <c r="AO76" s="19">
        <f>IFERROR(AM76/AN76,"-")</f>
        <v>1.9951417335939197</v>
      </c>
      <c r="AP76" s="19" t="str">
        <f>IFERROR(RANK(AO76,AO:AO)&amp;"/"&amp;COUNT(AO:AO),"-")</f>
        <v>48/197</v>
      </c>
      <c r="AQ76" s="26">
        <f>IF(AP76="-","-",RANK(AO76,AO:AO)/COUNT(AO:AO))</f>
        <v>0.24365482233502539</v>
      </c>
      <c r="AR76" s="57">
        <v>0.37055837563451777</v>
      </c>
      <c r="AS76" s="33" t="str">
        <f>IF(OR($C76&gt;20190630,$K76&gt;30,AO76="-",$D76="是",$E76="封闭期",$H76&lt;10,$BN76&lt;-6,$BR76&lt;70),"-",COUNTIFS(AO$4:AO$200,"&lt;&gt;-",$D$4:$D$200,"&lt;&gt;是",$E$4:$E$200,"&lt;&gt;封闭期",$H$4:$H$200,"&gt;10",$BN$4:$BN$200,"&gt;-6",$BR$4:$BR$200,"&gt;=70",$K$4:$K$200,"&lt;=30",$C$4:$C$200,"&lt;20190630",AO$4:AO$200,"&gt;="&amp;AO76)/COUNTIFS(AO$4:AO$200,"&lt;&gt;-",$D$4:$D$200,"&lt;&gt;是",$E$4:$E$200,"&lt;&gt;封闭期",$H$4:$H$200,"&gt;10",$BN$4:$BN$200,"&gt;-6",$BR$4:$BR$200,"&gt;=70",$C$4:$C$200,"&lt;20190630",$K$4:$K$200,"&lt;=30"))</f>
        <v>-</v>
      </c>
      <c r="AT76" s="19">
        <f>IFERROR((AM76-3)/AN76,"-")</f>
        <v>1.2851076172569129</v>
      </c>
      <c r="AU76" s="19" t="str">
        <f>IFERROR(RANK(AT76,AT:AT)&amp;"/"&amp;COUNT(AT:AT),"-")</f>
        <v>44/197</v>
      </c>
      <c r="AV76" s="26">
        <f>IFERROR(RANK(AT76,AT:AT)/COUNT(AT:AT),"-")</f>
        <v>0.2233502538071066</v>
      </c>
      <c r="AW76" s="34" t="str">
        <f>IF(OR($C76&gt;20190630,$K76&gt;30,AT76="-",$D76="是",$E76="封闭期",$H76&lt;10,$BN76&lt;-6,$BR76&lt;70),"-",COUNTIFS(AT$4:AT$200,"&lt;&gt;-",$D$4:$D$200,"&lt;&gt;是",$E$4:$E$200,"&lt;&gt;封闭期",$H$4:$H$200,"&gt;10",$BN$4:$BN$200,"&gt;-6",$BR$4:$BR$200,"&gt;=70",$K$4:$K$200,"&lt;=30",$C$4:$C$200,"&lt;20190630",AT$4:AT$200,"&gt;="&amp;AT76)&amp;"/"&amp;COUNTIFS(AT$4:AT$200,"&lt;&gt;-",$D$4:$D$200,"&lt;&gt;是",$E$4:$E$200,"&lt;&gt;封闭期",$H$4:$H$200,"&gt;10",$BN$4:$BN$200,"&gt;-6",$BR$4:$BR$200,"&gt;=70",$C$4:$C$200,"&lt;20190630",$K$4:$K$200,"&lt;=30"))</f>
        <v>-</v>
      </c>
      <c r="AX76" s="33" t="str">
        <f>IF(OR($C76&gt;20190630,$K76&gt;30,AT76="-",$D76="是",$E76="封闭期",$H76&lt;10,$BN76&lt;-6,$BR76&lt;70),"-",COUNTIFS(AT$4:AT$200,"&lt;&gt;-",$D$4:$D$200,"&lt;&gt;是",$E$4:$E$200,"&lt;&gt;封闭期",$H$4:$H$200,"&gt;10",$BN$4:$BN$200,"&gt;-6",$BR$4:$BR$200,"&gt;=70",$K$4:$K$200,"&lt;=30",$C$4:$C$200,"&lt;20190630",AT$4:AT$200,"&gt;="&amp;AT76)/COUNTIFS(AT$4:AT$200,"&lt;&gt;-",$D$4:$D$200,"&lt;&gt;是",$E$4:$E$200,"&lt;&gt;封闭期",$H$4:$H$200,"&gt;10",$BN$4:$BN$200,"&gt;-6",$BR$4:$BR$200,"&gt;=70",$C$4:$C$200,"&lt;20190630",$K$4:$K$200,"&lt;=30"))</f>
        <v>-</v>
      </c>
      <c r="AY76" s="19">
        <f>[1]!f_risk_calmar(A76,$AM$2,$L$2)</f>
        <v>3.0419174649762137</v>
      </c>
      <c r="AZ76" s="19" t="str">
        <f>IFERROR(RANK(AY76,AY:AY)&amp;"/"&amp;COUNT(AY:AY),"-")</f>
        <v>48/197</v>
      </c>
      <c r="BA76" s="26">
        <f>IFERROR(RANK(AY76,AY:AY)/COUNT(AY:AY),"-")</f>
        <v>0.24365482233502539</v>
      </c>
      <c r="BB76" s="34" t="str">
        <f>IF(OR($C76&gt;20190630,$K76&gt;30,AY76="-",$D76="是",$E76="封闭期",$H76&lt;10,$BN76&lt;-6,$BR76&lt;70),"-",COUNTIFS(AY$4:AY$200,"&lt;&gt;-",$D$4:$D$200,"&lt;&gt;是",$E$4:$E$200,"&lt;&gt;封闭期",$H$4:$H$200,"&gt;10",$BN$4:$BN$200,"&gt;-6",$BR$4:$BR$200,"&gt;=70",$K$4:$K$200,"&lt;=30",$C$4:$C$200,"&lt;20190630",AY$4:AY$200,"&gt;="&amp;AY76)&amp;"/"&amp;COUNTIFS(AY$4:AY$200,"&lt;&gt;-",$D$4:$D$200,"&lt;&gt;是",$E$4:$E$200,"&lt;&gt;封闭期",$H$4:$H$200,"&gt;10",$BN$4:$BN$200,"&gt;-6",$BR$4:$BR$200,"&gt;=70",$C$4:$C$200,"&lt;20190630",$K$4:$K$200,"&lt;=30"))</f>
        <v>-</v>
      </c>
      <c r="BC76" s="33" t="str">
        <f>IF(OR($C76&gt;20190630,$K76&gt;30,AY76="-",$D76="是",$E76="封闭期",$H76&lt;10,$BN76&lt;-6,$BR76&lt;70),"-",COUNTIFS(AY$4:AY$200,"&lt;&gt;-",$D$4:$D$200,"&lt;&gt;是",$E$4:$E$200,"&lt;&gt;封闭期",$H$4:$H$200,"&gt;10",$BN$4:$BN$200,"&gt;-6",$BR$4:$BR$200,"&gt;=70",$K$4:$K$200,"&lt;=30",$C$4:$C$200,"&lt;20190630",AY$4:AY$200,"&gt;="&amp;AY76)/COUNTIFS(AY$4:AY$200,"&lt;&gt;-",$D$4:$D$200,"&lt;&gt;是",$E$4:$E$200,"&lt;&gt;封闭期",$H$4:$H$200,"&gt;10",$BN$4:$BN$200,"&gt;-6",$BR$4:$BR$200,"&gt;=70",$C$4:$C$200,"&lt;20190630",$K$4:$K$200,"&lt;=30"))</f>
        <v>-</v>
      </c>
      <c r="BD76" s="20">
        <v>1</v>
      </c>
      <c r="BE76" s="19" t="str">
        <f>IFERROR(RANK(BD76,BD:BD)&amp;"/"&amp;COUNT(BD:BD),"-")</f>
        <v>1/197</v>
      </c>
      <c r="BF76" s="26">
        <f>IFERROR(RANK(BD76,BD:BD)/COUNT(BD:BD),"-")</f>
        <v>5.076142131979695E-3</v>
      </c>
      <c r="BG76" s="34" t="str">
        <f>IF(OR($C76&gt;20190630,$K76&gt;30,BD76="-",$D76="是",$E76="封闭期",$H76&lt;10,$BN76&lt;-6,$BR76&lt;70),"-",COUNTIFS(BD$4:BD$200,"&lt;&gt;-",$D$4:$D$200,"&lt;&gt;是",$E$4:$E$200,"&lt;&gt;封闭期",$H$4:$H$200,"&gt;10",$BN$4:$BN$200,"&gt;-6",$BR$4:$BR$200,"&gt;=70",$K$4:$K$200,"&lt;=30",$C$4:$C$200,"&lt;20190630",BD$4:BD$200,"&gt;="&amp;BD76)&amp;"/"&amp;COUNTIFS(BD$4:BD$200,"&lt;&gt;-",$D$4:$D$200,"&lt;&gt;是",$E$4:$E$200,"&lt;&gt;封闭期",$H$4:$H$200,"&gt;10",$BN$4:$BN$200,"&gt;-6",$BR$4:$BR$200,"&gt;=70",$C$4:$C$200,"&lt;20190630",$K$4:$K$200,"&lt;=30"))</f>
        <v>-</v>
      </c>
      <c r="BH76" s="33" t="str">
        <f>IF(OR($C76&gt;20190630,$K76&gt;30,BD76="-",$D76="是",$E76="封闭期",$H76&lt;10,$BN76&lt;-6,$BR76&lt;70),"-",COUNTIFS(BD$4:BD$200,"&lt;&gt;-",$D$4:$D$200,"&lt;&gt;是",$E$4:$E$200,"&lt;&gt;封闭期",$H$4:$H$200,"&gt;10",$BN$4:$BN$200,"&gt;-6",$BR$4:$BR$200,"&gt;=70",$K$4:$K$200,"&lt;=30",$C$4:$C$200,"&lt;20190630",BD$4:BD$200,"&gt;="&amp;BD76)/COUNTIFS(BD$4:BD$200,"&lt;&gt;-",$D$4:$D$200,"&lt;&gt;是",$E$4:$E$200,"&lt;&gt;封闭期",$H$4:$H$200,"&gt;10",$BN$4:$BN$200,"&gt;-6",$BR$4:$BR$200,"&gt;=70",$C$4:$C$200,"&lt;20190630",$K$4:$K$200,"&lt;=30"))</f>
        <v>-</v>
      </c>
      <c r="BI76" s="21">
        <f>[1]!f_risk_maxdownside(A76,$AM$2,$L$2)</f>
        <v>-2.7712031558185295</v>
      </c>
      <c r="BJ76" s="19" t="str">
        <f>IFERROR(RANK(BI76,BI:BI)&amp;"/"&amp;COUNT(BI:BI),"-")</f>
        <v>77/197</v>
      </c>
      <c r="BK76" s="26">
        <f>IFERROR(RANK(BI76,BI:BI)/COUNT(BI:BI),"-")</f>
        <v>0.39086294416243655</v>
      </c>
      <c r="BL76" s="34" t="str">
        <f>IF(OR($C76&gt;20190630,$K76&gt;30,BI76="-",$D76="是",$E76="封闭期",$H76&lt;10,$BN76&lt;-6,$BR76&lt;70),"-",COUNTIFS(BI$4:BI$200,"&lt;&gt;-",$D$4:$D$200,"&lt;&gt;是",$E$4:$E$200,"&lt;&gt;封闭期",$H$4:$H$200,"&gt;10",$BN$4:$BN$200,"&gt;-6",$BR$4:$BR$200,"&gt;=70",$K$4:$K$200,"&lt;=30",$C$4:$C$200,"&lt;20190630",BI$4:BI$200,"&gt;="&amp;BI76)&amp;"/"&amp;COUNTIFS(BI$4:BI$200,"&lt;&gt;-",$D$4:$D$200,"&lt;&gt;是",$E$4:$E$200,"&lt;&gt;封闭期",$H$4:$H$200,"&gt;10",$BN$4:$BN$200,"&gt;-6",$BR$4:$BR$200,"&gt;=70",$C$4:$C$200,"&lt;20190630",$K$4:$K$200,"&lt;=30"))</f>
        <v>-</v>
      </c>
      <c r="BM76" s="33" t="str">
        <f>IF(OR($C76&gt;20190630,$K76&gt;30,BI76="-",$D76="是",$E76="封闭期",$H76&lt;10,$BN76&lt;-6,$BR76&lt;70),"-",COUNTIFS(BI$4:BI$200,"&lt;&gt;-",$D$4:$D$200,"&lt;&gt;是",$E$4:$E$200,"&lt;&gt;封闭期",$H$4:$H$200,"&gt;10",$BN$4:$BN$200,"&gt;-6",$BR$4:$BR$200,"&gt;=70",$K$4:$K$200,"&lt;=30",$C$4:$C$200,"&lt;20190630",BI$4:BI$200,"&gt;="&amp;BI76)/COUNTIFS(BI$4:BI$200,"&lt;&gt;-",$D$4:$D$200,"&lt;&gt;是",$E$4:$E$200,"&lt;&gt;封闭期",$H$4:$H$200,"&gt;10",$BN$4:$BN$200,"&gt;-6",$BR$4:$BR$200,"&gt;=70",$C$4:$C$200,"&lt;20190630",$K$4:$K$200,"&lt;=30"))</f>
        <v>-</v>
      </c>
      <c r="BN76" s="21">
        <f>[1]!f_risk_maxdownside(A76,$AM$2,$E$1)</f>
        <v>-3.3013945545963299</v>
      </c>
      <c r="BO76" s="21">
        <f>IF(C76&lt;20190930,[1]!f_return_2y(A76,"0","20210930"),"-")</f>
        <v>11.175294492291323</v>
      </c>
      <c r="BP76" s="19" t="str">
        <f>IFERROR(RANK(BO76,BO:BO)&amp;"/"&amp;COUNT(BO:BO),"-")</f>
        <v>127/197</v>
      </c>
      <c r="BQ76" s="25">
        <f>IFERROR(RANK(BO76,BO:BO)/COUNT(BO:BO),"-")</f>
        <v>0.64467005076142136</v>
      </c>
      <c r="BR76" s="19">
        <f>IF(C76&lt;20190930,[1]!f_absolute_profitmonthper(A76,"20190930","20210930"),"-")</f>
        <v>58.333333333333336</v>
      </c>
      <c r="BS76" s="19" t="str">
        <f>IFERROR(RANK(BR76,BR:BR)&amp;"/"&amp;COUNT(BR:BR),"-")</f>
        <v>165/198</v>
      </c>
      <c r="BT76" s="25">
        <f>IFERROR(RANK(BR76,BR:BR)/COUNT(BR:BR),"-")</f>
        <v>0.83333333333333337</v>
      </c>
      <c r="BV76" s="12">
        <f>X76-3/M76</f>
        <v>0.14619386887924746</v>
      </c>
      <c r="BW76" s="76">
        <f>IFERROR(RANK(BV76,BV:BV)/COUNT(BV:BV),"-")</f>
        <v>0.85279187817258884</v>
      </c>
      <c r="BX76" s="76">
        <f>IFERROR(RANK(L76,L:L)/COUNT(L:L),"-")</f>
        <v>0.8737373737373737</v>
      </c>
      <c r="BY76" s="12">
        <f>AY76-3/AN76</f>
        <v>2.3318833486392068</v>
      </c>
      <c r="BZ76" s="76">
        <f>IFERROR(RANK(BY76,BY:BY)/COUNT(BY:BY),"-")</f>
        <v>0.22842639593908629</v>
      </c>
      <c r="CA76" s="76">
        <f>IFERROR(RANK(AM76,AM:AM)/COUNT(AM:AM),"-")</f>
        <v>0.37373737373737376</v>
      </c>
      <c r="CB76" s="2"/>
      <c r="CC76" s="77">
        <f>AV76+BF76+BZ76+CA76</f>
        <v>0.83059016561554633</v>
      </c>
      <c r="CD76" s="77">
        <f>BW76+BX76+AE76+U76</f>
        <v>3.3559708762754448</v>
      </c>
      <c r="CE76" s="77">
        <f>CC76+CD76</f>
        <v>4.1865610418909913</v>
      </c>
    </row>
    <row r="77" spans="1:83" s="2" customFormat="1" x14ac:dyDescent="0.35">
      <c r="A77" s="15" t="s">
        <v>305</v>
      </c>
      <c r="B77" s="15" t="s">
        <v>306</v>
      </c>
      <c r="C77" s="16">
        <v>20161123</v>
      </c>
      <c r="D77" s="16" t="str">
        <f>[1]!f_info_regulopenfundornot(A77)</f>
        <v>否</v>
      </c>
      <c r="E77" s="16" t="str">
        <f>[1]!f_dq_status(A77,$E$1)</f>
        <v>开放申购|开放赎回</v>
      </c>
      <c r="F77" s="17" t="str">
        <f>[1]!f_info_fundmanager(A77)</f>
        <v>张清华</v>
      </c>
      <c r="G77" s="16">
        <v>20161123</v>
      </c>
      <c r="H77" s="18">
        <f>[1]!f_netasset_total(A77,$E$1,100000000)</f>
        <v>242.53780423830003</v>
      </c>
      <c r="I77" s="18">
        <f>[1]!f_prt_convertiblebondtonav(A77,$E$1)</f>
        <v>7.1638450622558594</v>
      </c>
      <c r="J77" s="18">
        <f>[1]!f_prt_stocktonav(A77,$E$1)+0.5*I77</f>
        <v>18.20801830291748</v>
      </c>
      <c r="K77" s="19">
        <v>0</v>
      </c>
      <c r="L77" s="19">
        <f>[1]!f_return($A77,"1",L$2,$E$1)</f>
        <v>9.8045399040243666</v>
      </c>
      <c r="M77" s="19">
        <f>[1]!f_risk_stdevyearly($A77,L$2,$E$1,1,1)</f>
        <v>5.838610050175463</v>
      </c>
      <c r="N77" s="19">
        <f>IFERROR(L77/M77,"-")</f>
        <v>1.6792592448830725</v>
      </c>
      <c r="O77" s="19" t="str">
        <f>IFERROR(RANK(N77,N:N)&amp;"/"&amp;COUNT(N:N),"-")</f>
        <v>71/197</v>
      </c>
      <c r="P77" s="26">
        <f>IF(O77="-","-",RANK(N77,N:N)/COUNT(N:N))</f>
        <v>0.3604060913705584</v>
      </c>
      <c r="Q77" s="56">
        <v>0.15736040609137056</v>
      </c>
      <c r="R77" s="33" t="str">
        <f>IF(OR($C77&gt;20190630,$K77&gt;30,N77="-",$D77="是",$E77="封闭期",$H77&lt;10,$BN77&lt;-6,$BR77&lt;70),"-",COUNTIFS(N$4:N$200,"&lt;&gt;-",$D$4:$D$200,"&lt;&gt;是",$E$4:$E$200,"&lt;&gt;封闭期",$H$4:$H$200,"&gt;10",$BN$4:$BN$200,"&gt;-6",$BR$4:$BR$200,"&gt;=70",$K$4:$K$200,"&lt;=30",$C$4:$C$200,"&lt;20190630",N$4:N$200,"&gt;="&amp;N77)/COUNTIFS(N$4:N$200,"&lt;&gt;-",$D$4:$D$200,"&lt;&gt;是",$E$4:$E$200,"&lt;&gt;封闭期",$H$4:$H$200,"&gt;10",$BN$4:$BN$200,"&gt;-6",$BR$4:$BR$200,"&gt;=70",$C$4:$C$200,"&lt;20190630",$K$4:$K$200,"&lt;=30"))</f>
        <v>-</v>
      </c>
      <c r="S77" s="19">
        <f>IFERROR((L77-3)/M77,"-")</f>
        <v>1.1654383227425635</v>
      </c>
      <c r="T77" s="19" t="str">
        <f>IFERROR(RANK(S77,S:S)&amp;"/"&amp;COUNT(S:S),"-")</f>
        <v>60/197</v>
      </c>
      <c r="U77" s="26">
        <f>IFERROR(RANK(S77,S:S)/COUNT(S:S),"-")</f>
        <v>0.30456852791878175</v>
      </c>
      <c r="V77" s="34" t="str">
        <f>IF(OR($C77&gt;20190630,$K77&gt;30,S77="-",$D77="是",$E77="封闭期",$H77&lt;10,$BN77&lt;-6,$BR77&lt;70),"-",COUNTIFS(S$4:S$200,"&lt;&gt;-",$D$4:$D$200,"&lt;&gt;是",$E$4:$E$200,"&lt;&gt;封闭期",$H$4:$H$200,"&gt;10",$BN$4:$BN$200,"&gt;-6",$BR$4:$BR$200,"&gt;=70",$K$4:$K$200,"&lt;=30",$C$4:$C$200,"&lt;20190630",S$4:S$200,"&gt;="&amp;S77)&amp;"/"&amp;COUNTIFS(S$4:S$200,"&lt;&gt;-",$D$4:$D$200,"&lt;&gt;是",$E$4:$E$200,"&lt;&gt;封闭期",$H$4:$H$200,"&gt;10",$BN$4:$BN$200,"&gt;-6",$BR$4:$BR$200,"&gt;=70",$C$4:$C$200,"&lt;20190630",$K$4:$K$200,"&lt;=30"))</f>
        <v>-</v>
      </c>
      <c r="W77" s="33" t="str">
        <f>IF(OR($C77&gt;20190630,$K77&gt;30,S77="-",$D77="是",$E77="封闭期",$H77&lt;10,$BN77&lt;-6,$BR77&lt;70),"-",COUNTIFS(S$4:S$200,"&lt;&gt;-",$D$4:$D$200,"&lt;&gt;是",$E$4:$E$200,"&lt;&gt;封闭期",$H$4:$H$200,"&gt;10",$BN$4:$BN$200,"&gt;-6",$BR$4:$BR$200,"&gt;=70",$K$4:$K$200,"&lt;=30",$C$4:$C$200,"&lt;20190630",S$4:S$200,"&gt;="&amp;S77)/COUNTIFS(S$4:S$200,"&lt;&gt;-",$D$4:$D$200,"&lt;&gt;是",$E$4:$E$200,"&lt;&gt;封闭期",$H$4:$H$200,"&gt;10",$BN$4:$BN$200,"&gt;-6",$BR$4:$BR$200,"&gt;=70",$C$4:$C$200,"&lt;20190630",$K$4:$K$200,"&lt;=30"))</f>
        <v>-</v>
      </c>
      <c r="X77" s="19">
        <f>[1]!f_risk_calmar(A77,$L$2,$E$1)</f>
        <v>1.9740353982495897</v>
      </c>
      <c r="Y77" s="19" t="str">
        <f>IFERROR(RANK(X77,X:X)&amp;"/"&amp;COUNT(X:X),"-")</f>
        <v>101/197</v>
      </c>
      <c r="Z77" s="26">
        <f>IFERROR(RANK(X77,X:X)/COUNT(X:X),"-")</f>
        <v>0.51269035532994922</v>
      </c>
      <c r="AA77" s="34" t="str">
        <f>IF(OR($C77&gt;20190630,$K77&gt;30,X77="-",$D77="是",$E77="封闭期",$H77&lt;10,$BN77&lt;-6,$BR77&lt;70),"-",COUNTIFS(X$4:X$200,"&lt;&gt;-",$D$4:$D$200,"&lt;&gt;是",$E$4:$E$200,"&lt;&gt;封闭期",$H$4:$H$200,"&gt;10",$BN$4:$BN$200,"&gt;-6",$BR$4:$BR$200,"&gt;=70",$K$4:$K$200,"&lt;=30",$C$4:$C$200,"&lt;20190630",X$4:X$200,"&gt;="&amp;X77)&amp;"/"&amp;COUNTIFS(X$4:X$200,"&lt;&gt;-",$D$4:$D$200,"&lt;&gt;是",$E$4:$E$200,"&lt;&gt;封闭期",$H$4:$H$200,"&gt;10",$BN$4:$BN$200,"&gt;-6",$BR$4:$BR$200,"&gt;=70",$C$4:$C$200,"&lt;20190630",$K$4:$K$200,"&lt;=30"))</f>
        <v>-</v>
      </c>
      <c r="AB77" s="33" t="str">
        <f>IF(OR($C77&gt;20190630,$K77&gt;30,X77="-",$D77="是",$E77="封闭期",$H77&lt;10,$BN77&lt;-6,$BR77&lt;70),"-",COUNTIFS(X$4:X$200,"&lt;&gt;-",$D$4:$D$200,"&lt;&gt;是",$E$4:$E$200,"&lt;&gt;封闭期",$H$4:$H$200,"&gt;10",$BN$4:$BN$200,"&gt;-6",$BR$4:$BR$200,"&gt;=70",$K$4:$K$200,"&lt;=30",$C$4:$C$200,"&lt;20190630",X$4:X$200,"&gt;="&amp;X77)/COUNTIFS(X$4:X$200,"&lt;&gt;-",$D$4:$D$200,"&lt;&gt;是",$E$4:$E$200,"&lt;&gt;封闭期",$H$4:$H$200,"&gt;10",$BN$4:$BN$200,"&gt;-6",$BR$4:$BR$200,"&gt;=70",$C$4:$C$200,"&lt;20190630",$K$4:$K$200,"&lt;=30"))</f>
        <v>-</v>
      </c>
      <c r="AC77" s="20">
        <v>1</v>
      </c>
      <c r="AD77" s="19" t="str">
        <f>IFERROR(RANK(AC77,AC:AC)&amp;"/"&amp;COUNT(AC:AC),"-")</f>
        <v>1/197</v>
      </c>
      <c r="AE77" s="26">
        <f>IFERROR(RANK(AC77,AC:AC)/COUNT(AC:AC),"-")</f>
        <v>5.076142131979695E-3</v>
      </c>
      <c r="AF77" s="34" t="str">
        <f>IF(OR($C77&gt;20190630,$K77&gt;30,AC77="-",$D77="是",$E77="封闭期",$H77&lt;10,$BN77&lt;-6,$BR77&lt;70),"-",COUNTIFS(AC$4:AC$200,"&lt;&gt;-",$D$4:$D$200,"&lt;&gt;是",$E$4:$E$200,"&lt;&gt;封闭期",$H$4:$H$200,"&gt;10",$BN$4:$BN$200,"&gt;-6",$BR$4:$BR$200,"&gt;=70",$K$4:$K$200,"&lt;=30",$C$4:$C$200,"&lt;20190630",AC$4:AC$200,"&gt;="&amp;AC77)&amp;"/"&amp;COUNTIFS(AC$4:AC$200,"&lt;&gt;-",$D$4:$D$200,"&lt;&gt;是",$E$4:$E$200,"&lt;&gt;封闭期",$H$4:$H$200,"&gt;10",$BN$4:$BN$200,"&gt;-6",$BR$4:$BR$200,"&gt;=70",$C$4:$C$200,"&lt;20190630",$K$4:$K$200,"&lt;=30"))</f>
        <v>-</v>
      </c>
      <c r="AG77" s="33" t="str">
        <f>IF(OR($C77&gt;20190630,$K77&gt;30,AC77="-",$D77="是",$E77="封闭期",$H77&lt;10,$BN77&lt;-6,$BR77&lt;70),"-",COUNTIFS(AC$4:AC$200,"&lt;&gt;-",$D$4:$D$200,"&lt;&gt;是",$E$4:$E$200,"&lt;&gt;封闭期",$H$4:$H$200,"&gt;10",$BN$4:$BN$200,"&gt;-6",$BR$4:$BR$200,"&gt;=70",$K$4:$K$200,"&lt;=30",$C$4:$C$200,"&lt;20190630",AC$4:AC$200,"&gt;="&amp;AC77)/COUNTIFS(AC$4:AC$200,"&lt;&gt;-",$D$4:$D$200,"&lt;&gt;是",$E$4:$E$200,"&lt;&gt;封闭期",$H$4:$H$200,"&gt;10",$BN$4:$BN$200,"&gt;-6",$BR$4:$BR$200,"&gt;=70",$C$4:$C$200,"&lt;20190630",$K$4:$K$200,"&lt;=30"))</f>
        <v>-</v>
      </c>
      <c r="AH77" s="21">
        <f>[1]!f_risk_maxdownside(A77,$L$2,$E$1)</f>
        <v>-4.9667497921862074</v>
      </c>
      <c r="AI77" s="19" t="str">
        <f>IFERROR(RANK(AH77,AH:AH)&amp;"/"&amp;COUNT(AH:AH),"-")</f>
        <v>156/197</v>
      </c>
      <c r="AJ77" s="26">
        <f>IFERROR(RANK(AH77,AH:AH)/COUNT(AH:AH),"-")</f>
        <v>0.79187817258883253</v>
      </c>
      <c r="AK77" s="34" t="str">
        <f>IF(OR($C77&gt;20190630,$K77&gt;30,AH77="-",$D77="是",$E77="封闭期",$H77&lt;10,$BN77&lt;-6,$BR77&lt;70),"-",COUNTIFS(AH$4:AH$200,"&lt;&gt;-",$D$4:$D$200,"&lt;&gt;是",$E$4:$E$200,"&lt;&gt;封闭期",$H$4:$H$200,"&gt;10",$BN$4:$BN$200,"&gt;-6",$BR$4:$BR$200,"&gt;=70",$K$4:$K$200,"&lt;=30",$C$4:$C$200,"&lt;20190630",AH$4:AH$200,"&gt;="&amp;AH77)&amp;"/"&amp;COUNTIFS(AH$4:AH$200,"&lt;&gt;-",$D$4:$D$200,"&lt;&gt;是",$E$4:$E$200,"&lt;&gt;封闭期",$H$4:$H$200,"&gt;10",$BN$4:$BN$200,"&gt;-6",$BR$4:$BR$200,"&gt;=70",$C$4:$C$200,"&lt;20190630",$K$4:$K$200,"&lt;=30"))</f>
        <v>-</v>
      </c>
      <c r="AL77" s="33" t="str">
        <f>IF(OR($C77&gt;20190630,$K77&gt;30,AH77="-",$D77="是",$E77="封闭期",$H77&lt;10,$BN77&lt;-6,$BR77&lt;70),"-",COUNTIFS(AH$4:AH$200,"&lt;&gt;-",$D$4:$D$200,"&lt;&gt;是",$E$4:$E$200,"&lt;&gt;封闭期",$H$4:$H$200,"&gt;10",$BN$4:$BN$200,"&gt;-6",$BR$4:$BR$200,"&gt;=70",$K$4:$K$200,"&lt;=30",$C$4:$C$200,"&lt;20190630",AH$4:AH$200,"&gt;="&amp;AH77)/COUNTIFS(AH$4:AH$200,"&lt;&gt;-",$D$4:$D$200,"&lt;&gt;是",$E$4:$E$200,"&lt;&gt;封闭期",$H$4:$H$200,"&gt;10",$BN$4:$BN$200,"&gt;-6",$BR$4:$BR$200,"&gt;=70",$C$4:$C$200,"&lt;20190630",$K$4:$K$200,"&lt;=30"))</f>
        <v>-</v>
      </c>
      <c r="AM77" s="19">
        <f>[1]!f_return($A77,"1",AM$2,$L$2)</f>
        <v>8.4201647298043358</v>
      </c>
      <c r="AN77" s="19">
        <f>[1]!f_risk_stdevyearly($A77,AM$2,$L$2,1,1)</f>
        <v>5.1741009234140485</v>
      </c>
      <c r="AO77" s="19">
        <f>IFERROR(AM77/AN77,"-")</f>
        <v>1.6273677020293651</v>
      </c>
      <c r="AP77" s="19" t="str">
        <f>IFERROR(RANK(AO77,AO:AO)&amp;"/"&amp;COUNT(AO:AO),"-")</f>
        <v>95/197</v>
      </c>
      <c r="AQ77" s="26">
        <f>IF(AP77="-","-",RANK(AO77,AO:AO)/COUNT(AO:AO))</f>
        <v>0.48223350253807107</v>
      </c>
      <c r="AR77" s="57">
        <v>0.37563451776649748</v>
      </c>
      <c r="AS77" s="33" t="str">
        <f>IF(OR($C77&gt;20190630,$K77&gt;30,AO77="-",$D77="是",$E77="封闭期",$H77&lt;10,$BN77&lt;-6,$BR77&lt;70),"-",COUNTIFS(AO$4:AO$200,"&lt;&gt;-",$D$4:$D$200,"&lt;&gt;是",$E$4:$E$200,"&lt;&gt;封闭期",$H$4:$H$200,"&gt;10",$BN$4:$BN$200,"&gt;-6",$BR$4:$BR$200,"&gt;=70",$K$4:$K$200,"&lt;=30",$C$4:$C$200,"&lt;20190630",AO$4:AO$200,"&gt;="&amp;AO77)/COUNTIFS(AO$4:AO$200,"&lt;&gt;-",$D$4:$D$200,"&lt;&gt;是",$E$4:$E$200,"&lt;&gt;封闭期",$H$4:$H$200,"&gt;10",$BN$4:$BN$200,"&gt;-6",$BR$4:$BR$200,"&gt;=70",$C$4:$C$200,"&lt;20190630",$K$4:$K$200,"&lt;=30"))</f>
        <v>-</v>
      </c>
      <c r="AT77" s="19">
        <f>IFERROR((AM77-3)/AN77,"-")</f>
        <v>1.0475568238873714</v>
      </c>
      <c r="AU77" s="19" t="str">
        <f>IFERROR(RANK(AT77,AT:AT)&amp;"/"&amp;COUNT(AT:AT),"-")</f>
        <v>83/197</v>
      </c>
      <c r="AV77" s="26">
        <f>IFERROR(RANK(AT77,AT:AT)/COUNT(AT:AT),"-")</f>
        <v>0.42131979695431471</v>
      </c>
      <c r="AW77" s="34" t="str">
        <f>IF(OR($C77&gt;20190630,$K77&gt;30,AT77="-",$D77="是",$E77="封闭期",$H77&lt;10,$BN77&lt;-6,$BR77&lt;70),"-",COUNTIFS(AT$4:AT$200,"&lt;&gt;-",$D$4:$D$200,"&lt;&gt;是",$E$4:$E$200,"&lt;&gt;封闭期",$H$4:$H$200,"&gt;10",$BN$4:$BN$200,"&gt;-6",$BR$4:$BR$200,"&gt;=70",$K$4:$K$200,"&lt;=30",$C$4:$C$200,"&lt;20190630",AT$4:AT$200,"&gt;="&amp;AT77)&amp;"/"&amp;COUNTIFS(AT$4:AT$200,"&lt;&gt;-",$D$4:$D$200,"&lt;&gt;是",$E$4:$E$200,"&lt;&gt;封闭期",$H$4:$H$200,"&gt;10",$BN$4:$BN$200,"&gt;-6",$BR$4:$BR$200,"&gt;=70",$C$4:$C$200,"&lt;20190630",$K$4:$K$200,"&lt;=30"))</f>
        <v>-</v>
      </c>
      <c r="AX77" s="33" t="str">
        <f>IF(OR($C77&gt;20190630,$K77&gt;30,AT77="-",$D77="是",$E77="封闭期",$H77&lt;10,$BN77&lt;-6,$BR77&lt;70),"-",COUNTIFS(AT$4:AT$200,"&lt;&gt;-",$D$4:$D$200,"&lt;&gt;是",$E$4:$E$200,"&lt;&gt;封闭期",$H$4:$H$200,"&gt;10",$BN$4:$BN$200,"&gt;-6",$BR$4:$BR$200,"&gt;=70",$K$4:$K$200,"&lt;=30",$C$4:$C$200,"&lt;20190630",AT$4:AT$200,"&gt;="&amp;AT77)/COUNTIFS(AT$4:AT$200,"&lt;&gt;-",$D$4:$D$200,"&lt;&gt;是",$E$4:$E$200,"&lt;&gt;封闭期",$H$4:$H$200,"&gt;10",$BN$4:$BN$200,"&gt;-6",$BR$4:$BR$200,"&gt;=70",$C$4:$C$200,"&lt;20190630",$K$4:$K$200,"&lt;=30"))</f>
        <v>-</v>
      </c>
      <c r="AY77" s="19">
        <f>[1]!f_risk_calmar(A77,$AM$2,$L$2)</f>
        <v>1.9307842974011211</v>
      </c>
      <c r="AZ77" s="19" t="str">
        <f>IFERROR(RANK(AY77,AY:AY)&amp;"/"&amp;COUNT(AY:AY),"-")</f>
        <v>118/197</v>
      </c>
      <c r="BA77" s="26">
        <f>IFERROR(RANK(AY77,AY:AY)/COUNT(AY:AY),"-")</f>
        <v>0.59898477157360408</v>
      </c>
      <c r="BB77" s="34" t="str">
        <f>IF(OR($C77&gt;20190630,$K77&gt;30,AY77="-",$D77="是",$E77="封闭期",$H77&lt;10,$BN77&lt;-6,$BR77&lt;70),"-",COUNTIFS(AY$4:AY$200,"&lt;&gt;-",$D$4:$D$200,"&lt;&gt;是",$E$4:$E$200,"&lt;&gt;封闭期",$H$4:$H$200,"&gt;10",$BN$4:$BN$200,"&gt;-6",$BR$4:$BR$200,"&gt;=70",$K$4:$K$200,"&lt;=30",$C$4:$C$200,"&lt;20190630",AY$4:AY$200,"&gt;="&amp;AY77)&amp;"/"&amp;COUNTIFS(AY$4:AY$200,"&lt;&gt;-",$D$4:$D$200,"&lt;&gt;是",$E$4:$E$200,"&lt;&gt;封闭期",$H$4:$H$200,"&gt;10",$BN$4:$BN$200,"&gt;-6",$BR$4:$BR$200,"&gt;=70",$C$4:$C$200,"&lt;20190630",$K$4:$K$200,"&lt;=30"))</f>
        <v>-</v>
      </c>
      <c r="BC77" s="33" t="str">
        <f>IF(OR($C77&gt;20190630,$K77&gt;30,AY77="-",$D77="是",$E77="封闭期",$H77&lt;10,$BN77&lt;-6,$BR77&lt;70),"-",COUNTIFS(AY$4:AY$200,"&lt;&gt;-",$D$4:$D$200,"&lt;&gt;是",$E$4:$E$200,"&lt;&gt;封闭期",$H$4:$H$200,"&gt;10",$BN$4:$BN$200,"&gt;-6",$BR$4:$BR$200,"&gt;=70",$K$4:$K$200,"&lt;=30",$C$4:$C$200,"&lt;20190630",AY$4:AY$200,"&gt;="&amp;AY77)/COUNTIFS(AY$4:AY$200,"&lt;&gt;-",$D$4:$D$200,"&lt;&gt;是",$E$4:$E$200,"&lt;&gt;封闭期",$H$4:$H$200,"&gt;10",$BN$4:$BN$200,"&gt;-6",$BR$4:$BR$200,"&gt;=70",$C$4:$C$200,"&lt;20190630",$K$4:$K$200,"&lt;=30"))</f>
        <v>-</v>
      </c>
      <c r="BD77" s="20">
        <v>1</v>
      </c>
      <c r="BE77" s="19" t="str">
        <f>IFERROR(RANK(BD77,BD:BD)&amp;"/"&amp;COUNT(BD:BD),"-")</f>
        <v>1/197</v>
      </c>
      <c r="BF77" s="26">
        <f>IFERROR(RANK(BD77,BD:BD)/COUNT(BD:BD),"-")</f>
        <v>5.076142131979695E-3</v>
      </c>
      <c r="BG77" s="34" t="str">
        <f>IF(OR($C77&gt;20190630,$K77&gt;30,BD77="-",$D77="是",$E77="封闭期",$H77&lt;10,$BN77&lt;-6,$BR77&lt;70),"-",COUNTIFS(BD$4:BD$200,"&lt;&gt;-",$D$4:$D$200,"&lt;&gt;是",$E$4:$E$200,"&lt;&gt;封闭期",$H$4:$H$200,"&gt;10",$BN$4:$BN$200,"&gt;-6",$BR$4:$BR$200,"&gt;=70",$K$4:$K$200,"&lt;=30",$C$4:$C$200,"&lt;20190630",BD$4:BD$200,"&gt;="&amp;BD77)&amp;"/"&amp;COUNTIFS(BD$4:BD$200,"&lt;&gt;-",$D$4:$D$200,"&lt;&gt;是",$E$4:$E$200,"&lt;&gt;封闭期",$H$4:$H$200,"&gt;10",$BN$4:$BN$200,"&gt;-6",$BR$4:$BR$200,"&gt;=70",$C$4:$C$200,"&lt;20190630",$K$4:$K$200,"&lt;=30"))</f>
        <v>-</v>
      </c>
      <c r="BH77" s="33" t="str">
        <f>IF(OR($C77&gt;20190630,$K77&gt;30,BD77="-",$D77="是",$E77="封闭期",$H77&lt;10,$BN77&lt;-6,$BR77&lt;70),"-",COUNTIFS(BD$4:BD$200,"&lt;&gt;-",$D$4:$D$200,"&lt;&gt;是",$E$4:$E$200,"&lt;&gt;封闭期",$H$4:$H$200,"&gt;10",$BN$4:$BN$200,"&gt;-6",$BR$4:$BR$200,"&gt;=70",$K$4:$K$200,"&lt;=30",$C$4:$C$200,"&lt;20190630",BD$4:BD$200,"&gt;="&amp;BD77)/COUNTIFS(BD$4:BD$200,"&lt;&gt;-",$D$4:$D$200,"&lt;&gt;是",$E$4:$E$200,"&lt;&gt;封闭期",$H$4:$H$200,"&gt;10",$BN$4:$BN$200,"&gt;-6",$BR$4:$BR$200,"&gt;=70",$C$4:$C$200,"&lt;20190630",$K$4:$K$200,"&lt;=30"))</f>
        <v>-</v>
      </c>
      <c r="BI77" s="21">
        <f>[1]!f_risk_maxdownside(A77,$AM$2,$L$2)</f>
        <v>-4.3610074626865707</v>
      </c>
      <c r="BJ77" s="19" t="str">
        <f>IFERROR(RANK(BI77,BI:BI)&amp;"/"&amp;COUNT(BI:BI),"-")</f>
        <v>143/197</v>
      </c>
      <c r="BK77" s="26">
        <f>IFERROR(RANK(BI77,BI:BI)/COUNT(BI:BI),"-")</f>
        <v>0.7258883248730964</v>
      </c>
      <c r="BL77" s="34" t="str">
        <f>IF(OR($C77&gt;20190630,$K77&gt;30,BI77="-",$D77="是",$E77="封闭期",$H77&lt;10,$BN77&lt;-6,$BR77&lt;70),"-",COUNTIFS(BI$4:BI$200,"&lt;&gt;-",$D$4:$D$200,"&lt;&gt;是",$E$4:$E$200,"&lt;&gt;封闭期",$H$4:$H$200,"&gt;10",$BN$4:$BN$200,"&gt;-6",$BR$4:$BR$200,"&gt;=70",$K$4:$K$200,"&lt;=30",$C$4:$C$200,"&lt;20190630",BI$4:BI$200,"&gt;="&amp;BI77)&amp;"/"&amp;COUNTIFS(BI$4:BI$200,"&lt;&gt;-",$D$4:$D$200,"&lt;&gt;是",$E$4:$E$200,"&lt;&gt;封闭期",$H$4:$H$200,"&gt;10",$BN$4:$BN$200,"&gt;-6",$BR$4:$BR$200,"&gt;=70",$C$4:$C$200,"&lt;20190630",$K$4:$K$200,"&lt;=30"))</f>
        <v>-</v>
      </c>
      <c r="BM77" s="33" t="str">
        <f>IF(OR($C77&gt;20190630,$K77&gt;30,BI77="-",$D77="是",$E77="封闭期",$H77&lt;10,$BN77&lt;-6,$BR77&lt;70),"-",COUNTIFS(BI$4:BI$200,"&lt;&gt;-",$D$4:$D$200,"&lt;&gt;是",$E$4:$E$200,"&lt;&gt;封闭期",$H$4:$H$200,"&gt;10",$BN$4:$BN$200,"&gt;-6",$BR$4:$BR$200,"&gt;=70",$K$4:$K$200,"&lt;=30",$C$4:$C$200,"&lt;20190630",BI$4:BI$200,"&gt;="&amp;BI77)/COUNTIFS(BI$4:BI$200,"&lt;&gt;-",$D$4:$D$200,"&lt;&gt;是",$E$4:$E$200,"&lt;&gt;封闭期",$H$4:$H$200,"&gt;10",$BN$4:$BN$200,"&gt;-6",$BR$4:$BR$200,"&gt;=70",$C$4:$C$200,"&lt;20190630",$K$4:$K$200,"&lt;=30"))</f>
        <v>-</v>
      </c>
      <c r="BN77" s="21">
        <f>[1]!f_risk_maxdownside(A77,$AM$2,$E$1)</f>
        <v>-4.9667497921862074</v>
      </c>
      <c r="BO77" s="21">
        <f>IF(C77&lt;20190930,[1]!f_return_2y(A77,"0","20210930"),"-")</f>
        <v>19.036336161374813</v>
      </c>
      <c r="BP77" s="19" t="str">
        <f>IFERROR(RANK(BO77,BO:BO)&amp;"/"&amp;COUNT(BO:BO),"-")</f>
        <v>45/197</v>
      </c>
      <c r="BQ77" s="25">
        <f>IFERROR(RANK(BO77,BO:BO)/COUNT(BO:BO),"-")</f>
        <v>0.22842639593908629</v>
      </c>
      <c r="BR77" s="19">
        <f>IF(C77&lt;20190930,[1]!f_absolute_profitmonthper(A77,"20190930","20210930"),"-")</f>
        <v>62.5</v>
      </c>
      <c r="BS77" s="19" t="str">
        <f>IFERROR(RANK(BR77,BR:BR)&amp;"/"&amp;COUNT(BR:BR),"-")</f>
        <v>142/198</v>
      </c>
      <c r="BT77" s="25">
        <f>IFERROR(RANK(BR77,BR:BR)/COUNT(BR:BR),"-")</f>
        <v>0.71717171717171713</v>
      </c>
      <c r="BU77" s="17"/>
      <c r="BV77" s="12">
        <f>X77-3/M77</f>
        <v>1.4602144761090807</v>
      </c>
      <c r="BW77" s="76">
        <f>IFERROR(RANK(BV77,BV:BV)/COUNT(BV:BV),"-")</f>
        <v>0.46700507614213199</v>
      </c>
      <c r="BX77" s="76">
        <f>IFERROR(RANK(L77,L:L)/COUNT(L:L),"-")</f>
        <v>0.16161616161616163</v>
      </c>
      <c r="BY77" s="12">
        <f>AY77-3/AN77</f>
        <v>1.3509734192591274</v>
      </c>
      <c r="BZ77" s="76">
        <f>IFERROR(RANK(BY77,BY:BY)/COUNT(BY:BY),"-")</f>
        <v>0.58883248730964466</v>
      </c>
      <c r="CA77" s="76">
        <f>IFERROR(RANK(AM77,AM:AM)/COUNT(AM:AM),"-")</f>
        <v>0.37878787878787878</v>
      </c>
      <c r="CC77" s="77">
        <f>AV77+BF77+BZ77+CA77</f>
        <v>1.3940163051838179</v>
      </c>
      <c r="CD77" s="77">
        <f>BW77+BX77+AE77+U77</f>
        <v>0.93826590780905506</v>
      </c>
      <c r="CE77" s="77">
        <f>CC77+CD77</f>
        <v>2.3322822129928729</v>
      </c>
    </row>
    <row r="78" spans="1:83" s="17" customFormat="1" hidden="1" x14ac:dyDescent="0.35">
      <c r="A78" s="15" t="s">
        <v>389</v>
      </c>
      <c r="B78" s="15" t="s">
        <v>390</v>
      </c>
      <c r="C78" s="16">
        <v>20190314</v>
      </c>
      <c r="D78" s="16" t="str">
        <f>[1]!f_info_regulopenfundornot(A78)</f>
        <v>否</v>
      </c>
      <c r="E78" s="16" t="str">
        <f>[1]!f_dq_status(A78,$E$1)</f>
        <v>暂停申购|暂停赎回</v>
      </c>
      <c r="F78" s="17" t="str">
        <f>[1]!f_info_fundmanager(A78)</f>
        <v>任翀,陈怡</v>
      </c>
      <c r="G78" s="16">
        <v>20190314</v>
      </c>
      <c r="H78" s="18">
        <f>[1]!f_netasset_total(A78,$E$1,100000000)</f>
        <v>8.2874397454000004</v>
      </c>
      <c r="I78" s="18">
        <f>[1]!f_prt_convertiblebondtonav(A78,$E$1)</f>
        <v>9.0655097961425781</v>
      </c>
      <c r="J78" s="18">
        <f>[1]!f_prt_stocktonav(A78,$E$1)+0.5*I78</f>
        <v>18.997170448303223</v>
      </c>
      <c r="K78" s="19">
        <v>24.383887691269901</v>
      </c>
      <c r="L78" s="19">
        <f>[1]!f_return($A78,"1",L$2,$E$1)</f>
        <v>6.2250724492700638</v>
      </c>
      <c r="M78" s="19">
        <f>[1]!f_risk_stdevyearly($A78,L$2,$E$1,1,1)</f>
        <v>4.6895301447234239</v>
      </c>
      <c r="N78" s="19">
        <f>IFERROR(L78/M78,"-")</f>
        <v>1.3274405446085904</v>
      </c>
      <c r="O78" s="19" t="str">
        <f>IFERROR(RANK(N78,N:N)&amp;"/"&amp;COUNT(N:N),"-")</f>
        <v>106/197</v>
      </c>
      <c r="P78" s="26">
        <f>IF(O78="-","-",RANK(N78,N:N)/COUNT(N:N))</f>
        <v>0.53807106598984766</v>
      </c>
      <c r="Q78" s="56">
        <v>0.43654822335025378</v>
      </c>
      <c r="R78" s="33" t="str">
        <f>IF(OR($C78&gt;20190630,$K78&gt;30,N78="-",$D78="是",$E78="封闭期",$H78&lt;10,$BN78&lt;-6,$BR78&lt;70),"-",COUNTIFS(N$4:N$200,"&lt;&gt;-",$D$4:$D$200,"&lt;&gt;是",$E$4:$E$200,"&lt;&gt;封闭期",$H$4:$H$200,"&gt;10",$BN$4:$BN$200,"&gt;-6",$BR$4:$BR$200,"&gt;=70",$K$4:$K$200,"&lt;=30",$C$4:$C$200,"&lt;20190630",N$4:N$200,"&gt;="&amp;N78)/COUNTIFS(N$4:N$200,"&lt;&gt;-",$D$4:$D$200,"&lt;&gt;是",$E$4:$E$200,"&lt;&gt;封闭期",$H$4:$H$200,"&gt;10",$BN$4:$BN$200,"&gt;-6",$BR$4:$BR$200,"&gt;=70",$C$4:$C$200,"&lt;20190630",$K$4:$K$200,"&lt;=30"))</f>
        <v>-</v>
      </c>
      <c r="S78" s="19">
        <f>IFERROR((L78-3)/M78,"-")</f>
        <v>0.68771760703977092</v>
      </c>
      <c r="T78" s="19" t="str">
        <f>IFERROR(RANK(S78,S:S)&amp;"/"&amp;COUNT(S:S),"-")</f>
        <v>106/197</v>
      </c>
      <c r="U78" s="26">
        <f>IFERROR(RANK(S78,S:S)/COUNT(S:S),"-")</f>
        <v>0.53807106598984766</v>
      </c>
      <c r="V78" s="34" t="str">
        <f>IF(OR($C78&gt;20190630,$K78&gt;30,S78="-",$D78="是",$E78="封闭期",$H78&lt;10,$BN78&lt;-6,$BR78&lt;70),"-",COUNTIFS(S$4:S$200,"&lt;&gt;-",$D$4:$D$200,"&lt;&gt;是",$E$4:$E$200,"&lt;&gt;封闭期",$H$4:$H$200,"&gt;10",$BN$4:$BN$200,"&gt;-6",$BR$4:$BR$200,"&gt;=70",$K$4:$K$200,"&lt;=30",$C$4:$C$200,"&lt;20190630",S$4:S$200,"&gt;="&amp;S78)&amp;"/"&amp;COUNTIFS(S$4:S$200,"&lt;&gt;-",$D$4:$D$200,"&lt;&gt;是",$E$4:$E$200,"&lt;&gt;封闭期",$H$4:$H$200,"&gt;10",$BN$4:$BN$200,"&gt;-6",$BR$4:$BR$200,"&gt;=70",$C$4:$C$200,"&lt;20190630",$K$4:$K$200,"&lt;=30"))</f>
        <v>-</v>
      </c>
      <c r="W78" s="33" t="str">
        <f>IF(OR($C78&gt;20190630,$K78&gt;30,S78="-",$D78="是",$E78="封闭期",$H78&lt;10,$BN78&lt;-6,$BR78&lt;70),"-",COUNTIFS(S$4:S$200,"&lt;&gt;-",$D$4:$D$200,"&lt;&gt;是",$E$4:$E$200,"&lt;&gt;封闭期",$H$4:$H$200,"&gt;10",$BN$4:$BN$200,"&gt;-6",$BR$4:$BR$200,"&gt;=70",$K$4:$K$200,"&lt;=30",$C$4:$C$200,"&lt;20190630",S$4:S$200,"&gt;="&amp;S78)/COUNTIFS(S$4:S$200,"&lt;&gt;-",$D$4:$D$200,"&lt;&gt;是",$E$4:$E$200,"&lt;&gt;封闭期",$H$4:$H$200,"&gt;10",$BN$4:$BN$200,"&gt;-6",$BR$4:$BR$200,"&gt;=70",$C$4:$C$200,"&lt;20190630",$K$4:$K$200,"&lt;=30"))</f>
        <v>-</v>
      </c>
      <c r="X78" s="19">
        <f>[1]!f_risk_calmar(A78,$L$2,$E$1)</f>
        <v>1.8966671121516419</v>
      </c>
      <c r="Y78" s="19" t="str">
        <f>IFERROR(RANK(X78,X:X)&amp;"/"&amp;COUNT(X:X),"-")</f>
        <v>103/197</v>
      </c>
      <c r="Z78" s="26">
        <f>IFERROR(RANK(X78,X:X)/COUNT(X:X),"-")</f>
        <v>0.52284263959390864</v>
      </c>
      <c r="AA78" s="34" t="str">
        <f>IF(OR($C78&gt;20190630,$K78&gt;30,X78="-",$D78="是",$E78="封闭期",$H78&lt;10,$BN78&lt;-6,$BR78&lt;70),"-",COUNTIFS(X$4:X$200,"&lt;&gt;-",$D$4:$D$200,"&lt;&gt;是",$E$4:$E$200,"&lt;&gt;封闭期",$H$4:$H$200,"&gt;10",$BN$4:$BN$200,"&gt;-6",$BR$4:$BR$200,"&gt;=70",$K$4:$K$200,"&lt;=30",$C$4:$C$200,"&lt;20190630",X$4:X$200,"&gt;="&amp;X78)&amp;"/"&amp;COUNTIFS(X$4:X$200,"&lt;&gt;-",$D$4:$D$200,"&lt;&gt;是",$E$4:$E$200,"&lt;&gt;封闭期",$H$4:$H$200,"&gt;10",$BN$4:$BN$200,"&gt;-6",$BR$4:$BR$200,"&gt;=70",$C$4:$C$200,"&lt;20190630",$K$4:$K$200,"&lt;=30"))</f>
        <v>-</v>
      </c>
      <c r="AB78" s="33" t="str">
        <f>IF(OR($C78&gt;20190630,$K78&gt;30,X78="-",$D78="是",$E78="封闭期",$H78&lt;10,$BN78&lt;-6,$BR78&lt;70),"-",COUNTIFS(X$4:X$200,"&lt;&gt;-",$D$4:$D$200,"&lt;&gt;是",$E$4:$E$200,"&lt;&gt;封闭期",$H$4:$H$200,"&gt;10",$BN$4:$BN$200,"&gt;-6",$BR$4:$BR$200,"&gt;=70",$K$4:$K$200,"&lt;=30",$C$4:$C$200,"&lt;20190630",X$4:X$200,"&gt;="&amp;X78)/COUNTIFS(X$4:X$200,"&lt;&gt;-",$D$4:$D$200,"&lt;&gt;是",$E$4:$E$200,"&lt;&gt;封闭期",$H$4:$H$200,"&gt;10",$BN$4:$BN$200,"&gt;-6",$BR$4:$BR$200,"&gt;=70",$C$4:$C$200,"&lt;20190630",$K$4:$K$200,"&lt;=30"))</f>
        <v>-</v>
      </c>
      <c r="AC78" s="20">
        <v>0.89915966386554624</v>
      </c>
      <c r="AD78" s="19" t="str">
        <f>IFERROR(RANK(AC78,AC:AC)&amp;"/"&amp;COUNT(AC:AC),"-")</f>
        <v>130/197</v>
      </c>
      <c r="AE78" s="26">
        <f>IFERROR(RANK(AC78,AC:AC)/COUNT(AC:AC),"-")</f>
        <v>0.65989847715736039</v>
      </c>
      <c r="AF78" s="34" t="str">
        <f>IF(OR($C78&gt;20190630,$K78&gt;30,AC78="-",$D78="是",$E78="封闭期",$H78&lt;10,$BN78&lt;-6,$BR78&lt;70),"-",COUNTIFS(AC$4:AC$200,"&lt;&gt;-",$D$4:$D$200,"&lt;&gt;是",$E$4:$E$200,"&lt;&gt;封闭期",$H$4:$H$200,"&gt;10",$BN$4:$BN$200,"&gt;-6",$BR$4:$BR$200,"&gt;=70",$K$4:$K$200,"&lt;=30",$C$4:$C$200,"&lt;20190630",AC$4:AC$200,"&gt;="&amp;AC78)&amp;"/"&amp;COUNTIFS(AC$4:AC$200,"&lt;&gt;-",$D$4:$D$200,"&lt;&gt;是",$E$4:$E$200,"&lt;&gt;封闭期",$H$4:$H$200,"&gt;10",$BN$4:$BN$200,"&gt;-6",$BR$4:$BR$200,"&gt;=70",$C$4:$C$200,"&lt;20190630",$K$4:$K$200,"&lt;=30"))</f>
        <v>-</v>
      </c>
      <c r="AG78" s="33" t="str">
        <f>IF(OR($C78&gt;20190630,$K78&gt;30,AC78="-",$D78="是",$E78="封闭期",$H78&lt;10,$BN78&lt;-6,$BR78&lt;70),"-",COUNTIFS(AC$4:AC$200,"&lt;&gt;-",$D$4:$D$200,"&lt;&gt;是",$E$4:$E$200,"&lt;&gt;封闭期",$H$4:$H$200,"&gt;10",$BN$4:$BN$200,"&gt;-6",$BR$4:$BR$200,"&gt;=70",$K$4:$K$200,"&lt;=30",$C$4:$C$200,"&lt;20190630",AC$4:AC$200,"&gt;="&amp;AC78)/COUNTIFS(AC$4:AC$200,"&lt;&gt;-",$D$4:$D$200,"&lt;&gt;是",$E$4:$E$200,"&lt;&gt;封闭期",$H$4:$H$200,"&gt;10",$BN$4:$BN$200,"&gt;-6",$BR$4:$BR$200,"&gt;=70",$C$4:$C$200,"&lt;20190630",$K$4:$K$200,"&lt;=30"))</f>
        <v>-</v>
      </c>
      <c r="AH78" s="21">
        <f>[1]!f_risk_maxdownside(A78,$L$2,$E$1)</f>
        <v>-3.2821112410222244</v>
      </c>
      <c r="AI78" s="19" t="str">
        <f>IFERROR(RANK(AH78,AH:AH)&amp;"/"&amp;COUNT(AH:AH),"-")</f>
        <v>103/197</v>
      </c>
      <c r="AJ78" s="26">
        <f>IFERROR(RANK(AH78,AH:AH)/COUNT(AH:AH),"-")</f>
        <v>0.52284263959390864</v>
      </c>
      <c r="AK78" s="34" t="str">
        <f>IF(OR($C78&gt;20190630,$K78&gt;30,AH78="-",$D78="是",$E78="封闭期",$H78&lt;10,$BN78&lt;-6,$BR78&lt;70),"-",COUNTIFS(AH$4:AH$200,"&lt;&gt;-",$D$4:$D$200,"&lt;&gt;是",$E$4:$E$200,"&lt;&gt;封闭期",$H$4:$H$200,"&gt;10",$BN$4:$BN$200,"&gt;-6",$BR$4:$BR$200,"&gt;=70",$K$4:$K$200,"&lt;=30",$C$4:$C$200,"&lt;20190630",AH$4:AH$200,"&gt;="&amp;AH78)&amp;"/"&amp;COUNTIFS(AH$4:AH$200,"&lt;&gt;-",$D$4:$D$200,"&lt;&gt;是",$E$4:$E$200,"&lt;&gt;封闭期",$H$4:$H$200,"&gt;10",$BN$4:$BN$200,"&gt;-6",$BR$4:$BR$200,"&gt;=70",$C$4:$C$200,"&lt;20190630",$K$4:$K$200,"&lt;=30"))</f>
        <v>-</v>
      </c>
      <c r="AL78" s="33" t="str">
        <f>IF(OR($C78&gt;20190630,$K78&gt;30,AH78="-",$D78="是",$E78="封闭期",$H78&lt;10,$BN78&lt;-6,$BR78&lt;70),"-",COUNTIFS(AH$4:AH$200,"&lt;&gt;-",$D$4:$D$200,"&lt;&gt;是",$E$4:$E$200,"&lt;&gt;封闭期",$H$4:$H$200,"&gt;10",$BN$4:$BN$200,"&gt;-6",$BR$4:$BR$200,"&gt;=70",$K$4:$K$200,"&lt;=30",$C$4:$C$200,"&lt;20190630",AH$4:AH$200,"&gt;="&amp;AH78)/COUNTIFS(AH$4:AH$200,"&lt;&gt;-",$D$4:$D$200,"&lt;&gt;是",$E$4:$E$200,"&lt;&gt;封闭期",$H$4:$H$200,"&gt;10",$BN$4:$BN$200,"&gt;-6",$BR$4:$BR$200,"&gt;=70",$C$4:$C$200,"&lt;20190630",$K$4:$K$200,"&lt;=30"))</f>
        <v>-</v>
      </c>
      <c r="AM78" s="19">
        <f>[1]!f_return($A78,"1",AM$2,$L$2)</f>
        <v>8.3177359705264298</v>
      </c>
      <c r="AN78" s="19">
        <f>[1]!f_risk_stdevyearly($A78,AM$2,$L$2,1,1)</f>
        <v>4.7840688403943172</v>
      </c>
      <c r="AO78" s="19">
        <f>IFERROR(AM78/AN78,"-")</f>
        <v>1.7386321660540438</v>
      </c>
      <c r="AP78" s="19" t="str">
        <f>IFERROR(RANK(AO78,AO:AO)&amp;"/"&amp;COUNT(AO:AO),"-")</f>
        <v>75/197</v>
      </c>
      <c r="AQ78" s="26">
        <f>IF(AP78="-","-",RANK(AO78,AO:AO)/COUNT(AO:AO))</f>
        <v>0.38071065989847713</v>
      </c>
      <c r="AR78" s="57">
        <v>0.38071065989847713</v>
      </c>
      <c r="AS78" s="33" t="str">
        <f>IF(OR($C78&gt;20190630,$K78&gt;30,AO78="-",$D78="是",$E78="封闭期",$H78&lt;10,$BN78&lt;-6,$BR78&lt;70),"-",COUNTIFS(AO$4:AO$200,"&lt;&gt;-",$D$4:$D$200,"&lt;&gt;是",$E$4:$E$200,"&lt;&gt;封闭期",$H$4:$H$200,"&gt;10",$BN$4:$BN$200,"&gt;-6",$BR$4:$BR$200,"&gt;=70",$K$4:$K$200,"&lt;=30",$C$4:$C$200,"&lt;20190630",AO$4:AO$200,"&gt;="&amp;AO78)/COUNTIFS(AO$4:AO$200,"&lt;&gt;-",$D$4:$D$200,"&lt;&gt;是",$E$4:$E$200,"&lt;&gt;封闭期",$H$4:$H$200,"&gt;10",$BN$4:$BN$200,"&gt;-6",$BR$4:$BR$200,"&gt;=70",$C$4:$C$200,"&lt;20190630",$K$4:$K$200,"&lt;=30"))</f>
        <v>-</v>
      </c>
      <c r="AT78" s="19">
        <f>IFERROR((AM78-3)/AN78,"-")</f>
        <v>1.1115508885712702</v>
      </c>
      <c r="AU78" s="19" t="str">
        <f>IFERROR(RANK(AT78,AT:AT)&amp;"/"&amp;COUNT(AT:AT),"-")</f>
        <v>68/197</v>
      </c>
      <c r="AV78" s="26">
        <f>IFERROR(RANK(AT78,AT:AT)/COUNT(AT:AT),"-")</f>
        <v>0.34517766497461927</v>
      </c>
      <c r="AW78" s="34" t="str">
        <f>IF(OR($C78&gt;20190630,$K78&gt;30,AT78="-",$D78="是",$E78="封闭期",$H78&lt;10,$BN78&lt;-6,$BR78&lt;70),"-",COUNTIFS(AT$4:AT$200,"&lt;&gt;-",$D$4:$D$200,"&lt;&gt;是",$E$4:$E$200,"&lt;&gt;封闭期",$H$4:$H$200,"&gt;10",$BN$4:$BN$200,"&gt;-6",$BR$4:$BR$200,"&gt;=70",$K$4:$K$200,"&lt;=30",$C$4:$C$200,"&lt;20190630",AT$4:AT$200,"&gt;="&amp;AT78)&amp;"/"&amp;COUNTIFS(AT$4:AT$200,"&lt;&gt;-",$D$4:$D$200,"&lt;&gt;是",$E$4:$E$200,"&lt;&gt;封闭期",$H$4:$H$200,"&gt;10",$BN$4:$BN$200,"&gt;-6",$BR$4:$BR$200,"&gt;=70",$C$4:$C$200,"&lt;20190630",$K$4:$K$200,"&lt;=30"))</f>
        <v>-</v>
      </c>
      <c r="AX78" s="33" t="str">
        <f>IF(OR($C78&gt;20190630,$K78&gt;30,AT78="-",$D78="是",$E78="封闭期",$H78&lt;10,$BN78&lt;-6,$BR78&lt;70),"-",COUNTIFS(AT$4:AT$200,"&lt;&gt;-",$D$4:$D$200,"&lt;&gt;是",$E$4:$E$200,"&lt;&gt;封闭期",$H$4:$H$200,"&gt;10",$BN$4:$BN$200,"&gt;-6",$BR$4:$BR$200,"&gt;=70",$K$4:$K$200,"&lt;=30",$C$4:$C$200,"&lt;20190630",AT$4:AT$200,"&gt;="&amp;AT78)/COUNTIFS(AT$4:AT$200,"&lt;&gt;-",$D$4:$D$200,"&lt;&gt;是",$E$4:$E$200,"&lt;&gt;封闭期",$H$4:$H$200,"&gt;10",$BN$4:$BN$200,"&gt;-6",$BR$4:$BR$200,"&gt;=70",$C$4:$C$200,"&lt;20190630",$K$4:$K$200,"&lt;=30"))</f>
        <v>-</v>
      </c>
      <c r="AY78" s="19">
        <f>[1]!f_risk_calmar(A78,$AM$2,$L$2)</f>
        <v>2.2101706842475553</v>
      </c>
      <c r="AZ78" s="19" t="str">
        <f>IFERROR(RANK(AY78,AY:AY)&amp;"/"&amp;COUNT(AY:AY),"-")</f>
        <v>97/197</v>
      </c>
      <c r="BA78" s="26">
        <f>IFERROR(RANK(AY78,AY:AY)/COUNT(AY:AY),"-")</f>
        <v>0.49238578680203043</v>
      </c>
      <c r="BB78" s="34" t="str">
        <f>IF(OR($C78&gt;20190630,$K78&gt;30,AY78="-",$D78="是",$E78="封闭期",$H78&lt;10,$BN78&lt;-6,$BR78&lt;70),"-",COUNTIFS(AY$4:AY$200,"&lt;&gt;-",$D$4:$D$200,"&lt;&gt;是",$E$4:$E$200,"&lt;&gt;封闭期",$H$4:$H$200,"&gt;10",$BN$4:$BN$200,"&gt;-6",$BR$4:$BR$200,"&gt;=70",$K$4:$K$200,"&lt;=30",$C$4:$C$200,"&lt;20190630",AY$4:AY$200,"&gt;="&amp;AY78)&amp;"/"&amp;COUNTIFS(AY$4:AY$200,"&lt;&gt;-",$D$4:$D$200,"&lt;&gt;是",$E$4:$E$200,"&lt;&gt;封闭期",$H$4:$H$200,"&gt;10",$BN$4:$BN$200,"&gt;-6",$BR$4:$BR$200,"&gt;=70",$C$4:$C$200,"&lt;20190630",$K$4:$K$200,"&lt;=30"))</f>
        <v>-</v>
      </c>
      <c r="BC78" s="33" t="str">
        <f>IF(OR($C78&gt;20190630,$K78&gt;30,AY78="-",$D78="是",$E78="封闭期",$H78&lt;10,$BN78&lt;-6,$BR78&lt;70),"-",COUNTIFS(AY$4:AY$200,"&lt;&gt;-",$D$4:$D$200,"&lt;&gt;是",$E$4:$E$200,"&lt;&gt;封闭期",$H$4:$H$200,"&gt;10",$BN$4:$BN$200,"&gt;-6",$BR$4:$BR$200,"&gt;=70",$K$4:$K$200,"&lt;=30",$C$4:$C$200,"&lt;20190630",AY$4:AY$200,"&gt;="&amp;AY78)/COUNTIFS(AY$4:AY$200,"&lt;&gt;-",$D$4:$D$200,"&lt;&gt;是",$E$4:$E$200,"&lt;&gt;封闭期",$H$4:$H$200,"&gt;10",$BN$4:$BN$200,"&gt;-6",$BR$4:$BR$200,"&gt;=70",$C$4:$C$200,"&lt;20190630",$K$4:$K$200,"&lt;=30"))</f>
        <v>-</v>
      </c>
      <c r="BD78" s="20">
        <v>1</v>
      </c>
      <c r="BE78" s="19" t="str">
        <f>IFERROR(RANK(BD78,BD:BD)&amp;"/"&amp;COUNT(BD:BD),"-")</f>
        <v>1/197</v>
      </c>
      <c r="BF78" s="26">
        <f>IFERROR(RANK(BD78,BD:BD)/COUNT(BD:BD),"-")</f>
        <v>5.076142131979695E-3</v>
      </c>
      <c r="BG78" s="34" t="str">
        <f>IF(OR($C78&gt;20190630,$K78&gt;30,BD78="-",$D78="是",$E78="封闭期",$H78&lt;10,$BN78&lt;-6,$BR78&lt;70),"-",COUNTIFS(BD$4:BD$200,"&lt;&gt;-",$D$4:$D$200,"&lt;&gt;是",$E$4:$E$200,"&lt;&gt;封闭期",$H$4:$H$200,"&gt;10",$BN$4:$BN$200,"&gt;-6",$BR$4:$BR$200,"&gt;=70",$K$4:$K$200,"&lt;=30",$C$4:$C$200,"&lt;20190630",BD$4:BD$200,"&gt;="&amp;BD78)&amp;"/"&amp;COUNTIFS(BD$4:BD$200,"&lt;&gt;-",$D$4:$D$200,"&lt;&gt;是",$E$4:$E$200,"&lt;&gt;封闭期",$H$4:$H$200,"&gt;10",$BN$4:$BN$200,"&gt;-6",$BR$4:$BR$200,"&gt;=70",$C$4:$C$200,"&lt;20190630",$K$4:$K$200,"&lt;=30"))</f>
        <v>-</v>
      </c>
      <c r="BH78" s="33" t="str">
        <f>IF(OR($C78&gt;20190630,$K78&gt;30,BD78="-",$D78="是",$E78="封闭期",$H78&lt;10,$BN78&lt;-6,$BR78&lt;70),"-",COUNTIFS(BD$4:BD$200,"&lt;&gt;-",$D$4:$D$200,"&lt;&gt;是",$E$4:$E$200,"&lt;&gt;封闭期",$H$4:$H$200,"&gt;10",$BN$4:$BN$200,"&gt;-6",$BR$4:$BR$200,"&gt;=70",$K$4:$K$200,"&lt;=30",$C$4:$C$200,"&lt;20190630",BD$4:BD$200,"&gt;="&amp;BD78)/COUNTIFS(BD$4:BD$200,"&lt;&gt;-",$D$4:$D$200,"&lt;&gt;是",$E$4:$E$200,"&lt;&gt;封闭期",$H$4:$H$200,"&gt;10",$BN$4:$BN$200,"&gt;-6",$BR$4:$BR$200,"&gt;=70",$C$4:$C$200,"&lt;20190630",$K$4:$K$200,"&lt;=30"))</f>
        <v>-</v>
      </c>
      <c r="BI78" s="21">
        <f>[1]!f_risk_maxdownside(A78,$AM$2,$L$2)</f>
        <v>-3.763390777829529</v>
      </c>
      <c r="BJ78" s="19" t="str">
        <f>IFERROR(RANK(BI78,BI:BI)&amp;"/"&amp;COUNT(BI:BI),"-")</f>
        <v>123/197</v>
      </c>
      <c r="BK78" s="26">
        <f>IFERROR(RANK(BI78,BI:BI)/COUNT(BI:BI),"-")</f>
        <v>0.62436548223350252</v>
      </c>
      <c r="BL78" s="34" t="str">
        <f>IF(OR($C78&gt;20190630,$K78&gt;30,BI78="-",$D78="是",$E78="封闭期",$H78&lt;10,$BN78&lt;-6,$BR78&lt;70),"-",COUNTIFS(BI$4:BI$200,"&lt;&gt;-",$D$4:$D$200,"&lt;&gt;是",$E$4:$E$200,"&lt;&gt;封闭期",$H$4:$H$200,"&gt;10",$BN$4:$BN$200,"&gt;-6",$BR$4:$BR$200,"&gt;=70",$K$4:$K$200,"&lt;=30",$C$4:$C$200,"&lt;20190630",BI$4:BI$200,"&gt;="&amp;BI78)&amp;"/"&amp;COUNTIFS(BI$4:BI$200,"&lt;&gt;-",$D$4:$D$200,"&lt;&gt;是",$E$4:$E$200,"&lt;&gt;封闭期",$H$4:$H$200,"&gt;10",$BN$4:$BN$200,"&gt;-6",$BR$4:$BR$200,"&gt;=70",$C$4:$C$200,"&lt;20190630",$K$4:$K$200,"&lt;=30"))</f>
        <v>-</v>
      </c>
      <c r="BM78" s="33" t="str">
        <f>IF(OR($C78&gt;20190630,$K78&gt;30,BI78="-",$D78="是",$E78="封闭期",$H78&lt;10,$BN78&lt;-6,$BR78&lt;70),"-",COUNTIFS(BI$4:BI$200,"&lt;&gt;-",$D$4:$D$200,"&lt;&gt;是",$E$4:$E$200,"&lt;&gt;封闭期",$H$4:$H$200,"&gt;10",$BN$4:$BN$200,"&gt;-6",$BR$4:$BR$200,"&gt;=70",$K$4:$K$200,"&lt;=30",$C$4:$C$200,"&lt;20190630",BI$4:BI$200,"&gt;="&amp;BI78)/COUNTIFS(BI$4:BI$200,"&lt;&gt;-",$D$4:$D$200,"&lt;&gt;是",$E$4:$E$200,"&lt;&gt;封闭期",$H$4:$H$200,"&gt;10",$BN$4:$BN$200,"&gt;-6",$BR$4:$BR$200,"&gt;=70",$C$4:$C$200,"&lt;20190630",$K$4:$K$200,"&lt;=30"))</f>
        <v>-</v>
      </c>
      <c r="BN78" s="21">
        <f>[1]!f_risk_maxdownside(A78,$AM$2,$E$1)</f>
        <v>-3.763390777829529</v>
      </c>
      <c r="BO78" s="21">
        <f>IF(C78&lt;20190930,[1]!f_return_2y(A78,"0","20210930"),"-")</f>
        <v>15.11616508185471</v>
      </c>
      <c r="BP78" s="19" t="str">
        <f>IFERROR(RANK(BO78,BO:BO)&amp;"/"&amp;COUNT(BO:BO),"-")</f>
        <v>79/197</v>
      </c>
      <c r="BQ78" s="25">
        <f>IFERROR(RANK(BO78,BO:BO)/COUNT(BO:BO),"-")</f>
        <v>0.40101522842639592</v>
      </c>
      <c r="BR78" s="19">
        <f>IF(C78&lt;20190930,[1]!f_absolute_profitmonthper(A78,"20190930","20210930"),"-")</f>
        <v>70.833333333333343</v>
      </c>
      <c r="BS78" s="19" t="str">
        <f>IFERROR(RANK(BR78,BR:BR)&amp;"/"&amp;COUNT(BR:BR),"-")</f>
        <v>55/198</v>
      </c>
      <c r="BT78" s="25">
        <f>IFERROR(RANK(BR78,BR:BR)/COUNT(BR:BR),"-")</f>
        <v>0.27777777777777779</v>
      </c>
      <c r="BV78" s="12">
        <f>X78-3/M78</f>
        <v>1.2569441745828223</v>
      </c>
      <c r="BW78" s="76">
        <f>IFERROR(RANK(BV78,BV:BV)/COUNT(BV:BV),"-")</f>
        <v>0.53299492385786806</v>
      </c>
      <c r="BX78" s="76">
        <f>IFERROR(RANK(L78,L:L)/COUNT(L:L),"-")</f>
        <v>0.43939393939393939</v>
      </c>
      <c r="BY78" s="12">
        <f>AY78-3/AN78</f>
        <v>1.5830894067647816</v>
      </c>
      <c r="BZ78" s="76">
        <f>IFERROR(RANK(BY78,BY:BY)/COUNT(BY:BY),"-")</f>
        <v>0.50761421319796951</v>
      </c>
      <c r="CA78" s="76">
        <f>IFERROR(RANK(AM78,AM:AM)/COUNT(AM:AM),"-")</f>
        <v>0.38383838383838381</v>
      </c>
      <c r="CB78" s="2"/>
      <c r="CC78" s="77">
        <f>AV78+BF78+BZ78+CA78</f>
        <v>1.2417064041429524</v>
      </c>
      <c r="CD78" s="77">
        <f>BW78+BX78+AE78+U78</f>
        <v>2.1703584063990156</v>
      </c>
      <c r="CE78" s="77">
        <f>CC78+CD78</f>
        <v>3.4120648105419678</v>
      </c>
    </row>
    <row r="79" spans="1:83" s="17" customFormat="1" hidden="1" x14ac:dyDescent="0.35">
      <c r="A79" s="15" t="s">
        <v>283</v>
      </c>
      <c r="B79" s="15" t="s">
        <v>284</v>
      </c>
      <c r="C79" s="16">
        <v>20161026</v>
      </c>
      <c r="D79" s="16" t="str">
        <f>[1]!f_info_regulopenfundornot(A79)</f>
        <v>否</v>
      </c>
      <c r="E79" s="16" t="str">
        <f>[1]!f_dq_status(A79,$E$1)</f>
        <v>开放申购|开放赎回</v>
      </c>
      <c r="F79" s="17" t="str">
        <f>[1]!f_info_fundmanager(A79)</f>
        <v>赵楠</v>
      </c>
      <c r="G79" s="16">
        <v>20170816</v>
      </c>
      <c r="H79" s="18">
        <f>[1]!f_netasset_total(A79,$E$1,100000000)</f>
        <v>0.57252798390000004</v>
      </c>
      <c r="I79" s="18">
        <f>[1]!f_prt_convertiblebondtonav(A79,$E$1)</f>
        <v>4.7292299270629883</v>
      </c>
      <c r="J79" s="18">
        <f>[1]!f_prt_stocktonav(A79,$E$1)+0.5*I79</f>
        <v>2.4554402157664299</v>
      </c>
      <c r="K79" s="19">
        <v>0</v>
      </c>
      <c r="L79" s="19">
        <f>[1]!f_return($A79,"1",L$2,$E$1)</f>
        <v>5.4846933326713643</v>
      </c>
      <c r="M79" s="19">
        <f>[1]!f_risk_stdevyearly($A79,L$2,$E$1,1,1)</f>
        <v>4.3414720882030897</v>
      </c>
      <c r="N79" s="19">
        <f>IFERROR(L79/M79,"-")</f>
        <v>1.2633257156195254</v>
      </c>
      <c r="O79" s="19" t="str">
        <f>IFERROR(RANK(N79,N:N)&amp;"/"&amp;COUNT(N:N),"-")</f>
        <v>115/197</v>
      </c>
      <c r="P79" s="26">
        <f>IF(O79="-","-",RANK(N79,N:N)/COUNT(N:N))</f>
        <v>0.58375634517766495</v>
      </c>
      <c r="Q79" s="56">
        <v>0.51776649746192893</v>
      </c>
      <c r="R79" s="33" t="str">
        <f>IF(OR($C79&gt;20190630,$K79&gt;30,N79="-",$D79="是",$E79="封闭期",$H79&lt;10,$BN79&lt;-6,$BR79&lt;70),"-",COUNTIFS(N$4:N$200,"&lt;&gt;-",$D$4:$D$200,"&lt;&gt;是",$E$4:$E$200,"&lt;&gt;封闭期",$H$4:$H$200,"&gt;10",$BN$4:$BN$200,"&gt;-6",$BR$4:$BR$200,"&gt;=70",$K$4:$K$200,"&lt;=30",$C$4:$C$200,"&lt;20190630",N$4:N$200,"&gt;="&amp;N79)/COUNTIFS(N$4:N$200,"&lt;&gt;-",$D$4:$D$200,"&lt;&gt;是",$E$4:$E$200,"&lt;&gt;封闭期",$H$4:$H$200,"&gt;10",$BN$4:$BN$200,"&gt;-6",$BR$4:$BR$200,"&gt;=70",$C$4:$C$200,"&lt;20190630",$K$4:$K$200,"&lt;=30"))</f>
        <v>-</v>
      </c>
      <c r="S79" s="19">
        <f>IFERROR((L79-3)/M79,"-")</f>
        <v>0.57231586019473057</v>
      </c>
      <c r="T79" s="19" t="str">
        <f>IFERROR(RANK(S79,S:S)&amp;"/"&amp;COUNT(S:S),"-")</f>
        <v>113/197</v>
      </c>
      <c r="U79" s="26">
        <f>IFERROR(RANK(S79,S:S)/COUNT(S:S),"-")</f>
        <v>0.57360406091370564</v>
      </c>
      <c r="V79" s="34" t="str">
        <f>IF(OR($C79&gt;20190630,$K79&gt;30,S79="-",$D79="是",$E79="封闭期",$H79&lt;10,$BN79&lt;-6,$BR79&lt;70),"-",COUNTIFS(S$4:S$200,"&lt;&gt;-",$D$4:$D$200,"&lt;&gt;是",$E$4:$E$200,"&lt;&gt;封闭期",$H$4:$H$200,"&gt;10",$BN$4:$BN$200,"&gt;-6",$BR$4:$BR$200,"&gt;=70",$K$4:$K$200,"&lt;=30",$C$4:$C$200,"&lt;20190630",S$4:S$200,"&gt;="&amp;S79)&amp;"/"&amp;COUNTIFS(S$4:S$200,"&lt;&gt;-",$D$4:$D$200,"&lt;&gt;是",$E$4:$E$200,"&lt;&gt;封闭期",$H$4:$H$200,"&gt;10",$BN$4:$BN$200,"&gt;-6",$BR$4:$BR$200,"&gt;=70",$C$4:$C$200,"&lt;20190630",$K$4:$K$200,"&lt;=30"))</f>
        <v>-</v>
      </c>
      <c r="W79" s="33" t="str">
        <f>IF(OR($C79&gt;20190630,$K79&gt;30,S79="-",$D79="是",$E79="封闭期",$H79&lt;10,$BN79&lt;-6,$BR79&lt;70),"-",COUNTIFS(S$4:S$200,"&lt;&gt;-",$D$4:$D$200,"&lt;&gt;是",$E$4:$E$200,"&lt;&gt;封闭期",$H$4:$H$200,"&gt;10",$BN$4:$BN$200,"&gt;-6",$BR$4:$BR$200,"&gt;=70",$K$4:$K$200,"&lt;=30",$C$4:$C$200,"&lt;20190630",S$4:S$200,"&gt;="&amp;S79)/COUNTIFS(S$4:S$200,"&lt;&gt;-",$D$4:$D$200,"&lt;&gt;是",$E$4:$E$200,"&lt;&gt;封闭期",$H$4:$H$200,"&gt;10",$BN$4:$BN$200,"&gt;-6",$BR$4:$BR$200,"&gt;=70",$C$4:$C$200,"&lt;20190630",$K$4:$K$200,"&lt;=30"))</f>
        <v>-</v>
      </c>
      <c r="X79" s="19">
        <f>[1]!f_risk_calmar(A79,$L$2,$E$1)</f>
        <v>2.3115120015167454</v>
      </c>
      <c r="Y79" s="19" t="str">
        <f>IFERROR(RANK(X79,X:X)&amp;"/"&amp;COUNT(X:X),"-")</f>
        <v>81/197</v>
      </c>
      <c r="Z79" s="26">
        <f>IFERROR(RANK(X79,X:X)/COUNT(X:X),"-")</f>
        <v>0.41116751269035534</v>
      </c>
      <c r="AA79" s="34" t="str">
        <f>IF(OR($C79&gt;20190630,$K79&gt;30,X79="-",$D79="是",$E79="封闭期",$H79&lt;10,$BN79&lt;-6,$BR79&lt;70),"-",COUNTIFS(X$4:X$200,"&lt;&gt;-",$D$4:$D$200,"&lt;&gt;是",$E$4:$E$200,"&lt;&gt;封闭期",$H$4:$H$200,"&gt;10",$BN$4:$BN$200,"&gt;-6",$BR$4:$BR$200,"&gt;=70",$K$4:$K$200,"&lt;=30",$C$4:$C$200,"&lt;20190630",X$4:X$200,"&gt;="&amp;X79)&amp;"/"&amp;COUNTIFS(X$4:X$200,"&lt;&gt;-",$D$4:$D$200,"&lt;&gt;是",$E$4:$E$200,"&lt;&gt;封闭期",$H$4:$H$200,"&gt;10",$BN$4:$BN$200,"&gt;-6",$BR$4:$BR$200,"&gt;=70",$C$4:$C$200,"&lt;20190630",$K$4:$K$200,"&lt;=30"))</f>
        <v>-</v>
      </c>
      <c r="AB79" s="33" t="str">
        <f>IF(OR($C79&gt;20190630,$K79&gt;30,X79="-",$D79="是",$E79="封闭期",$H79&lt;10,$BN79&lt;-6,$BR79&lt;70),"-",COUNTIFS(X$4:X$200,"&lt;&gt;-",$D$4:$D$200,"&lt;&gt;是",$E$4:$E$200,"&lt;&gt;封闭期",$H$4:$H$200,"&gt;10",$BN$4:$BN$200,"&gt;-6",$BR$4:$BR$200,"&gt;=70",$K$4:$K$200,"&lt;=30",$C$4:$C$200,"&lt;20190630",X$4:X$200,"&gt;="&amp;X79)/COUNTIFS(X$4:X$200,"&lt;&gt;-",$D$4:$D$200,"&lt;&gt;是",$E$4:$E$200,"&lt;&gt;封闭期",$H$4:$H$200,"&gt;10",$BN$4:$BN$200,"&gt;-6",$BR$4:$BR$200,"&gt;=70",$C$4:$C$200,"&lt;20190630",$K$4:$K$200,"&lt;=30"))</f>
        <v>-</v>
      </c>
      <c r="AC79" s="20">
        <v>0.95798319327731096</v>
      </c>
      <c r="AD79" s="19" t="str">
        <f>IFERROR(RANK(AC79,AC:AC)&amp;"/"&amp;COUNT(AC:AC),"-")</f>
        <v>107/197</v>
      </c>
      <c r="AE79" s="26">
        <f>IFERROR(RANK(AC79,AC:AC)/COUNT(AC:AC),"-")</f>
        <v>0.54314720812182737</v>
      </c>
      <c r="AF79" s="34" t="str">
        <f>IF(OR($C79&gt;20190630,$K79&gt;30,AC79="-",$D79="是",$E79="封闭期",$H79&lt;10,$BN79&lt;-6,$BR79&lt;70),"-",COUNTIFS(AC$4:AC$200,"&lt;&gt;-",$D$4:$D$200,"&lt;&gt;是",$E$4:$E$200,"&lt;&gt;封闭期",$H$4:$H$200,"&gt;10",$BN$4:$BN$200,"&gt;-6",$BR$4:$BR$200,"&gt;=70",$K$4:$K$200,"&lt;=30",$C$4:$C$200,"&lt;20190630",AC$4:AC$200,"&gt;="&amp;AC79)&amp;"/"&amp;COUNTIFS(AC$4:AC$200,"&lt;&gt;-",$D$4:$D$200,"&lt;&gt;是",$E$4:$E$200,"&lt;&gt;封闭期",$H$4:$H$200,"&gt;10",$BN$4:$BN$200,"&gt;-6",$BR$4:$BR$200,"&gt;=70",$C$4:$C$200,"&lt;20190630",$K$4:$K$200,"&lt;=30"))</f>
        <v>-</v>
      </c>
      <c r="AG79" s="33" t="str">
        <f>IF(OR($C79&gt;20190630,$K79&gt;30,AC79="-",$D79="是",$E79="封闭期",$H79&lt;10,$BN79&lt;-6,$BR79&lt;70),"-",COUNTIFS(AC$4:AC$200,"&lt;&gt;-",$D$4:$D$200,"&lt;&gt;是",$E$4:$E$200,"&lt;&gt;封闭期",$H$4:$H$200,"&gt;10",$BN$4:$BN$200,"&gt;-6",$BR$4:$BR$200,"&gt;=70",$K$4:$K$200,"&lt;=30",$C$4:$C$200,"&lt;20190630",AC$4:AC$200,"&gt;="&amp;AC79)/COUNTIFS(AC$4:AC$200,"&lt;&gt;-",$D$4:$D$200,"&lt;&gt;是",$E$4:$E$200,"&lt;&gt;封闭期",$H$4:$H$200,"&gt;10",$BN$4:$BN$200,"&gt;-6",$BR$4:$BR$200,"&gt;=70",$C$4:$C$200,"&lt;20190630",$K$4:$K$200,"&lt;=30"))</f>
        <v>-</v>
      </c>
      <c r="AH79" s="21">
        <f>[1]!f_risk_maxdownside(A79,$L$2,$E$1)</f>
        <v>-2.3727730286809985</v>
      </c>
      <c r="AI79" s="19" t="str">
        <f>IFERROR(RANK(AH79,AH:AH)&amp;"/"&amp;COUNT(AH:AH),"-")</f>
        <v>71/197</v>
      </c>
      <c r="AJ79" s="26">
        <f>IFERROR(RANK(AH79,AH:AH)/COUNT(AH:AH),"-")</f>
        <v>0.3604060913705584</v>
      </c>
      <c r="AK79" s="34" t="str">
        <f>IF(OR($C79&gt;20190630,$K79&gt;30,AH79="-",$D79="是",$E79="封闭期",$H79&lt;10,$BN79&lt;-6,$BR79&lt;70),"-",COUNTIFS(AH$4:AH$200,"&lt;&gt;-",$D$4:$D$200,"&lt;&gt;是",$E$4:$E$200,"&lt;&gt;封闭期",$H$4:$H$200,"&gt;10",$BN$4:$BN$200,"&gt;-6",$BR$4:$BR$200,"&gt;=70",$K$4:$K$200,"&lt;=30",$C$4:$C$200,"&lt;20190630",AH$4:AH$200,"&gt;="&amp;AH79)&amp;"/"&amp;COUNTIFS(AH$4:AH$200,"&lt;&gt;-",$D$4:$D$200,"&lt;&gt;是",$E$4:$E$200,"&lt;&gt;封闭期",$H$4:$H$200,"&gt;10",$BN$4:$BN$200,"&gt;-6",$BR$4:$BR$200,"&gt;=70",$C$4:$C$200,"&lt;20190630",$K$4:$K$200,"&lt;=30"))</f>
        <v>-</v>
      </c>
      <c r="AL79" s="33" t="str">
        <f>IF(OR($C79&gt;20190630,$K79&gt;30,AH79="-",$D79="是",$E79="封闭期",$H79&lt;10,$BN79&lt;-6,$BR79&lt;70),"-",COUNTIFS(AH$4:AH$200,"&lt;&gt;-",$D$4:$D$200,"&lt;&gt;是",$E$4:$E$200,"&lt;&gt;封闭期",$H$4:$H$200,"&gt;10",$BN$4:$BN$200,"&gt;-6",$BR$4:$BR$200,"&gt;=70",$K$4:$K$200,"&lt;=30",$C$4:$C$200,"&lt;20190630",AH$4:AH$200,"&gt;="&amp;AH79)/COUNTIFS(AH$4:AH$200,"&lt;&gt;-",$D$4:$D$200,"&lt;&gt;是",$E$4:$E$200,"&lt;&gt;封闭期",$H$4:$H$200,"&gt;10",$BN$4:$BN$200,"&gt;-6",$BR$4:$BR$200,"&gt;=70",$C$4:$C$200,"&lt;20190630",$K$4:$K$200,"&lt;=30"))</f>
        <v>-</v>
      </c>
      <c r="AM79" s="19">
        <f>[1]!f_return($A79,"1",AM$2,$L$2)</f>
        <v>8.2522382681943682</v>
      </c>
      <c r="AN79" s="19">
        <f>[1]!f_risk_stdevyearly($A79,AM$2,$L$2,1,1)</f>
        <v>6.1054447461180708</v>
      </c>
      <c r="AO79" s="19">
        <f>IFERROR(AM79/AN79,"-")</f>
        <v>1.351619515259926</v>
      </c>
      <c r="AP79" s="19" t="str">
        <f>IFERROR(RANK(AO79,AO:AO)&amp;"/"&amp;COUNT(AO:AO),"-")</f>
        <v>131/197</v>
      </c>
      <c r="AQ79" s="26">
        <f>IF(AP79="-","-",RANK(AO79,AO:AO)/COUNT(AO:AO))</f>
        <v>0.6649746192893401</v>
      </c>
      <c r="AR79" s="57">
        <v>0.38578680203045684</v>
      </c>
      <c r="AS79" s="33" t="str">
        <f>IF(OR($C79&gt;20190630,$K79&gt;30,AO79="-",$D79="是",$E79="封闭期",$H79&lt;10,$BN79&lt;-6,$BR79&lt;70),"-",COUNTIFS(AO$4:AO$200,"&lt;&gt;-",$D$4:$D$200,"&lt;&gt;是",$E$4:$E$200,"&lt;&gt;封闭期",$H$4:$H$200,"&gt;10",$BN$4:$BN$200,"&gt;-6",$BR$4:$BR$200,"&gt;=70",$K$4:$K$200,"&lt;=30",$C$4:$C$200,"&lt;20190630",AO$4:AO$200,"&gt;="&amp;AO79)/COUNTIFS(AO$4:AO$200,"&lt;&gt;-",$D$4:$D$200,"&lt;&gt;是",$E$4:$E$200,"&lt;&gt;封闭期",$H$4:$H$200,"&gt;10",$BN$4:$BN$200,"&gt;-6",$BR$4:$BR$200,"&gt;=70",$C$4:$C$200,"&lt;20190630",$K$4:$K$200,"&lt;=30"))</f>
        <v>-</v>
      </c>
      <c r="AT79" s="19">
        <f>IFERROR((AM79-3)/AN79,"-")</f>
        <v>0.86025481952544347</v>
      </c>
      <c r="AU79" s="19" t="str">
        <f>IFERROR(RANK(AT79,AT:AT)&amp;"/"&amp;COUNT(AT:AT),"-")</f>
        <v>102/197</v>
      </c>
      <c r="AV79" s="26">
        <f>IFERROR(RANK(AT79,AT:AT)/COUNT(AT:AT),"-")</f>
        <v>0.51776649746192893</v>
      </c>
      <c r="AW79" s="34" t="str">
        <f>IF(OR($C79&gt;20190630,$K79&gt;30,AT79="-",$D79="是",$E79="封闭期",$H79&lt;10,$BN79&lt;-6,$BR79&lt;70),"-",COUNTIFS(AT$4:AT$200,"&lt;&gt;-",$D$4:$D$200,"&lt;&gt;是",$E$4:$E$200,"&lt;&gt;封闭期",$H$4:$H$200,"&gt;10",$BN$4:$BN$200,"&gt;-6",$BR$4:$BR$200,"&gt;=70",$K$4:$K$200,"&lt;=30",$C$4:$C$200,"&lt;20190630",AT$4:AT$200,"&gt;="&amp;AT79)&amp;"/"&amp;COUNTIFS(AT$4:AT$200,"&lt;&gt;-",$D$4:$D$200,"&lt;&gt;是",$E$4:$E$200,"&lt;&gt;封闭期",$H$4:$H$200,"&gt;10",$BN$4:$BN$200,"&gt;-6",$BR$4:$BR$200,"&gt;=70",$C$4:$C$200,"&lt;20190630",$K$4:$K$200,"&lt;=30"))</f>
        <v>-</v>
      </c>
      <c r="AX79" s="33" t="str">
        <f>IF(OR($C79&gt;20190630,$K79&gt;30,AT79="-",$D79="是",$E79="封闭期",$H79&lt;10,$BN79&lt;-6,$BR79&lt;70),"-",COUNTIFS(AT$4:AT$200,"&lt;&gt;-",$D$4:$D$200,"&lt;&gt;是",$E$4:$E$200,"&lt;&gt;封闭期",$H$4:$H$200,"&gt;10",$BN$4:$BN$200,"&gt;-6",$BR$4:$BR$200,"&gt;=70",$K$4:$K$200,"&lt;=30",$C$4:$C$200,"&lt;20190630",AT$4:AT$200,"&gt;="&amp;AT79)/COUNTIFS(AT$4:AT$200,"&lt;&gt;-",$D$4:$D$200,"&lt;&gt;是",$E$4:$E$200,"&lt;&gt;封闭期",$H$4:$H$200,"&gt;10",$BN$4:$BN$200,"&gt;-6",$BR$4:$BR$200,"&gt;=70",$C$4:$C$200,"&lt;20190630",$K$4:$K$200,"&lt;=30"))</f>
        <v>-</v>
      </c>
      <c r="AY79" s="19">
        <f>[1]!f_risk_calmar(A79,$AM$2,$L$2)</f>
        <v>1.9338076423660269</v>
      </c>
      <c r="AZ79" s="19" t="str">
        <f>IFERROR(RANK(AY79,AY:AY)&amp;"/"&amp;COUNT(AY:AY),"-")</f>
        <v>117/197</v>
      </c>
      <c r="BA79" s="26">
        <f>IFERROR(RANK(AY79,AY:AY)/COUNT(AY:AY),"-")</f>
        <v>0.59390862944162437</v>
      </c>
      <c r="BB79" s="34" t="str">
        <f>IF(OR($C79&gt;20190630,$K79&gt;30,AY79="-",$D79="是",$E79="封闭期",$H79&lt;10,$BN79&lt;-6,$BR79&lt;70),"-",COUNTIFS(AY$4:AY$200,"&lt;&gt;-",$D$4:$D$200,"&lt;&gt;是",$E$4:$E$200,"&lt;&gt;封闭期",$H$4:$H$200,"&gt;10",$BN$4:$BN$200,"&gt;-6",$BR$4:$BR$200,"&gt;=70",$K$4:$K$200,"&lt;=30",$C$4:$C$200,"&lt;20190630",AY$4:AY$200,"&gt;="&amp;AY79)&amp;"/"&amp;COUNTIFS(AY$4:AY$200,"&lt;&gt;-",$D$4:$D$200,"&lt;&gt;是",$E$4:$E$200,"&lt;&gt;封闭期",$H$4:$H$200,"&gt;10",$BN$4:$BN$200,"&gt;-6",$BR$4:$BR$200,"&gt;=70",$C$4:$C$200,"&lt;20190630",$K$4:$K$200,"&lt;=30"))</f>
        <v>-</v>
      </c>
      <c r="BC79" s="33" t="str">
        <f>IF(OR($C79&gt;20190630,$K79&gt;30,AY79="-",$D79="是",$E79="封闭期",$H79&lt;10,$BN79&lt;-6,$BR79&lt;70),"-",COUNTIFS(AY$4:AY$200,"&lt;&gt;-",$D$4:$D$200,"&lt;&gt;是",$E$4:$E$200,"&lt;&gt;封闭期",$H$4:$H$200,"&gt;10",$BN$4:$BN$200,"&gt;-6",$BR$4:$BR$200,"&gt;=70",$K$4:$K$200,"&lt;=30",$C$4:$C$200,"&lt;20190630",AY$4:AY$200,"&gt;="&amp;AY79)/COUNTIFS(AY$4:AY$200,"&lt;&gt;-",$D$4:$D$200,"&lt;&gt;是",$E$4:$E$200,"&lt;&gt;封闭期",$H$4:$H$200,"&gt;10",$BN$4:$BN$200,"&gt;-6",$BR$4:$BR$200,"&gt;=70",$C$4:$C$200,"&lt;20190630",$K$4:$K$200,"&lt;=30"))</f>
        <v>-</v>
      </c>
      <c r="BD79" s="20">
        <v>1</v>
      </c>
      <c r="BE79" s="19" t="str">
        <f>IFERROR(RANK(BD79,BD:BD)&amp;"/"&amp;COUNT(BD:BD),"-")</f>
        <v>1/197</v>
      </c>
      <c r="BF79" s="26">
        <f>IFERROR(RANK(BD79,BD:BD)/COUNT(BD:BD),"-")</f>
        <v>5.076142131979695E-3</v>
      </c>
      <c r="BG79" s="34" t="str">
        <f>IF(OR($C79&gt;20190630,$K79&gt;30,BD79="-",$D79="是",$E79="封闭期",$H79&lt;10,$BN79&lt;-6,$BR79&lt;70),"-",COUNTIFS(BD$4:BD$200,"&lt;&gt;-",$D$4:$D$200,"&lt;&gt;是",$E$4:$E$200,"&lt;&gt;封闭期",$H$4:$H$200,"&gt;10",$BN$4:$BN$200,"&gt;-6",$BR$4:$BR$200,"&gt;=70",$K$4:$K$200,"&lt;=30",$C$4:$C$200,"&lt;20190630",BD$4:BD$200,"&gt;="&amp;BD79)&amp;"/"&amp;COUNTIFS(BD$4:BD$200,"&lt;&gt;-",$D$4:$D$200,"&lt;&gt;是",$E$4:$E$200,"&lt;&gt;封闭期",$H$4:$H$200,"&gt;10",$BN$4:$BN$200,"&gt;-6",$BR$4:$BR$200,"&gt;=70",$C$4:$C$200,"&lt;20190630",$K$4:$K$200,"&lt;=30"))</f>
        <v>-</v>
      </c>
      <c r="BH79" s="33" t="str">
        <f>IF(OR($C79&gt;20190630,$K79&gt;30,BD79="-",$D79="是",$E79="封闭期",$H79&lt;10,$BN79&lt;-6,$BR79&lt;70),"-",COUNTIFS(BD$4:BD$200,"&lt;&gt;-",$D$4:$D$200,"&lt;&gt;是",$E$4:$E$200,"&lt;&gt;封闭期",$H$4:$H$200,"&gt;10",$BN$4:$BN$200,"&gt;-6",$BR$4:$BR$200,"&gt;=70",$K$4:$K$200,"&lt;=30",$C$4:$C$200,"&lt;20190630",BD$4:BD$200,"&gt;="&amp;BD79)/COUNTIFS(BD$4:BD$200,"&lt;&gt;-",$D$4:$D$200,"&lt;&gt;是",$E$4:$E$200,"&lt;&gt;封闭期",$H$4:$H$200,"&gt;10",$BN$4:$BN$200,"&gt;-6",$BR$4:$BR$200,"&gt;=70",$C$4:$C$200,"&lt;20190630",$K$4:$K$200,"&lt;=30"))</f>
        <v>-</v>
      </c>
      <c r="BI79" s="21">
        <f>[1]!f_risk_maxdownside(A79,$AM$2,$L$2)</f>
        <v>-4.2673521850899805</v>
      </c>
      <c r="BJ79" s="19" t="str">
        <f>IFERROR(RANK(BI79,BI:BI)&amp;"/"&amp;COUNT(BI:BI),"-")</f>
        <v>139/197</v>
      </c>
      <c r="BK79" s="26">
        <f>IFERROR(RANK(BI79,BI:BI)/COUNT(BI:BI),"-")</f>
        <v>0.70558375634517767</v>
      </c>
      <c r="BL79" s="34" t="str">
        <f>IF(OR($C79&gt;20190630,$K79&gt;30,BI79="-",$D79="是",$E79="封闭期",$H79&lt;10,$BN79&lt;-6,$BR79&lt;70),"-",COUNTIFS(BI$4:BI$200,"&lt;&gt;-",$D$4:$D$200,"&lt;&gt;是",$E$4:$E$200,"&lt;&gt;封闭期",$H$4:$H$200,"&gt;10",$BN$4:$BN$200,"&gt;-6",$BR$4:$BR$200,"&gt;=70",$K$4:$K$200,"&lt;=30",$C$4:$C$200,"&lt;20190630",BI$4:BI$200,"&gt;="&amp;BI79)&amp;"/"&amp;COUNTIFS(BI$4:BI$200,"&lt;&gt;-",$D$4:$D$200,"&lt;&gt;是",$E$4:$E$200,"&lt;&gt;封闭期",$H$4:$H$200,"&gt;10",$BN$4:$BN$200,"&gt;-6",$BR$4:$BR$200,"&gt;=70",$C$4:$C$200,"&lt;20190630",$K$4:$K$200,"&lt;=30"))</f>
        <v>-</v>
      </c>
      <c r="BM79" s="33" t="str">
        <f>IF(OR($C79&gt;20190630,$K79&gt;30,BI79="-",$D79="是",$E79="封闭期",$H79&lt;10,$BN79&lt;-6,$BR79&lt;70),"-",COUNTIFS(BI$4:BI$200,"&lt;&gt;-",$D$4:$D$200,"&lt;&gt;是",$E$4:$E$200,"&lt;&gt;封闭期",$H$4:$H$200,"&gt;10",$BN$4:$BN$200,"&gt;-6",$BR$4:$BR$200,"&gt;=70",$K$4:$K$200,"&lt;=30",$C$4:$C$200,"&lt;20190630",BI$4:BI$200,"&gt;="&amp;BI79)/COUNTIFS(BI$4:BI$200,"&lt;&gt;-",$D$4:$D$200,"&lt;&gt;是",$E$4:$E$200,"&lt;&gt;封闭期",$H$4:$H$200,"&gt;10",$BN$4:$BN$200,"&gt;-6",$BR$4:$BR$200,"&gt;=70",$C$4:$C$200,"&lt;20190630",$K$4:$K$200,"&lt;=30"))</f>
        <v>-</v>
      </c>
      <c r="BN79" s="21">
        <f>[1]!f_risk_maxdownside(A79,$AM$2,$E$1)</f>
        <v>-4.2673521850899805</v>
      </c>
      <c r="BO79" s="21">
        <f>IF(C79&lt;20190930,[1]!f_return_2y(A79,"0","20210930"),"-")</f>
        <v>14.453338184464256</v>
      </c>
      <c r="BP79" s="19" t="str">
        <f>IFERROR(RANK(BO79,BO:BO)&amp;"/"&amp;COUNT(BO:BO),"-")</f>
        <v>87/197</v>
      </c>
      <c r="BQ79" s="25">
        <f>IFERROR(RANK(BO79,BO:BO)/COUNT(BO:BO),"-")</f>
        <v>0.44162436548223349</v>
      </c>
      <c r="BR79" s="19">
        <f>IF(C79&lt;20190930,[1]!f_absolute_profitmonthper(A79,"20190930","20210930"),"-")</f>
        <v>70.833333333333343</v>
      </c>
      <c r="BS79" s="19" t="str">
        <f>IFERROR(RANK(BR79,BR:BR)&amp;"/"&amp;COUNT(BR:BR),"-")</f>
        <v>55/198</v>
      </c>
      <c r="BT79" s="25">
        <f>IFERROR(RANK(BR79,BR:BR)/COUNT(BR:BR),"-")</f>
        <v>0.27777777777777779</v>
      </c>
      <c r="BV79" s="12">
        <f>X79-3/M79</f>
        <v>1.6205021460919504</v>
      </c>
      <c r="BW79" s="76">
        <f>IFERROR(RANK(BV79,BV:BV)/COUNT(BV:BV),"-")</f>
        <v>0.40609137055837563</v>
      </c>
      <c r="BX79" s="76">
        <f>IFERROR(RANK(L79,L:L)/COUNT(L:L),"-")</f>
        <v>0.52020202020202022</v>
      </c>
      <c r="BY79" s="12">
        <f>AY79-3/AN79</f>
        <v>1.4424429466315445</v>
      </c>
      <c r="BZ79" s="76">
        <f>IFERROR(RANK(BY79,BY:BY)/COUNT(BY:BY),"-")</f>
        <v>0.5532994923857868</v>
      </c>
      <c r="CA79" s="76">
        <f>IFERROR(RANK(AM79,AM:AM)/COUNT(AM:AM),"-")</f>
        <v>0.3888888888888889</v>
      </c>
      <c r="CB79" s="2"/>
      <c r="CC79" s="77">
        <f>AV79+BF79+BZ79+CA79</f>
        <v>1.4650310208685844</v>
      </c>
      <c r="CD79" s="77">
        <f>BW79+BX79+AE79+U79</f>
        <v>2.0430446597959291</v>
      </c>
      <c r="CE79" s="77">
        <f>CC79+CD79</f>
        <v>3.5080756806645135</v>
      </c>
    </row>
    <row r="80" spans="1:83" s="17" customFormat="1" hidden="1" x14ac:dyDescent="0.35">
      <c r="A80" s="15" t="s">
        <v>47</v>
      </c>
      <c r="B80" s="15" t="s">
        <v>48</v>
      </c>
      <c r="C80" s="16">
        <v>20081203</v>
      </c>
      <c r="D80" s="16" t="str">
        <f>[1]!f_info_regulopenfundornot(A80)</f>
        <v>否</v>
      </c>
      <c r="E80" s="16" t="str">
        <f>[1]!f_dq_status(A80,$E$1)</f>
        <v>开放申购|开放赎回</v>
      </c>
      <c r="F80" s="17" t="str">
        <f>[1]!f_info_fundmanager(A80)</f>
        <v>贾鹏,冯帆</v>
      </c>
      <c r="G80" s="16">
        <v>20200219</v>
      </c>
      <c r="H80" s="18">
        <f>[1]!f_netasset_total(A80,$E$1,100000000)</f>
        <v>3.0326674500999999</v>
      </c>
      <c r="I80" s="18">
        <f>[1]!f_prt_convertiblebondtonav(A80,$E$1)</f>
        <v>8.5791597366333008</v>
      </c>
      <c r="J80" s="18">
        <f>[1]!f_prt_stocktonav(A80,$E$1)+0.5*I80</f>
        <v>19.097350597381592</v>
      </c>
      <c r="K80" s="19">
        <v>13.679706292436389</v>
      </c>
      <c r="L80" s="19">
        <f>[1]!f_return($A80,"1",L$2,$E$1)</f>
        <v>6.1571050754674506</v>
      </c>
      <c r="M80" s="19">
        <f>[1]!f_risk_stdevyearly($A80,L$2,$E$1,1,1)</f>
        <v>4.1877215607150529</v>
      </c>
      <c r="N80" s="19">
        <f>IFERROR(L80/M80,"-")</f>
        <v>1.4702756585411867</v>
      </c>
      <c r="O80" s="19" t="str">
        <f>IFERROR(RANK(N80,N:N)&amp;"/"&amp;COUNT(N:N),"-")</f>
        <v>90/197</v>
      </c>
      <c r="P80" s="26">
        <f>IF(O80="-","-",RANK(N80,N:N)/COUNT(N:N))</f>
        <v>0.45685279187817257</v>
      </c>
      <c r="Q80" s="56">
        <v>0.45177664974619292</v>
      </c>
      <c r="R80" s="33" t="str">
        <f>IF(OR($C80&gt;20190630,$K80&gt;30,N80="-",$D80="是",$E80="封闭期",$H80&lt;10,$BN80&lt;-6,$BR80&lt;70),"-",COUNTIFS(N$4:N$200,"&lt;&gt;-",$D$4:$D$200,"&lt;&gt;是",$E$4:$E$200,"&lt;&gt;封闭期",$H$4:$H$200,"&gt;10",$BN$4:$BN$200,"&gt;-6",$BR$4:$BR$200,"&gt;=70",$K$4:$K$200,"&lt;=30",$C$4:$C$200,"&lt;20190630",N$4:N$200,"&gt;="&amp;N80)/COUNTIFS(N$4:N$200,"&lt;&gt;-",$D$4:$D$200,"&lt;&gt;是",$E$4:$E$200,"&lt;&gt;封闭期",$H$4:$H$200,"&gt;10",$BN$4:$BN$200,"&gt;-6",$BR$4:$BR$200,"&gt;=70",$C$4:$C$200,"&lt;20190630",$K$4:$K$200,"&lt;=30"))</f>
        <v>-</v>
      </c>
      <c r="S80" s="19">
        <f>IFERROR((L80-3)/M80,"-")</f>
        <v>0.75389565177498941</v>
      </c>
      <c r="T80" s="19" t="str">
        <f>IFERROR(RANK(S80,S:S)&amp;"/"&amp;COUNT(S:S),"-")</f>
        <v>95/197</v>
      </c>
      <c r="U80" s="26">
        <f>IFERROR(RANK(S80,S:S)/COUNT(S:S),"-")</f>
        <v>0.48223350253807107</v>
      </c>
      <c r="V80" s="34" t="str">
        <f>IF(OR($C80&gt;20190630,$K80&gt;30,S80="-",$D80="是",$E80="封闭期",$H80&lt;10,$BN80&lt;-6,$BR80&lt;70),"-",COUNTIFS(S$4:S$200,"&lt;&gt;-",$D$4:$D$200,"&lt;&gt;是",$E$4:$E$200,"&lt;&gt;封闭期",$H$4:$H$200,"&gt;10",$BN$4:$BN$200,"&gt;-6",$BR$4:$BR$200,"&gt;=70",$K$4:$K$200,"&lt;=30",$C$4:$C$200,"&lt;20190630",S$4:S$200,"&gt;="&amp;S80)&amp;"/"&amp;COUNTIFS(S$4:S$200,"&lt;&gt;-",$D$4:$D$200,"&lt;&gt;是",$E$4:$E$200,"&lt;&gt;封闭期",$H$4:$H$200,"&gt;10",$BN$4:$BN$200,"&gt;-6",$BR$4:$BR$200,"&gt;=70",$C$4:$C$200,"&lt;20190630",$K$4:$K$200,"&lt;=30"))</f>
        <v>-</v>
      </c>
      <c r="W80" s="33" t="str">
        <f>IF(OR($C80&gt;20190630,$K80&gt;30,S80="-",$D80="是",$E80="封闭期",$H80&lt;10,$BN80&lt;-6,$BR80&lt;70),"-",COUNTIFS(S$4:S$200,"&lt;&gt;-",$D$4:$D$200,"&lt;&gt;是",$E$4:$E$200,"&lt;&gt;封闭期",$H$4:$H$200,"&gt;10",$BN$4:$BN$200,"&gt;-6",$BR$4:$BR$200,"&gt;=70",$K$4:$K$200,"&lt;=30",$C$4:$C$200,"&lt;20190630",S$4:S$200,"&gt;="&amp;S80)/COUNTIFS(S$4:S$200,"&lt;&gt;-",$D$4:$D$200,"&lt;&gt;是",$E$4:$E$200,"&lt;&gt;封闭期",$H$4:$H$200,"&gt;10",$BN$4:$BN$200,"&gt;-6",$BR$4:$BR$200,"&gt;=70",$C$4:$C$200,"&lt;20190630",$K$4:$K$200,"&lt;=30"))</f>
        <v>-</v>
      </c>
      <c r="X80" s="19">
        <f>[1]!f_risk_calmar(A80,$L$2,$E$1)</f>
        <v>2.1173600231746383</v>
      </c>
      <c r="Y80" s="19" t="str">
        <f>IFERROR(RANK(X80,X:X)&amp;"/"&amp;COUNT(X:X),"-")</f>
        <v>93/197</v>
      </c>
      <c r="Z80" s="26">
        <f>IFERROR(RANK(X80,X:X)/COUNT(X:X),"-")</f>
        <v>0.4720812182741117</v>
      </c>
      <c r="AA80" s="34" t="str">
        <f>IF(OR($C80&gt;20190630,$K80&gt;30,X80="-",$D80="是",$E80="封闭期",$H80&lt;10,$BN80&lt;-6,$BR80&lt;70),"-",COUNTIFS(X$4:X$200,"&lt;&gt;-",$D$4:$D$200,"&lt;&gt;是",$E$4:$E$200,"&lt;&gt;封闭期",$H$4:$H$200,"&gt;10",$BN$4:$BN$200,"&gt;-6",$BR$4:$BR$200,"&gt;=70",$K$4:$K$200,"&lt;=30",$C$4:$C$200,"&lt;20190630",X$4:X$200,"&gt;="&amp;X80)&amp;"/"&amp;COUNTIFS(X$4:X$200,"&lt;&gt;-",$D$4:$D$200,"&lt;&gt;是",$E$4:$E$200,"&lt;&gt;封闭期",$H$4:$H$200,"&gt;10",$BN$4:$BN$200,"&gt;-6",$BR$4:$BR$200,"&gt;=70",$C$4:$C$200,"&lt;20190630",$K$4:$K$200,"&lt;=30"))</f>
        <v>-</v>
      </c>
      <c r="AB80" s="33" t="str">
        <f>IF(OR($C80&gt;20190630,$K80&gt;30,X80="-",$D80="是",$E80="封闭期",$H80&lt;10,$BN80&lt;-6,$BR80&lt;70),"-",COUNTIFS(X$4:X$200,"&lt;&gt;-",$D$4:$D$200,"&lt;&gt;是",$E$4:$E$200,"&lt;&gt;封闭期",$H$4:$H$200,"&gt;10",$BN$4:$BN$200,"&gt;-6",$BR$4:$BR$200,"&gt;=70",$K$4:$K$200,"&lt;=30",$C$4:$C$200,"&lt;20190630",X$4:X$200,"&gt;="&amp;X80)/COUNTIFS(X$4:X$200,"&lt;&gt;-",$D$4:$D$200,"&lt;&gt;是",$E$4:$E$200,"&lt;&gt;封闭期",$H$4:$H$200,"&gt;10",$BN$4:$BN$200,"&gt;-6",$BR$4:$BR$200,"&gt;=70",$C$4:$C$200,"&lt;20190630",$K$4:$K$200,"&lt;=30"))</f>
        <v>-</v>
      </c>
      <c r="AC80" s="20">
        <v>1</v>
      </c>
      <c r="AD80" s="19" t="str">
        <f>IFERROR(RANK(AC80,AC:AC)&amp;"/"&amp;COUNT(AC:AC),"-")</f>
        <v>1/197</v>
      </c>
      <c r="AE80" s="26">
        <f>IFERROR(RANK(AC80,AC:AC)/COUNT(AC:AC),"-")</f>
        <v>5.076142131979695E-3</v>
      </c>
      <c r="AF80" s="34" t="str">
        <f>IF(OR($C80&gt;20190630,$K80&gt;30,AC80="-",$D80="是",$E80="封闭期",$H80&lt;10,$BN80&lt;-6,$BR80&lt;70),"-",COUNTIFS(AC$4:AC$200,"&lt;&gt;-",$D$4:$D$200,"&lt;&gt;是",$E$4:$E$200,"&lt;&gt;封闭期",$H$4:$H$200,"&gt;10",$BN$4:$BN$200,"&gt;-6",$BR$4:$BR$200,"&gt;=70",$K$4:$K$200,"&lt;=30",$C$4:$C$200,"&lt;20190630",AC$4:AC$200,"&gt;="&amp;AC80)&amp;"/"&amp;COUNTIFS(AC$4:AC$200,"&lt;&gt;-",$D$4:$D$200,"&lt;&gt;是",$E$4:$E$200,"&lt;&gt;封闭期",$H$4:$H$200,"&gt;10",$BN$4:$BN$200,"&gt;-6",$BR$4:$BR$200,"&gt;=70",$C$4:$C$200,"&lt;20190630",$K$4:$K$200,"&lt;=30"))</f>
        <v>-</v>
      </c>
      <c r="AG80" s="33" t="str">
        <f>IF(OR($C80&gt;20190630,$K80&gt;30,AC80="-",$D80="是",$E80="封闭期",$H80&lt;10,$BN80&lt;-6,$BR80&lt;70),"-",COUNTIFS(AC$4:AC$200,"&lt;&gt;-",$D$4:$D$200,"&lt;&gt;是",$E$4:$E$200,"&lt;&gt;封闭期",$H$4:$H$200,"&gt;10",$BN$4:$BN$200,"&gt;-6",$BR$4:$BR$200,"&gt;=70",$K$4:$K$200,"&lt;=30",$C$4:$C$200,"&lt;20190630",AC$4:AC$200,"&gt;="&amp;AC80)/COUNTIFS(AC$4:AC$200,"&lt;&gt;-",$D$4:$D$200,"&lt;&gt;是",$E$4:$E$200,"&lt;&gt;封闭期",$H$4:$H$200,"&gt;10",$BN$4:$BN$200,"&gt;-6",$BR$4:$BR$200,"&gt;=70",$C$4:$C$200,"&lt;20190630",$K$4:$K$200,"&lt;=30"))</f>
        <v>-</v>
      </c>
      <c r="AH80" s="21">
        <f>[1]!f_risk_maxdownside(A80,$L$2,$E$1)</f>
        <v>-2.9079159935379666</v>
      </c>
      <c r="AI80" s="19" t="str">
        <f>IFERROR(RANK(AH80,AH:AH)&amp;"/"&amp;COUNT(AH:AH),"-")</f>
        <v>89/197</v>
      </c>
      <c r="AJ80" s="26">
        <f>IFERROR(RANK(AH80,AH:AH)/COUNT(AH:AH),"-")</f>
        <v>0.45177664974619292</v>
      </c>
      <c r="AK80" s="34" t="str">
        <f>IF(OR($C80&gt;20190630,$K80&gt;30,AH80="-",$D80="是",$E80="封闭期",$H80&lt;10,$BN80&lt;-6,$BR80&lt;70),"-",COUNTIFS(AH$4:AH$200,"&lt;&gt;-",$D$4:$D$200,"&lt;&gt;是",$E$4:$E$200,"&lt;&gt;封闭期",$H$4:$H$200,"&gt;10",$BN$4:$BN$200,"&gt;-6",$BR$4:$BR$200,"&gt;=70",$K$4:$K$200,"&lt;=30",$C$4:$C$200,"&lt;20190630",AH$4:AH$200,"&gt;="&amp;AH80)&amp;"/"&amp;COUNTIFS(AH$4:AH$200,"&lt;&gt;-",$D$4:$D$200,"&lt;&gt;是",$E$4:$E$200,"&lt;&gt;封闭期",$H$4:$H$200,"&gt;10",$BN$4:$BN$200,"&gt;-6",$BR$4:$BR$200,"&gt;=70",$C$4:$C$200,"&lt;20190630",$K$4:$K$200,"&lt;=30"))</f>
        <v>-</v>
      </c>
      <c r="AL80" s="33" t="str">
        <f>IF(OR($C80&gt;20190630,$K80&gt;30,AH80="-",$D80="是",$E80="封闭期",$H80&lt;10,$BN80&lt;-6,$BR80&lt;70),"-",COUNTIFS(AH$4:AH$200,"&lt;&gt;-",$D$4:$D$200,"&lt;&gt;是",$E$4:$E$200,"&lt;&gt;封闭期",$H$4:$H$200,"&gt;10",$BN$4:$BN$200,"&gt;-6",$BR$4:$BR$200,"&gt;=70",$K$4:$K$200,"&lt;=30",$C$4:$C$200,"&lt;20190630",AH$4:AH$200,"&gt;="&amp;AH80)/COUNTIFS(AH$4:AH$200,"&lt;&gt;-",$D$4:$D$200,"&lt;&gt;是",$E$4:$E$200,"&lt;&gt;封闭期",$H$4:$H$200,"&gt;10",$BN$4:$BN$200,"&gt;-6",$BR$4:$BR$200,"&gt;=70",$C$4:$C$200,"&lt;20190630",$K$4:$K$200,"&lt;=30"))</f>
        <v>-</v>
      </c>
      <c r="AM80" s="19">
        <f>[1]!f_return($A80,"1",AM$2,$L$2)</f>
        <v>8.2448420017106514</v>
      </c>
      <c r="AN80" s="19">
        <f>[1]!f_risk_stdevyearly($A80,AM$2,$L$2,1,1)</f>
        <v>4.8655071075450103</v>
      </c>
      <c r="AO80" s="19">
        <f>IFERROR(AM80/AN80,"-")</f>
        <v>1.6945493695662799</v>
      </c>
      <c r="AP80" s="19" t="str">
        <f>IFERROR(RANK(AO80,AO:AO)&amp;"/"&amp;COUNT(AO:AO),"-")</f>
        <v>86/197</v>
      </c>
      <c r="AQ80" s="26">
        <f>IF(AP80="-","-",RANK(AO80,AO:AO)/COUNT(AO:AO))</f>
        <v>0.43654822335025378</v>
      </c>
      <c r="AR80" s="57">
        <v>0.39086294416243655</v>
      </c>
      <c r="AS80" s="33" t="str">
        <f>IF(OR($C80&gt;20190630,$K80&gt;30,AO80="-",$D80="是",$E80="封闭期",$H80&lt;10,$BN80&lt;-6,$BR80&lt;70),"-",COUNTIFS(AO$4:AO$200,"&lt;&gt;-",$D$4:$D$200,"&lt;&gt;是",$E$4:$E$200,"&lt;&gt;封闭期",$H$4:$H$200,"&gt;10",$BN$4:$BN$200,"&gt;-6",$BR$4:$BR$200,"&gt;=70",$K$4:$K$200,"&lt;=30",$C$4:$C$200,"&lt;20190630",AO$4:AO$200,"&gt;="&amp;AO80)/COUNTIFS(AO$4:AO$200,"&lt;&gt;-",$D$4:$D$200,"&lt;&gt;是",$E$4:$E$200,"&lt;&gt;封闭期",$H$4:$H$200,"&gt;10",$BN$4:$BN$200,"&gt;-6",$BR$4:$BR$200,"&gt;=70",$C$4:$C$200,"&lt;20190630",$K$4:$K$200,"&lt;=30"))</f>
        <v>-</v>
      </c>
      <c r="AT80" s="19">
        <f>IFERROR((AM80-3)/AN80,"-")</f>
        <v>1.0779641023599371</v>
      </c>
      <c r="AU80" s="19" t="str">
        <f>IFERROR(RANK(AT80,AT:AT)&amp;"/"&amp;COUNT(AT:AT),"-")</f>
        <v>79/197</v>
      </c>
      <c r="AV80" s="26">
        <f>IFERROR(RANK(AT80,AT:AT)/COUNT(AT:AT),"-")</f>
        <v>0.40101522842639592</v>
      </c>
      <c r="AW80" s="34" t="str">
        <f>IF(OR($C80&gt;20190630,$K80&gt;30,AT80="-",$D80="是",$E80="封闭期",$H80&lt;10,$BN80&lt;-6,$BR80&lt;70),"-",COUNTIFS(AT$4:AT$200,"&lt;&gt;-",$D$4:$D$200,"&lt;&gt;是",$E$4:$E$200,"&lt;&gt;封闭期",$H$4:$H$200,"&gt;10",$BN$4:$BN$200,"&gt;-6",$BR$4:$BR$200,"&gt;=70",$K$4:$K$200,"&lt;=30",$C$4:$C$200,"&lt;20190630",AT$4:AT$200,"&gt;="&amp;AT80)&amp;"/"&amp;COUNTIFS(AT$4:AT$200,"&lt;&gt;-",$D$4:$D$200,"&lt;&gt;是",$E$4:$E$200,"&lt;&gt;封闭期",$H$4:$H$200,"&gt;10",$BN$4:$BN$200,"&gt;-6",$BR$4:$BR$200,"&gt;=70",$C$4:$C$200,"&lt;20190630",$K$4:$K$200,"&lt;=30"))</f>
        <v>-</v>
      </c>
      <c r="AX80" s="33" t="str">
        <f>IF(OR($C80&gt;20190630,$K80&gt;30,AT80="-",$D80="是",$E80="封闭期",$H80&lt;10,$BN80&lt;-6,$BR80&lt;70),"-",COUNTIFS(AT$4:AT$200,"&lt;&gt;-",$D$4:$D$200,"&lt;&gt;是",$E$4:$E$200,"&lt;&gt;封闭期",$H$4:$H$200,"&gt;10",$BN$4:$BN$200,"&gt;-6",$BR$4:$BR$200,"&gt;=70",$K$4:$K$200,"&lt;=30",$C$4:$C$200,"&lt;20190630",AT$4:AT$200,"&gt;="&amp;AT80)/COUNTIFS(AT$4:AT$200,"&lt;&gt;-",$D$4:$D$200,"&lt;&gt;是",$E$4:$E$200,"&lt;&gt;封闭期",$H$4:$H$200,"&gt;10",$BN$4:$BN$200,"&gt;-6",$BR$4:$BR$200,"&gt;=70",$C$4:$C$200,"&lt;20190630",$K$4:$K$200,"&lt;=30"))</f>
        <v>-</v>
      </c>
      <c r="AY80" s="19">
        <f>[1]!f_risk_calmar(A80,$AM$2,$L$2)</f>
        <v>2.3772627771599004</v>
      </c>
      <c r="AZ80" s="19" t="str">
        <f>IFERROR(RANK(AY80,AY:AY)&amp;"/"&amp;COUNT(AY:AY),"-")</f>
        <v>83/197</v>
      </c>
      <c r="BA80" s="26">
        <f>IFERROR(RANK(AY80,AY:AY)/COUNT(AY:AY),"-")</f>
        <v>0.42131979695431471</v>
      </c>
      <c r="BB80" s="34" t="str">
        <f>IF(OR($C80&gt;20190630,$K80&gt;30,AY80="-",$D80="是",$E80="封闭期",$H80&lt;10,$BN80&lt;-6,$BR80&lt;70),"-",COUNTIFS(AY$4:AY$200,"&lt;&gt;-",$D$4:$D$200,"&lt;&gt;是",$E$4:$E$200,"&lt;&gt;封闭期",$H$4:$H$200,"&gt;10",$BN$4:$BN$200,"&gt;-6",$BR$4:$BR$200,"&gt;=70",$K$4:$K$200,"&lt;=30",$C$4:$C$200,"&lt;20190630",AY$4:AY$200,"&gt;="&amp;AY80)&amp;"/"&amp;COUNTIFS(AY$4:AY$200,"&lt;&gt;-",$D$4:$D$200,"&lt;&gt;是",$E$4:$E$200,"&lt;&gt;封闭期",$H$4:$H$200,"&gt;10",$BN$4:$BN$200,"&gt;-6",$BR$4:$BR$200,"&gt;=70",$C$4:$C$200,"&lt;20190630",$K$4:$K$200,"&lt;=30"))</f>
        <v>-</v>
      </c>
      <c r="BC80" s="33" t="str">
        <f>IF(OR($C80&gt;20190630,$K80&gt;30,AY80="-",$D80="是",$E80="封闭期",$H80&lt;10,$BN80&lt;-6,$BR80&lt;70),"-",COUNTIFS(AY$4:AY$200,"&lt;&gt;-",$D$4:$D$200,"&lt;&gt;是",$E$4:$E$200,"&lt;&gt;封闭期",$H$4:$H$200,"&gt;10",$BN$4:$BN$200,"&gt;-6",$BR$4:$BR$200,"&gt;=70",$K$4:$K$200,"&lt;=30",$C$4:$C$200,"&lt;20190630",AY$4:AY$200,"&gt;="&amp;AY80)/COUNTIFS(AY$4:AY$200,"&lt;&gt;-",$D$4:$D$200,"&lt;&gt;是",$E$4:$E$200,"&lt;&gt;封闭期",$H$4:$H$200,"&gt;10",$BN$4:$BN$200,"&gt;-6",$BR$4:$BR$200,"&gt;=70",$C$4:$C$200,"&lt;20190630",$K$4:$K$200,"&lt;=30"))</f>
        <v>-</v>
      </c>
      <c r="BD80" s="20">
        <v>1</v>
      </c>
      <c r="BE80" s="19" t="str">
        <f>IFERROR(RANK(BD80,BD:BD)&amp;"/"&amp;COUNT(BD:BD),"-")</f>
        <v>1/197</v>
      </c>
      <c r="BF80" s="26">
        <f>IFERROR(RANK(BD80,BD:BD)/COUNT(BD:BD),"-")</f>
        <v>5.076142131979695E-3</v>
      </c>
      <c r="BG80" s="34" t="str">
        <f>IF(OR($C80&gt;20190630,$K80&gt;30,BD80="-",$D80="是",$E80="封闭期",$H80&lt;10,$BN80&lt;-6,$BR80&lt;70),"-",COUNTIFS(BD$4:BD$200,"&lt;&gt;-",$D$4:$D$200,"&lt;&gt;是",$E$4:$E$200,"&lt;&gt;封闭期",$H$4:$H$200,"&gt;10",$BN$4:$BN$200,"&gt;-6",$BR$4:$BR$200,"&gt;=70",$K$4:$K$200,"&lt;=30",$C$4:$C$200,"&lt;20190630",BD$4:BD$200,"&gt;="&amp;BD80)&amp;"/"&amp;COUNTIFS(BD$4:BD$200,"&lt;&gt;-",$D$4:$D$200,"&lt;&gt;是",$E$4:$E$200,"&lt;&gt;封闭期",$H$4:$H$200,"&gt;10",$BN$4:$BN$200,"&gt;-6",$BR$4:$BR$200,"&gt;=70",$C$4:$C$200,"&lt;20190630",$K$4:$K$200,"&lt;=30"))</f>
        <v>-</v>
      </c>
      <c r="BH80" s="33" t="str">
        <f>IF(OR($C80&gt;20190630,$K80&gt;30,BD80="-",$D80="是",$E80="封闭期",$H80&lt;10,$BN80&lt;-6,$BR80&lt;70),"-",COUNTIFS(BD$4:BD$200,"&lt;&gt;-",$D$4:$D$200,"&lt;&gt;是",$E$4:$E$200,"&lt;&gt;封闭期",$H$4:$H$200,"&gt;10",$BN$4:$BN$200,"&gt;-6",$BR$4:$BR$200,"&gt;=70",$K$4:$K$200,"&lt;=30",$C$4:$C$200,"&lt;20190630",BD$4:BD$200,"&gt;="&amp;BD80)/COUNTIFS(BD$4:BD$200,"&lt;&gt;-",$D$4:$D$200,"&lt;&gt;是",$E$4:$E$200,"&lt;&gt;封闭期",$H$4:$H$200,"&gt;10",$BN$4:$BN$200,"&gt;-6",$BR$4:$BR$200,"&gt;=70",$C$4:$C$200,"&lt;20190630",$K$4:$K$200,"&lt;=30"))</f>
        <v>-</v>
      </c>
      <c r="BI80" s="21">
        <f>[1]!f_risk_maxdownside(A80,$AM$2,$L$2)</f>
        <v>-3.4682080924855549</v>
      </c>
      <c r="BJ80" s="19" t="str">
        <f>IFERROR(RANK(BI80,BI:BI)&amp;"/"&amp;COUNT(BI:BI),"-")</f>
        <v>109/197</v>
      </c>
      <c r="BK80" s="26">
        <f>IFERROR(RANK(BI80,BI:BI)/COUNT(BI:BI),"-")</f>
        <v>0.5532994923857868</v>
      </c>
      <c r="BL80" s="34" t="str">
        <f>IF(OR($C80&gt;20190630,$K80&gt;30,BI80="-",$D80="是",$E80="封闭期",$H80&lt;10,$BN80&lt;-6,$BR80&lt;70),"-",COUNTIFS(BI$4:BI$200,"&lt;&gt;-",$D$4:$D$200,"&lt;&gt;是",$E$4:$E$200,"&lt;&gt;封闭期",$H$4:$H$200,"&gt;10",$BN$4:$BN$200,"&gt;-6",$BR$4:$BR$200,"&gt;=70",$K$4:$K$200,"&lt;=30",$C$4:$C$200,"&lt;20190630",BI$4:BI$200,"&gt;="&amp;BI80)&amp;"/"&amp;COUNTIFS(BI$4:BI$200,"&lt;&gt;-",$D$4:$D$200,"&lt;&gt;是",$E$4:$E$200,"&lt;&gt;封闭期",$H$4:$H$200,"&gt;10",$BN$4:$BN$200,"&gt;-6",$BR$4:$BR$200,"&gt;=70",$C$4:$C$200,"&lt;20190630",$K$4:$K$200,"&lt;=30"))</f>
        <v>-</v>
      </c>
      <c r="BM80" s="33" t="str">
        <f>IF(OR($C80&gt;20190630,$K80&gt;30,BI80="-",$D80="是",$E80="封闭期",$H80&lt;10,$BN80&lt;-6,$BR80&lt;70),"-",COUNTIFS(BI$4:BI$200,"&lt;&gt;-",$D$4:$D$200,"&lt;&gt;是",$E$4:$E$200,"&lt;&gt;封闭期",$H$4:$H$200,"&gt;10",$BN$4:$BN$200,"&gt;-6",$BR$4:$BR$200,"&gt;=70",$K$4:$K$200,"&lt;=30",$C$4:$C$200,"&lt;20190630",BI$4:BI$200,"&gt;="&amp;BI80)/COUNTIFS(BI$4:BI$200,"&lt;&gt;-",$D$4:$D$200,"&lt;&gt;是",$E$4:$E$200,"&lt;&gt;封闭期",$H$4:$H$200,"&gt;10",$BN$4:$BN$200,"&gt;-6",$BR$4:$BR$200,"&gt;=70",$C$4:$C$200,"&lt;20190630",$K$4:$K$200,"&lt;=30"))</f>
        <v>-</v>
      </c>
      <c r="BN80" s="21">
        <f>[1]!f_risk_maxdownside(A80,$AM$2,$E$1)</f>
        <v>-3.4682080924855549</v>
      </c>
      <c r="BO80" s="21">
        <f>IF(C80&lt;20190930,[1]!f_return_2y(A80,"0","20210930"),"-")</f>
        <v>15.074200578119376</v>
      </c>
      <c r="BP80" s="19" t="str">
        <f>IFERROR(RANK(BO80,BO:BO)&amp;"/"&amp;COUNT(BO:BO),"-")</f>
        <v>80/197</v>
      </c>
      <c r="BQ80" s="25">
        <f>IFERROR(RANK(BO80,BO:BO)/COUNT(BO:BO),"-")</f>
        <v>0.40609137055837563</v>
      </c>
      <c r="BR80" s="19">
        <f>IF(C80&lt;20190930,[1]!f_absolute_profitmonthper(A80,"20190930","20210930"),"-")</f>
        <v>70.833333333333343</v>
      </c>
      <c r="BS80" s="19" t="str">
        <f>IFERROR(RANK(BR80,BR:BR)&amp;"/"&amp;COUNT(BR:BR),"-")</f>
        <v>55/198</v>
      </c>
      <c r="BT80" s="25">
        <f>IFERROR(RANK(BR80,BR:BR)/COUNT(BR:BR),"-")</f>
        <v>0.27777777777777779</v>
      </c>
      <c r="BV80" s="12">
        <f>X80-3/M80</f>
        <v>1.4009800164084409</v>
      </c>
      <c r="BW80" s="76">
        <f>IFERROR(RANK(BV80,BV:BV)/COUNT(BV:BV),"-")</f>
        <v>0.49746192893401014</v>
      </c>
      <c r="BX80" s="76">
        <f>IFERROR(RANK(L80,L:L)/COUNT(L:L),"-")</f>
        <v>0.45454545454545453</v>
      </c>
      <c r="BY80" s="12">
        <f>AY80-3/AN80</f>
        <v>1.7606775099535577</v>
      </c>
      <c r="BZ80" s="76">
        <f>IFERROR(RANK(BY80,BY:BY)/COUNT(BY:BY),"-")</f>
        <v>0.44162436548223349</v>
      </c>
      <c r="CA80" s="76">
        <f>IFERROR(RANK(AM80,AM:AM)/COUNT(AM:AM),"-")</f>
        <v>0.39393939393939392</v>
      </c>
      <c r="CB80" s="2"/>
      <c r="CC80" s="77">
        <f>AV80+BF80+BZ80+CA80</f>
        <v>1.2416551299800029</v>
      </c>
      <c r="CD80" s="77">
        <f>BW80+BX80+AE80+U80</f>
        <v>1.4393170281495156</v>
      </c>
      <c r="CE80" s="77">
        <f>CC80+CD80</f>
        <v>2.6809721581295185</v>
      </c>
    </row>
    <row r="81" spans="1:83" s="17" customFormat="1" hidden="1" x14ac:dyDescent="0.35">
      <c r="A81" s="15" t="s">
        <v>153</v>
      </c>
      <c r="B81" s="15" t="s">
        <v>154</v>
      </c>
      <c r="C81" s="16">
        <v>20130814</v>
      </c>
      <c r="D81" s="16" t="str">
        <f>[1]!f_info_regulopenfundornot(A81)</f>
        <v>否</v>
      </c>
      <c r="E81" s="16" t="str">
        <f>[1]!f_dq_status(A81,$E$1)</f>
        <v>开放申购|开放赎回</v>
      </c>
      <c r="F81" s="17" t="str">
        <f>[1]!f_info_fundmanager(A81)</f>
        <v>张洋</v>
      </c>
      <c r="G81" s="16">
        <v>20190605</v>
      </c>
      <c r="H81" s="18">
        <f>[1]!f_netasset_total(A81,$E$1,100000000)</f>
        <v>5.5453666669000006</v>
      </c>
      <c r="I81" s="18">
        <f>[1]!f_prt_convertiblebondtonav(A81,$E$1)</f>
        <v>27.528419494628906</v>
      </c>
      <c r="J81" s="18">
        <f>[1]!f_prt_stocktonav(A81,$E$1)+0.5*I81</f>
        <v>30.209943771362305</v>
      </c>
      <c r="K81" s="19">
        <v>16.33363588753172</v>
      </c>
      <c r="L81" s="19">
        <f>[1]!f_return($A81,"1",L$2,$E$1)</f>
        <v>4.6177751718414317</v>
      </c>
      <c r="M81" s="19">
        <f>[1]!f_risk_stdevyearly($A81,L$2,$E$1,1,1)</f>
        <v>5.2923014120948242</v>
      </c>
      <c r="N81" s="19">
        <f>IFERROR(L81/M81,"-")</f>
        <v>0.87254576265972761</v>
      </c>
      <c r="O81" s="19" t="str">
        <f>IFERROR(RANK(N81,N:N)&amp;"/"&amp;COUNT(N:N),"-")</f>
        <v>149/197</v>
      </c>
      <c r="P81" s="26">
        <f>IF(O81="-","-",RANK(N81,N:N)/COUNT(N:N))</f>
        <v>0.75634517766497467</v>
      </c>
      <c r="Q81" s="56">
        <v>0.63451776649746194</v>
      </c>
      <c r="R81" s="33" t="str">
        <f>IF(OR($C81&gt;20190630,$K81&gt;30,N81="-",$D81="是",$E81="封闭期",$H81&lt;10,$BN81&lt;-6,$BR81&lt;70),"-",COUNTIFS(N$4:N$200,"&lt;&gt;-",$D$4:$D$200,"&lt;&gt;是",$E$4:$E$200,"&lt;&gt;封闭期",$H$4:$H$200,"&gt;10",$BN$4:$BN$200,"&gt;-6",$BR$4:$BR$200,"&gt;=70",$K$4:$K$200,"&lt;=30",$C$4:$C$200,"&lt;20190630",N$4:N$200,"&gt;="&amp;N81)/COUNTIFS(N$4:N$200,"&lt;&gt;-",$D$4:$D$200,"&lt;&gt;是",$E$4:$E$200,"&lt;&gt;封闭期",$H$4:$H$200,"&gt;10",$BN$4:$BN$200,"&gt;-6",$BR$4:$BR$200,"&gt;=70",$C$4:$C$200,"&lt;20190630",$K$4:$K$200,"&lt;=30"))</f>
        <v>-</v>
      </c>
      <c r="S81" s="19">
        <f>IFERROR((L81-3)/M81,"-")</f>
        <v>0.30568462486740267</v>
      </c>
      <c r="T81" s="19" t="str">
        <f>IFERROR(RANK(S81,S:S)&amp;"/"&amp;COUNT(S:S),"-")</f>
        <v>139/197</v>
      </c>
      <c r="U81" s="26">
        <f>IFERROR(RANK(S81,S:S)/COUNT(S:S),"-")</f>
        <v>0.70558375634517767</v>
      </c>
      <c r="V81" s="34" t="str">
        <f>IF(OR($C81&gt;20190630,$K81&gt;30,S81="-",$D81="是",$E81="封闭期",$H81&lt;10,$BN81&lt;-6,$BR81&lt;70),"-",COUNTIFS(S$4:S$200,"&lt;&gt;-",$D$4:$D$200,"&lt;&gt;是",$E$4:$E$200,"&lt;&gt;封闭期",$H$4:$H$200,"&gt;10",$BN$4:$BN$200,"&gt;-6",$BR$4:$BR$200,"&gt;=70",$K$4:$K$200,"&lt;=30",$C$4:$C$200,"&lt;20190630",S$4:S$200,"&gt;="&amp;S81)&amp;"/"&amp;COUNTIFS(S$4:S$200,"&lt;&gt;-",$D$4:$D$200,"&lt;&gt;是",$E$4:$E$200,"&lt;&gt;封闭期",$H$4:$H$200,"&gt;10",$BN$4:$BN$200,"&gt;-6",$BR$4:$BR$200,"&gt;=70",$C$4:$C$200,"&lt;20190630",$K$4:$K$200,"&lt;=30"))</f>
        <v>-</v>
      </c>
      <c r="W81" s="33" t="str">
        <f>IF(OR($C81&gt;20190630,$K81&gt;30,S81="-",$D81="是",$E81="封闭期",$H81&lt;10,$BN81&lt;-6,$BR81&lt;70),"-",COUNTIFS(S$4:S$200,"&lt;&gt;-",$D$4:$D$200,"&lt;&gt;是",$E$4:$E$200,"&lt;&gt;封闭期",$H$4:$H$200,"&gt;10",$BN$4:$BN$200,"&gt;-6",$BR$4:$BR$200,"&gt;=70",$K$4:$K$200,"&lt;=30",$C$4:$C$200,"&lt;20190630",S$4:S$200,"&gt;="&amp;S81)/COUNTIFS(S$4:S$200,"&lt;&gt;-",$D$4:$D$200,"&lt;&gt;是",$E$4:$E$200,"&lt;&gt;封闭期",$H$4:$H$200,"&gt;10",$BN$4:$BN$200,"&gt;-6",$BR$4:$BR$200,"&gt;=70",$C$4:$C$200,"&lt;20190630",$K$4:$K$200,"&lt;=30"))</f>
        <v>-</v>
      </c>
      <c r="X81" s="19">
        <f>[1]!f_risk_calmar(A81,$L$2,$E$1)</f>
        <v>1.0441944107326457</v>
      </c>
      <c r="Y81" s="19" t="str">
        <f>IFERROR(RANK(X81,X:X)&amp;"/"&amp;COUNT(X:X),"-")</f>
        <v>155/197</v>
      </c>
      <c r="Z81" s="26">
        <f>IFERROR(RANK(X81,X:X)/COUNT(X:X),"-")</f>
        <v>0.78680203045685282</v>
      </c>
      <c r="AA81" s="34" t="str">
        <f>IF(OR($C81&gt;20190630,$K81&gt;30,X81="-",$D81="是",$E81="封闭期",$H81&lt;10,$BN81&lt;-6,$BR81&lt;70),"-",COUNTIFS(X$4:X$200,"&lt;&gt;-",$D$4:$D$200,"&lt;&gt;是",$E$4:$E$200,"&lt;&gt;封闭期",$H$4:$H$200,"&gt;10",$BN$4:$BN$200,"&gt;-6",$BR$4:$BR$200,"&gt;=70",$K$4:$K$200,"&lt;=30",$C$4:$C$200,"&lt;20190630",X$4:X$200,"&gt;="&amp;X81)&amp;"/"&amp;COUNTIFS(X$4:X$200,"&lt;&gt;-",$D$4:$D$200,"&lt;&gt;是",$E$4:$E$200,"&lt;&gt;封闭期",$H$4:$H$200,"&gt;10",$BN$4:$BN$200,"&gt;-6",$BR$4:$BR$200,"&gt;=70",$C$4:$C$200,"&lt;20190630",$K$4:$K$200,"&lt;=30"))</f>
        <v>-</v>
      </c>
      <c r="AB81" s="33" t="str">
        <f>IF(OR($C81&gt;20190630,$K81&gt;30,X81="-",$D81="是",$E81="封闭期",$H81&lt;10,$BN81&lt;-6,$BR81&lt;70),"-",COUNTIFS(X$4:X$200,"&lt;&gt;-",$D$4:$D$200,"&lt;&gt;是",$E$4:$E$200,"&lt;&gt;封闭期",$H$4:$H$200,"&gt;10",$BN$4:$BN$200,"&gt;-6",$BR$4:$BR$200,"&gt;=70",$K$4:$K$200,"&lt;=30",$C$4:$C$200,"&lt;20190630",X$4:X$200,"&gt;="&amp;X81)/COUNTIFS(X$4:X$200,"&lt;&gt;-",$D$4:$D$200,"&lt;&gt;是",$E$4:$E$200,"&lt;&gt;封闭期",$H$4:$H$200,"&gt;10",$BN$4:$BN$200,"&gt;-6",$BR$4:$BR$200,"&gt;=70",$C$4:$C$200,"&lt;20190630",$K$4:$K$200,"&lt;=30"))</f>
        <v>-</v>
      </c>
      <c r="AC81" s="20">
        <v>0.79831932773109249</v>
      </c>
      <c r="AD81" s="19" t="str">
        <f>IFERROR(RANK(AC81,AC:AC)&amp;"/"&amp;COUNT(AC:AC),"-")</f>
        <v>149/197</v>
      </c>
      <c r="AE81" s="26">
        <f>IFERROR(RANK(AC81,AC:AC)/COUNT(AC:AC),"-")</f>
        <v>0.75634517766497467</v>
      </c>
      <c r="AF81" s="34" t="str">
        <f>IF(OR($C81&gt;20190630,$K81&gt;30,AC81="-",$D81="是",$E81="封闭期",$H81&lt;10,$BN81&lt;-6,$BR81&lt;70),"-",COUNTIFS(AC$4:AC$200,"&lt;&gt;-",$D$4:$D$200,"&lt;&gt;是",$E$4:$E$200,"&lt;&gt;封闭期",$H$4:$H$200,"&gt;10",$BN$4:$BN$200,"&gt;-6",$BR$4:$BR$200,"&gt;=70",$K$4:$K$200,"&lt;=30",$C$4:$C$200,"&lt;20190630",AC$4:AC$200,"&gt;="&amp;AC81)&amp;"/"&amp;COUNTIFS(AC$4:AC$200,"&lt;&gt;-",$D$4:$D$200,"&lt;&gt;是",$E$4:$E$200,"&lt;&gt;封闭期",$H$4:$H$200,"&gt;10",$BN$4:$BN$200,"&gt;-6",$BR$4:$BR$200,"&gt;=70",$C$4:$C$200,"&lt;20190630",$K$4:$K$200,"&lt;=30"))</f>
        <v>-</v>
      </c>
      <c r="AG81" s="33" t="str">
        <f>IF(OR($C81&gt;20190630,$K81&gt;30,AC81="-",$D81="是",$E81="封闭期",$H81&lt;10,$BN81&lt;-6,$BR81&lt;70),"-",COUNTIFS(AC$4:AC$200,"&lt;&gt;-",$D$4:$D$200,"&lt;&gt;是",$E$4:$E$200,"&lt;&gt;封闭期",$H$4:$H$200,"&gt;10",$BN$4:$BN$200,"&gt;-6",$BR$4:$BR$200,"&gt;=70",$K$4:$K$200,"&lt;=30",$C$4:$C$200,"&lt;20190630",AC$4:AC$200,"&gt;="&amp;AC81)/COUNTIFS(AC$4:AC$200,"&lt;&gt;-",$D$4:$D$200,"&lt;&gt;是",$E$4:$E$200,"&lt;&gt;封闭期",$H$4:$H$200,"&gt;10",$BN$4:$BN$200,"&gt;-6",$BR$4:$BR$200,"&gt;=70",$C$4:$C$200,"&lt;20190630",$K$4:$K$200,"&lt;=30"))</f>
        <v>-</v>
      </c>
      <c r="AH81" s="21">
        <f>[1]!f_risk_maxdownside(A81,$L$2,$E$1)</f>
        <v>-4.4223327805417272</v>
      </c>
      <c r="AI81" s="19" t="str">
        <f>IFERROR(RANK(AH81,AH:AH)&amp;"/"&amp;COUNT(AH:AH),"-")</f>
        <v>139/197</v>
      </c>
      <c r="AJ81" s="26">
        <f>IFERROR(RANK(AH81,AH:AH)/COUNT(AH:AH),"-")</f>
        <v>0.70558375634517767</v>
      </c>
      <c r="AK81" s="34" t="str">
        <f>IF(OR($C81&gt;20190630,$K81&gt;30,AH81="-",$D81="是",$E81="封闭期",$H81&lt;10,$BN81&lt;-6,$BR81&lt;70),"-",COUNTIFS(AH$4:AH$200,"&lt;&gt;-",$D$4:$D$200,"&lt;&gt;是",$E$4:$E$200,"&lt;&gt;封闭期",$H$4:$H$200,"&gt;10",$BN$4:$BN$200,"&gt;-6",$BR$4:$BR$200,"&gt;=70",$K$4:$K$200,"&lt;=30",$C$4:$C$200,"&lt;20190630",AH$4:AH$200,"&gt;="&amp;AH81)&amp;"/"&amp;COUNTIFS(AH$4:AH$200,"&lt;&gt;-",$D$4:$D$200,"&lt;&gt;是",$E$4:$E$200,"&lt;&gt;封闭期",$H$4:$H$200,"&gt;10",$BN$4:$BN$200,"&gt;-6",$BR$4:$BR$200,"&gt;=70",$C$4:$C$200,"&lt;20190630",$K$4:$K$200,"&lt;=30"))</f>
        <v>-</v>
      </c>
      <c r="AL81" s="33" t="str">
        <f>IF(OR($C81&gt;20190630,$K81&gt;30,AH81="-",$D81="是",$E81="封闭期",$H81&lt;10,$BN81&lt;-6,$BR81&lt;70),"-",COUNTIFS(AH$4:AH$200,"&lt;&gt;-",$D$4:$D$200,"&lt;&gt;是",$E$4:$E$200,"&lt;&gt;封闭期",$H$4:$H$200,"&gt;10",$BN$4:$BN$200,"&gt;-6",$BR$4:$BR$200,"&gt;=70",$K$4:$K$200,"&lt;=30",$C$4:$C$200,"&lt;20190630",AH$4:AH$200,"&gt;="&amp;AH81)/COUNTIFS(AH$4:AH$200,"&lt;&gt;-",$D$4:$D$200,"&lt;&gt;是",$E$4:$E$200,"&lt;&gt;封闭期",$H$4:$H$200,"&gt;10",$BN$4:$BN$200,"&gt;-6",$BR$4:$BR$200,"&gt;=70",$C$4:$C$200,"&lt;20190630",$K$4:$K$200,"&lt;=30"))</f>
        <v>-</v>
      </c>
      <c r="AM81" s="19">
        <f>[1]!f_return($A81,"1",AM$2,$L$2)</f>
        <v>8.2019838285170454</v>
      </c>
      <c r="AN81" s="19">
        <f>[1]!f_risk_stdevyearly($A81,AM$2,$L$2,1,1)</f>
        <v>4.5357138609086478</v>
      </c>
      <c r="AO81" s="19">
        <f>IFERROR(AM81/AN81,"-")</f>
        <v>1.8083115646263292</v>
      </c>
      <c r="AP81" s="19" t="str">
        <f>IFERROR(RANK(AO81,AO:AO)&amp;"/"&amp;COUNT(AO:AO),"-")</f>
        <v>68/197</v>
      </c>
      <c r="AQ81" s="26">
        <f>IF(AP81="-","-",RANK(AO81,AO:AO)/COUNT(AO:AO))</f>
        <v>0.34517766497461927</v>
      </c>
      <c r="AR81" s="57">
        <v>0.39593908629441626</v>
      </c>
      <c r="AS81" s="33" t="str">
        <f>IF(OR($C81&gt;20190630,$K81&gt;30,AO81="-",$D81="是",$E81="封闭期",$H81&lt;10,$BN81&lt;-6,$BR81&lt;70),"-",COUNTIFS(AO$4:AO$200,"&lt;&gt;-",$D$4:$D$200,"&lt;&gt;是",$E$4:$E$200,"&lt;&gt;封闭期",$H$4:$H$200,"&gt;10",$BN$4:$BN$200,"&gt;-6",$BR$4:$BR$200,"&gt;=70",$K$4:$K$200,"&lt;=30",$C$4:$C$200,"&lt;20190630",AO$4:AO$200,"&gt;="&amp;AO81)/COUNTIFS(AO$4:AO$200,"&lt;&gt;-",$D$4:$D$200,"&lt;&gt;是",$E$4:$E$200,"&lt;&gt;封闭期",$H$4:$H$200,"&gt;10",$BN$4:$BN$200,"&gt;-6",$BR$4:$BR$200,"&gt;=70",$C$4:$C$200,"&lt;20190630",$K$4:$K$200,"&lt;=30"))</f>
        <v>-</v>
      </c>
      <c r="AT81" s="19">
        <f>IFERROR((AM81-3)/AN81,"-")</f>
        <v>1.1468941798446965</v>
      </c>
      <c r="AU81" s="19" t="str">
        <f>IFERROR(RANK(AT81,AT:AT)&amp;"/"&amp;COUNT(AT:AT),"-")</f>
        <v>60/197</v>
      </c>
      <c r="AV81" s="26">
        <f>IFERROR(RANK(AT81,AT:AT)/COUNT(AT:AT),"-")</f>
        <v>0.30456852791878175</v>
      </c>
      <c r="AW81" s="34" t="str">
        <f>IF(OR($C81&gt;20190630,$K81&gt;30,AT81="-",$D81="是",$E81="封闭期",$H81&lt;10,$BN81&lt;-6,$BR81&lt;70),"-",COUNTIFS(AT$4:AT$200,"&lt;&gt;-",$D$4:$D$200,"&lt;&gt;是",$E$4:$E$200,"&lt;&gt;封闭期",$H$4:$H$200,"&gt;10",$BN$4:$BN$200,"&gt;-6",$BR$4:$BR$200,"&gt;=70",$K$4:$K$200,"&lt;=30",$C$4:$C$200,"&lt;20190630",AT$4:AT$200,"&gt;="&amp;AT81)&amp;"/"&amp;COUNTIFS(AT$4:AT$200,"&lt;&gt;-",$D$4:$D$200,"&lt;&gt;是",$E$4:$E$200,"&lt;&gt;封闭期",$H$4:$H$200,"&gt;10",$BN$4:$BN$200,"&gt;-6",$BR$4:$BR$200,"&gt;=70",$C$4:$C$200,"&lt;20190630",$K$4:$K$200,"&lt;=30"))</f>
        <v>-</v>
      </c>
      <c r="AX81" s="33" t="str">
        <f>IF(OR($C81&gt;20190630,$K81&gt;30,AT81="-",$D81="是",$E81="封闭期",$H81&lt;10,$BN81&lt;-6,$BR81&lt;70),"-",COUNTIFS(AT$4:AT$200,"&lt;&gt;-",$D$4:$D$200,"&lt;&gt;是",$E$4:$E$200,"&lt;&gt;封闭期",$H$4:$H$200,"&gt;10",$BN$4:$BN$200,"&gt;-6",$BR$4:$BR$200,"&gt;=70",$K$4:$K$200,"&lt;=30",$C$4:$C$200,"&lt;20190630",AT$4:AT$200,"&gt;="&amp;AT81)/COUNTIFS(AT$4:AT$200,"&lt;&gt;-",$D$4:$D$200,"&lt;&gt;是",$E$4:$E$200,"&lt;&gt;封闭期",$H$4:$H$200,"&gt;10",$BN$4:$BN$200,"&gt;-6",$BR$4:$BR$200,"&gt;=70",$C$4:$C$200,"&lt;20190630",$K$4:$K$200,"&lt;=30"))</f>
        <v>-</v>
      </c>
      <c r="AY81" s="19">
        <f>[1]!f_risk_calmar(A81,$AM$2,$L$2)</f>
        <v>2.3340899742508698</v>
      </c>
      <c r="AZ81" s="19" t="str">
        <f>IFERROR(RANK(AY81,AY:AY)&amp;"/"&amp;COUNT(AY:AY),"-")</f>
        <v>85/197</v>
      </c>
      <c r="BA81" s="26">
        <f>IFERROR(RANK(AY81,AY:AY)/COUNT(AY:AY),"-")</f>
        <v>0.43147208121827413</v>
      </c>
      <c r="BB81" s="34" t="str">
        <f>IF(OR($C81&gt;20190630,$K81&gt;30,AY81="-",$D81="是",$E81="封闭期",$H81&lt;10,$BN81&lt;-6,$BR81&lt;70),"-",COUNTIFS(AY$4:AY$200,"&lt;&gt;-",$D$4:$D$200,"&lt;&gt;是",$E$4:$E$200,"&lt;&gt;封闭期",$H$4:$H$200,"&gt;10",$BN$4:$BN$200,"&gt;-6",$BR$4:$BR$200,"&gt;=70",$K$4:$K$200,"&lt;=30",$C$4:$C$200,"&lt;20190630",AY$4:AY$200,"&gt;="&amp;AY81)&amp;"/"&amp;COUNTIFS(AY$4:AY$200,"&lt;&gt;-",$D$4:$D$200,"&lt;&gt;是",$E$4:$E$200,"&lt;&gt;封闭期",$H$4:$H$200,"&gt;10",$BN$4:$BN$200,"&gt;-6",$BR$4:$BR$200,"&gt;=70",$C$4:$C$200,"&lt;20190630",$K$4:$K$200,"&lt;=30"))</f>
        <v>-</v>
      </c>
      <c r="BC81" s="33" t="str">
        <f>IF(OR($C81&gt;20190630,$K81&gt;30,AY81="-",$D81="是",$E81="封闭期",$H81&lt;10,$BN81&lt;-6,$BR81&lt;70),"-",COUNTIFS(AY$4:AY$200,"&lt;&gt;-",$D$4:$D$200,"&lt;&gt;是",$E$4:$E$200,"&lt;&gt;封闭期",$H$4:$H$200,"&gt;10",$BN$4:$BN$200,"&gt;-6",$BR$4:$BR$200,"&gt;=70",$K$4:$K$200,"&lt;=30",$C$4:$C$200,"&lt;20190630",AY$4:AY$200,"&gt;="&amp;AY81)/COUNTIFS(AY$4:AY$200,"&lt;&gt;-",$D$4:$D$200,"&lt;&gt;是",$E$4:$E$200,"&lt;&gt;封闭期",$H$4:$H$200,"&gt;10",$BN$4:$BN$200,"&gt;-6",$BR$4:$BR$200,"&gt;=70",$C$4:$C$200,"&lt;20190630",$K$4:$K$200,"&lt;=30"))</f>
        <v>-</v>
      </c>
      <c r="BD81" s="20">
        <v>1</v>
      </c>
      <c r="BE81" s="19" t="str">
        <f>IFERROR(RANK(BD81,BD:BD)&amp;"/"&amp;COUNT(BD:BD),"-")</f>
        <v>1/197</v>
      </c>
      <c r="BF81" s="26">
        <f>IFERROR(RANK(BD81,BD:BD)/COUNT(BD:BD),"-")</f>
        <v>5.076142131979695E-3</v>
      </c>
      <c r="BG81" s="34" t="str">
        <f>IF(OR($C81&gt;20190630,$K81&gt;30,BD81="-",$D81="是",$E81="封闭期",$H81&lt;10,$BN81&lt;-6,$BR81&lt;70),"-",COUNTIFS(BD$4:BD$200,"&lt;&gt;-",$D$4:$D$200,"&lt;&gt;是",$E$4:$E$200,"&lt;&gt;封闭期",$H$4:$H$200,"&gt;10",$BN$4:$BN$200,"&gt;-6",$BR$4:$BR$200,"&gt;=70",$K$4:$K$200,"&lt;=30",$C$4:$C$200,"&lt;20190630",BD$4:BD$200,"&gt;="&amp;BD81)&amp;"/"&amp;COUNTIFS(BD$4:BD$200,"&lt;&gt;-",$D$4:$D$200,"&lt;&gt;是",$E$4:$E$200,"&lt;&gt;封闭期",$H$4:$H$200,"&gt;10",$BN$4:$BN$200,"&gt;-6",$BR$4:$BR$200,"&gt;=70",$C$4:$C$200,"&lt;20190630",$K$4:$K$200,"&lt;=30"))</f>
        <v>-</v>
      </c>
      <c r="BH81" s="33" t="str">
        <f>IF(OR($C81&gt;20190630,$K81&gt;30,BD81="-",$D81="是",$E81="封闭期",$H81&lt;10,$BN81&lt;-6,$BR81&lt;70),"-",COUNTIFS(BD$4:BD$200,"&lt;&gt;-",$D$4:$D$200,"&lt;&gt;是",$E$4:$E$200,"&lt;&gt;封闭期",$H$4:$H$200,"&gt;10",$BN$4:$BN$200,"&gt;-6",$BR$4:$BR$200,"&gt;=70",$K$4:$K$200,"&lt;=30",$C$4:$C$200,"&lt;20190630",BD$4:BD$200,"&gt;="&amp;BD81)/COUNTIFS(BD$4:BD$200,"&lt;&gt;-",$D$4:$D$200,"&lt;&gt;是",$E$4:$E$200,"&lt;&gt;封闭期",$H$4:$H$200,"&gt;10",$BN$4:$BN$200,"&gt;-6",$BR$4:$BR$200,"&gt;=70",$C$4:$C$200,"&lt;20190630",$K$4:$K$200,"&lt;=30"))</f>
        <v>-</v>
      </c>
      <c r="BI81" s="21">
        <f>[1]!f_risk_maxdownside(A81,$AM$2,$L$2)</f>
        <v>-3.5139964264443089</v>
      </c>
      <c r="BJ81" s="19" t="str">
        <f>IFERROR(RANK(BI81,BI:BI)&amp;"/"&amp;COUNT(BI:BI),"-")</f>
        <v>110/197</v>
      </c>
      <c r="BK81" s="26">
        <f>IFERROR(RANK(BI81,BI:BI)/COUNT(BI:BI),"-")</f>
        <v>0.55837563451776651</v>
      </c>
      <c r="BL81" s="34" t="str">
        <f>IF(OR($C81&gt;20190630,$K81&gt;30,BI81="-",$D81="是",$E81="封闭期",$H81&lt;10,$BN81&lt;-6,$BR81&lt;70),"-",COUNTIFS(BI$4:BI$200,"&lt;&gt;-",$D$4:$D$200,"&lt;&gt;是",$E$4:$E$200,"&lt;&gt;封闭期",$H$4:$H$200,"&gt;10",$BN$4:$BN$200,"&gt;-6",$BR$4:$BR$200,"&gt;=70",$K$4:$K$200,"&lt;=30",$C$4:$C$200,"&lt;20190630",BI$4:BI$200,"&gt;="&amp;BI81)&amp;"/"&amp;COUNTIFS(BI$4:BI$200,"&lt;&gt;-",$D$4:$D$200,"&lt;&gt;是",$E$4:$E$200,"&lt;&gt;封闭期",$H$4:$H$200,"&gt;10",$BN$4:$BN$200,"&gt;-6",$BR$4:$BR$200,"&gt;=70",$C$4:$C$200,"&lt;20190630",$K$4:$K$200,"&lt;=30"))</f>
        <v>-</v>
      </c>
      <c r="BM81" s="33" t="str">
        <f>IF(OR($C81&gt;20190630,$K81&gt;30,BI81="-",$D81="是",$E81="封闭期",$H81&lt;10,$BN81&lt;-6,$BR81&lt;70),"-",COUNTIFS(BI$4:BI$200,"&lt;&gt;-",$D$4:$D$200,"&lt;&gt;是",$E$4:$E$200,"&lt;&gt;封闭期",$H$4:$H$200,"&gt;10",$BN$4:$BN$200,"&gt;-6",$BR$4:$BR$200,"&gt;=70",$K$4:$K$200,"&lt;=30",$C$4:$C$200,"&lt;20190630",BI$4:BI$200,"&gt;="&amp;BI81)/COUNTIFS(BI$4:BI$200,"&lt;&gt;-",$D$4:$D$200,"&lt;&gt;是",$E$4:$E$200,"&lt;&gt;封闭期",$H$4:$H$200,"&gt;10",$BN$4:$BN$200,"&gt;-6",$BR$4:$BR$200,"&gt;=70",$C$4:$C$200,"&lt;20190630",$K$4:$K$200,"&lt;=30"))</f>
        <v>-</v>
      </c>
      <c r="BN81" s="21">
        <f>[1]!f_risk_maxdownside(A81,$AM$2,$E$1)</f>
        <v>-4.4223327805417272</v>
      </c>
      <c r="BO81" s="21">
        <f>IF(C81&lt;20190930,[1]!f_return_2y(A81,"0","20210930"),"-")</f>
        <v>13.621896880967535</v>
      </c>
      <c r="BP81" s="19" t="str">
        <f>IFERROR(RANK(BO81,BO:BO)&amp;"/"&amp;COUNT(BO:BO),"-")</f>
        <v>95/197</v>
      </c>
      <c r="BQ81" s="25">
        <f>IFERROR(RANK(BO81,BO:BO)/COUNT(BO:BO),"-")</f>
        <v>0.48223350253807107</v>
      </c>
      <c r="BR81" s="19">
        <f>IF(C81&lt;20190930,[1]!f_absolute_profitmonthper(A81,"20190930","20210930"),"-")</f>
        <v>62.5</v>
      </c>
      <c r="BS81" s="19" t="str">
        <f>IFERROR(RANK(BR81,BR:BR)&amp;"/"&amp;COUNT(BR:BR),"-")</f>
        <v>142/198</v>
      </c>
      <c r="BT81" s="25">
        <f>IFERROR(RANK(BR81,BR:BR)/COUNT(BR:BR),"-")</f>
        <v>0.71717171717171713</v>
      </c>
      <c r="BV81" s="12">
        <f>X81-3/M81</f>
        <v>0.4773332729403208</v>
      </c>
      <c r="BW81" s="76">
        <f>IFERROR(RANK(BV81,BV:BV)/COUNT(BV:BV),"-")</f>
        <v>0.74619289340101524</v>
      </c>
      <c r="BX81" s="76">
        <f>IFERROR(RANK(L81,L:L)/COUNT(L:L),"-")</f>
        <v>0.63636363636363635</v>
      </c>
      <c r="BY81" s="12">
        <f>AY81-3/AN81</f>
        <v>1.6726725894692371</v>
      </c>
      <c r="BZ81" s="76">
        <f>IFERROR(RANK(BY81,BY:BY)/COUNT(BY:BY),"-")</f>
        <v>0.4720812182741117</v>
      </c>
      <c r="CA81" s="76">
        <f>IFERROR(RANK(AM81,AM:AM)/COUNT(AM:AM),"-")</f>
        <v>0.39898989898989901</v>
      </c>
      <c r="CB81" s="2"/>
      <c r="CC81" s="77">
        <f>AV81+BF81+BZ81+CA81</f>
        <v>1.1807157873147722</v>
      </c>
      <c r="CD81" s="77">
        <f>BW81+BX81+AE81+U81</f>
        <v>2.844485463774804</v>
      </c>
      <c r="CE81" s="77">
        <f>CC81+CD81</f>
        <v>4.0252012510895767</v>
      </c>
    </row>
    <row r="82" spans="1:83" s="2" customFormat="1" hidden="1" x14ac:dyDescent="0.35">
      <c r="A82" s="15" t="s">
        <v>343</v>
      </c>
      <c r="B82" s="15" t="s">
        <v>344</v>
      </c>
      <c r="C82" s="16">
        <v>20170830</v>
      </c>
      <c r="D82" s="16" t="str">
        <f>[1]!f_info_regulopenfundornot(A82)</f>
        <v>否</v>
      </c>
      <c r="E82" s="16" t="str">
        <f>[1]!f_dq_status(A82,$E$1)</f>
        <v>开放申购|开放赎回</v>
      </c>
      <c r="F82" s="17" t="str">
        <f>[1]!f_info_fundmanager(A82)</f>
        <v>张一格</v>
      </c>
      <c r="G82" s="16">
        <v>20170830</v>
      </c>
      <c r="H82" s="18">
        <f>[1]!f_netasset_total(A82,$E$1,100000000)</f>
        <v>3.8063326500999999</v>
      </c>
      <c r="I82" s="18">
        <f>[1]!f_prt_convertiblebondtonav(A82,$E$1)</f>
        <v>27.287582397460938</v>
      </c>
      <c r="J82" s="18">
        <f>[1]!f_prt_stocktonav(A82,$E$1)+0.5*I82</f>
        <v>32.648696899414063</v>
      </c>
      <c r="K82" s="19">
        <v>31.565028872829469</v>
      </c>
      <c r="L82" s="19">
        <f>[1]!f_return($A82,"1",L$2,$E$1)</f>
        <v>5.1359827195798902</v>
      </c>
      <c r="M82" s="19">
        <f>[1]!f_risk_stdevyearly($A82,L$2,$E$1,1,1)</f>
        <v>6.5151607473705031</v>
      </c>
      <c r="N82" s="19">
        <f>IFERROR(L82/M82,"-")</f>
        <v>0.7883125096572261</v>
      </c>
      <c r="O82" s="19" t="str">
        <f>IFERROR(RANK(N82,N:N)&amp;"/"&amp;COUNT(N:N),"-")</f>
        <v>158/197</v>
      </c>
      <c r="P82" s="26">
        <f>IF(O82="-","-",RANK(N82,N:N)/COUNT(N:N))</f>
        <v>0.80203045685279184</v>
      </c>
      <c r="Q82" s="56">
        <v>0.56345177664974622</v>
      </c>
      <c r="R82" s="33" t="str">
        <f>IF(OR($C82&gt;20190630,$K82&gt;30,N82="-",$D82="是",$E82="封闭期",$H82&lt;10,$BN82&lt;-6,$BR82&lt;70),"-",COUNTIFS(N$4:N$200,"&lt;&gt;-",$D$4:$D$200,"&lt;&gt;是",$E$4:$E$200,"&lt;&gt;封闭期",$H$4:$H$200,"&gt;10",$BN$4:$BN$200,"&gt;-6",$BR$4:$BR$200,"&gt;=70",$K$4:$K$200,"&lt;=30",$C$4:$C$200,"&lt;20190630",N$4:N$200,"&gt;="&amp;N82)/COUNTIFS(N$4:N$200,"&lt;&gt;-",$D$4:$D$200,"&lt;&gt;是",$E$4:$E$200,"&lt;&gt;封闭期",$H$4:$H$200,"&gt;10",$BN$4:$BN$200,"&gt;-6",$BR$4:$BR$200,"&gt;=70",$C$4:$C$200,"&lt;20190630",$K$4:$K$200,"&lt;=30"))</f>
        <v>-</v>
      </c>
      <c r="S82" s="19">
        <f>IFERROR((L82-3)/M82,"-")</f>
        <v>0.32784804587392041</v>
      </c>
      <c r="T82" s="19" t="str">
        <f>IFERROR(RANK(S82,S:S)&amp;"/"&amp;COUNT(S:S),"-")</f>
        <v>136/197</v>
      </c>
      <c r="U82" s="26">
        <f>IFERROR(RANK(S82,S:S)/COUNT(S:S),"-")</f>
        <v>0.69035532994923854</v>
      </c>
      <c r="V82" s="34" t="str">
        <f>IF(OR($C82&gt;20190630,$K82&gt;30,S82="-",$D82="是",$E82="封闭期",$H82&lt;10,$BN82&lt;-6,$BR82&lt;70),"-",COUNTIFS(S$4:S$200,"&lt;&gt;-",$D$4:$D$200,"&lt;&gt;是",$E$4:$E$200,"&lt;&gt;封闭期",$H$4:$H$200,"&gt;10",$BN$4:$BN$200,"&gt;-6",$BR$4:$BR$200,"&gt;=70",$K$4:$K$200,"&lt;=30",$C$4:$C$200,"&lt;20190630",S$4:S$200,"&gt;="&amp;S82)&amp;"/"&amp;COUNTIFS(S$4:S$200,"&lt;&gt;-",$D$4:$D$200,"&lt;&gt;是",$E$4:$E$200,"&lt;&gt;封闭期",$H$4:$H$200,"&gt;10",$BN$4:$BN$200,"&gt;-6",$BR$4:$BR$200,"&gt;=70",$C$4:$C$200,"&lt;20190630",$K$4:$K$200,"&lt;=30"))</f>
        <v>-</v>
      </c>
      <c r="W82" s="33" t="str">
        <f>IF(OR($C82&gt;20190630,$K82&gt;30,S82="-",$D82="是",$E82="封闭期",$H82&lt;10,$BN82&lt;-6,$BR82&lt;70),"-",COUNTIFS(S$4:S$200,"&lt;&gt;-",$D$4:$D$200,"&lt;&gt;是",$E$4:$E$200,"&lt;&gt;封闭期",$H$4:$H$200,"&gt;10",$BN$4:$BN$200,"&gt;-6",$BR$4:$BR$200,"&gt;=70",$K$4:$K$200,"&lt;=30",$C$4:$C$200,"&lt;20190630",S$4:S$200,"&gt;="&amp;S82)/COUNTIFS(S$4:S$200,"&lt;&gt;-",$D$4:$D$200,"&lt;&gt;是",$E$4:$E$200,"&lt;&gt;封闭期",$H$4:$H$200,"&gt;10",$BN$4:$BN$200,"&gt;-6",$BR$4:$BR$200,"&gt;=70",$C$4:$C$200,"&lt;20190630",$K$4:$K$200,"&lt;=30"))</f>
        <v>-</v>
      </c>
      <c r="X82" s="19">
        <f>[1]!f_risk_calmar(A82,$L$2,$E$1)</f>
        <v>1.1296319188212551</v>
      </c>
      <c r="Y82" s="19" t="str">
        <f>IFERROR(RANK(X82,X:X)&amp;"/"&amp;COUNT(X:X),"-")</f>
        <v>149/197</v>
      </c>
      <c r="Z82" s="26">
        <f>IFERROR(RANK(X82,X:X)/COUNT(X:X),"-")</f>
        <v>0.75634517766497467</v>
      </c>
      <c r="AA82" s="34" t="str">
        <f>IF(OR($C82&gt;20190630,$K82&gt;30,X82="-",$D82="是",$E82="封闭期",$H82&lt;10,$BN82&lt;-6,$BR82&lt;70),"-",COUNTIFS(X$4:X$200,"&lt;&gt;-",$D$4:$D$200,"&lt;&gt;是",$E$4:$E$200,"&lt;&gt;封闭期",$H$4:$H$200,"&gt;10",$BN$4:$BN$200,"&gt;-6",$BR$4:$BR$200,"&gt;=70",$K$4:$K$200,"&lt;=30",$C$4:$C$200,"&lt;20190630",X$4:X$200,"&gt;="&amp;X82)&amp;"/"&amp;COUNTIFS(X$4:X$200,"&lt;&gt;-",$D$4:$D$200,"&lt;&gt;是",$E$4:$E$200,"&lt;&gt;封闭期",$H$4:$H$200,"&gt;10",$BN$4:$BN$200,"&gt;-6",$BR$4:$BR$200,"&gt;=70",$C$4:$C$200,"&lt;20190630",$K$4:$K$200,"&lt;=30"))</f>
        <v>-</v>
      </c>
      <c r="AB82" s="33" t="str">
        <f>IF(OR($C82&gt;20190630,$K82&gt;30,X82="-",$D82="是",$E82="封闭期",$H82&lt;10,$BN82&lt;-6,$BR82&lt;70),"-",COUNTIFS(X$4:X$200,"&lt;&gt;-",$D$4:$D$200,"&lt;&gt;是",$E$4:$E$200,"&lt;&gt;封闭期",$H$4:$H$200,"&gt;10",$BN$4:$BN$200,"&gt;-6",$BR$4:$BR$200,"&gt;=70",$K$4:$K$200,"&lt;=30",$C$4:$C$200,"&lt;20190630",X$4:X$200,"&gt;="&amp;X82)/COUNTIFS(X$4:X$200,"&lt;&gt;-",$D$4:$D$200,"&lt;&gt;是",$E$4:$E$200,"&lt;&gt;封闭期",$H$4:$H$200,"&gt;10",$BN$4:$BN$200,"&gt;-6",$BR$4:$BR$200,"&gt;=70",$C$4:$C$200,"&lt;20190630",$K$4:$K$200,"&lt;=30"))</f>
        <v>-</v>
      </c>
      <c r="AC82" s="20">
        <v>0.7142857142857143</v>
      </c>
      <c r="AD82" s="19" t="str">
        <f>IFERROR(RANK(AC82,AC:AC)&amp;"/"&amp;COUNT(AC:AC),"-")</f>
        <v>165/197</v>
      </c>
      <c r="AE82" s="26">
        <f>IFERROR(RANK(AC82,AC:AC)/COUNT(AC:AC),"-")</f>
        <v>0.8375634517766497</v>
      </c>
      <c r="AF82" s="34" t="str">
        <f>IF(OR($C82&gt;20190630,$K82&gt;30,AC82="-",$D82="是",$E82="封闭期",$H82&lt;10,$BN82&lt;-6,$BR82&lt;70),"-",COUNTIFS(AC$4:AC$200,"&lt;&gt;-",$D$4:$D$200,"&lt;&gt;是",$E$4:$E$200,"&lt;&gt;封闭期",$H$4:$H$200,"&gt;10",$BN$4:$BN$200,"&gt;-6",$BR$4:$BR$200,"&gt;=70",$K$4:$K$200,"&lt;=30",$C$4:$C$200,"&lt;20190630",AC$4:AC$200,"&gt;="&amp;AC82)&amp;"/"&amp;COUNTIFS(AC$4:AC$200,"&lt;&gt;-",$D$4:$D$200,"&lt;&gt;是",$E$4:$E$200,"&lt;&gt;封闭期",$H$4:$H$200,"&gt;10",$BN$4:$BN$200,"&gt;-6",$BR$4:$BR$200,"&gt;=70",$C$4:$C$200,"&lt;20190630",$K$4:$K$200,"&lt;=30"))</f>
        <v>-</v>
      </c>
      <c r="AG82" s="33" t="str">
        <f>IF(OR($C82&gt;20190630,$K82&gt;30,AC82="-",$D82="是",$E82="封闭期",$H82&lt;10,$BN82&lt;-6,$BR82&lt;70),"-",COUNTIFS(AC$4:AC$200,"&lt;&gt;-",$D$4:$D$200,"&lt;&gt;是",$E$4:$E$200,"&lt;&gt;封闭期",$H$4:$H$200,"&gt;10",$BN$4:$BN$200,"&gt;-6",$BR$4:$BR$200,"&gt;=70",$K$4:$K$200,"&lt;=30",$C$4:$C$200,"&lt;20190630",AC$4:AC$200,"&gt;="&amp;AC82)/COUNTIFS(AC$4:AC$200,"&lt;&gt;-",$D$4:$D$200,"&lt;&gt;是",$E$4:$E$200,"&lt;&gt;封闭期",$H$4:$H$200,"&gt;10",$BN$4:$BN$200,"&gt;-6",$BR$4:$BR$200,"&gt;=70",$C$4:$C$200,"&lt;20190630",$K$4:$K$200,"&lt;=30"))</f>
        <v>-</v>
      </c>
      <c r="AH82" s="21">
        <f>[1]!f_risk_maxdownside(A82,$L$2,$E$1)</f>
        <v>-4.5465984397281991</v>
      </c>
      <c r="AI82" s="19" t="str">
        <f>IFERROR(RANK(AH82,AH:AH)&amp;"/"&amp;COUNT(AH:AH),"-")</f>
        <v>144/197</v>
      </c>
      <c r="AJ82" s="26">
        <f>IFERROR(RANK(AH82,AH:AH)/COUNT(AH:AH),"-")</f>
        <v>0.73096446700507611</v>
      </c>
      <c r="AK82" s="34" t="str">
        <f>IF(OR($C82&gt;20190630,$K82&gt;30,AH82="-",$D82="是",$E82="封闭期",$H82&lt;10,$BN82&lt;-6,$BR82&lt;70),"-",COUNTIFS(AH$4:AH$200,"&lt;&gt;-",$D$4:$D$200,"&lt;&gt;是",$E$4:$E$200,"&lt;&gt;封闭期",$H$4:$H$200,"&gt;10",$BN$4:$BN$200,"&gt;-6",$BR$4:$BR$200,"&gt;=70",$K$4:$K$200,"&lt;=30",$C$4:$C$200,"&lt;20190630",AH$4:AH$200,"&gt;="&amp;AH82)&amp;"/"&amp;COUNTIFS(AH$4:AH$200,"&lt;&gt;-",$D$4:$D$200,"&lt;&gt;是",$E$4:$E$200,"&lt;&gt;封闭期",$H$4:$H$200,"&gt;10",$BN$4:$BN$200,"&gt;-6",$BR$4:$BR$200,"&gt;=70",$C$4:$C$200,"&lt;20190630",$K$4:$K$200,"&lt;=30"))</f>
        <v>-</v>
      </c>
      <c r="AL82" s="33" t="str">
        <f>IF(OR($C82&gt;20190630,$K82&gt;30,AH82="-",$D82="是",$E82="封闭期",$H82&lt;10,$BN82&lt;-6,$BR82&lt;70),"-",COUNTIFS(AH$4:AH$200,"&lt;&gt;-",$D$4:$D$200,"&lt;&gt;是",$E$4:$E$200,"&lt;&gt;封闭期",$H$4:$H$200,"&gt;10",$BN$4:$BN$200,"&gt;-6",$BR$4:$BR$200,"&gt;=70",$K$4:$K$200,"&lt;=30",$C$4:$C$200,"&lt;20190630",AH$4:AH$200,"&gt;="&amp;AH82)/COUNTIFS(AH$4:AH$200,"&lt;&gt;-",$D$4:$D$200,"&lt;&gt;是",$E$4:$E$200,"&lt;&gt;封闭期",$H$4:$H$200,"&gt;10",$BN$4:$BN$200,"&gt;-6",$BR$4:$BR$200,"&gt;=70",$C$4:$C$200,"&lt;20190630",$K$4:$K$200,"&lt;=30"))</f>
        <v>-</v>
      </c>
      <c r="AM82" s="19">
        <f>[1]!f_return($A82,"1",AM$2,$L$2)</f>
        <v>8.1613396101721811</v>
      </c>
      <c r="AN82" s="19">
        <f>[1]!f_risk_stdevyearly($A82,AM$2,$L$2,1,1)</f>
        <v>4.7206107873934293</v>
      </c>
      <c r="AO82" s="19">
        <f>IFERROR(AM82/AN82,"-")</f>
        <v>1.7288736516823944</v>
      </c>
      <c r="AP82" s="19" t="str">
        <f>IFERROR(RANK(AO82,AO:AO)&amp;"/"&amp;COUNT(AO:AO),"-")</f>
        <v>77/197</v>
      </c>
      <c r="AQ82" s="26">
        <f>IF(AP82="-","-",RANK(AO82,AO:AO)/COUNT(AO:AO))</f>
        <v>0.39086294416243655</v>
      </c>
      <c r="AR82" s="57">
        <v>0.40101522842639592</v>
      </c>
      <c r="AS82" s="33" t="str">
        <f>IF(OR($C82&gt;20190630,$K82&gt;30,AO82="-",$D82="是",$E82="封闭期",$H82&lt;10,$BN82&lt;-6,$BR82&lt;70),"-",COUNTIFS(AO$4:AO$200,"&lt;&gt;-",$D$4:$D$200,"&lt;&gt;是",$E$4:$E$200,"&lt;&gt;封闭期",$H$4:$H$200,"&gt;10",$BN$4:$BN$200,"&gt;-6",$BR$4:$BR$200,"&gt;=70",$K$4:$K$200,"&lt;=30",$C$4:$C$200,"&lt;20190630",AO$4:AO$200,"&gt;="&amp;AO82)/COUNTIFS(AO$4:AO$200,"&lt;&gt;-",$D$4:$D$200,"&lt;&gt;是",$E$4:$E$200,"&lt;&gt;封闭期",$H$4:$H$200,"&gt;10",$BN$4:$BN$200,"&gt;-6",$BR$4:$BR$200,"&gt;=70",$C$4:$C$200,"&lt;20190630",$K$4:$K$200,"&lt;=30"))</f>
        <v>-</v>
      </c>
      <c r="AT82" s="19">
        <f>IFERROR((AM82-3)/AN82,"-")</f>
        <v>1.0933626690757339</v>
      </c>
      <c r="AU82" s="19" t="str">
        <f>IFERROR(RANK(AT82,AT:AT)&amp;"/"&amp;COUNT(AT:AT),"-")</f>
        <v>76/197</v>
      </c>
      <c r="AV82" s="26">
        <f>IFERROR(RANK(AT82,AT:AT)/COUNT(AT:AT),"-")</f>
        <v>0.38578680203045684</v>
      </c>
      <c r="AW82" s="34" t="str">
        <f>IF(OR($C82&gt;20190630,$K82&gt;30,AT82="-",$D82="是",$E82="封闭期",$H82&lt;10,$BN82&lt;-6,$BR82&lt;70),"-",COUNTIFS(AT$4:AT$200,"&lt;&gt;-",$D$4:$D$200,"&lt;&gt;是",$E$4:$E$200,"&lt;&gt;封闭期",$H$4:$H$200,"&gt;10",$BN$4:$BN$200,"&gt;-6",$BR$4:$BR$200,"&gt;=70",$K$4:$K$200,"&lt;=30",$C$4:$C$200,"&lt;20190630",AT$4:AT$200,"&gt;="&amp;AT82)&amp;"/"&amp;COUNTIFS(AT$4:AT$200,"&lt;&gt;-",$D$4:$D$200,"&lt;&gt;是",$E$4:$E$200,"&lt;&gt;封闭期",$H$4:$H$200,"&gt;10",$BN$4:$BN$200,"&gt;-6",$BR$4:$BR$200,"&gt;=70",$C$4:$C$200,"&lt;20190630",$K$4:$K$200,"&lt;=30"))</f>
        <v>-</v>
      </c>
      <c r="AX82" s="33" t="str">
        <f>IF(OR($C82&gt;20190630,$K82&gt;30,AT82="-",$D82="是",$E82="封闭期",$H82&lt;10,$BN82&lt;-6,$BR82&lt;70),"-",COUNTIFS(AT$4:AT$200,"&lt;&gt;-",$D$4:$D$200,"&lt;&gt;是",$E$4:$E$200,"&lt;&gt;封闭期",$H$4:$H$200,"&gt;10",$BN$4:$BN$200,"&gt;-6",$BR$4:$BR$200,"&gt;=70",$K$4:$K$200,"&lt;=30",$C$4:$C$200,"&lt;20190630",AT$4:AT$200,"&gt;="&amp;AT82)/COUNTIFS(AT$4:AT$200,"&lt;&gt;-",$D$4:$D$200,"&lt;&gt;是",$E$4:$E$200,"&lt;&gt;封闭期",$H$4:$H$200,"&gt;10",$BN$4:$BN$200,"&gt;-6",$BR$4:$BR$200,"&gt;=70",$C$4:$C$200,"&lt;20190630",$K$4:$K$200,"&lt;=30"))</f>
        <v>-</v>
      </c>
      <c r="AY82" s="19">
        <f>[1]!f_risk_calmar(A82,$AM$2,$L$2)</f>
        <v>3.4022007046631049</v>
      </c>
      <c r="AZ82" s="19" t="str">
        <f>IFERROR(RANK(AY82,AY:AY)&amp;"/"&amp;COUNT(AY:AY),"-")</f>
        <v>35/197</v>
      </c>
      <c r="BA82" s="26">
        <f>IFERROR(RANK(AY82,AY:AY)/COUNT(AY:AY),"-")</f>
        <v>0.17766497461928935</v>
      </c>
      <c r="BB82" s="34" t="str">
        <f>IF(OR($C82&gt;20190630,$K82&gt;30,AY82="-",$D82="是",$E82="封闭期",$H82&lt;10,$BN82&lt;-6,$BR82&lt;70),"-",COUNTIFS(AY$4:AY$200,"&lt;&gt;-",$D$4:$D$200,"&lt;&gt;是",$E$4:$E$200,"&lt;&gt;封闭期",$H$4:$H$200,"&gt;10",$BN$4:$BN$200,"&gt;-6",$BR$4:$BR$200,"&gt;=70",$K$4:$K$200,"&lt;=30",$C$4:$C$200,"&lt;20190630",AY$4:AY$200,"&gt;="&amp;AY82)&amp;"/"&amp;COUNTIFS(AY$4:AY$200,"&lt;&gt;-",$D$4:$D$200,"&lt;&gt;是",$E$4:$E$200,"&lt;&gt;封闭期",$H$4:$H$200,"&gt;10",$BN$4:$BN$200,"&gt;-6",$BR$4:$BR$200,"&gt;=70",$C$4:$C$200,"&lt;20190630",$K$4:$K$200,"&lt;=30"))</f>
        <v>-</v>
      </c>
      <c r="BC82" s="33" t="str">
        <f>IF(OR($C82&gt;20190630,$K82&gt;30,AY82="-",$D82="是",$E82="封闭期",$H82&lt;10,$BN82&lt;-6,$BR82&lt;70),"-",COUNTIFS(AY$4:AY$200,"&lt;&gt;-",$D$4:$D$200,"&lt;&gt;是",$E$4:$E$200,"&lt;&gt;封闭期",$H$4:$H$200,"&gt;10",$BN$4:$BN$200,"&gt;-6",$BR$4:$BR$200,"&gt;=70",$K$4:$K$200,"&lt;=30",$C$4:$C$200,"&lt;20190630",AY$4:AY$200,"&gt;="&amp;AY82)/COUNTIFS(AY$4:AY$200,"&lt;&gt;-",$D$4:$D$200,"&lt;&gt;是",$E$4:$E$200,"&lt;&gt;封闭期",$H$4:$H$200,"&gt;10",$BN$4:$BN$200,"&gt;-6",$BR$4:$BR$200,"&gt;=70",$C$4:$C$200,"&lt;20190630",$K$4:$K$200,"&lt;=30"))</f>
        <v>-</v>
      </c>
      <c r="BD82" s="20">
        <v>1</v>
      </c>
      <c r="BE82" s="19" t="str">
        <f>IFERROR(RANK(BD82,BD:BD)&amp;"/"&amp;COUNT(BD:BD),"-")</f>
        <v>1/197</v>
      </c>
      <c r="BF82" s="26">
        <f>IFERROR(RANK(BD82,BD:BD)/COUNT(BD:BD),"-")</f>
        <v>5.076142131979695E-3</v>
      </c>
      <c r="BG82" s="34" t="str">
        <f>IF(OR($C82&gt;20190630,$K82&gt;30,BD82="-",$D82="是",$E82="封闭期",$H82&lt;10,$BN82&lt;-6,$BR82&lt;70),"-",COUNTIFS(BD$4:BD$200,"&lt;&gt;-",$D$4:$D$200,"&lt;&gt;是",$E$4:$E$200,"&lt;&gt;封闭期",$H$4:$H$200,"&gt;10",$BN$4:$BN$200,"&gt;-6",$BR$4:$BR$200,"&gt;=70",$K$4:$K$200,"&lt;=30",$C$4:$C$200,"&lt;20190630",BD$4:BD$200,"&gt;="&amp;BD82)&amp;"/"&amp;COUNTIFS(BD$4:BD$200,"&lt;&gt;-",$D$4:$D$200,"&lt;&gt;是",$E$4:$E$200,"&lt;&gt;封闭期",$H$4:$H$200,"&gt;10",$BN$4:$BN$200,"&gt;-6",$BR$4:$BR$200,"&gt;=70",$C$4:$C$200,"&lt;20190630",$K$4:$K$200,"&lt;=30"))</f>
        <v>-</v>
      </c>
      <c r="BH82" s="33" t="str">
        <f>IF(OR($C82&gt;20190630,$K82&gt;30,BD82="-",$D82="是",$E82="封闭期",$H82&lt;10,$BN82&lt;-6,$BR82&lt;70),"-",COUNTIFS(BD$4:BD$200,"&lt;&gt;-",$D$4:$D$200,"&lt;&gt;是",$E$4:$E$200,"&lt;&gt;封闭期",$H$4:$H$200,"&gt;10",$BN$4:$BN$200,"&gt;-6",$BR$4:$BR$200,"&gt;=70",$K$4:$K$200,"&lt;=30",$C$4:$C$200,"&lt;20190630",BD$4:BD$200,"&gt;="&amp;BD82)/COUNTIFS(BD$4:BD$200,"&lt;&gt;-",$D$4:$D$200,"&lt;&gt;是",$E$4:$E$200,"&lt;&gt;封闭期",$H$4:$H$200,"&gt;10",$BN$4:$BN$200,"&gt;-6",$BR$4:$BR$200,"&gt;=70",$C$4:$C$200,"&lt;20190630",$K$4:$K$200,"&lt;=30"))</f>
        <v>-</v>
      </c>
      <c r="BI82" s="21">
        <f>[1]!f_risk_maxdownside(A82,$AM$2,$L$2)</f>
        <v>-2.3988413143839904</v>
      </c>
      <c r="BJ82" s="19" t="str">
        <f>IFERROR(RANK(BI82,BI:BI)&amp;"/"&amp;COUNT(BI:BI),"-")</f>
        <v>54/197</v>
      </c>
      <c r="BK82" s="26">
        <f>IFERROR(RANK(BI82,BI:BI)/COUNT(BI:BI),"-")</f>
        <v>0.27411167512690354</v>
      </c>
      <c r="BL82" s="34" t="str">
        <f>IF(OR($C82&gt;20190630,$K82&gt;30,BI82="-",$D82="是",$E82="封闭期",$H82&lt;10,$BN82&lt;-6,$BR82&lt;70),"-",COUNTIFS(BI$4:BI$200,"&lt;&gt;-",$D$4:$D$200,"&lt;&gt;是",$E$4:$E$200,"&lt;&gt;封闭期",$H$4:$H$200,"&gt;10",$BN$4:$BN$200,"&gt;-6",$BR$4:$BR$200,"&gt;=70",$K$4:$K$200,"&lt;=30",$C$4:$C$200,"&lt;20190630",BI$4:BI$200,"&gt;="&amp;BI82)&amp;"/"&amp;COUNTIFS(BI$4:BI$200,"&lt;&gt;-",$D$4:$D$200,"&lt;&gt;是",$E$4:$E$200,"&lt;&gt;封闭期",$H$4:$H$200,"&gt;10",$BN$4:$BN$200,"&gt;-6",$BR$4:$BR$200,"&gt;=70",$C$4:$C$200,"&lt;20190630",$K$4:$K$200,"&lt;=30"))</f>
        <v>-</v>
      </c>
      <c r="BM82" s="33" t="str">
        <f>IF(OR($C82&gt;20190630,$K82&gt;30,BI82="-",$D82="是",$E82="封闭期",$H82&lt;10,$BN82&lt;-6,$BR82&lt;70),"-",COUNTIFS(BI$4:BI$200,"&lt;&gt;-",$D$4:$D$200,"&lt;&gt;是",$E$4:$E$200,"&lt;&gt;封闭期",$H$4:$H$200,"&gt;10",$BN$4:$BN$200,"&gt;-6",$BR$4:$BR$200,"&gt;=70",$K$4:$K$200,"&lt;=30",$C$4:$C$200,"&lt;20190630",BI$4:BI$200,"&gt;="&amp;BI82)/COUNTIFS(BI$4:BI$200,"&lt;&gt;-",$D$4:$D$200,"&lt;&gt;是",$E$4:$E$200,"&lt;&gt;封闭期",$H$4:$H$200,"&gt;10",$BN$4:$BN$200,"&gt;-6",$BR$4:$BR$200,"&gt;=70",$C$4:$C$200,"&lt;20190630",$K$4:$K$200,"&lt;=30"))</f>
        <v>-</v>
      </c>
      <c r="BN82" s="21">
        <f>[1]!f_risk_maxdownside(A82,$AM$2,$E$1)</f>
        <v>-4.5465984397281991</v>
      </c>
      <c r="BO82" s="21">
        <f>IF(C82&lt;20190930,[1]!f_return_2y(A82,"0","20210930"),"-")</f>
        <v>13.604358773722621</v>
      </c>
      <c r="BP82" s="19" t="str">
        <f>IFERROR(RANK(BO82,BO:BO)&amp;"/"&amp;COUNT(BO:BO),"-")</f>
        <v>96/197</v>
      </c>
      <c r="BQ82" s="25">
        <f>IFERROR(RANK(BO82,BO:BO)/COUNT(BO:BO),"-")</f>
        <v>0.48730964467005078</v>
      </c>
      <c r="BR82" s="19">
        <f>IF(C82&lt;20190930,[1]!f_absolute_profitmonthper(A82,"20190930","20210930"),"-")</f>
        <v>66.666666666666657</v>
      </c>
      <c r="BS82" s="19" t="str">
        <f>IFERROR(RANK(BR82,BR:BR)&amp;"/"&amp;COUNT(BR:BR),"-")</f>
        <v>115/198</v>
      </c>
      <c r="BT82" s="25">
        <f>IFERROR(RANK(BR82,BR:BR)/COUNT(BR:BR),"-")</f>
        <v>0.58080808080808077</v>
      </c>
      <c r="BU82" s="17"/>
      <c r="BV82" s="12">
        <f>X82-3/M82</f>
        <v>0.66916745503794939</v>
      </c>
      <c r="BW82" s="76">
        <f>IFERROR(RANK(BV82,BV:BV)/COUNT(BV:BV),"-")</f>
        <v>0.69035532994923854</v>
      </c>
      <c r="BX82" s="76">
        <f>IFERROR(RANK(L82,L:L)/COUNT(L:L),"-")</f>
        <v>0.56565656565656564</v>
      </c>
      <c r="BY82" s="12">
        <f>AY82-3/AN82</f>
        <v>2.7666897220564444</v>
      </c>
      <c r="BZ82" s="76">
        <f>IFERROR(RANK(BY82,BY:BY)/COUNT(BY:BY),"-")</f>
        <v>0.16243654822335024</v>
      </c>
      <c r="CA82" s="76">
        <f>IFERROR(RANK(AM82,AM:AM)/COUNT(AM:AM),"-")</f>
        <v>0.40404040404040403</v>
      </c>
      <c r="CC82" s="77">
        <f>AV82+BF82+BZ82+CA82</f>
        <v>0.95733989642619077</v>
      </c>
      <c r="CD82" s="77">
        <f>BW82+BX82+AE82+U82</f>
        <v>2.7839306773316923</v>
      </c>
      <c r="CE82" s="77">
        <f>CC82+CD82</f>
        <v>3.7412705737578831</v>
      </c>
    </row>
    <row r="83" spans="1:83" s="2" customFormat="1" x14ac:dyDescent="0.35">
      <c r="A83" s="3" t="s">
        <v>17</v>
      </c>
      <c r="B83" s="3" t="s">
        <v>18</v>
      </c>
      <c r="C83" s="4">
        <v>20110425</v>
      </c>
      <c r="D83" s="4" t="str">
        <f>[1]!f_info_regulopenfundornot(A83)</f>
        <v>否</v>
      </c>
      <c r="E83" s="4" t="str">
        <f>[1]!f_dq_status(A83,$E$1)</f>
        <v>开放申购|开放赎回</v>
      </c>
      <c r="F83" s="17" t="str">
        <f>[1]!f_info_fundmanager(A83)</f>
        <v>范晶伟</v>
      </c>
      <c r="G83" s="4">
        <v>20210807</v>
      </c>
      <c r="H83" s="11">
        <f>[1]!f_netasset_total(A83,$E$1,100000000)</f>
        <v>41.5615881648</v>
      </c>
      <c r="I83" s="11">
        <f>[1]!f_prt_convertiblebondtonav(A83,$E$1)</f>
        <v>1.4293267726898193</v>
      </c>
      <c r="J83" s="11">
        <f>[1]!f_prt_stocktonav(A83,$E$1)+0.5*I83</f>
        <v>16.070038676261902</v>
      </c>
      <c r="K83" s="12">
        <v>3.9274004485286849</v>
      </c>
      <c r="L83" s="19">
        <f>[1]!f_return($A83,"1",L$2,$E$1)</f>
        <v>8.859539012513018</v>
      </c>
      <c r="M83" s="19">
        <f>[1]!f_risk_stdevyearly($A83,L$2,$E$1,1,1)</f>
        <v>6.7206327827684547</v>
      </c>
      <c r="N83" s="12">
        <f>IFERROR(L83/M83,"-")</f>
        <v>1.3182596488873293</v>
      </c>
      <c r="O83" s="12" t="str">
        <f>IFERROR(RANK(N83,N:N)&amp;"/"&amp;COUNT(N:N),"-")</f>
        <v>111/197</v>
      </c>
      <c r="P83" s="26">
        <f>IF(O83="-","-",RANK(N83,N:N)/COUNT(N:N))</f>
        <v>0.56345177664974622</v>
      </c>
      <c r="Q83" s="58">
        <v>0.2233502538071066</v>
      </c>
      <c r="R83" s="33">
        <f>IF(OR($C83&gt;20190630,$K83&gt;30,N83="-",$D83="是",$E83="封闭期",$H83&lt;10,$BN83&lt;-6,$BR83&lt;70),"-",COUNTIFS(N$4:N$200,"&lt;&gt;-",$D$4:$D$200,"&lt;&gt;是",$E$4:$E$200,"&lt;&gt;封闭期",$H$4:$H$200,"&gt;10",$BN$4:$BN$200,"&gt;-6",$BR$4:$BR$200,"&gt;=70",$K$4:$K$200,"&lt;=30",$C$4:$C$200,"&lt;20190630",N$4:N$200,"&gt;="&amp;N83)/COUNTIFS(N$4:N$200,"&lt;&gt;-",$D$4:$D$200,"&lt;&gt;是",$E$4:$E$200,"&lt;&gt;封闭期",$H$4:$H$200,"&gt;10",$BN$4:$BN$200,"&gt;-6",$BR$4:$BR$200,"&gt;=70",$C$4:$C$200,"&lt;20190630",$K$4:$K$200,"&lt;=30"))</f>
        <v>0.84615384615384615</v>
      </c>
      <c r="S83" s="12">
        <f>IFERROR((L83-3)/M83,"-")</f>
        <v>0.87187311104643883</v>
      </c>
      <c r="T83" s="12" t="str">
        <f>IFERROR(RANK(S83,S:S)&amp;"/"&amp;COUNT(S:S),"-")</f>
        <v>86/197</v>
      </c>
      <c r="U83" s="26">
        <f>IFERROR(RANK(S83,S:S)/COUNT(S:S),"-")</f>
        <v>0.43654822335025378</v>
      </c>
      <c r="V83" s="13" t="str">
        <f>IF(OR($C83&gt;20190630,$K83&gt;30,S83="-",$D83="是",$E83="封闭期",$H83&lt;10,$BN83&lt;-6,$BR83&lt;70),"-",COUNTIFS(S$4:S$200,"&lt;&gt;-",$D$4:$D$200,"&lt;&gt;是",$E$4:$E$200,"&lt;&gt;封闭期",$H$4:$H$200,"&gt;10",$BN$4:$BN$200,"&gt;-6",$BR$4:$BR$200,"&gt;=70",$K$4:$K$200,"&lt;=30",$C$4:$C$200,"&lt;20190630",S$4:S$200,"&gt;="&amp;S83)&amp;"/"&amp;COUNTIFS(S$4:S$200,"&lt;&gt;-",$D$4:$D$200,"&lt;&gt;是",$E$4:$E$200,"&lt;&gt;封闭期",$H$4:$H$200,"&gt;10",$BN$4:$BN$200,"&gt;-6",$BR$4:$BR$200,"&gt;=70",$C$4:$C$200,"&lt;20190630",$K$4:$K$200,"&lt;=30"))</f>
        <v>27/39</v>
      </c>
      <c r="W83" s="33">
        <f>IF(OR($C83&gt;20190630,$K83&gt;30,S83="-",$D83="是",$E83="封闭期",$H83&lt;10,$BN83&lt;-6,$BR83&lt;70),"-",COUNTIFS(S$4:S$200,"&lt;&gt;-",$D$4:$D$200,"&lt;&gt;是",$E$4:$E$200,"&lt;&gt;封闭期",$H$4:$H$200,"&gt;10",$BN$4:$BN$200,"&gt;-6",$BR$4:$BR$200,"&gt;=70",$K$4:$K$200,"&lt;=30",$C$4:$C$200,"&lt;20190630",S$4:S$200,"&gt;="&amp;S83)/COUNTIFS(S$4:S$200,"&lt;&gt;-",$D$4:$D$200,"&lt;&gt;是",$E$4:$E$200,"&lt;&gt;封闭期",$H$4:$H$200,"&gt;10",$BN$4:$BN$200,"&gt;-6",$BR$4:$BR$200,"&gt;=70",$C$4:$C$200,"&lt;20190630",$K$4:$K$200,"&lt;=30"))</f>
        <v>0.69230769230769229</v>
      </c>
      <c r="X83" s="19">
        <f>[1]!f_risk_calmar(A83,$L$2,$E$1)</f>
        <v>1.5974856281937588</v>
      </c>
      <c r="Y83" s="12" t="str">
        <f>IFERROR(RANK(X83,X:X)&amp;"/"&amp;COUNT(X:X),"-")</f>
        <v>125/197</v>
      </c>
      <c r="Z83" s="26">
        <f>IFERROR(RANK(X83,X:X)/COUNT(X:X),"-")</f>
        <v>0.63451776649746194</v>
      </c>
      <c r="AA83" s="13" t="str">
        <f>IF(OR($C83&gt;20190630,$K83&gt;30,X83="-",$D83="是",$E83="封闭期",$H83&lt;10,$BN83&lt;-6,$BR83&lt;70),"-",COUNTIFS(X$4:X$200,"&lt;&gt;-",$D$4:$D$200,"&lt;&gt;是",$E$4:$E$200,"&lt;&gt;封闭期",$H$4:$H$200,"&gt;10",$BN$4:$BN$200,"&gt;-6",$BR$4:$BR$200,"&gt;=70",$K$4:$K$200,"&lt;=30",$C$4:$C$200,"&lt;20190630",X$4:X$200,"&gt;="&amp;X83)&amp;"/"&amp;COUNTIFS(X$4:X$200,"&lt;&gt;-",$D$4:$D$200,"&lt;&gt;是",$E$4:$E$200,"&lt;&gt;封闭期",$H$4:$H$200,"&gt;10",$BN$4:$BN$200,"&gt;-6",$BR$4:$BR$200,"&gt;=70",$C$4:$C$200,"&lt;20190630",$K$4:$K$200,"&lt;=30"))</f>
        <v>32/39</v>
      </c>
      <c r="AB83" s="33">
        <f>IF(OR($C83&gt;20190630,$K83&gt;30,X83="-",$D83="是",$E83="封闭期",$H83&lt;10,$BN83&lt;-6,$BR83&lt;70),"-",COUNTIFS(X$4:X$200,"&lt;&gt;-",$D$4:$D$200,"&lt;&gt;是",$E$4:$E$200,"&lt;&gt;封闭期",$H$4:$H$200,"&gt;10",$BN$4:$BN$200,"&gt;-6",$BR$4:$BR$200,"&gt;=70",$K$4:$K$200,"&lt;=30",$C$4:$C$200,"&lt;20190630",X$4:X$200,"&gt;="&amp;X83)/COUNTIFS(X$4:X$200,"&lt;&gt;-",$D$4:$D$200,"&lt;&gt;是",$E$4:$E$200,"&lt;&gt;封闭期",$H$4:$H$200,"&gt;10",$BN$4:$BN$200,"&gt;-6",$BR$4:$BR$200,"&gt;=70",$C$4:$C$200,"&lt;20190630",$K$4:$K$200,"&lt;=30"))</f>
        <v>0.82051282051282048</v>
      </c>
      <c r="AC83" s="20">
        <v>0.94957983193277307</v>
      </c>
      <c r="AD83" s="12" t="str">
        <f>IFERROR(RANK(AC83,AC:AC)&amp;"/"&amp;COUNT(AC:AC),"-")</f>
        <v>111/197</v>
      </c>
      <c r="AE83" s="26">
        <f>IFERROR(RANK(AC83,AC:AC)/COUNT(AC:AC),"-")</f>
        <v>0.56345177664974622</v>
      </c>
      <c r="AF83" s="13" t="str">
        <f>IF(OR($C83&gt;20190630,$K83&gt;30,AC83="-",$D83="是",$E83="封闭期",$H83&lt;10,$BN83&lt;-6,$BR83&lt;70),"-",COUNTIFS(AC$4:AC$200,"&lt;&gt;-",$D$4:$D$200,"&lt;&gt;是",$E$4:$E$200,"&lt;&gt;封闭期",$H$4:$H$200,"&gt;10",$BN$4:$BN$200,"&gt;-6",$BR$4:$BR$200,"&gt;=70",$K$4:$K$200,"&lt;=30",$C$4:$C$200,"&lt;20190630",AC$4:AC$200,"&gt;="&amp;AC83)&amp;"/"&amp;COUNTIFS(AC$4:AC$200,"&lt;&gt;-",$D$4:$D$200,"&lt;&gt;是",$E$4:$E$200,"&lt;&gt;封闭期",$H$4:$H$200,"&gt;10",$BN$4:$BN$200,"&gt;-6",$BR$4:$BR$200,"&gt;=70",$C$4:$C$200,"&lt;20190630",$K$4:$K$200,"&lt;=30"))</f>
        <v>35/39</v>
      </c>
      <c r="AG83" s="33">
        <f>IF(OR($C83&gt;20190630,$K83&gt;30,AC83="-",$D83="是",$E83="封闭期",$H83&lt;10,$BN83&lt;-6,$BR83&lt;70),"-",COUNTIFS(AC$4:AC$200,"&lt;&gt;-",$D$4:$D$200,"&lt;&gt;是",$E$4:$E$200,"&lt;&gt;封闭期",$H$4:$H$200,"&gt;10",$BN$4:$BN$200,"&gt;-6",$BR$4:$BR$200,"&gt;=70",$K$4:$K$200,"&lt;=30",$C$4:$C$200,"&lt;20190630",AC$4:AC$200,"&gt;="&amp;AC83)/COUNTIFS(AC$4:AC$200,"&lt;&gt;-",$D$4:$D$200,"&lt;&gt;是",$E$4:$E$200,"&lt;&gt;封闭期",$H$4:$H$200,"&gt;10",$BN$4:$BN$200,"&gt;-6",$BR$4:$BR$200,"&gt;=70",$C$4:$C$200,"&lt;20190630",$K$4:$K$200,"&lt;=30"))</f>
        <v>0.89743589743589747</v>
      </c>
      <c r="AH83" s="21">
        <f>[1]!f_risk_maxdownside(A83,$L$2,$E$1)</f>
        <v>-5.5459272097053542</v>
      </c>
      <c r="AI83" s="19" t="str">
        <f>IFERROR(RANK(AH83,AH:AH)&amp;"/"&amp;COUNT(AH:AH),"-")</f>
        <v>166/197</v>
      </c>
      <c r="AJ83" s="26">
        <f>IFERROR(RANK(AH83,AH:AH)/COUNT(AH:AH),"-")</f>
        <v>0.84263959390862941</v>
      </c>
      <c r="AK83" s="34" t="str">
        <f>IF(OR($C83&gt;20190630,$K83&gt;30,AH83="-",$D83="是",$E83="封闭期",$H83&lt;10,$BN83&lt;-6,$BR83&lt;70),"-",COUNTIFS(AH$4:AH$200,"&lt;&gt;-",$D$4:$D$200,"&lt;&gt;是",$E$4:$E$200,"&lt;&gt;封闭期",$H$4:$H$200,"&gt;10",$BN$4:$BN$200,"&gt;-6",$BR$4:$BR$200,"&gt;=70",$K$4:$K$200,"&lt;=30",$C$4:$C$200,"&lt;20190630",AH$4:AH$200,"&gt;="&amp;AH83)&amp;"/"&amp;COUNTIFS(AH$4:AH$200,"&lt;&gt;-",$D$4:$D$200,"&lt;&gt;是",$E$4:$E$200,"&lt;&gt;封闭期",$H$4:$H$200,"&gt;10",$BN$4:$BN$200,"&gt;-6",$BR$4:$BR$200,"&gt;=70",$C$4:$C$200,"&lt;20190630",$K$4:$K$200,"&lt;=30"))</f>
        <v>39/39</v>
      </c>
      <c r="AL83" s="33">
        <f>IF(OR($C83&gt;20190630,$K83&gt;30,AH83="-",$D83="是",$E83="封闭期",$H83&lt;10,$BN83&lt;-6,$BR83&lt;70),"-",COUNTIFS(AH$4:AH$200,"&lt;&gt;-",$D$4:$D$200,"&lt;&gt;是",$E$4:$E$200,"&lt;&gt;封闭期",$H$4:$H$200,"&gt;10",$BN$4:$BN$200,"&gt;-6",$BR$4:$BR$200,"&gt;=70",$K$4:$K$200,"&lt;=30",$C$4:$C$200,"&lt;20190630",AH$4:AH$200,"&gt;="&amp;AH83)/COUNTIFS(AH$4:AH$200,"&lt;&gt;-",$D$4:$D$200,"&lt;&gt;是",$E$4:$E$200,"&lt;&gt;封闭期",$H$4:$H$200,"&gt;10",$BN$4:$BN$200,"&gt;-6",$BR$4:$BR$200,"&gt;=70",$C$4:$C$200,"&lt;20190630",$K$4:$K$200,"&lt;=30"))</f>
        <v>1</v>
      </c>
      <c r="AM83" s="19">
        <f>[1]!f_return($A83,"1",AM$2,$L$2)</f>
        <v>8.1255906660047792</v>
      </c>
      <c r="AN83" s="19">
        <f>[1]!f_risk_stdevyearly($A83,AM$2,$L$2,1,1)</f>
        <v>6.5543176496702564</v>
      </c>
      <c r="AO83" s="12">
        <f>IFERROR(AM83/AN83,"-")</f>
        <v>1.2397309835011692</v>
      </c>
      <c r="AP83" s="12" t="str">
        <f>IFERROR(RANK(AO83,AO:AO)&amp;"/"&amp;COUNT(AO:AO),"-")</f>
        <v>140/197</v>
      </c>
      <c r="AQ83" s="26">
        <f>IF(AP83="-","-",RANK(AO83,AO:AO)/COUNT(AO:AO))</f>
        <v>0.71065989847715738</v>
      </c>
      <c r="AR83" s="60">
        <v>0.40609137055837563</v>
      </c>
      <c r="AS83" s="35">
        <f>IF(OR($C83&gt;20190630,$K83&gt;30,AO83="-",$D83="是",$E83="封闭期",$H83&lt;10,$BN83&lt;-6,$BR83&lt;70),"-",COUNTIFS(AO$4:AO$200,"&lt;&gt;-",$D$4:$D$200,"&lt;&gt;是",$E$4:$E$200,"&lt;&gt;封闭期",$H$4:$H$200,"&gt;10",$BN$4:$BN$200,"&gt;-6",$BR$4:$BR$200,"&gt;=70",$K$4:$K$200,"&lt;=30",$C$4:$C$200,"&lt;20190630",AO$4:AO$200,"&gt;="&amp;AO83)/COUNTIFS(AO$4:AO$200,"&lt;&gt;-",$D$4:$D$200,"&lt;&gt;是",$E$4:$E$200,"&lt;&gt;封闭期",$H$4:$H$200,"&gt;10",$BN$4:$BN$200,"&gt;-6",$BR$4:$BR$200,"&gt;=70",$C$4:$C$200,"&lt;20190630",$K$4:$K$200,"&lt;=30"))</f>
        <v>0.92307692307692313</v>
      </c>
      <c r="AT83" s="12">
        <f>IFERROR((AM83-3)/AN83,"-")</f>
        <v>0.78201743338799645</v>
      </c>
      <c r="AU83" s="12" t="str">
        <f>IFERROR(RANK(AT83,AT:AT)&amp;"/"&amp;COUNT(AT:AT),"-")</f>
        <v>112/197</v>
      </c>
      <c r="AV83" s="26">
        <f>IFERROR(RANK(AT83,AT:AT)/COUNT(AT:AT),"-")</f>
        <v>0.56852791878172593</v>
      </c>
      <c r="AW83" s="13" t="str">
        <f>IF(OR($C83&gt;20190630,$K83&gt;30,AT83="-",$D83="是",$E83="封闭期",$H83&lt;10,$BN83&lt;-6,$BR83&lt;70),"-",COUNTIFS(AT$4:AT$200,"&lt;&gt;-",$D$4:$D$200,"&lt;&gt;是",$E$4:$E$200,"&lt;&gt;封闭期",$H$4:$H$200,"&gt;10",$BN$4:$BN$200,"&gt;-6",$BR$4:$BR$200,"&gt;=70",$K$4:$K$200,"&lt;=30",$C$4:$C$200,"&lt;20190630",AT$4:AT$200,"&gt;="&amp;AT83)&amp;"/"&amp;COUNTIFS(AT$4:AT$200,"&lt;&gt;-",$D$4:$D$200,"&lt;&gt;是",$E$4:$E$200,"&lt;&gt;封闭期",$H$4:$H$200,"&gt;10",$BN$4:$BN$200,"&gt;-6",$BR$4:$BR$200,"&gt;=70",$C$4:$C$200,"&lt;20190630",$K$4:$K$200,"&lt;=30"))</f>
        <v>27/39</v>
      </c>
      <c r="AX83" s="33">
        <f>IF(OR($C83&gt;20190630,$K83&gt;30,AT83="-",$D83="是",$E83="封闭期",$H83&lt;10,$BN83&lt;-6,$BR83&lt;70),"-",COUNTIFS(AT$4:AT$200,"&lt;&gt;-",$D$4:$D$200,"&lt;&gt;是",$E$4:$E$200,"&lt;&gt;封闭期",$H$4:$H$200,"&gt;10",$BN$4:$BN$200,"&gt;-6",$BR$4:$BR$200,"&gt;=70",$K$4:$K$200,"&lt;=30",$C$4:$C$200,"&lt;20190630",AT$4:AT$200,"&gt;="&amp;AT83)/COUNTIFS(AT$4:AT$200,"&lt;&gt;-",$D$4:$D$200,"&lt;&gt;是",$E$4:$E$200,"&lt;&gt;封闭期",$H$4:$H$200,"&gt;10",$BN$4:$BN$200,"&gt;-6",$BR$4:$BR$200,"&gt;=70",$C$4:$C$200,"&lt;20190630",$K$4:$K$200,"&lt;=30"))</f>
        <v>0.69230769230769229</v>
      </c>
      <c r="AY83" s="19">
        <f>[1]!f_risk_calmar(A83,$AM$2,$L$2)</f>
        <v>1.3784933350956399</v>
      </c>
      <c r="AZ83" s="12" t="str">
        <f>IFERROR(RANK(AY83,AY:AY)&amp;"/"&amp;COUNT(AY:AY),"-")</f>
        <v>149/197</v>
      </c>
      <c r="BA83" s="26">
        <f>IFERROR(RANK(AY83,AY:AY)/COUNT(AY:AY),"-")</f>
        <v>0.75634517766497467</v>
      </c>
      <c r="BB83" s="13" t="str">
        <f>IF(OR($C83&gt;20190630,$K83&gt;30,AY83="-",$D83="是",$E83="封闭期",$H83&lt;10,$BN83&lt;-6,$BR83&lt;70),"-",COUNTIFS(AY$4:AY$200,"&lt;&gt;-",$D$4:$D$200,"&lt;&gt;是",$E$4:$E$200,"&lt;&gt;封闭期",$H$4:$H$200,"&gt;10",$BN$4:$BN$200,"&gt;-6",$BR$4:$BR$200,"&gt;=70",$K$4:$K$200,"&lt;=30",$C$4:$C$200,"&lt;20190630",AY$4:AY$200,"&gt;="&amp;AY83)&amp;"/"&amp;COUNTIFS(AY$4:AY$200,"&lt;&gt;-",$D$4:$D$200,"&lt;&gt;是",$E$4:$E$200,"&lt;&gt;封闭期",$H$4:$H$200,"&gt;10",$BN$4:$BN$200,"&gt;-6",$BR$4:$BR$200,"&gt;=70",$C$4:$C$200,"&lt;20190630",$K$4:$K$200,"&lt;=30"))</f>
        <v>38/39</v>
      </c>
      <c r="BC83" s="33">
        <f>IF(OR($C83&gt;20190630,$K83&gt;30,AY83="-",$D83="是",$E83="封闭期",$H83&lt;10,$BN83&lt;-6,$BR83&lt;70),"-",COUNTIFS(AY$4:AY$200,"&lt;&gt;-",$D$4:$D$200,"&lt;&gt;是",$E$4:$E$200,"&lt;&gt;封闭期",$H$4:$H$200,"&gt;10",$BN$4:$BN$200,"&gt;-6",$BR$4:$BR$200,"&gt;=70",$K$4:$K$200,"&lt;=30",$C$4:$C$200,"&lt;20190630",AY$4:AY$200,"&gt;="&amp;AY83)/COUNTIFS(AY$4:AY$200,"&lt;&gt;-",$D$4:$D$200,"&lt;&gt;是",$E$4:$E$200,"&lt;&gt;封闭期",$H$4:$H$200,"&gt;10",$BN$4:$BN$200,"&gt;-6",$BR$4:$BR$200,"&gt;=70",$C$4:$C$200,"&lt;20190630",$K$4:$K$200,"&lt;=30"))</f>
        <v>0.97435897435897434</v>
      </c>
      <c r="BD83" s="20">
        <v>1</v>
      </c>
      <c r="BE83" s="12" t="str">
        <f>IFERROR(RANK(BD83,BD:BD)&amp;"/"&amp;COUNT(BD:BD),"-")</f>
        <v>1/197</v>
      </c>
      <c r="BF83" s="26">
        <f>IFERROR(RANK(BD83,BD:BD)/COUNT(BD:BD),"-")</f>
        <v>5.076142131979695E-3</v>
      </c>
      <c r="BG83" s="13" t="str">
        <f>IF(OR($C83&gt;20190630,$K83&gt;30,BD83="-",$D83="是",$E83="封闭期",$H83&lt;10,$BN83&lt;-6,$BR83&lt;70),"-",COUNTIFS(BD$4:BD$200,"&lt;&gt;-",$D$4:$D$200,"&lt;&gt;是",$E$4:$E$200,"&lt;&gt;封闭期",$H$4:$H$200,"&gt;10",$BN$4:$BN$200,"&gt;-6",$BR$4:$BR$200,"&gt;=70",$K$4:$K$200,"&lt;=30",$C$4:$C$200,"&lt;20190630",BD$4:BD$200,"&gt;="&amp;BD83)&amp;"/"&amp;COUNTIFS(BD$4:BD$200,"&lt;&gt;-",$D$4:$D$200,"&lt;&gt;是",$E$4:$E$200,"&lt;&gt;封闭期",$H$4:$H$200,"&gt;10",$BN$4:$BN$200,"&gt;-6",$BR$4:$BR$200,"&gt;=70",$C$4:$C$200,"&lt;20190630",$K$4:$K$200,"&lt;=30"))</f>
        <v>35/39</v>
      </c>
      <c r="BH83" s="33">
        <f>IF(OR($C83&gt;20190630,$K83&gt;30,BD83="-",$D83="是",$E83="封闭期",$H83&lt;10,$BN83&lt;-6,$BR83&lt;70),"-",COUNTIFS(BD$4:BD$200,"&lt;&gt;-",$D$4:$D$200,"&lt;&gt;是",$E$4:$E$200,"&lt;&gt;封闭期",$H$4:$H$200,"&gt;10",$BN$4:$BN$200,"&gt;-6",$BR$4:$BR$200,"&gt;=70",$K$4:$K$200,"&lt;=30",$C$4:$C$200,"&lt;20190630",BD$4:BD$200,"&gt;="&amp;BD83)/COUNTIFS(BD$4:BD$200,"&lt;&gt;-",$D$4:$D$200,"&lt;&gt;是",$E$4:$E$200,"&lt;&gt;封闭期",$H$4:$H$200,"&gt;10",$BN$4:$BN$200,"&gt;-6",$BR$4:$BR$200,"&gt;=70",$C$4:$C$200,"&lt;20190630",$K$4:$K$200,"&lt;=30"))</f>
        <v>0.89743589743589747</v>
      </c>
      <c r="BI83" s="21">
        <f>[1]!f_risk_maxdownside(A83,$AM$2,$L$2)</f>
        <v>-5.8945447606687384</v>
      </c>
      <c r="BJ83" s="19" t="str">
        <f>IFERROR(RANK(BI83,BI:BI)&amp;"/"&amp;COUNT(BI:BI),"-")</f>
        <v>167/197</v>
      </c>
      <c r="BK83" s="26">
        <f>IFERROR(RANK(BI83,BI:BI)/COUNT(BI:BI),"-")</f>
        <v>0.84771573604060912</v>
      </c>
      <c r="BL83" s="34" t="str">
        <f>IF(OR($C83&gt;20190630,$K83&gt;30,BI83="-",$D83="是",$E83="封闭期",$H83&lt;10,$BN83&lt;-6,$BR83&lt;70),"-",COUNTIFS(BI$4:BI$200,"&lt;&gt;-",$D$4:$D$200,"&lt;&gt;是",$E$4:$E$200,"&lt;&gt;封闭期",$H$4:$H$200,"&gt;10",$BN$4:$BN$200,"&gt;-6",$BR$4:$BR$200,"&gt;=70",$K$4:$K$200,"&lt;=30",$C$4:$C$200,"&lt;20190630",BI$4:BI$200,"&gt;="&amp;BI83)&amp;"/"&amp;COUNTIFS(BI$4:BI$200,"&lt;&gt;-",$D$4:$D$200,"&lt;&gt;是",$E$4:$E$200,"&lt;&gt;封闭期",$H$4:$H$200,"&gt;10",$BN$4:$BN$200,"&gt;-6",$BR$4:$BR$200,"&gt;=70",$C$4:$C$200,"&lt;20190630",$K$4:$K$200,"&lt;=30"))</f>
        <v>39/39</v>
      </c>
      <c r="BM83" s="33">
        <f>IF(OR($C83&gt;20190630,$K83&gt;30,BI83="-",$D83="是",$E83="封闭期",$H83&lt;10,$BN83&lt;-6,$BR83&lt;70),"-",COUNTIFS(BI$4:BI$200,"&lt;&gt;-",$D$4:$D$200,"&lt;&gt;是",$E$4:$E$200,"&lt;&gt;封闭期",$H$4:$H$200,"&gt;10",$BN$4:$BN$200,"&gt;-6",$BR$4:$BR$200,"&gt;=70",$K$4:$K$200,"&lt;=30",$C$4:$C$200,"&lt;20190630",BI$4:BI$200,"&gt;="&amp;BI83)/COUNTIFS(BI$4:BI$200,"&lt;&gt;-",$D$4:$D$200,"&lt;&gt;是",$E$4:$E$200,"&lt;&gt;封闭期",$H$4:$H$200,"&gt;10",$BN$4:$BN$200,"&gt;-6",$BR$4:$BR$200,"&gt;=70",$C$4:$C$200,"&lt;20190630",$K$4:$K$200,"&lt;=30"))</f>
        <v>1</v>
      </c>
      <c r="BN83" s="21">
        <f>[1]!f_risk_maxdownside(A83,$AM$2,$E$1)</f>
        <v>-5.8945447606687384</v>
      </c>
      <c r="BO83" s="14">
        <f>IF(C83&lt;20190930,[1]!f_return_2y(A83,"0","20210930"),"-")</f>
        <v>17.992169378698943</v>
      </c>
      <c r="BP83" s="12" t="str">
        <f>IFERROR(RANK(BO83,BO:BO)&amp;"/"&amp;COUNT(BO:BO),"-")</f>
        <v>55/197</v>
      </c>
      <c r="BQ83" s="25">
        <f>IFERROR(RANK(BO83,BO:BO)/COUNT(BO:BO),"-")</f>
        <v>0.27918781725888325</v>
      </c>
      <c r="BR83" s="12">
        <f>IF(C83&lt;20190930,[1]!f_absolute_profitmonthper(A83,"20190930","20210930"),"-")</f>
        <v>70.833333333333343</v>
      </c>
      <c r="BS83" s="12" t="str">
        <f>IFERROR(RANK(BR83,BR:BR)&amp;"/"&amp;COUNT(BR:BR),"-")</f>
        <v>55/198</v>
      </c>
      <c r="BT83" s="25">
        <f>IFERROR(RANK(BR83,BR:BR)/COUNT(BR:BR),"-")</f>
        <v>0.27777777777777779</v>
      </c>
      <c r="BU83" s="17"/>
      <c r="BV83" s="12">
        <f>X83-3/M83</f>
        <v>1.1510990903528684</v>
      </c>
      <c r="BW83" s="76">
        <f>IFERROR(RANK(BV83,BV:BV)/COUNT(BV:BV),"-")</f>
        <v>0.55837563451776651</v>
      </c>
      <c r="BX83" s="76">
        <f>IFERROR(RANK(L83,L:L)/COUNT(L:L),"-")</f>
        <v>0.22727272727272727</v>
      </c>
      <c r="BY83" s="12">
        <f>AY83-3/AN83</f>
        <v>0.92077978498246704</v>
      </c>
      <c r="BZ83" s="76">
        <f>IFERROR(RANK(BY83,BY:BY)/COUNT(BY:BY),"-")</f>
        <v>0.71573604060913709</v>
      </c>
      <c r="CA83" s="76">
        <f>IFERROR(RANK(AM83,AM:AM)/COUNT(AM:AM),"-")</f>
        <v>0.40909090909090912</v>
      </c>
      <c r="CC83" s="77">
        <f>AV83+BF83+BZ83+CA83</f>
        <v>1.6984310106137519</v>
      </c>
      <c r="CD83" s="77">
        <f>BW83+BX83+AE83+U83</f>
        <v>1.7856483617904939</v>
      </c>
      <c r="CE83" s="77">
        <f>CC83+CD83</f>
        <v>3.4840793724042456</v>
      </c>
    </row>
    <row r="84" spans="1:83" s="17" customFormat="1" hidden="1" x14ac:dyDescent="0.35">
      <c r="A84" s="15" t="s">
        <v>367</v>
      </c>
      <c r="B84" s="15" t="s">
        <v>368</v>
      </c>
      <c r="C84" s="16">
        <v>20180327</v>
      </c>
      <c r="D84" s="16" t="str">
        <f>[1]!f_info_regulopenfundornot(A84)</f>
        <v>否</v>
      </c>
      <c r="E84" s="16" t="str">
        <f>[1]!f_dq_status(A84,$E$1)</f>
        <v>开放申购|开放赎回</v>
      </c>
      <c r="F84" s="17" t="str">
        <f>[1]!f_info_fundmanager(A84)</f>
        <v>张昆</v>
      </c>
      <c r="G84" s="16">
        <v>20210421</v>
      </c>
      <c r="H84" s="18">
        <f>[1]!f_netasset_total(A84,$E$1,100000000)</f>
        <v>4.4997592516000005</v>
      </c>
      <c r="I84" s="18">
        <f>[1]!f_prt_convertiblebondtonav(A84,$E$1)</f>
        <v>9.6834545135498047</v>
      </c>
      <c r="J84" s="18">
        <f>[1]!f_prt_stocktonav(A84,$E$1)+0.5*I84</f>
        <v>15.780247688293457</v>
      </c>
      <c r="K84" s="19">
        <v>21.06568256208261</v>
      </c>
      <c r="L84" s="19">
        <f>[1]!f_return($A84,"1",L$2,$E$1)</f>
        <v>3.460773671199302</v>
      </c>
      <c r="M84" s="19">
        <f>[1]!f_risk_stdevyearly($A84,L$2,$E$1,1,1)</f>
        <v>2.4102048730944987</v>
      </c>
      <c r="N84" s="19">
        <f>IFERROR(L84/M84,"-")</f>
        <v>1.4358836088302991</v>
      </c>
      <c r="O84" s="19" t="str">
        <f>IFERROR(RANK(N84,N:N)&amp;"/"&amp;COUNT(N:N),"-")</f>
        <v>92/197</v>
      </c>
      <c r="P84" s="26">
        <f>IF(O84="-","-",RANK(N84,N:N)/COUNT(N:N))</f>
        <v>0.46700507614213199</v>
      </c>
      <c r="Q84" s="56">
        <v>0.80203045685279184</v>
      </c>
      <c r="R84" s="33" t="str">
        <f>IF(OR($C84&gt;20190630,$K84&gt;30,N84="-",$D84="是",$E84="封闭期",$H84&lt;10,$BN84&lt;-6,$BR84&lt;70),"-",COUNTIFS(N$4:N$200,"&lt;&gt;-",$D$4:$D$200,"&lt;&gt;是",$E$4:$E$200,"&lt;&gt;封闭期",$H$4:$H$200,"&gt;10",$BN$4:$BN$200,"&gt;-6",$BR$4:$BR$200,"&gt;=70",$K$4:$K$200,"&lt;=30",$C$4:$C$200,"&lt;20190630",N$4:N$200,"&gt;="&amp;N84)/COUNTIFS(N$4:N$200,"&lt;&gt;-",$D$4:$D$200,"&lt;&gt;是",$E$4:$E$200,"&lt;&gt;封闭期",$H$4:$H$200,"&gt;10",$BN$4:$BN$200,"&gt;-6",$BR$4:$BR$200,"&gt;=70",$C$4:$C$200,"&lt;20190630",$K$4:$K$200,"&lt;=30"))</f>
        <v>-</v>
      </c>
      <c r="S84" s="19">
        <f>IFERROR((L84-3)/M84,"-")</f>
        <v>0.19117614288436305</v>
      </c>
      <c r="T84" s="19" t="str">
        <f>IFERROR(RANK(S84,S:S)&amp;"/"&amp;COUNT(S:S),"-")</f>
        <v>153/197</v>
      </c>
      <c r="U84" s="26">
        <f>IFERROR(RANK(S84,S:S)/COUNT(S:S),"-")</f>
        <v>0.7766497461928934</v>
      </c>
      <c r="V84" s="34" t="str">
        <f>IF(OR($C84&gt;20190630,$K84&gt;30,S84="-",$D84="是",$E84="封闭期",$H84&lt;10,$BN84&lt;-6,$BR84&lt;70),"-",COUNTIFS(S$4:S$200,"&lt;&gt;-",$D$4:$D$200,"&lt;&gt;是",$E$4:$E$200,"&lt;&gt;封闭期",$H$4:$H$200,"&gt;10",$BN$4:$BN$200,"&gt;-6",$BR$4:$BR$200,"&gt;=70",$K$4:$K$200,"&lt;=30",$C$4:$C$200,"&lt;20190630",S$4:S$200,"&gt;="&amp;S84)&amp;"/"&amp;COUNTIFS(S$4:S$200,"&lt;&gt;-",$D$4:$D$200,"&lt;&gt;是",$E$4:$E$200,"&lt;&gt;封闭期",$H$4:$H$200,"&gt;10",$BN$4:$BN$200,"&gt;-6",$BR$4:$BR$200,"&gt;=70",$C$4:$C$200,"&lt;20190630",$K$4:$K$200,"&lt;=30"))</f>
        <v>-</v>
      </c>
      <c r="W84" s="33" t="str">
        <f>IF(OR($C84&gt;20190630,$K84&gt;30,S84="-",$D84="是",$E84="封闭期",$H84&lt;10,$BN84&lt;-6,$BR84&lt;70),"-",COUNTIFS(S$4:S$200,"&lt;&gt;-",$D$4:$D$200,"&lt;&gt;是",$E$4:$E$200,"&lt;&gt;封闭期",$H$4:$H$200,"&gt;10",$BN$4:$BN$200,"&gt;-6",$BR$4:$BR$200,"&gt;=70",$K$4:$K$200,"&lt;=30",$C$4:$C$200,"&lt;20190630",S$4:S$200,"&gt;="&amp;S84)/COUNTIFS(S$4:S$200,"&lt;&gt;-",$D$4:$D$200,"&lt;&gt;是",$E$4:$E$200,"&lt;&gt;封闭期",$H$4:$H$200,"&gt;10",$BN$4:$BN$200,"&gt;-6",$BR$4:$BR$200,"&gt;=70",$C$4:$C$200,"&lt;20190630",$K$4:$K$200,"&lt;=30"))</f>
        <v>-</v>
      </c>
      <c r="X84" s="19">
        <f>[1]!f_risk_calmar(A84,$L$2,$E$1)</f>
        <v>1.7963510674185212</v>
      </c>
      <c r="Y84" s="19" t="str">
        <f>IFERROR(RANK(X84,X:X)&amp;"/"&amp;COUNT(X:X),"-")</f>
        <v>108/197</v>
      </c>
      <c r="Z84" s="26">
        <f>IFERROR(RANK(X84,X:X)/COUNT(X:X),"-")</f>
        <v>0.54822335025380708</v>
      </c>
      <c r="AA84" s="34" t="str">
        <f>IF(OR($C84&gt;20190630,$K84&gt;30,X84="-",$D84="是",$E84="封闭期",$H84&lt;10,$BN84&lt;-6,$BR84&lt;70),"-",COUNTIFS(X$4:X$200,"&lt;&gt;-",$D$4:$D$200,"&lt;&gt;是",$E$4:$E$200,"&lt;&gt;封闭期",$H$4:$H$200,"&gt;10",$BN$4:$BN$200,"&gt;-6",$BR$4:$BR$200,"&gt;=70",$K$4:$K$200,"&lt;=30",$C$4:$C$200,"&lt;20190630",X$4:X$200,"&gt;="&amp;X84)&amp;"/"&amp;COUNTIFS(X$4:X$200,"&lt;&gt;-",$D$4:$D$200,"&lt;&gt;是",$E$4:$E$200,"&lt;&gt;封闭期",$H$4:$H$200,"&gt;10",$BN$4:$BN$200,"&gt;-6",$BR$4:$BR$200,"&gt;=70",$C$4:$C$200,"&lt;20190630",$K$4:$K$200,"&lt;=30"))</f>
        <v>-</v>
      </c>
      <c r="AB84" s="33" t="str">
        <f>IF(OR($C84&gt;20190630,$K84&gt;30,X84="-",$D84="是",$E84="封闭期",$H84&lt;10,$BN84&lt;-6,$BR84&lt;70),"-",COUNTIFS(X$4:X$200,"&lt;&gt;-",$D$4:$D$200,"&lt;&gt;是",$E$4:$E$200,"&lt;&gt;封闭期",$H$4:$H$200,"&gt;10",$BN$4:$BN$200,"&gt;-6",$BR$4:$BR$200,"&gt;=70",$K$4:$K$200,"&lt;=30",$C$4:$C$200,"&lt;20190630",X$4:X$200,"&gt;="&amp;X84)/COUNTIFS(X$4:X$200,"&lt;&gt;-",$D$4:$D$200,"&lt;&gt;是",$E$4:$E$200,"&lt;&gt;封闭期",$H$4:$H$200,"&gt;10",$BN$4:$BN$200,"&gt;-6",$BR$4:$BR$200,"&gt;=70",$C$4:$C$200,"&lt;20190630",$K$4:$K$200,"&lt;=30"))</f>
        <v>-</v>
      </c>
      <c r="AC84" s="20">
        <v>0.82352941176470584</v>
      </c>
      <c r="AD84" s="19" t="str">
        <f>IFERROR(RANK(AC84,AC:AC)&amp;"/"&amp;COUNT(AC:AC),"-")</f>
        <v>144/197</v>
      </c>
      <c r="AE84" s="26">
        <f>IFERROR(RANK(AC84,AC:AC)/COUNT(AC:AC),"-")</f>
        <v>0.73096446700507611</v>
      </c>
      <c r="AF84" s="34" t="str">
        <f>IF(OR($C84&gt;20190630,$K84&gt;30,AC84="-",$D84="是",$E84="封闭期",$H84&lt;10,$BN84&lt;-6,$BR84&lt;70),"-",COUNTIFS(AC$4:AC$200,"&lt;&gt;-",$D$4:$D$200,"&lt;&gt;是",$E$4:$E$200,"&lt;&gt;封闭期",$H$4:$H$200,"&gt;10",$BN$4:$BN$200,"&gt;-6",$BR$4:$BR$200,"&gt;=70",$K$4:$K$200,"&lt;=30",$C$4:$C$200,"&lt;20190630",AC$4:AC$200,"&gt;="&amp;AC84)&amp;"/"&amp;COUNTIFS(AC$4:AC$200,"&lt;&gt;-",$D$4:$D$200,"&lt;&gt;是",$E$4:$E$200,"&lt;&gt;封闭期",$H$4:$H$200,"&gt;10",$BN$4:$BN$200,"&gt;-6",$BR$4:$BR$200,"&gt;=70",$C$4:$C$200,"&lt;20190630",$K$4:$K$200,"&lt;=30"))</f>
        <v>-</v>
      </c>
      <c r="AG84" s="33" t="str">
        <f>IF(OR($C84&gt;20190630,$K84&gt;30,AC84="-",$D84="是",$E84="封闭期",$H84&lt;10,$BN84&lt;-6,$BR84&lt;70),"-",COUNTIFS(AC$4:AC$200,"&lt;&gt;-",$D$4:$D$200,"&lt;&gt;是",$E$4:$E$200,"&lt;&gt;封闭期",$H$4:$H$200,"&gt;10",$BN$4:$BN$200,"&gt;-6",$BR$4:$BR$200,"&gt;=70",$K$4:$K$200,"&lt;=30",$C$4:$C$200,"&lt;20190630",AC$4:AC$200,"&gt;="&amp;AC84)/COUNTIFS(AC$4:AC$200,"&lt;&gt;-",$D$4:$D$200,"&lt;&gt;是",$E$4:$E$200,"&lt;&gt;封闭期",$H$4:$H$200,"&gt;10",$BN$4:$BN$200,"&gt;-6",$BR$4:$BR$200,"&gt;=70",$C$4:$C$200,"&lt;20190630",$K$4:$K$200,"&lt;=30"))</f>
        <v>-</v>
      </c>
      <c r="AH84" s="21">
        <f>[1]!f_risk_maxdownside(A84,$L$2,$E$1)</f>
        <v>-1.9265575276288667</v>
      </c>
      <c r="AI84" s="19" t="str">
        <f>IFERROR(RANK(AH84,AH:AH)&amp;"/"&amp;COUNT(AH:AH),"-")</f>
        <v>57/197</v>
      </c>
      <c r="AJ84" s="26">
        <f>IFERROR(RANK(AH84,AH:AH)/COUNT(AH:AH),"-")</f>
        <v>0.28934010152284262</v>
      </c>
      <c r="AK84" s="34" t="str">
        <f>IF(OR($C84&gt;20190630,$K84&gt;30,AH84="-",$D84="是",$E84="封闭期",$H84&lt;10,$BN84&lt;-6,$BR84&lt;70),"-",COUNTIFS(AH$4:AH$200,"&lt;&gt;-",$D$4:$D$200,"&lt;&gt;是",$E$4:$E$200,"&lt;&gt;封闭期",$H$4:$H$200,"&gt;10",$BN$4:$BN$200,"&gt;-6",$BR$4:$BR$200,"&gt;=70",$K$4:$K$200,"&lt;=30",$C$4:$C$200,"&lt;20190630",AH$4:AH$200,"&gt;="&amp;AH84)&amp;"/"&amp;COUNTIFS(AH$4:AH$200,"&lt;&gt;-",$D$4:$D$200,"&lt;&gt;是",$E$4:$E$200,"&lt;&gt;封闭期",$H$4:$H$200,"&gt;10",$BN$4:$BN$200,"&gt;-6",$BR$4:$BR$200,"&gt;=70",$C$4:$C$200,"&lt;20190630",$K$4:$K$200,"&lt;=30"))</f>
        <v>-</v>
      </c>
      <c r="AL84" s="33" t="str">
        <f>IF(OR($C84&gt;20190630,$K84&gt;30,AH84="-",$D84="是",$E84="封闭期",$H84&lt;10,$BN84&lt;-6,$BR84&lt;70),"-",COUNTIFS(AH$4:AH$200,"&lt;&gt;-",$D$4:$D$200,"&lt;&gt;是",$E$4:$E$200,"&lt;&gt;封闭期",$H$4:$H$200,"&gt;10",$BN$4:$BN$200,"&gt;-6",$BR$4:$BR$200,"&gt;=70",$K$4:$K$200,"&lt;=30",$C$4:$C$200,"&lt;20190630",AH$4:AH$200,"&gt;="&amp;AH84)/COUNTIFS(AH$4:AH$200,"&lt;&gt;-",$D$4:$D$200,"&lt;&gt;是",$E$4:$E$200,"&lt;&gt;封闭期",$H$4:$H$200,"&gt;10",$BN$4:$BN$200,"&gt;-6",$BR$4:$BR$200,"&gt;=70",$C$4:$C$200,"&lt;20190630",$K$4:$K$200,"&lt;=30"))</f>
        <v>-</v>
      </c>
      <c r="AM84" s="19">
        <f>[1]!f_return($A84,"1",AM$2,$L$2)</f>
        <v>8.0506199981863489</v>
      </c>
      <c r="AN84" s="19">
        <f>[1]!f_risk_stdevyearly($A84,AM$2,$L$2,1,1)</f>
        <v>3.5574686676718161</v>
      </c>
      <c r="AO84" s="19">
        <f>IFERROR(AM84/AN84,"-")</f>
        <v>2.2630192280667574</v>
      </c>
      <c r="AP84" s="19" t="str">
        <f>IFERROR(RANK(AO84,AO:AO)&amp;"/"&amp;COUNT(AO:AO),"-")</f>
        <v>28/197</v>
      </c>
      <c r="AQ84" s="26">
        <f>IF(AP84="-","-",RANK(AO84,AO:AO)/COUNT(AO:AO))</f>
        <v>0.14213197969543148</v>
      </c>
      <c r="AR84" s="57">
        <v>0.41116751269035534</v>
      </c>
      <c r="AS84" s="33" t="str">
        <f>IF(OR($C84&gt;20190630,$K84&gt;30,AO84="-",$D84="是",$E84="封闭期",$H84&lt;10,$BN84&lt;-6,$BR84&lt;70),"-",COUNTIFS(AO$4:AO$200,"&lt;&gt;-",$D$4:$D$200,"&lt;&gt;是",$E$4:$E$200,"&lt;&gt;封闭期",$H$4:$H$200,"&gt;10",$BN$4:$BN$200,"&gt;-6",$BR$4:$BR$200,"&gt;=70",$K$4:$K$200,"&lt;=30",$C$4:$C$200,"&lt;20190630",AO$4:AO$200,"&gt;="&amp;AO84)/COUNTIFS(AO$4:AO$200,"&lt;&gt;-",$D$4:$D$200,"&lt;&gt;是",$E$4:$E$200,"&lt;&gt;封闭期",$H$4:$H$200,"&gt;10",$BN$4:$BN$200,"&gt;-6",$BR$4:$BR$200,"&gt;=70",$C$4:$C$200,"&lt;20190630",$K$4:$K$200,"&lt;=30"))</f>
        <v>-</v>
      </c>
      <c r="AT84" s="19">
        <f>IFERROR((AM84-3)/AN84,"-")</f>
        <v>1.4197229743956465</v>
      </c>
      <c r="AU84" s="19" t="str">
        <f>IFERROR(RANK(AT84,AT:AT)&amp;"/"&amp;COUNT(AT:AT),"-")</f>
        <v>33/197</v>
      </c>
      <c r="AV84" s="26">
        <f>IFERROR(RANK(AT84,AT:AT)/COUNT(AT:AT),"-")</f>
        <v>0.16751269035532995</v>
      </c>
      <c r="AW84" s="34" t="str">
        <f>IF(OR($C84&gt;20190630,$K84&gt;30,AT84="-",$D84="是",$E84="封闭期",$H84&lt;10,$BN84&lt;-6,$BR84&lt;70),"-",COUNTIFS(AT$4:AT$200,"&lt;&gt;-",$D$4:$D$200,"&lt;&gt;是",$E$4:$E$200,"&lt;&gt;封闭期",$H$4:$H$200,"&gt;10",$BN$4:$BN$200,"&gt;-6",$BR$4:$BR$200,"&gt;=70",$K$4:$K$200,"&lt;=30",$C$4:$C$200,"&lt;20190630",AT$4:AT$200,"&gt;="&amp;AT84)&amp;"/"&amp;COUNTIFS(AT$4:AT$200,"&lt;&gt;-",$D$4:$D$200,"&lt;&gt;是",$E$4:$E$200,"&lt;&gt;封闭期",$H$4:$H$200,"&gt;10",$BN$4:$BN$200,"&gt;-6",$BR$4:$BR$200,"&gt;=70",$C$4:$C$200,"&lt;20190630",$K$4:$K$200,"&lt;=30"))</f>
        <v>-</v>
      </c>
      <c r="AX84" s="33" t="str">
        <f>IF(OR($C84&gt;20190630,$K84&gt;30,AT84="-",$D84="是",$E84="封闭期",$H84&lt;10,$BN84&lt;-6,$BR84&lt;70),"-",COUNTIFS(AT$4:AT$200,"&lt;&gt;-",$D$4:$D$200,"&lt;&gt;是",$E$4:$E$200,"&lt;&gt;封闭期",$H$4:$H$200,"&gt;10",$BN$4:$BN$200,"&gt;-6",$BR$4:$BR$200,"&gt;=70",$K$4:$K$200,"&lt;=30",$C$4:$C$200,"&lt;20190630",AT$4:AT$200,"&gt;="&amp;AT84)/COUNTIFS(AT$4:AT$200,"&lt;&gt;-",$D$4:$D$200,"&lt;&gt;是",$E$4:$E$200,"&lt;&gt;封闭期",$H$4:$H$200,"&gt;10",$BN$4:$BN$200,"&gt;-6",$BR$4:$BR$200,"&gt;=70",$C$4:$C$200,"&lt;20190630",$K$4:$K$200,"&lt;=30"))</f>
        <v>-</v>
      </c>
      <c r="AY84" s="19">
        <f>[1]!f_risk_calmar(A84,$AM$2,$L$2)</f>
        <v>3.5129978173903935</v>
      </c>
      <c r="AZ84" s="19" t="str">
        <f>IFERROR(RANK(AY84,AY:AY)&amp;"/"&amp;COUNT(AY:AY),"-")</f>
        <v>31/197</v>
      </c>
      <c r="BA84" s="26">
        <f>IFERROR(RANK(AY84,AY:AY)/COUNT(AY:AY),"-")</f>
        <v>0.15736040609137056</v>
      </c>
      <c r="BB84" s="34" t="str">
        <f>IF(OR($C84&gt;20190630,$K84&gt;30,AY84="-",$D84="是",$E84="封闭期",$H84&lt;10,$BN84&lt;-6,$BR84&lt;70),"-",COUNTIFS(AY$4:AY$200,"&lt;&gt;-",$D$4:$D$200,"&lt;&gt;是",$E$4:$E$200,"&lt;&gt;封闭期",$H$4:$H$200,"&gt;10",$BN$4:$BN$200,"&gt;-6",$BR$4:$BR$200,"&gt;=70",$K$4:$K$200,"&lt;=30",$C$4:$C$200,"&lt;20190630",AY$4:AY$200,"&gt;="&amp;AY84)&amp;"/"&amp;COUNTIFS(AY$4:AY$200,"&lt;&gt;-",$D$4:$D$200,"&lt;&gt;是",$E$4:$E$200,"&lt;&gt;封闭期",$H$4:$H$200,"&gt;10",$BN$4:$BN$200,"&gt;-6",$BR$4:$BR$200,"&gt;=70",$C$4:$C$200,"&lt;20190630",$K$4:$K$200,"&lt;=30"))</f>
        <v>-</v>
      </c>
      <c r="BC84" s="33" t="str">
        <f>IF(OR($C84&gt;20190630,$K84&gt;30,AY84="-",$D84="是",$E84="封闭期",$H84&lt;10,$BN84&lt;-6,$BR84&lt;70),"-",COUNTIFS(AY$4:AY$200,"&lt;&gt;-",$D$4:$D$200,"&lt;&gt;是",$E$4:$E$200,"&lt;&gt;封闭期",$H$4:$H$200,"&gt;10",$BN$4:$BN$200,"&gt;-6",$BR$4:$BR$200,"&gt;=70",$K$4:$K$200,"&lt;=30",$C$4:$C$200,"&lt;20190630",AY$4:AY$200,"&gt;="&amp;AY84)/COUNTIFS(AY$4:AY$200,"&lt;&gt;-",$D$4:$D$200,"&lt;&gt;是",$E$4:$E$200,"&lt;&gt;封闭期",$H$4:$H$200,"&gt;10",$BN$4:$BN$200,"&gt;-6",$BR$4:$BR$200,"&gt;=70",$C$4:$C$200,"&lt;20190630",$K$4:$K$200,"&lt;=30"))</f>
        <v>-</v>
      </c>
      <c r="BD84" s="20">
        <v>1</v>
      </c>
      <c r="BE84" s="19" t="str">
        <f>IFERROR(RANK(BD84,BD:BD)&amp;"/"&amp;COUNT(BD:BD),"-")</f>
        <v>1/197</v>
      </c>
      <c r="BF84" s="26">
        <f>IFERROR(RANK(BD84,BD:BD)/COUNT(BD:BD),"-")</f>
        <v>5.076142131979695E-3</v>
      </c>
      <c r="BG84" s="34" t="str">
        <f>IF(OR($C84&gt;20190630,$K84&gt;30,BD84="-",$D84="是",$E84="封闭期",$H84&lt;10,$BN84&lt;-6,$BR84&lt;70),"-",COUNTIFS(BD$4:BD$200,"&lt;&gt;-",$D$4:$D$200,"&lt;&gt;是",$E$4:$E$200,"&lt;&gt;封闭期",$H$4:$H$200,"&gt;10",$BN$4:$BN$200,"&gt;-6",$BR$4:$BR$200,"&gt;=70",$K$4:$K$200,"&lt;=30",$C$4:$C$200,"&lt;20190630",BD$4:BD$200,"&gt;="&amp;BD84)&amp;"/"&amp;COUNTIFS(BD$4:BD$200,"&lt;&gt;-",$D$4:$D$200,"&lt;&gt;是",$E$4:$E$200,"&lt;&gt;封闭期",$H$4:$H$200,"&gt;10",$BN$4:$BN$200,"&gt;-6",$BR$4:$BR$200,"&gt;=70",$C$4:$C$200,"&lt;20190630",$K$4:$K$200,"&lt;=30"))</f>
        <v>-</v>
      </c>
      <c r="BH84" s="33" t="str">
        <f>IF(OR($C84&gt;20190630,$K84&gt;30,BD84="-",$D84="是",$E84="封闭期",$H84&lt;10,$BN84&lt;-6,$BR84&lt;70),"-",COUNTIFS(BD$4:BD$200,"&lt;&gt;-",$D$4:$D$200,"&lt;&gt;是",$E$4:$E$200,"&lt;&gt;封闭期",$H$4:$H$200,"&gt;10",$BN$4:$BN$200,"&gt;-6",$BR$4:$BR$200,"&gt;=70",$K$4:$K$200,"&lt;=30",$C$4:$C$200,"&lt;20190630",BD$4:BD$200,"&gt;="&amp;BD84)/COUNTIFS(BD$4:BD$200,"&lt;&gt;-",$D$4:$D$200,"&lt;&gt;是",$E$4:$E$200,"&lt;&gt;封闭期",$H$4:$H$200,"&gt;10",$BN$4:$BN$200,"&gt;-6",$BR$4:$BR$200,"&gt;=70",$C$4:$C$200,"&lt;20190630",$K$4:$K$200,"&lt;=30"))</f>
        <v>-</v>
      </c>
      <c r="BI84" s="21">
        <f>[1]!f_risk_maxdownside(A84,$AM$2,$L$2)</f>
        <v>-2.2916666666666754</v>
      </c>
      <c r="BJ84" s="19" t="str">
        <f>IFERROR(RANK(BI84,BI:BI)&amp;"/"&amp;COUNT(BI:BI),"-")</f>
        <v>50/197</v>
      </c>
      <c r="BK84" s="26">
        <f>IFERROR(RANK(BI84,BI:BI)/COUNT(BI:BI),"-")</f>
        <v>0.25380710659898476</v>
      </c>
      <c r="BL84" s="34" t="str">
        <f>IF(OR($C84&gt;20190630,$K84&gt;30,BI84="-",$D84="是",$E84="封闭期",$H84&lt;10,$BN84&lt;-6,$BR84&lt;70),"-",COUNTIFS(BI$4:BI$200,"&lt;&gt;-",$D$4:$D$200,"&lt;&gt;是",$E$4:$E$200,"&lt;&gt;封闭期",$H$4:$H$200,"&gt;10",$BN$4:$BN$200,"&gt;-6",$BR$4:$BR$200,"&gt;=70",$K$4:$K$200,"&lt;=30",$C$4:$C$200,"&lt;20190630",BI$4:BI$200,"&gt;="&amp;BI84)&amp;"/"&amp;COUNTIFS(BI$4:BI$200,"&lt;&gt;-",$D$4:$D$200,"&lt;&gt;是",$E$4:$E$200,"&lt;&gt;封闭期",$H$4:$H$200,"&gt;10",$BN$4:$BN$200,"&gt;-6",$BR$4:$BR$200,"&gt;=70",$C$4:$C$200,"&lt;20190630",$K$4:$K$200,"&lt;=30"))</f>
        <v>-</v>
      </c>
      <c r="BM84" s="33" t="str">
        <f>IF(OR($C84&gt;20190630,$K84&gt;30,BI84="-",$D84="是",$E84="封闭期",$H84&lt;10,$BN84&lt;-6,$BR84&lt;70),"-",COUNTIFS(BI$4:BI$200,"&lt;&gt;-",$D$4:$D$200,"&lt;&gt;是",$E$4:$E$200,"&lt;&gt;封闭期",$H$4:$H$200,"&gt;10",$BN$4:$BN$200,"&gt;-6",$BR$4:$BR$200,"&gt;=70",$K$4:$K$200,"&lt;=30",$C$4:$C$200,"&lt;20190630",BI$4:BI$200,"&gt;="&amp;BI84)/COUNTIFS(BI$4:BI$200,"&lt;&gt;-",$D$4:$D$200,"&lt;&gt;是",$E$4:$E$200,"&lt;&gt;封闭期",$H$4:$H$200,"&gt;10",$BN$4:$BN$200,"&gt;-6",$BR$4:$BR$200,"&gt;=70",$C$4:$C$200,"&lt;20190630",$K$4:$K$200,"&lt;=30"))</f>
        <v>-</v>
      </c>
      <c r="BN84" s="21">
        <f>[1]!f_risk_maxdownside(A84,$AM$2,$E$1)</f>
        <v>-2.2916666666666754</v>
      </c>
      <c r="BO84" s="21">
        <f>IF(C84&lt;20190930,[1]!f_return_2y(A84,"0","20210930"),"-")</f>
        <v>11.848007533295094</v>
      </c>
      <c r="BP84" s="19" t="str">
        <f>IFERROR(RANK(BO84,BO:BO)&amp;"/"&amp;COUNT(BO:BO),"-")</f>
        <v>118/197</v>
      </c>
      <c r="BQ84" s="25">
        <f>IFERROR(RANK(BO84,BO:BO)/COUNT(BO:BO),"-")</f>
        <v>0.59898477157360408</v>
      </c>
      <c r="BR84" s="19">
        <f>IF(C84&lt;20190930,[1]!f_absolute_profitmonthper(A84,"20190930","20210930"),"-")</f>
        <v>75</v>
      </c>
      <c r="BS84" s="19" t="str">
        <f>IFERROR(RANK(BR84,BR:BR)&amp;"/"&amp;COUNT(BR:BR),"-")</f>
        <v>26/198</v>
      </c>
      <c r="BT84" s="25">
        <f>IFERROR(RANK(BR84,BR:BR)/COUNT(BR:BR),"-")</f>
        <v>0.13131313131313133</v>
      </c>
      <c r="BV84" s="12">
        <f>X84-3/M84</f>
        <v>0.55164360147258518</v>
      </c>
      <c r="BW84" s="76">
        <f>IFERROR(RANK(BV84,BV:BV)/COUNT(BV:BV),"-")</f>
        <v>0.7258883248730964</v>
      </c>
      <c r="BX84" s="76">
        <f>IFERROR(RANK(L84,L:L)/COUNT(L:L),"-")</f>
        <v>0.80303030303030298</v>
      </c>
      <c r="BY84" s="12">
        <f>AY84-3/AN84</f>
        <v>2.6697015637192827</v>
      </c>
      <c r="BZ84" s="76">
        <f>IFERROR(RANK(BY84,BY:BY)/COUNT(BY:BY),"-")</f>
        <v>0.17258883248730963</v>
      </c>
      <c r="CA84" s="76">
        <f>IFERROR(RANK(AM84,AM:AM)/COUNT(AM:AM),"-")</f>
        <v>0.41414141414141414</v>
      </c>
      <c r="CB84" s="2"/>
      <c r="CC84" s="77">
        <f>AV84+BF84+BZ84+CA84</f>
        <v>0.75931907911603336</v>
      </c>
      <c r="CD84" s="77">
        <f>BW84+BX84+AE84+U84</f>
        <v>3.0365328411013692</v>
      </c>
      <c r="CE84" s="77">
        <f>CC84+CD84</f>
        <v>3.7958519202174026</v>
      </c>
    </row>
    <row r="85" spans="1:83" s="2" customFormat="1" hidden="1" x14ac:dyDescent="0.35">
      <c r="A85" s="15" t="s">
        <v>163</v>
      </c>
      <c r="B85" s="15" t="s">
        <v>164</v>
      </c>
      <c r="C85" s="16">
        <v>20131203</v>
      </c>
      <c r="D85" s="16" t="str">
        <f>[1]!f_info_regulopenfundornot(A85)</f>
        <v>否</v>
      </c>
      <c r="E85" s="16" t="str">
        <f>[1]!f_dq_status(A85,$E$1)</f>
        <v>开放申购|开放赎回</v>
      </c>
      <c r="F85" s="17" t="str">
        <f>[1]!f_info_fundmanager(A85)</f>
        <v>徐光</v>
      </c>
      <c r="G85" s="16">
        <v>20200708</v>
      </c>
      <c r="H85" s="18">
        <f>[1]!f_netasset_total(A85,$E$1,100000000)</f>
        <v>3.4673062070999996</v>
      </c>
      <c r="I85" s="18">
        <f>[1]!f_prt_convertiblebondtonav(A85,$E$1)</f>
        <v>3.0985438823699951</v>
      </c>
      <c r="J85" s="18">
        <f>[1]!f_prt_stocktonav(A85,$E$1)+0.5*I85</f>
        <v>19.352595686912537</v>
      </c>
      <c r="K85" s="19">
        <v>22.501041252209749</v>
      </c>
      <c r="L85" s="19">
        <f>[1]!f_return($A85,"1",L$2,$E$1)</f>
        <v>4.8251752192273178</v>
      </c>
      <c r="M85" s="19">
        <f>[1]!f_risk_stdevyearly($A85,L$2,$E$1,1,1)</f>
        <v>5.4227366591369401</v>
      </c>
      <c r="N85" s="19">
        <f>IFERROR(L85/M85,"-")</f>
        <v>0.88980445161341692</v>
      </c>
      <c r="O85" s="19" t="str">
        <f>IFERROR(RANK(N85,N:N)&amp;"/"&amp;COUNT(N:N),"-")</f>
        <v>147/197</v>
      </c>
      <c r="P85" s="26">
        <f>IF(O85="-","-",RANK(N85,N:N)/COUNT(N:N))</f>
        <v>0.74619289340101524</v>
      </c>
      <c r="Q85" s="56">
        <v>0.57868020304568524</v>
      </c>
      <c r="R85" s="33" t="str">
        <f>IF(OR($C85&gt;20190630,$K85&gt;30,N85="-",$D85="是",$E85="封闭期",$H85&lt;10,$BN85&lt;-6,$BR85&lt;70),"-",COUNTIFS(N$4:N$200,"&lt;&gt;-",$D$4:$D$200,"&lt;&gt;是",$E$4:$E$200,"&lt;&gt;封闭期",$H$4:$H$200,"&gt;10",$BN$4:$BN$200,"&gt;-6",$BR$4:$BR$200,"&gt;=70",$K$4:$K$200,"&lt;=30",$C$4:$C$200,"&lt;20190630",N$4:N$200,"&gt;="&amp;N85)/COUNTIFS(N$4:N$200,"&lt;&gt;-",$D$4:$D$200,"&lt;&gt;是",$E$4:$E$200,"&lt;&gt;封闭期",$H$4:$H$200,"&gt;10",$BN$4:$BN$200,"&gt;-6",$BR$4:$BR$200,"&gt;=70",$C$4:$C$200,"&lt;20190630",$K$4:$K$200,"&lt;=30"))</f>
        <v>-</v>
      </c>
      <c r="S85" s="19">
        <f>IFERROR((L85-3)/M85,"-")</f>
        <v>0.3365782507900365</v>
      </c>
      <c r="T85" s="19" t="str">
        <f>IFERROR(RANK(S85,S:S)&amp;"/"&amp;COUNT(S:S),"-")</f>
        <v>135/197</v>
      </c>
      <c r="U85" s="26">
        <f>IFERROR(RANK(S85,S:S)/COUNT(S:S),"-")</f>
        <v>0.68527918781725883</v>
      </c>
      <c r="V85" s="34" t="str">
        <f>IF(OR($C85&gt;20190630,$K85&gt;30,S85="-",$D85="是",$E85="封闭期",$H85&lt;10,$BN85&lt;-6,$BR85&lt;70),"-",COUNTIFS(S$4:S$200,"&lt;&gt;-",$D$4:$D$200,"&lt;&gt;是",$E$4:$E$200,"&lt;&gt;封闭期",$H$4:$H$200,"&gt;10",$BN$4:$BN$200,"&gt;-6",$BR$4:$BR$200,"&gt;=70",$K$4:$K$200,"&lt;=30",$C$4:$C$200,"&lt;20190630",S$4:S$200,"&gt;="&amp;S85)&amp;"/"&amp;COUNTIFS(S$4:S$200,"&lt;&gt;-",$D$4:$D$200,"&lt;&gt;是",$E$4:$E$200,"&lt;&gt;封闭期",$H$4:$H$200,"&gt;10",$BN$4:$BN$200,"&gt;-6",$BR$4:$BR$200,"&gt;=70",$C$4:$C$200,"&lt;20190630",$K$4:$K$200,"&lt;=30"))</f>
        <v>-</v>
      </c>
      <c r="W85" s="33" t="str">
        <f>IF(OR($C85&gt;20190630,$K85&gt;30,S85="-",$D85="是",$E85="封闭期",$H85&lt;10,$BN85&lt;-6,$BR85&lt;70),"-",COUNTIFS(S$4:S$200,"&lt;&gt;-",$D$4:$D$200,"&lt;&gt;是",$E$4:$E$200,"&lt;&gt;封闭期",$H$4:$H$200,"&gt;10",$BN$4:$BN$200,"&gt;-6",$BR$4:$BR$200,"&gt;=70",$K$4:$K$200,"&lt;=30",$C$4:$C$200,"&lt;20190630",S$4:S$200,"&gt;="&amp;S85)/COUNTIFS(S$4:S$200,"&lt;&gt;-",$D$4:$D$200,"&lt;&gt;是",$E$4:$E$200,"&lt;&gt;封闭期",$H$4:$H$200,"&gt;10",$BN$4:$BN$200,"&gt;-6",$BR$4:$BR$200,"&gt;=70",$C$4:$C$200,"&lt;20190630",$K$4:$K$200,"&lt;=30"))</f>
        <v>-</v>
      </c>
      <c r="X85" s="19">
        <f>[1]!f_risk_calmar(A85,$L$2,$E$1)</f>
        <v>0.98215663333304482</v>
      </c>
      <c r="Y85" s="19" t="str">
        <f>IFERROR(RANK(X85,X:X)&amp;"/"&amp;COUNT(X:X),"-")</f>
        <v>161/197</v>
      </c>
      <c r="Z85" s="26">
        <f>IFERROR(RANK(X85,X:X)/COUNT(X:X),"-")</f>
        <v>0.81725888324873097</v>
      </c>
      <c r="AA85" s="34" t="str">
        <f>IF(OR($C85&gt;20190630,$K85&gt;30,X85="-",$D85="是",$E85="封闭期",$H85&lt;10,$BN85&lt;-6,$BR85&lt;70),"-",COUNTIFS(X$4:X$200,"&lt;&gt;-",$D$4:$D$200,"&lt;&gt;是",$E$4:$E$200,"&lt;&gt;封闭期",$H$4:$H$200,"&gt;10",$BN$4:$BN$200,"&gt;-6",$BR$4:$BR$200,"&gt;=70",$K$4:$K$200,"&lt;=30",$C$4:$C$200,"&lt;20190630",X$4:X$200,"&gt;="&amp;X85)&amp;"/"&amp;COUNTIFS(X$4:X$200,"&lt;&gt;-",$D$4:$D$200,"&lt;&gt;是",$E$4:$E$200,"&lt;&gt;封闭期",$H$4:$H$200,"&gt;10",$BN$4:$BN$200,"&gt;-6",$BR$4:$BR$200,"&gt;=70",$C$4:$C$200,"&lt;20190630",$K$4:$K$200,"&lt;=30"))</f>
        <v>-</v>
      </c>
      <c r="AB85" s="33" t="str">
        <f>IF(OR($C85&gt;20190630,$K85&gt;30,X85="-",$D85="是",$E85="封闭期",$H85&lt;10,$BN85&lt;-6,$BR85&lt;70),"-",COUNTIFS(X$4:X$200,"&lt;&gt;-",$D$4:$D$200,"&lt;&gt;是",$E$4:$E$200,"&lt;&gt;封闭期",$H$4:$H$200,"&gt;10",$BN$4:$BN$200,"&gt;-6",$BR$4:$BR$200,"&gt;=70",$K$4:$K$200,"&lt;=30",$C$4:$C$200,"&lt;20190630",X$4:X$200,"&gt;="&amp;X85)/COUNTIFS(X$4:X$200,"&lt;&gt;-",$D$4:$D$200,"&lt;&gt;是",$E$4:$E$200,"&lt;&gt;封闭期",$H$4:$H$200,"&gt;10",$BN$4:$BN$200,"&gt;-6",$BR$4:$BR$200,"&gt;=70",$C$4:$C$200,"&lt;20190630",$K$4:$K$200,"&lt;=30"))</f>
        <v>-</v>
      </c>
      <c r="AC85" s="20">
        <v>0.94957983193277307</v>
      </c>
      <c r="AD85" s="19" t="str">
        <f>IFERROR(RANK(AC85,AC:AC)&amp;"/"&amp;COUNT(AC:AC),"-")</f>
        <v>111/197</v>
      </c>
      <c r="AE85" s="26">
        <f>IFERROR(RANK(AC85,AC:AC)/COUNT(AC:AC),"-")</f>
        <v>0.56345177664974622</v>
      </c>
      <c r="AF85" s="34" t="str">
        <f>IF(OR($C85&gt;20190630,$K85&gt;30,AC85="-",$D85="是",$E85="封闭期",$H85&lt;10,$BN85&lt;-6,$BR85&lt;70),"-",COUNTIFS(AC$4:AC$200,"&lt;&gt;-",$D$4:$D$200,"&lt;&gt;是",$E$4:$E$200,"&lt;&gt;封闭期",$H$4:$H$200,"&gt;10",$BN$4:$BN$200,"&gt;-6",$BR$4:$BR$200,"&gt;=70",$K$4:$K$200,"&lt;=30",$C$4:$C$200,"&lt;20190630",AC$4:AC$200,"&gt;="&amp;AC85)&amp;"/"&amp;COUNTIFS(AC$4:AC$200,"&lt;&gt;-",$D$4:$D$200,"&lt;&gt;是",$E$4:$E$200,"&lt;&gt;封闭期",$H$4:$H$200,"&gt;10",$BN$4:$BN$200,"&gt;-6",$BR$4:$BR$200,"&gt;=70",$C$4:$C$200,"&lt;20190630",$K$4:$K$200,"&lt;=30"))</f>
        <v>-</v>
      </c>
      <c r="AG85" s="33" t="str">
        <f>IF(OR($C85&gt;20190630,$K85&gt;30,AC85="-",$D85="是",$E85="封闭期",$H85&lt;10,$BN85&lt;-6,$BR85&lt;70),"-",COUNTIFS(AC$4:AC$200,"&lt;&gt;-",$D$4:$D$200,"&lt;&gt;是",$E$4:$E$200,"&lt;&gt;封闭期",$H$4:$H$200,"&gt;10",$BN$4:$BN$200,"&gt;-6",$BR$4:$BR$200,"&gt;=70",$K$4:$K$200,"&lt;=30",$C$4:$C$200,"&lt;20190630",AC$4:AC$200,"&gt;="&amp;AC85)/COUNTIFS(AC$4:AC$200,"&lt;&gt;-",$D$4:$D$200,"&lt;&gt;是",$E$4:$E$200,"&lt;&gt;封闭期",$H$4:$H$200,"&gt;10",$BN$4:$BN$200,"&gt;-6",$BR$4:$BR$200,"&gt;=70",$C$4:$C$200,"&lt;20190630",$K$4:$K$200,"&lt;=30"))</f>
        <v>-</v>
      </c>
      <c r="AH85" s="21">
        <f>[1]!f_risk_maxdownside(A85,$L$2,$E$1)</f>
        <v>-4.9128367670364481</v>
      </c>
      <c r="AI85" s="19" t="str">
        <f>IFERROR(RANK(AH85,AH:AH)&amp;"/"&amp;COUNT(AH:AH),"-")</f>
        <v>155/197</v>
      </c>
      <c r="AJ85" s="26">
        <f>IFERROR(RANK(AH85,AH:AH)/COUNT(AH:AH),"-")</f>
        <v>0.78680203045685282</v>
      </c>
      <c r="AK85" s="34" t="str">
        <f>IF(OR($C85&gt;20190630,$K85&gt;30,AH85="-",$D85="是",$E85="封闭期",$H85&lt;10,$BN85&lt;-6,$BR85&lt;70),"-",COUNTIFS(AH$4:AH$200,"&lt;&gt;-",$D$4:$D$200,"&lt;&gt;是",$E$4:$E$200,"&lt;&gt;封闭期",$H$4:$H$200,"&gt;10",$BN$4:$BN$200,"&gt;-6",$BR$4:$BR$200,"&gt;=70",$K$4:$K$200,"&lt;=30",$C$4:$C$200,"&lt;20190630",AH$4:AH$200,"&gt;="&amp;AH85)&amp;"/"&amp;COUNTIFS(AH$4:AH$200,"&lt;&gt;-",$D$4:$D$200,"&lt;&gt;是",$E$4:$E$200,"&lt;&gt;封闭期",$H$4:$H$200,"&gt;10",$BN$4:$BN$200,"&gt;-6",$BR$4:$BR$200,"&gt;=70",$C$4:$C$200,"&lt;20190630",$K$4:$K$200,"&lt;=30"))</f>
        <v>-</v>
      </c>
      <c r="AL85" s="33" t="str">
        <f>IF(OR($C85&gt;20190630,$K85&gt;30,AH85="-",$D85="是",$E85="封闭期",$H85&lt;10,$BN85&lt;-6,$BR85&lt;70),"-",COUNTIFS(AH$4:AH$200,"&lt;&gt;-",$D$4:$D$200,"&lt;&gt;是",$E$4:$E$200,"&lt;&gt;封闭期",$H$4:$H$200,"&gt;10",$BN$4:$BN$200,"&gt;-6",$BR$4:$BR$200,"&gt;=70",$K$4:$K$200,"&lt;=30",$C$4:$C$200,"&lt;20190630",AH$4:AH$200,"&gt;="&amp;AH85)/COUNTIFS(AH$4:AH$200,"&lt;&gt;-",$D$4:$D$200,"&lt;&gt;是",$E$4:$E$200,"&lt;&gt;封闭期",$H$4:$H$200,"&gt;10",$BN$4:$BN$200,"&gt;-6",$BR$4:$BR$200,"&gt;=70",$C$4:$C$200,"&lt;20190630",$K$4:$K$200,"&lt;=30"))</f>
        <v>-</v>
      </c>
      <c r="AM85" s="19">
        <f>[1]!f_return($A85,"1",AM$2,$L$2)</f>
        <v>8.0276774081292182</v>
      </c>
      <c r="AN85" s="19">
        <f>[1]!f_risk_stdevyearly($A85,AM$2,$L$2,1,1)</f>
        <v>5.8238681234055916</v>
      </c>
      <c r="AO85" s="19">
        <f>IFERROR(AM85/AN85,"-")</f>
        <v>1.3784098880719362</v>
      </c>
      <c r="AP85" s="19" t="str">
        <f>IFERROR(RANK(AO85,AO:AO)&amp;"/"&amp;COUNT(AO:AO),"-")</f>
        <v>127/197</v>
      </c>
      <c r="AQ85" s="26">
        <f>IF(AP85="-","-",RANK(AO85,AO:AO)/COUNT(AO:AO))</f>
        <v>0.64467005076142136</v>
      </c>
      <c r="AR85" s="57">
        <v>0.41624365482233505</v>
      </c>
      <c r="AS85" s="33" t="str">
        <f>IF(OR($C85&gt;20190630,$K85&gt;30,AO85="-",$D85="是",$E85="封闭期",$H85&lt;10,$BN85&lt;-6,$BR85&lt;70),"-",COUNTIFS(AO$4:AO$200,"&lt;&gt;-",$D$4:$D$200,"&lt;&gt;是",$E$4:$E$200,"&lt;&gt;封闭期",$H$4:$H$200,"&gt;10",$BN$4:$BN$200,"&gt;-6",$BR$4:$BR$200,"&gt;=70",$K$4:$K$200,"&lt;=30",$C$4:$C$200,"&lt;20190630",AO$4:AO$200,"&gt;="&amp;AO85)/COUNTIFS(AO$4:AO$200,"&lt;&gt;-",$D$4:$D$200,"&lt;&gt;是",$E$4:$E$200,"&lt;&gt;封闭期",$H$4:$H$200,"&gt;10",$BN$4:$BN$200,"&gt;-6",$BR$4:$BR$200,"&gt;=70",$C$4:$C$200,"&lt;20190630",$K$4:$K$200,"&lt;=30"))</f>
        <v>-</v>
      </c>
      <c r="AT85" s="19">
        <f>IFERROR((AM85-3)/AN85,"-")</f>
        <v>0.86328833373191338</v>
      </c>
      <c r="AU85" s="19" t="str">
        <f>IFERROR(RANK(AT85,AT:AT)&amp;"/"&amp;COUNT(AT:AT),"-")</f>
        <v>100/197</v>
      </c>
      <c r="AV85" s="26">
        <f>IFERROR(RANK(AT85,AT:AT)/COUNT(AT:AT),"-")</f>
        <v>0.50761421319796951</v>
      </c>
      <c r="AW85" s="34" t="str">
        <f>IF(OR($C85&gt;20190630,$K85&gt;30,AT85="-",$D85="是",$E85="封闭期",$H85&lt;10,$BN85&lt;-6,$BR85&lt;70),"-",COUNTIFS(AT$4:AT$200,"&lt;&gt;-",$D$4:$D$200,"&lt;&gt;是",$E$4:$E$200,"&lt;&gt;封闭期",$H$4:$H$200,"&gt;10",$BN$4:$BN$200,"&gt;-6",$BR$4:$BR$200,"&gt;=70",$K$4:$K$200,"&lt;=30",$C$4:$C$200,"&lt;20190630",AT$4:AT$200,"&gt;="&amp;AT85)&amp;"/"&amp;COUNTIFS(AT$4:AT$200,"&lt;&gt;-",$D$4:$D$200,"&lt;&gt;是",$E$4:$E$200,"&lt;&gt;封闭期",$H$4:$H$200,"&gt;10",$BN$4:$BN$200,"&gt;-6",$BR$4:$BR$200,"&gt;=70",$C$4:$C$200,"&lt;20190630",$K$4:$K$200,"&lt;=30"))</f>
        <v>-</v>
      </c>
      <c r="AX85" s="33" t="str">
        <f>IF(OR($C85&gt;20190630,$K85&gt;30,AT85="-",$D85="是",$E85="封闭期",$H85&lt;10,$BN85&lt;-6,$BR85&lt;70),"-",COUNTIFS(AT$4:AT$200,"&lt;&gt;-",$D$4:$D$200,"&lt;&gt;是",$E$4:$E$200,"&lt;&gt;封闭期",$H$4:$H$200,"&gt;10",$BN$4:$BN$200,"&gt;-6",$BR$4:$BR$200,"&gt;=70",$K$4:$K$200,"&lt;=30",$C$4:$C$200,"&lt;20190630",AT$4:AT$200,"&gt;="&amp;AT85)/COUNTIFS(AT$4:AT$200,"&lt;&gt;-",$D$4:$D$200,"&lt;&gt;是",$E$4:$E$200,"&lt;&gt;封闭期",$H$4:$H$200,"&gt;10",$BN$4:$BN$200,"&gt;-6",$BR$4:$BR$200,"&gt;=70",$C$4:$C$200,"&lt;20190630",$K$4:$K$200,"&lt;=30"))</f>
        <v>-</v>
      </c>
      <c r="AY85" s="19">
        <f>[1]!f_risk_calmar(A85,$AM$2,$L$2)</f>
        <v>1.9073761521714963</v>
      </c>
      <c r="AZ85" s="19" t="str">
        <f>IFERROR(RANK(AY85,AY:AY)&amp;"/"&amp;COUNT(AY:AY),"-")</f>
        <v>120/197</v>
      </c>
      <c r="BA85" s="26">
        <f>IFERROR(RANK(AY85,AY:AY)/COUNT(AY:AY),"-")</f>
        <v>0.6091370558375635</v>
      </c>
      <c r="BB85" s="34" t="str">
        <f>IF(OR($C85&gt;20190630,$K85&gt;30,AY85="-",$D85="是",$E85="封闭期",$H85&lt;10,$BN85&lt;-6,$BR85&lt;70),"-",COUNTIFS(AY$4:AY$200,"&lt;&gt;-",$D$4:$D$200,"&lt;&gt;是",$E$4:$E$200,"&lt;&gt;封闭期",$H$4:$H$200,"&gt;10",$BN$4:$BN$200,"&gt;-6",$BR$4:$BR$200,"&gt;=70",$K$4:$K$200,"&lt;=30",$C$4:$C$200,"&lt;20190630",AY$4:AY$200,"&gt;="&amp;AY85)&amp;"/"&amp;COUNTIFS(AY$4:AY$200,"&lt;&gt;-",$D$4:$D$200,"&lt;&gt;是",$E$4:$E$200,"&lt;&gt;封闭期",$H$4:$H$200,"&gt;10",$BN$4:$BN$200,"&gt;-6",$BR$4:$BR$200,"&gt;=70",$C$4:$C$200,"&lt;20190630",$K$4:$K$200,"&lt;=30"))</f>
        <v>-</v>
      </c>
      <c r="BC85" s="33" t="str">
        <f>IF(OR($C85&gt;20190630,$K85&gt;30,AY85="-",$D85="是",$E85="封闭期",$H85&lt;10,$BN85&lt;-6,$BR85&lt;70),"-",COUNTIFS(AY$4:AY$200,"&lt;&gt;-",$D$4:$D$200,"&lt;&gt;是",$E$4:$E$200,"&lt;&gt;封闭期",$H$4:$H$200,"&gt;10",$BN$4:$BN$200,"&gt;-6",$BR$4:$BR$200,"&gt;=70",$K$4:$K$200,"&lt;=30",$C$4:$C$200,"&lt;20190630",AY$4:AY$200,"&gt;="&amp;AY85)/COUNTIFS(AY$4:AY$200,"&lt;&gt;-",$D$4:$D$200,"&lt;&gt;是",$E$4:$E$200,"&lt;&gt;封闭期",$H$4:$H$200,"&gt;10",$BN$4:$BN$200,"&gt;-6",$BR$4:$BR$200,"&gt;=70",$C$4:$C$200,"&lt;20190630",$K$4:$K$200,"&lt;=30"))</f>
        <v>-</v>
      </c>
      <c r="BD85" s="20">
        <v>0.93333333333333335</v>
      </c>
      <c r="BE85" s="19" t="str">
        <f>IFERROR(RANK(BD85,BD:BD)&amp;"/"&amp;COUNT(BD:BD),"-")</f>
        <v>163/197</v>
      </c>
      <c r="BF85" s="26">
        <f>IFERROR(RANK(BD85,BD:BD)/COUNT(BD:BD),"-")</f>
        <v>0.82741116751269039</v>
      </c>
      <c r="BG85" s="34" t="str">
        <f>IF(OR($C85&gt;20190630,$K85&gt;30,BD85="-",$D85="是",$E85="封闭期",$H85&lt;10,$BN85&lt;-6,$BR85&lt;70),"-",COUNTIFS(BD$4:BD$200,"&lt;&gt;-",$D$4:$D$200,"&lt;&gt;是",$E$4:$E$200,"&lt;&gt;封闭期",$H$4:$H$200,"&gt;10",$BN$4:$BN$200,"&gt;-6",$BR$4:$BR$200,"&gt;=70",$K$4:$K$200,"&lt;=30",$C$4:$C$200,"&lt;20190630",BD$4:BD$200,"&gt;="&amp;BD85)&amp;"/"&amp;COUNTIFS(BD$4:BD$200,"&lt;&gt;-",$D$4:$D$200,"&lt;&gt;是",$E$4:$E$200,"&lt;&gt;封闭期",$H$4:$H$200,"&gt;10",$BN$4:$BN$200,"&gt;-6",$BR$4:$BR$200,"&gt;=70",$C$4:$C$200,"&lt;20190630",$K$4:$K$200,"&lt;=30"))</f>
        <v>-</v>
      </c>
      <c r="BH85" s="33" t="str">
        <f>IF(OR($C85&gt;20190630,$K85&gt;30,BD85="-",$D85="是",$E85="封闭期",$H85&lt;10,$BN85&lt;-6,$BR85&lt;70),"-",COUNTIFS(BD$4:BD$200,"&lt;&gt;-",$D$4:$D$200,"&lt;&gt;是",$E$4:$E$200,"&lt;&gt;封闭期",$H$4:$H$200,"&gt;10",$BN$4:$BN$200,"&gt;-6",$BR$4:$BR$200,"&gt;=70",$K$4:$K$200,"&lt;=30",$C$4:$C$200,"&lt;20190630",BD$4:BD$200,"&gt;="&amp;BD85)/COUNTIFS(BD$4:BD$200,"&lt;&gt;-",$D$4:$D$200,"&lt;&gt;是",$E$4:$E$200,"&lt;&gt;封闭期",$H$4:$H$200,"&gt;10",$BN$4:$BN$200,"&gt;-6",$BR$4:$BR$200,"&gt;=70",$C$4:$C$200,"&lt;20190630",$K$4:$K$200,"&lt;=30"))</f>
        <v>-</v>
      </c>
      <c r="BI85" s="21">
        <f>[1]!f_risk_maxdownside(A85,$AM$2,$L$2)</f>
        <v>-4.2087542087542218</v>
      </c>
      <c r="BJ85" s="19" t="str">
        <f>IFERROR(RANK(BI85,BI:BI)&amp;"/"&amp;COUNT(BI:BI),"-")</f>
        <v>137/197</v>
      </c>
      <c r="BK85" s="26">
        <f>IFERROR(RANK(BI85,BI:BI)/COUNT(BI:BI),"-")</f>
        <v>0.69543147208121825</v>
      </c>
      <c r="BL85" s="34" t="str">
        <f>IF(OR($C85&gt;20190630,$K85&gt;30,BI85="-",$D85="是",$E85="封闭期",$H85&lt;10,$BN85&lt;-6,$BR85&lt;70),"-",COUNTIFS(BI$4:BI$200,"&lt;&gt;-",$D$4:$D$200,"&lt;&gt;是",$E$4:$E$200,"&lt;&gt;封闭期",$H$4:$H$200,"&gt;10",$BN$4:$BN$200,"&gt;-6",$BR$4:$BR$200,"&gt;=70",$K$4:$K$200,"&lt;=30",$C$4:$C$200,"&lt;20190630",BI$4:BI$200,"&gt;="&amp;BI85)&amp;"/"&amp;COUNTIFS(BI$4:BI$200,"&lt;&gt;-",$D$4:$D$200,"&lt;&gt;是",$E$4:$E$200,"&lt;&gt;封闭期",$H$4:$H$200,"&gt;10",$BN$4:$BN$200,"&gt;-6",$BR$4:$BR$200,"&gt;=70",$C$4:$C$200,"&lt;20190630",$K$4:$K$200,"&lt;=30"))</f>
        <v>-</v>
      </c>
      <c r="BM85" s="33" t="str">
        <f>IF(OR($C85&gt;20190630,$K85&gt;30,BI85="-",$D85="是",$E85="封闭期",$H85&lt;10,$BN85&lt;-6,$BR85&lt;70),"-",COUNTIFS(BI$4:BI$200,"&lt;&gt;-",$D$4:$D$200,"&lt;&gt;是",$E$4:$E$200,"&lt;&gt;封闭期",$H$4:$H$200,"&gt;10",$BN$4:$BN$200,"&gt;-6",$BR$4:$BR$200,"&gt;=70",$K$4:$K$200,"&lt;=30",$C$4:$C$200,"&lt;20190630",BI$4:BI$200,"&gt;="&amp;BI85)/COUNTIFS(BI$4:BI$200,"&lt;&gt;-",$D$4:$D$200,"&lt;&gt;是",$E$4:$E$200,"&lt;&gt;封闭期",$H$4:$H$200,"&gt;10",$BN$4:$BN$200,"&gt;-6",$BR$4:$BR$200,"&gt;=70",$C$4:$C$200,"&lt;20190630",$K$4:$K$200,"&lt;=30"))</f>
        <v>-</v>
      </c>
      <c r="BN85" s="21">
        <f>[1]!f_risk_maxdownside(A85,$AM$2,$E$1)</f>
        <v>-4.9128367670364481</v>
      </c>
      <c r="BO85" s="21">
        <f>IF(C85&lt;20190930,[1]!f_return_2y(A85,"0","20210930"),"-")</f>
        <v>13.198900091659043</v>
      </c>
      <c r="BP85" s="19" t="str">
        <f>IFERROR(RANK(BO85,BO:BO)&amp;"/"&amp;COUNT(BO:BO),"-")</f>
        <v>103/197</v>
      </c>
      <c r="BQ85" s="25">
        <f>IFERROR(RANK(BO85,BO:BO)/COUNT(BO:BO),"-")</f>
        <v>0.52284263959390864</v>
      </c>
      <c r="BR85" s="19">
        <f>IF(C85&lt;20190930,[1]!f_absolute_profitmonthper(A85,"20190930","20210930"),"-")</f>
        <v>58.333333333333336</v>
      </c>
      <c r="BS85" s="19" t="str">
        <f>IFERROR(RANK(BR85,BR:BR)&amp;"/"&amp;COUNT(BR:BR),"-")</f>
        <v>165/198</v>
      </c>
      <c r="BT85" s="25">
        <f>IFERROR(RANK(BR85,BR:BR)/COUNT(BR:BR),"-")</f>
        <v>0.83333333333333337</v>
      </c>
      <c r="BU85" s="17"/>
      <c r="BV85" s="12">
        <f>X85-3/M85</f>
        <v>0.42893043250966434</v>
      </c>
      <c r="BW85" s="76">
        <f>IFERROR(RANK(BV85,BV:BV)/COUNT(BV:BV),"-")</f>
        <v>0.75634517766497467</v>
      </c>
      <c r="BX85" s="76">
        <f>IFERROR(RANK(L85,L:L)/COUNT(L:L),"-")</f>
        <v>0.58080808080808077</v>
      </c>
      <c r="BY85" s="12">
        <f>AY85-3/AN85</f>
        <v>1.3922545978314735</v>
      </c>
      <c r="BZ85" s="76">
        <f>IFERROR(RANK(BY85,BY:BY)/COUNT(BY:BY),"-")</f>
        <v>0.57868020304568524</v>
      </c>
      <c r="CA85" s="76">
        <f>IFERROR(RANK(AM85,AM:AM)/COUNT(AM:AM),"-")</f>
        <v>0.41919191919191917</v>
      </c>
      <c r="CC85" s="77">
        <f>AV85+BF85+BZ85+CA85</f>
        <v>2.3328975029482644</v>
      </c>
      <c r="CD85" s="77">
        <f>BW85+BX85+AE85+U85</f>
        <v>2.5858842229400603</v>
      </c>
      <c r="CE85" s="77">
        <f>CC85+CD85</f>
        <v>4.9187817258883246</v>
      </c>
    </row>
    <row r="86" spans="1:83" s="17" customFormat="1" hidden="1" x14ac:dyDescent="0.35">
      <c r="A86" s="15" t="s">
        <v>235</v>
      </c>
      <c r="B86" s="15" t="s">
        <v>236</v>
      </c>
      <c r="C86" s="16">
        <v>20160525</v>
      </c>
      <c r="D86" s="16" t="str">
        <f>[1]!f_info_regulopenfundornot(A86)</f>
        <v>是</v>
      </c>
      <c r="E86" s="16" t="str">
        <f>[1]!f_dq_status(A86,$E$1)</f>
        <v>暂停申购|暂停赎回</v>
      </c>
      <c r="F86" s="17" t="str">
        <f>[1]!f_info_fundmanager(A86)</f>
        <v>张明凯</v>
      </c>
      <c r="G86" s="16">
        <v>20190319</v>
      </c>
      <c r="H86" s="18">
        <f>[1]!f_netasset_total(A86,$E$1,100000000)</f>
        <v>5.3499331241000005</v>
      </c>
      <c r="I86" s="18">
        <f>[1]!f_prt_convertiblebondtonav(A86,$E$1)</f>
        <v>3.4691693782806396</v>
      </c>
      <c r="J86" s="18">
        <f>[1]!f_prt_stocktonav(A86,$E$1)+0.5*I86</f>
        <v>14.643396258354187</v>
      </c>
      <c r="K86" s="19">
        <v>0</v>
      </c>
      <c r="L86" s="19">
        <f>[1]!f_return($A86,"1",L$2,$E$1)</f>
        <v>6.5243786224286504</v>
      </c>
      <c r="M86" s="19">
        <f>[1]!f_risk_stdevyearly($A86,L$2,$E$1,1,1)</f>
        <v>3.7877080796546383</v>
      </c>
      <c r="N86" s="19">
        <f>IFERROR(L86/M86,"-")</f>
        <v>1.7225135847912389</v>
      </c>
      <c r="O86" s="19" t="str">
        <f>IFERROR(RANK(N86,N:N)&amp;"/"&amp;COUNT(N:N),"-")</f>
        <v>65/197</v>
      </c>
      <c r="P86" s="26">
        <f>IF(O86="-","-",RANK(N86,N:N)/COUNT(N:N))</f>
        <v>0.32994923857868019</v>
      </c>
      <c r="Q86" s="56">
        <v>0.41116751269035534</v>
      </c>
      <c r="R86" s="33" t="str">
        <f>IF(OR($C86&gt;20190630,$K86&gt;30,N86="-",$D86="是",$E86="封闭期",$H86&lt;10,$BN86&lt;-6,$BR86&lt;70),"-",COUNTIFS(N$4:N$200,"&lt;&gt;-",$D$4:$D$200,"&lt;&gt;是",$E$4:$E$200,"&lt;&gt;封闭期",$H$4:$H$200,"&gt;10",$BN$4:$BN$200,"&gt;-6",$BR$4:$BR$200,"&gt;=70",$K$4:$K$200,"&lt;=30",$C$4:$C$200,"&lt;20190630",N$4:N$200,"&gt;="&amp;N86)/COUNTIFS(N$4:N$200,"&lt;&gt;-",$D$4:$D$200,"&lt;&gt;是",$E$4:$E$200,"&lt;&gt;封闭期",$H$4:$H$200,"&gt;10",$BN$4:$BN$200,"&gt;-6",$BR$4:$BR$200,"&gt;=70",$C$4:$C$200,"&lt;20190630",$K$4:$K$200,"&lt;=30"))</f>
        <v>-</v>
      </c>
      <c r="S86" s="19">
        <f>IFERROR((L86-3)/M86,"-")</f>
        <v>0.93047789014141813</v>
      </c>
      <c r="T86" s="19" t="str">
        <f>IFERROR(RANK(S86,S:S)&amp;"/"&amp;COUNT(S:S),"-")</f>
        <v>81/197</v>
      </c>
      <c r="U86" s="26">
        <f>IFERROR(RANK(S86,S:S)/COUNT(S:S),"-")</f>
        <v>0.41116751269035534</v>
      </c>
      <c r="V86" s="34" t="str">
        <f>IF(OR($C86&gt;20190630,$K86&gt;30,S86="-",$D86="是",$E86="封闭期",$H86&lt;10,$BN86&lt;-6,$BR86&lt;70),"-",COUNTIFS(S$4:S$200,"&lt;&gt;-",$D$4:$D$200,"&lt;&gt;是",$E$4:$E$200,"&lt;&gt;封闭期",$H$4:$H$200,"&gt;10",$BN$4:$BN$200,"&gt;-6",$BR$4:$BR$200,"&gt;=70",$K$4:$K$200,"&lt;=30",$C$4:$C$200,"&lt;20190630",S$4:S$200,"&gt;="&amp;S86)&amp;"/"&amp;COUNTIFS(S$4:S$200,"&lt;&gt;-",$D$4:$D$200,"&lt;&gt;是",$E$4:$E$200,"&lt;&gt;封闭期",$H$4:$H$200,"&gt;10",$BN$4:$BN$200,"&gt;-6",$BR$4:$BR$200,"&gt;=70",$C$4:$C$200,"&lt;20190630",$K$4:$K$200,"&lt;=30"))</f>
        <v>-</v>
      </c>
      <c r="W86" s="33" t="str">
        <f>IF(OR($C86&gt;20190630,$K86&gt;30,S86="-",$D86="是",$E86="封闭期",$H86&lt;10,$BN86&lt;-6,$BR86&lt;70),"-",COUNTIFS(S$4:S$200,"&lt;&gt;-",$D$4:$D$200,"&lt;&gt;是",$E$4:$E$200,"&lt;&gt;封闭期",$H$4:$H$200,"&gt;10",$BN$4:$BN$200,"&gt;-6",$BR$4:$BR$200,"&gt;=70",$K$4:$K$200,"&lt;=30",$C$4:$C$200,"&lt;20190630",S$4:S$200,"&gt;="&amp;S86)/COUNTIFS(S$4:S$200,"&lt;&gt;-",$D$4:$D$200,"&lt;&gt;是",$E$4:$E$200,"&lt;&gt;封闭期",$H$4:$H$200,"&gt;10",$BN$4:$BN$200,"&gt;-6",$BR$4:$BR$200,"&gt;=70",$C$4:$C$200,"&lt;20190630",$K$4:$K$200,"&lt;=30"))</f>
        <v>-</v>
      </c>
      <c r="X86" s="19">
        <f>[1]!f_risk_calmar(A86,$L$2,$E$1)</f>
        <v>2.2202658160567768</v>
      </c>
      <c r="Y86" s="19" t="str">
        <f>IFERROR(RANK(X86,X:X)&amp;"/"&amp;COUNT(X:X),"-")</f>
        <v>88/197</v>
      </c>
      <c r="Z86" s="26">
        <f>IFERROR(RANK(X86,X:X)/COUNT(X:X),"-")</f>
        <v>0.4467005076142132</v>
      </c>
      <c r="AA86" s="34" t="str">
        <f>IF(OR($C86&gt;20190630,$K86&gt;30,X86="-",$D86="是",$E86="封闭期",$H86&lt;10,$BN86&lt;-6,$BR86&lt;70),"-",COUNTIFS(X$4:X$200,"&lt;&gt;-",$D$4:$D$200,"&lt;&gt;是",$E$4:$E$200,"&lt;&gt;封闭期",$H$4:$H$200,"&gt;10",$BN$4:$BN$200,"&gt;-6",$BR$4:$BR$200,"&gt;=70",$K$4:$K$200,"&lt;=30",$C$4:$C$200,"&lt;20190630",X$4:X$200,"&gt;="&amp;X86)&amp;"/"&amp;COUNTIFS(X$4:X$200,"&lt;&gt;-",$D$4:$D$200,"&lt;&gt;是",$E$4:$E$200,"&lt;&gt;封闭期",$H$4:$H$200,"&gt;10",$BN$4:$BN$200,"&gt;-6",$BR$4:$BR$200,"&gt;=70",$C$4:$C$200,"&lt;20190630",$K$4:$K$200,"&lt;=30"))</f>
        <v>-</v>
      </c>
      <c r="AB86" s="33" t="str">
        <f>IF(OR($C86&gt;20190630,$K86&gt;30,X86="-",$D86="是",$E86="封闭期",$H86&lt;10,$BN86&lt;-6,$BR86&lt;70),"-",COUNTIFS(X$4:X$200,"&lt;&gt;-",$D$4:$D$200,"&lt;&gt;是",$E$4:$E$200,"&lt;&gt;封闭期",$H$4:$H$200,"&gt;10",$BN$4:$BN$200,"&gt;-6",$BR$4:$BR$200,"&gt;=70",$K$4:$K$200,"&lt;=30",$C$4:$C$200,"&lt;20190630",X$4:X$200,"&gt;="&amp;X86)/COUNTIFS(X$4:X$200,"&lt;&gt;-",$D$4:$D$200,"&lt;&gt;是",$E$4:$E$200,"&lt;&gt;封闭期",$H$4:$H$200,"&gt;10",$BN$4:$BN$200,"&gt;-6",$BR$4:$BR$200,"&gt;=70",$C$4:$C$200,"&lt;20190630",$K$4:$K$200,"&lt;=30"))</f>
        <v>-</v>
      </c>
      <c r="AC86" s="20">
        <v>1</v>
      </c>
      <c r="AD86" s="19" t="str">
        <f>IFERROR(RANK(AC86,AC:AC)&amp;"/"&amp;COUNT(AC:AC),"-")</f>
        <v>1/197</v>
      </c>
      <c r="AE86" s="26">
        <f>IFERROR(RANK(AC86,AC:AC)/COUNT(AC:AC),"-")</f>
        <v>5.076142131979695E-3</v>
      </c>
      <c r="AF86" s="34" t="str">
        <f>IF(OR($C86&gt;20190630,$K86&gt;30,AC86="-",$D86="是",$E86="封闭期",$H86&lt;10,$BN86&lt;-6,$BR86&lt;70),"-",COUNTIFS(AC$4:AC$200,"&lt;&gt;-",$D$4:$D$200,"&lt;&gt;是",$E$4:$E$200,"&lt;&gt;封闭期",$H$4:$H$200,"&gt;10",$BN$4:$BN$200,"&gt;-6",$BR$4:$BR$200,"&gt;=70",$K$4:$K$200,"&lt;=30",$C$4:$C$200,"&lt;20190630",AC$4:AC$200,"&gt;="&amp;AC86)&amp;"/"&amp;COUNTIFS(AC$4:AC$200,"&lt;&gt;-",$D$4:$D$200,"&lt;&gt;是",$E$4:$E$200,"&lt;&gt;封闭期",$H$4:$H$200,"&gt;10",$BN$4:$BN$200,"&gt;-6",$BR$4:$BR$200,"&gt;=70",$C$4:$C$200,"&lt;20190630",$K$4:$K$200,"&lt;=30"))</f>
        <v>-</v>
      </c>
      <c r="AG86" s="33" t="str">
        <f>IF(OR($C86&gt;20190630,$K86&gt;30,AC86="-",$D86="是",$E86="封闭期",$H86&lt;10,$BN86&lt;-6,$BR86&lt;70),"-",COUNTIFS(AC$4:AC$200,"&lt;&gt;-",$D$4:$D$200,"&lt;&gt;是",$E$4:$E$200,"&lt;&gt;封闭期",$H$4:$H$200,"&gt;10",$BN$4:$BN$200,"&gt;-6",$BR$4:$BR$200,"&gt;=70",$K$4:$K$200,"&lt;=30",$C$4:$C$200,"&lt;20190630",AC$4:AC$200,"&gt;="&amp;AC86)/COUNTIFS(AC$4:AC$200,"&lt;&gt;-",$D$4:$D$200,"&lt;&gt;是",$E$4:$E$200,"&lt;&gt;封闭期",$H$4:$H$200,"&gt;10",$BN$4:$BN$200,"&gt;-6",$BR$4:$BR$200,"&gt;=70",$C$4:$C$200,"&lt;20190630",$K$4:$K$200,"&lt;=30"))</f>
        <v>-</v>
      </c>
      <c r="AH86" s="21">
        <f>[1]!f_risk_maxdownside(A86,$L$2,$E$1)</f>
        <v>-2.9385574354407882</v>
      </c>
      <c r="AI86" s="19" t="str">
        <f>IFERROR(RANK(AH86,AH:AH)&amp;"/"&amp;COUNT(AH:AH),"-")</f>
        <v>92/197</v>
      </c>
      <c r="AJ86" s="26">
        <f>IFERROR(RANK(AH86,AH:AH)/COUNT(AH:AH),"-")</f>
        <v>0.46700507614213199</v>
      </c>
      <c r="AK86" s="34" t="str">
        <f>IF(OR($C86&gt;20190630,$K86&gt;30,AH86="-",$D86="是",$E86="封闭期",$H86&lt;10,$BN86&lt;-6,$BR86&lt;70),"-",COUNTIFS(AH$4:AH$200,"&lt;&gt;-",$D$4:$D$200,"&lt;&gt;是",$E$4:$E$200,"&lt;&gt;封闭期",$H$4:$H$200,"&gt;10",$BN$4:$BN$200,"&gt;-6",$BR$4:$BR$200,"&gt;=70",$K$4:$K$200,"&lt;=30",$C$4:$C$200,"&lt;20190630",AH$4:AH$200,"&gt;="&amp;AH86)&amp;"/"&amp;COUNTIFS(AH$4:AH$200,"&lt;&gt;-",$D$4:$D$200,"&lt;&gt;是",$E$4:$E$200,"&lt;&gt;封闭期",$H$4:$H$200,"&gt;10",$BN$4:$BN$200,"&gt;-6",$BR$4:$BR$200,"&gt;=70",$C$4:$C$200,"&lt;20190630",$K$4:$K$200,"&lt;=30"))</f>
        <v>-</v>
      </c>
      <c r="AL86" s="33" t="str">
        <f>IF(OR($C86&gt;20190630,$K86&gt;30,AH86="-",$D86="是",$E86="封闭期",$H86&lt;10,$BN86&lt;-6,$BR86&lt;70),"-",COUNTIFS(AH$4:AH$200,"&lt;&gt;-",$D$4:$D$200,"&lt;&gt;是",$E$4:$E$200,"&lt;&gt;封闭期",$H$4:$H$200,"&gt;10",$BN$4:$BN$200,"&gt;-6",$BR$4:$BR$200,"&gt;=70",$K$4:$K$200,"&lt;=30",$C$4:$C$200,"&lt;20190630",AH$4:AH$200,"&gt;="&amp;AH86)/COUNTIFS(AH$4:AH$200,"&lt;&gt;-",$D$4:$D$200,"&lt;&gt;是",$E$4:$E$200,"&lt;&gt;封闭期",$H$4:$H$200,"&gt;10",$BN$4:$BN$200,"&gt;-6",$BR$4:$BR$200,"&gt;=70",$C$4:$C$200,"&lt;20190630",$K$4:$K$200,"&lt;=30"))</f>
        <v>-</v>
      </c>
      <c r="AM86" s="19">
        <f>[1]!f_return($A86,"1",AM$2,$L$2)</f>
        <v>7.9856040880246448</v>
      </c>
      <c r="AN86" s="19">
        <f>[1]!f_risk_stdevyearly($A86,AM$2,$L$2,1,1)</f>
        <v>4.8721516174136452</v>
      </c>
      <c r="AO86" s="19">
        <f>IFERROR(AM86/AN86,"-")</f>
        <v>1.6390302919726785</v>
      </c>
      <c r="AP86" s="19" t="str">
        <f>IFERROR(RANK(AO86,AO:AO)&amp;"/"&amp;COUNT(AO:AO),"-")</f>
        <v>92/197</v>
      </c>
      <c r="AQ86" s="26">
        <f>IF(AP86="-","-",RANK(AO86,AO:AO)/COUNT(AO:AO))</f>
        <v>0.46700507614213199</v>
      </c>
      <c r="AR86" s="57">
        <v>0.42131979695431471</v>
      </c>
      <c r="AS86" s="33" t="str">
        <f>IF(OR($C86&gt;20190630,$K86&gt;30,AO86="-",$D86="是",$E86="封闭期",$H86&lt;10,$BN86&lt;-6,$BR86&lt;70),"-",COUNTIFS(AO$4:AO$200,"&lt;&gt;-",$D$4:$D$200,"&lt;&gt;是",$E$4:$E$200,"&lt;&gt;封闭期",$H$4:$H$200,"&gt;10",$BN$4:$BN$200,"&gt;-6",$BR$4:$BR$200,"&gt;=70",$K$4:$K$200,"&lt;=30",$C$4:$C$200,"&lt;20190630",AO$4:AO$200,"&gt;="&amp;AO86)/COUNTIFS(AO$4:AO$200,"&lt;&gt;-",$D$4:$D$200,"&lt;&gt;是",$E$4:$E$200,"&lt;&gt;封闭期",$H$4:$H$200,"&gt;10",$BN$4:$BN$200,"&gt;-6",$BR$4:$BR$200,"&gt;=70",$C$4:$C$200,"&lt;20190630",$K$4:$K$200,"&lt;=30"))</f>
        <v>-</v>
      </c>
      <c r="AT86" s="19">
        <f>IFERROR((AM86-3)/AN86,"-")</f>
        <v>1.0232859072376785</v>
      </c>
      <c r="AU86" s="19" t="str">
        <f>IFERROR(RANK(AT86,AT:AT)&amp;"/"&amp;COUNT(AT:AT),"-")</f>
        <v>85/197</v>
      </c>
      <c r="AV86" s="26">
        <f>IFERROR(RANK(AT86,AT:AT)/COUNT(AT:AT),"-")</f>
        <v>0.43147208121827413</v>
      </c>
      <c r="AW86" s="34" t="str">
        <f>IF(OR($C86&gt;20190630,$K86&gt;30,AT86="-",$D86="是",$E86="封闭期",$H86&lt;10,$BN86&lt;-6,$BR86&lt;70),"-",COUNTIFS(AT$4:AT$200,"&lt;&gt;-",$D$4:$D$200,"&lt;&gt;是",$E$4:$E$200,"&lt;&gt;封闭期",$H$4:$H$200,"&gt;10",$BN$4:$BN$200,"&gt;-6",$BR$4:$BR$200,"&gt;=70",$K$4:$K$200,"&lt;=30",$C$4:$C$200,"&lt;20190630",AT$4:AT$200,"&gt;="&amp;AT86)&amp;"/"&amp;COUNTIFS(AT$4:AT$200,"&lt;&gt;-",$D$4:$D$200,"&lt;&gt;是",$E$4:$E$200,"&lt;&gt;封闭期",$H$4:$H$200,"&gt;10",$BN$4:$BN$200,"&gt;-6",$BR$4:$BR$200,"&gt;=70",$C$4:$C$200,"&lt;20190630",$K$4:$K$200,"&lt;=30"))</f>
        <v>-</v>
      </c>
      <c r="AX86" s="33" t="str">
        <f>IF(OR($C86&gt;20190630,$K86&gt;30,AT86="-",$D86="是",$E86="封闭期",$H86&lt;10,$BN86&lt;-6,$BR86&lt;70),"-",COUNTIFS(AT$4:AT$200,"&lt;&gt;-",$D$4:$D$200,"&lt;&gt;是",$E$4:$E$200,"&lt;&gt;封闭期",$H$4:$H$200,"&gt;10",$BN$4:$BN$200,"&gt;-6",$BR$4:$BR$200,"&gt;=70",$K$4:$K$200,"&lt;=30",$C$4:$C$200,"&lt;20190630",AT$4:AT$200,"&gt;="&amp;AT86)/COUNTIFS(AT$4:AT$200,"&lt;&gt;-",$D$4:$D$200,"&lt;&gt;是",$E$4:$E$200,"&lt;&gt;封闭期",$H$4:$H$200,"&gt;10",$BN$4:$BN$200,"&gt;-6",$BR$4:$BR$200,"&gt;=70",$C$4:$C$200,"&lt;20190630",$K$4:$K$200,"&lt;=30"))</f>
        <v>-</v>
      </c>
      <c r="AY86" s="19">
        <f>[1]!f_risk_calmar(A86,$AM$2,$L$2)</f>
        <v>2.5782093198479559</v>
      </c>
      <c r="AZ86" s="19" t="str">
        <f>IFERROR(RANK(AY86,AY:AY)&amp;"/"&amp;COUNT(AY:AY),"-")</f>
        <v>75/197</v>
      </c>
      <c r="BA86" s="26">
        <f>IFERROR(RANK(AY86,AY:AY)/COUNT(AY:AY),"-")</f>
        <v>0.38071065989847713</v>
      </c>
      <c r="BB86" s="34" t="str">
        <f>IF(OR($C86&gt;20190630,$K86&gt;30,AY86="-",$D86="是",$E86="封闭期",$H86&lt;10,$BN86&lt;-6,$BR86&lt;70),"-",COUNTIFS(AY$4:AY$200,"&lt;&gt;-",$D$4:$D$200,"&lt;&gt;是",$E$4:$E$200,"&lt;&gt;封闭期",$H$4:$H$200,"&gt;10",$BN$4:$BN$200,"&gt;-6",$BR$4:$BR$200,"&gt;=70",$K$4:$K$200,"&lt;=30",$C$4:$C$200,"&lt;20190630",AY$4:AY$200,"&gt;="&amp;AY86)&amp;"/"&amp;COUNTIFS(AY$4:AY$200,"&lt;&gt;-",$D$4:$D$200,"&lt;&gt;是",$E$4:$E$200,"&lt;&gt;封闭期",$H$4:$H$200,"&gt;10",$BN$4:$BN$200,"&gt;-6",$BR$4:$BR$200,"&gt;=70",$C$4:$C$200,"&lt;20190630",$K$4:$K$200,"&lt;=30"))</f>
        <v>-</v>
      </c>
      <c r="BC86" s="33" t="str">
        <f>IF(OR($C86&gt;20190630,$K86&gt;30,AY86="-",$D86="是",$E86="封闭期",$H86&lt;10,$BN86&lt;-6,$BR86&lt;70),"-",COUNTIFS(AY$4:AY$200,"&lt;&gt;-",$D$4:$D$200,"&lt;&gt;是",$E$4:$E$200,"&lt;&gt;封闭期",$H$4:$H$200,"&gt;10",$BN$4:$BN$200,"&gt;-6",$BR$4:$BR$200,"&gt;=70",$K$4:$K$200,"&lt;=30",$C$4:$C$200,"&lt;20190630",AY$4:AY$200,"&gt;="&amp;AY86)/COUNTIFS(AY$4:AY$200,"&lt;&gt;-",$D$4:$D$200,"&lt;&gt;是",$E$4:$E$200,"&lt;&gt;封闭期",$H$4:$H$200,"&gt;10",$BN$4:$BN$200,"&gt;-6",$BR$4:$BR$200,"&gt;=70",$C$4:$C$200,"&lt;20190630",$K$4:$K$200,"&lt;=30"))</f>
        <v>-</v>
      </c>
      <c r="BD86" s="20">
        <v>1</v>
      </c>
      <c r="BE86" s="19" t="str">
        <f>IFERROR(RANK(BD86,BD:BD)&amp;"/"&amp;COUNT(BD:BD),"-")</f>
        <v>1/197</v>
      </c>
      <c r="BF86" s="26">
        <f>IFERROR(RANK(BD86,BD:BD)/COUNT(BD:BD),"-")</f>
        <v>5.076142131979695E-3</v>
      </c>
      <c r="BG86" s="34" t="str">
        <f>IF(OR($C86&gt;20190630,$K86&gt;30,BD86="-",$D86="是",$E86="封闭期",$H86&lt;10,$BN86&lt;-6,$BR86&lt;70),"-",COUNTIFS(BD$4:BD$200,"&lt;&gt;-",$D$4:$D$200,"&lt;&gt;是",$E$4:$E$200,"&lt;&gt;封闭期",$H$4:$H$200,"&gt;10",$BN$4:$BN$200,"&gt;-6",$BR$4:$BR$200,"&gt;=70",$K$4:$K$200,"&lt;=30",$C$4:$C$200,"&lt;20190630",BD$4:BD$200,"&gt;="&amp;BD86)&amp;"/"&amp;COUNTIFS(BD$4:BD$200,"&lt;&gt;-",$D$4:$D$200,"&lt;&gt;是",$E$4:$E$200,"&lt;&gt;封闭期",$H$4:$H$200,"&gt;10",$BN$4:$BN$200,"&gt;-6",$BR$4:$BR$200,"&gt;=70",$C$4:$C$200,"&lt;20190630",$K$4:$K$200,"&lt;=30"))</f>
        <v>-</v>
      </c>
      <c r="BH86" s="33" t="str">
        <f>IF(OR($C86&gt;20190630,$K86&gt;30,BD86="-",$D86="是",$E86="封闭期",$H86&lt;10,$BN86&lt;-6,$BR86&lt;70),"-",COUNTIFS(BD$4:BD$200,"&lt;&gt;-",$D$4:$D$200,"&lt;&gt;是",$E$4:$E$200,"&lt;&gt;封闭期",$H$4:$H$200,"&gt;10",$BN$4:$BN$200,"&gt;-6",$BR$4:$BR$200,"&gt;=70",$K$4:$K$200,"&lt;=30",$C$4:$C$200,"&lt;20190630",BD$4:BD$200,"&gt;="&amp;BD86)/COUNTIFS(BD$4:BD$200,"&lt;&gt;-",$D$4:$D$200,"&lt;&gt;是",$E$4:$E$200,"&lt;&gt;封闭期",$H$4:$H$200,"&gt;10",$BN$4:$BN$200,"&gt;-6",$BR$4:$BR$200,"&gt;=70",$C$4:$C$200,"&lt;20190630",$K$4:$K$200,"&lt;=30"))</f>
        <v>-</v>
      </c>
      <c r="BI86" s="21">
        <f>[1]!f_risk_maxdownside(A86,$AM$2,$L$2)</f>
        <v>-3.0973451327433636</v>
      </c>
      <c r="BJ86" s="19" t="str">
        <f>IFERROR(RANK(BI86,BI:BI)&amp;"/"&amp;COUNT(BI:BI),"-")</f>
        <v>93/197</v>
      </c>
      <c r="BK86" s="26">
        <f>IFERROR(RANK(BI86,BI:BI)/COUNT(BI:BI),"-")</f>
        <v>0.4720812182741117</v>
      </c>
      <c r="BL86" s="34" t="str">
        <f>IF(OR($C86&gt;20190630,$K86&gt;30,BI86="-",$D86="是",$E86="封闭期",$H86&lt;10,$BN86&lt;-6,$BR86&lt;70),"-",COUNTIFS(BI$4:BI$200,"&lt;&gt;-",$D$4:$D$200,"&lt;&gt;是",$E$4:$E$200,"&lt;&gt;封闭期",$H$4:$H$200,"&gt;10",$BN$4:$BN$200,"&gt;-6",$BR$4:$BR$200,"&gt;=70",$K$4:$K$200,"&lt;=30",$C$4:$C$200,"&lt;20190630",BI$4:BI$200,"&gt;="&amp;BI86)&amp;"/"&amp;COUNTIFS(BI$4:BI$200,"&lt;&gt;-",$D$4:$D$200,"&lt;&gt;是",$E$4:$E$200,"&lt;&gt;封闭期",$H$4:$H$200,"&gt;10",$BN$4:$BN$200,"&gt;-6",$BR$4:$BR$200,"&gt;=70",$C$4:$C$200,"&lt;20190630",$K$4:$K$200,"&lt;=30"))</f>
        <v>-</v>
      </c>
      <c r="BM86" s="33" t="str">
        <f>IF(OR($C86&gt;20190630,$K86&gt;30,BI86="-",$D86="是",$E86="封闭期",$H86&lt;10,$BN86&lt;-6,$BR86&lt;70),"-",COUNTIFS(BI$4:BI$200,"&lt;&gt;-",$D$4:$D$200,"&lt;&gt;是",$E$4:$E$200,"&lt;&gt;封闭期",$H$4:$H$200,"&gt;10",$BN$4:$BN$200,"&gt;-6",$BR$4:$BR$200,"&gt;=70",$K$4:$K$200,"&lt;=30",$C$4:$C$200,"&lt;20190630",BI$4:BI$200,"&gt;="&amp;BI86)/COUNTIFS(BI$4:BI$200,"&lt;&gt;-",$D$4:$D$200,"&lt;&gt;是",$E$4:$E$200,"&lt;&gt;封闭期",$H$4:$H$200,"&gt;10",$BN$4:$BN$200,"&gt;-6",$BR$4:$BR$200,"&gt;=70",$C$4:$C$200,"&lt;20190630",$K$4:$K$200,"&lt;=30"))</f>
        <v>-</v>
      </c>
      <c r="BN86" s="21">
        <f>[1]!f_risk_maxdownside(A86,$AM$2,$E$1)</f>
        <v>-3.0973451327433636</v>
      </c>
      <c r="BO86" s="21">
        <f>IF(C86&lt;20190930,[1]!f_return_2y(A86,"0","20210930"),"-")</f>
        <v>14.890086404536875</v>
      </c>
      <c r="BP86" s="19" t="str">
        <f>IFERROR(RANK(BO86,BO:BO)&amp;"/"&amp;COUNT(BO:BO),"-")</f>
        <v>83/197</v>
      </c>
      <c r="BQ86" s="25">
        <f>IFERROR(RANK(BO86,BO:BO)/COUNT(BO:BO),"-")</f>
        <v>0.42131979695431471</v>
      </c>
      <c r="BR86" s="19">
        <f>IF(C86&lt;20190930,[1]!f_absolute_profitmonthper(A86,"20190930","20210930"),"-")</f>
        <v>66.666666666666657</v>
      </c>
      <c r="BS86" s="19" t="str">
        <f>IFERROR(RANK(BR86,BR:BR)&amp;"/"&amp;COUNT(BR:BR),"-")</f>
        <v>115/198</v>
      </c>
      <c r="BT86" s="25">
        <f>IFERROR(RANK(BR86,BR:BR)/COUNT(BR:BR),"-")</f>
        <v>0.58080808080808077</v>
      </c>
      <c r="BV86" s="12">
        <f>X86-3/M86</f>
        <v>1.4282301214069562</v>
      </c>
      <c r="BW86" s="76">
        <f>IFERROR(RANK(BV86,BV:BV)/COUNT(BV:BV),"-")</f>
        <v>0.48730964467005078</v>
      </c>
      <c r="BX86" s="76">
        <f>IFERROR(RANK(L86,L:L)/COUNT(L:L),"-")</f>
        <v>0.41414141414141414</v>
      </c>
      <c r="BY86" s="12">
        <f>AY86-3/AN86</f>
        <v>1.9624649351129559</v>
      </c>
      <c r="BZ86" s="76">
        <f>IFERROR(RANK(BY86,BY:BY)/COUNT(BY:BY),"-")</f>
        <v>0.35025380710659898</v>
      </c>
      <c r="CA86" s="76">
        <f>IFERROR(RANK(AM86,AM:AM)/COUNT(AM:AM),"-")</f>
        <v>0.42424242424242425</v>
      </c>
      <c r="CB86" s="2"/>
      <c r="CC86" s="77">
        <f>AV86+BF86+BZ86+CA86</f>
        <v>1.2110444546992771</v>
      </c>
      <c r="CD86" s="77">
        <f>BW86+BX86+AE86+U86</f>
        <v>1.3176947136338</v>
      </c>
      <c r="CE86" s="77">
        <f>CC86+CD86</f>
        <v>2.5287391683330771</v>
      </c>
    </row>
    <row r="87" spans="1:83" s="17" customFormat="1" x14ac:dyDescent="0.35">
      <c r="A87" s="15" t="s">
        <v>119</v>
      </c>
      <c r="B87" s="15" t="s">
        <v>120</v>
      </c>
      <c r="C87" s="16">
        <v>20120828</v>
      </c>
      <c r="D87" s="16" t="str">
        <f>[1]!f_info_regulopenfundornot(A87)</f>
        <v>否</v>
      </c>
      <c r="E87" s="16" t="str">
        <f>[1]!f_dq_status(A87,$E$1)</f>
        <v>暂停大额申购|开放赎回</v>
      </c>
      <c r="F87" s="17" t="str">
        <f>[1]!f_info_fundmanager(A87)</f>
        <v>李轶</v>
      </c>
      <c r="G87" s="16">
        <v>20120828</v>
      </c>
      <c r="H87" s="18">
        <f>[1]!f_netasset_total(A87,$E$1,100000000)</f>
        <v>11.911457782100001</v>
      </c>
      <c r="I87" s="18">
        <f>[1]!f_prt_convertiblebondtonav(A87,$E$1)</f>
        <v>19.021020889282227</v>
      </c>
      <c r="J87" s="18">
        <f>[1]!f_prt_stocktonav(A87,$E$1)+0.5*I87</f>
        <v>24.740480422973633</v>
      </c>
      <c r="K87" s="19">
        <v>21.624389282315772</v>
      </c>
      <c r="L87" s="19">
        <f>[1]!f_return($A87,"1",L$2,$E$1)</f>
        <v>1.133819001056402</v>
      </c>
      <c r="M87" s="19">
        <f>[1]!f_risk_stdevyearly($A87,L$2,$E$1,1,1)</f>
        <v>5.5194823637753556</v>
      </c>
      <c r="N87" s="19">
        <f>IFERROR(L87/M87,"-")</f>
        <v>0.20542125625723781</v>
      </c>
      <c r="O87" s="19" t="str">
        <f>IFERROR(RANK(N87,N:N)&amp;"/"&amp;COUNT(N:N),"-")</f>
        <v>183/197</v>
      </c>
      <c r="P87" s="26">
        <f>IF(O87="-","-",RANK(N87,N:N)/COUNT(N:N))</f>
        <v>0.92893401015228427</v>
      </c>
      <c r="Q87" s="56">
        <v>0.93908629441624369</v>
      </c>
      <c r="R87" s="33" t="str">
        <f>IF(OR($C87&gt;20190630,$K87&gt;30,N87="-",$D87="是",$E87="封闭期",$H87&lt;10,$BN87&lt;-6,$BR87&lt;70),"-",COUNTIFS(N$4:N$200,"&lt;&gt;-",$D$4:$D$200,"&lt;&gt;是",$E$4:$E$200,"&lt;&gt;封闭期",$H$4:$H$200,"&gt;10",$BN$4:$BN$200,"&gt;-6",$BR$4:$BR$200,"&gt;=70",$K$4:$K$200,"&lt;=30",$C$4:$C$200,"&lt;20190630",N$4:N$200,"&gt;="&amp;N87)/COUNTIFS(N$4:N$200,"&lt;&gt;-",$D$4:$D$200,"&lt;&gt;是",$E$4:$E$200,"&lt;&gt;封闭期",$H$4:$H$200,"&gt;10",$BN$4:$BN$200,"&gt;-6",$BR$4:$BR$200,"&gt;=70",$C$4:$C$200,"&lt;20190630",$K$4:$K$200,"&lt;=30"))</f>
        <v>-</v>
      </c>
      <c r="S87" s="19">
        <f>IFERROR((L87-3)/M87,"-")</f>
        <v>-0.33810797389107339</v>
      </c>
      <c r="T87" s="19" t="str">
        <f>IFERROR(RANK(S87,S:S)&amp;"/"&amp;COUNT(S:S),"-")</f>
        <v>178/197</v>
      </c>
      <c r="U87" s="26">
        <f>IFERROR(RANK(S87,S:S)/COUNT(S:S),"-")</f>
        <v>0.90355329949238583</v>
      </c>
      <c r="V87" s="34" t="str">
        <f>IF(OR($C87&gt;20190630,$K87&gt;30,S87="-",$D87="是",$E87="封闭期",$H87&lt;10,$BN87&lt;-6,$BR87&lt;70),"-",COUNTIFS(S$4:S$200,"&lt;&gt;-",$D$4:$D$200,"&lt;&gt;是",$E$4:$E$200,"&lt;&gt;封闭期",$H$4:$H$200,"&gt;10",$BN$4:$BN$200,"&gt;-6",$BR$4:$BR$200,"&gt;=70",$K$4:$K$200,"&lt;=30",$C$4:$C$200,"&lt;20190630",S$4:S$200,"&gt;="&amp;S87)&amp;"/"&amp;COUNTIFS(S$4:S$200,"&lt;&gt;-",$D$4:$D$200,"&lt;&gt;是",$E$4:$E$200,"&lt;&gt;封闭期",$H$4:$H$200,"&gt;10",$BN$4:$BN$200,"&gt;-6",$BR$4:$BR$200,"&gt;=70",$C$4:$C$200,"&lt;20190630",$K$4:$K$200,"&lt;=30"))</f>
        <v>-</v>
      </c>
      <c r="W87" s="33" t="str">
        <f>IF(OR($C87&gt;20190630,$K87&gt;30,S87="-",$D87="是",$E87="封闭期",$H87&lt;10,$BN87&lt;-6,$BR87&lt;70),"-",COUNTIFS(S$4:S$200,"&lt;&gt;-",$D$4:$D$200,"&lt;&gt;是",$E$4:$E$200,"&lt;&gt;封闭期",$H$4:$H$200,"&gt;10",$BN$4:$BN$200,"&gt;-6",$BR$4:$BR$200,"&gt;=70",$K$4:$K$200,"&lt;=30",$C$4:$C$200,"&lt;20190630",S$4:S$200,"&gt;="&amp;S87)/COUNTIFS(S$4:S$200,"&lt;&gt;-",$D$4:$D$200,"&lt;&gt;是",$E$4:$E$200,"&lt;&gt;封闭期",$H$4:$H$200,"&gt;10",$BN$4:$BN$200,"&gt;-6",$BR$4:$BR$200,"&gt;=70",$C$4:$C$200,"&lt;20190630",$K$4:$K$200,"&lt;=30"))</f>
        <v>-</v>
      </c>
      <c r="X87" s="19">
        <f>[1]!f_risk_calmar(A87,$L$2,$E$1)</f>
        <v>0.19693943083566631</v>
      </c>
      <c r="Y87" s="19" t="str">
        <f>IFERROR(RANK(X87,X:X)&amp;"/"&amp;COUNT(X:X),"-")</f>
        <v>184/197</v>
      </c>
      <c r="Z87" s="26">
        <f>IFERROR(RANK(X87,X:X)/COUNT(X:X),"-")</f>
        <v>0.93401015228426398</v>
      </c>
      <c r="AA87" s="34" t="str">
        <f>IF(OR($C87&gt;20190630,$K87&gt;30,X87="-",$D87="是",$E87="封闭期",$H87&lt;10,$BN87&lt;-6,$BR87&lt;70),"-",COUNTIFS(X$4:X$200,"&lt;&gt;-",$D$4:$D$200,"&lt;&gt;是",$E$4:$E$200,"&lt;&gt;封闭期",$H$4:$H$200,"&gt;10",$BN$4:$BN$200,"&gt;-6",$BR$4:$BR$200,"&gt;=70",$K$4:$K$200,"&lt;=30",$C$4:$C$200,"&lt;20190630",X$4:X$200,"&gt;="&amp;X87)&amp;"/"&amp;COUNTIFS(X$4:X$200,"&lt;&gt;-",$D$4:$D$200,"&lt;&gt;是",$E$4:$E$200,"&lt;&gt;封闭期",$H$4:$H$200,"&gt;10",$BN$4:$BN$200,"&gt;-6",$BR$4:$BR$200,"&gt;=70",$C$4:$C$200,"&lt;20190630",$K$4:$K$200,"&lt;=30"))</f>
        <v>-</v>
      </c>
      <c r="AB87" s="33" t="str">
        <f>IF(OR($C87&gt;20190630,$K87&gt;30,X87="-",$D87="是",$E87="封闭期",$H87&lt;10,$BN87&lt;-6,$BR87&lt;70),"-",COUNTIFS(X$4:X$200,"&lt;&gt;-",$D$4:$D$200,"&lt;&gt;是",$E$4:$E$200,"&lt;&gt;封闭期",$H$4:$H$200,"&gt;10",$BN$4:$BN$200,"&gt;-6",$BR$4:$BR$200,"&gt;=70",$K$4:$K$200,"&lt;=30",$C$4:$C$200,"&lt;20190630",X$4:X$200,"&gt;="&amp;X87)/COUNTIFS(X$4:X$200,"&lt;&gt;-",$D$4:$D$200,"&lt;&gt;是",$E$4:$E$200,"&lt;&gt;封闭期",$H$4:$H$200,"&gt;10",$BN$4:$BN$200,"&gt;-6",$BR$4:$BR$200,"&gt;=70",$C$4:$C$200,"&lt;20190630",$K$4:$K$200,"&lt;=30"))</f>
        <v>-</v>
      </c>
      <c r="AC87" s="20">
        <v>0.74789915966386555</v>
      </c>
      <c r="AD87" s="19" t="str">
        <f>IFERROR(RANK(AC87,AC:AC)&amp;"/"&amp;COUNT(AC:AC),"-")</f>
        <v>158/197</v>
      </c>
      <c r="AE87" s="26">
        <f>IFERROR(RANK(AC87,AC:AC)/COUNT(AC:AC),"-")</f>
        <v>0.80203045685279184</v>
      </c>
      <c r="AF87" s="34" t="str">
        <f>IF(OR($C87&gt;20190630,$K87&gt;30,AC87="-",$D87="是",$E87="封闭期",$H87&lt;10,$BN87&lt;-6,$BR87&lt;70),"-",COUNTIFS(AC$4:AC$200,"&lt;&gt;-",$D$4:$D$200,"&lt;&gt;是",$E$4:$E$200,"&lt;&gt;封闭期",$H$4:$H$200,"&gt;10",$BN$4:$BN$200,"&gt;-6",$BR$4:$BR$200,"&gt;=70",$K$4:$K$200,"&lt;=30",$C$4:$C$200,"&lt;20190630",AC$4:AC$200,"&gt;="&amp;AC87)&amp;"/"&amp;COUNTIFS(AC$4:AC$200,"&lt;&gt;-",$D$4:$D$200,"&lt;&gt;是",$E$4:$E$200,"&lt;&gt;封闭期",$H$4:$H$200,"&gt;10",$BN$4:$BN$200,"&gt;-6",$BR$4:$BR$200,"&gt;=70",$C$4:$C$200,"&lt;20190630",$K$4:$K$200,"&lt;=30"))</f>
        <v>-</v>
      </c>
      <c r="AG87" s="33" t="str">
        <f>IF(OR($C87&gt;20190630,$K87&gt;30,AC87="-",$D87="是",$E87="封闭期",$H87&lt;10,$BN87&lt;-6,$BR87&lt;70),"-",COUNTIFS(AC$4:AC$200,"&lt;&gt;-",$D$4:$D$200,"&lt;&gt;是",$E$4:$E$200,"&lt;&gt;封闭期",$H$4:$H$200,"&gt;10",$BN$4:$BN$200,"&gt;-6",$BR$4:$BR$200,"&gt;=70",$K$4:$K$200,"&lt;=30",$C$4:$C$200,"&lt;20190630",AC$4:AC$200,"&gt;="&amp;AC87)/COUNTIFS(AC$4:AC$200,"&lt;&gt;-",$D$4:$D$200,"&lt;&gt;是",$E$4:$E$200,"&lt;&gt;封闭期",$H$4:$H$200,"&gt;10",$BN$4:$BN$200,"&gt;-6",$BR$4:$BR$200,"&gt;=70",$C$4:$C$200,"&lt;20190630",$K$4:$K$200,"&lt;=30"))</f>
        <v>-</v>
      </c>
      <c r="AH87" s="21">
        <f>[1]!f_risk_maxdownside(A87,$L$2,$E$1)</f>
        <v>-5.7571964956195254</v>
      </c>
      <c r="AI87" s="19" t="str">
        <f>IFERROR(RANK(AH87,AH:AH)&amp;"/"&amp;COUNT(AH:AH),"-")</f>
        <v>171/197</v>
      </c>
      <c r="AJ87" s="26">
        <f>IFERROR(RANK(AH87,AH:AH)/COUNT(AH:AH),"-")</f>
        <v>0.86802030456852797</v>
      </c>
      <c r="AK87" s="34" t="str">
        <f>IF(OR($C87&gt;20190630,$K87&gt;30,AH87="-",$D87="是",$E87="封闭期",$H87&lt;10,$BN87&lt;-6,$BR87&lt;70),"-",COUNTIFS(AH$4:AH$200,"&lt;&gt;-",$D$4:$D$200,"&lt;&gt;是",$E$4:$E$200,"&lt;&gt;封闭期",$H$4:$H$200,"&gt;10",$BN$4:$BN$200,"&gt;-6",$BR$4:$BR$200,"&gt;=70",$K$4:$K$200,"&lt;=30",$C$4:$C$200,"&lt;20190630",AH$4:AH$200,"&gt;="&amp;AH87)&amp;"/"&amp;COUNTIFS(AH$4:AH$200,"&lt;&gt;-",$D$4:$D$200,"&lt;&gt;是",$E$4:$E$200,"&lt;&gt;封闭期",$H$4:$H$200,"&gt;10",$BN$4:$BN$200,"&gt;-6",$BR$4:$BR$200,"&gt;=70",$C$4:$C$200,"&lt;20190630",$K$4:$K$200,"&lt;=30"))</f>
        <v>-</v>
      </c>
      <c r="AL87" s="33" t="str">
        <f>IF(OR($C87&gt;20190630,$K87&gt;30,AH87="-",$D87="是",$E87="封闭期",$H87&lt;10,$BN87&lt;-6,$BR87&lt;70),"-",COUNTIFS(AH$4:AH$200,"&lt;&gt;-",$D$4:$D$200,"&lt;&gt;是",$E$4:$E$200,"&lt;&gt;封闭期",$H$4:$H$200,"&gt;10",$BN$4:$BN$200,"&gt;-6",$BR$4:$BR$200,"&gt;=70",$K$4:$K$200,"&lt;=30",$C$4:$C$200,"&lt;20190630",AH$4:AH$200,"&gt;="&amp;AH87)/COUNTIFS(AH$4:AH$200,"&lt;&gt;-",$D$4:$D$200,"&lt;&gt;是",$E$4:$E$200,"&lt;&gt;封闭期",$H$4:$H$200,"&gt;10",$BN$4:$BN$200,"&gt;-6",$BR$4:$BR$200,"&gt;=70",$C$4:$C$200,"&lt;20190630",$K$4:$K$200,"&lt;=30"))</f>
        <v>-</v>
      </c>
      <c r="AM87" s="19">
        <f>[1]!f_return($A87,"1",AM$2,$L$2)</f>
        <v>7.9648812864856477</v>
      </c>
      <c r="AN87" s="19">
        <f>[1]!f_risk_stdevyearly($A87,AM$2,$L$2,1,1)</f>
        <v>5.5872324977352426</v>
      </c>
      <c r="AO87" s="19">
        <f>IFERROR(AM87/AN87,"-")</f>
        <v>1.4255503578406972</v>
      </c>
      <c r="AP87" s="19" t="str">
        <f>IFERROR(RANK(AO87,AO:AO)&amp;"/"&amp;COUNT(AO:AO),"-")</f>
        <v>113/197</v>
      </c>
      <c r="AQ87" s="26">
        <f>IF(AP87="-","-",RANK(AO87,AO:AO)/COUNT(AO:AO))</f>
        <v>0.57360406091370564</v>
      </c>
      <c r="AR87" s="57">
        <v>0.42639593908629442</v>
      </c>
      <c r="AS87" s="33" t="str">
        <f>IF(OR($C87&gt;20190630,$K87&gt;30,AO87="-",$D87="是",$E87="封闭期",$H87&lt;10,$BN87&lt;-6,$BR87&lt;70),"-",COUNTIFS(AO$4:AO$200,"&lt;&gt;-",$D$4:$D$200,"&lt;&gt;是",$E$4:$E$200,"&lt;&gt;封闭期",$H$4:$H$200,"&gt;10",$BN$4:$BN$200,"&gt;-6",$BR$4:$BR$200,"&gt;=70",$K$4:$K$200,"&lt;=30",$C$4:$C$200,"&lt;20190630",AO$4:AO$200,"&gt;="&amp;AO87)/COUNTIFS(AO$4:AO$200,"&lt;&gt;-",$D$4:$D$200,"&lt;&gt;是",$E$4:$E$200,"&lt;&gt;封闭期",$H$4:$H$200,"&gt;10",$BN$4:$BN$200,"&gt;-6",$BR$4:$BR$200,"&gt;=70",$C$4:$C$200,"&lt;20190630",$K$4:$K$200,"&lt;=30"))</f>
        <v>-</v>
      </c>
      <c r="AT87" s="19">
        <f>IFERROR((AM87-3)/AN87,"-")</f>
        <v>0.88861190016669933</v>
      </c>
      <c r="AU87" s="19" t="str">
        <f>IFERROR(RANK(AT87,AT:AT)&amp;"/"&amp;COUNT(AT:AT),"-")</f>
        <v>96/197</v>
      </c>
      <c r="AV87" s="26">
        <f>IFERROR(RANK(AT87,AT:AT)/COUNT(AT:AT),"-")</f>
        <v>0.48730964467005078</v>
      </c>
      <c r="AW87" s="34" t="str">
        <f>IF(OR($C87&gt;20190630,$K87&gt;30,AT87="-",$D87="是",$E87="封闭期",$H87&lt;10,$BN87&lt;-6,$BR87&lt;70),"-",COUNTIFS(AT$4:AT$200,"&lt;&gt;-",$D$4:$D$200,"&lt;&gt;是",$E$4:$E$200,"&lt;&gt;封闭期",$H$4:$H$200,"&gt;10",$BN$4:$BN$200,"&gt;-6",$BR$4:$BR$200,"&gt;=70",$K$4:$K$200,"&lt;=30",$C$4:$C$200,"&lt;20190630",AT$4:AT$200,"&gt;="&amp;AT87)&amp;"/"&amp;COUNTIFS(AT$4:AT$200,"&lt;&gt;-",$D$4:$D$200,"&lt;&gt;是",$E$4:$E$200,"&lt;&gt;封闭期",$H$4:$H$200,"&gt;10",$BN$4:$BN$200,"&gt;-6",$BR$4:$BR$200,"&gt;=70",$C$4:$C$200,"&lt;20190630",$K$4:$K$200,"&lt;=30"))</f>
        <v>-</v>
      </c>
      <c r="AX87" s="33" t="str">
        <f>IF(OR($C87&gt;20190630,$K87&gt;30,AT87="-",$D87="是",$E87="封闭期",$H87&lt;10,$BN87&lt;-6,$BR87&lt;70),"-",COUNTIFS(AT$4:AT$200,"&lt;&gt;-",$D$4:$D$200,"&lt;&gt;是",$E$4:$E$200,"&lt;&gt;封闭期",$H$4:$H$200,"&gt;10",$BN$4:$BN$200,"&gt;-6",$BR$4:$BR$200,"&gt;=70",$K$4:$K$200,"&lt;=30",$C$4:$C$200,"&lt;20190630",AT$4:AT$200,"&gt;="&amp;AT87)/COUNTIFS(AT$4:AT$200,"&lt;&gt;-",$D$4:$D$200,"&lt;&gt;是",$E$4:$E$200,"&lt;&gt;封闭期",$H$4:$H$200,"&gt;10",$BN$4:$BN$200,"&gt;-6",$BR$4:$BR$200,"&gt;=70",$C$4:$C$200,"&lt;20190630",$K$4:$K$200,"&lt;=30"))</f>
        <v>-</v>
      </c>
      <c r="AY87" s="19">
        <f>[1]!f_risk_calmar(A87,$AM$2,$L$2)</f>
        <v>1.7654028082243467</v>
      </c>
      <c r="AZ87" s="19" t="str">
        <f>IFERROR(RANK(AY87,AY:AY)&amp;"/"&amp;COUNT(AY:AY),"-")</f>
        <v>128/197</v>
      </c>
      <c r="BA87" s="26">
        <f>IFERROR(RANK(AY87,AY:AY)/COUNT(AY:AY),"-")</f>
        <v>0.64974619289340096</v>
      </c>
      <c r="BB87" s="34" t="str">
        <f>IF(OR($C87&gt;20190630,$K87&gt;30,AY87="-",$D87="是",$E87="封闭期",$H87&lt;10,$BN87&lt;-6,$BR87&lt;70),"-",COUNTIFS(AY$4:AY$200,"&lt;&gt;-",$D$4:$D$200,"&lt;&gt;是",$E$4:$E$200,"&lt;&gt;封闭期",$H$4:$H$200,"&gt;10",$BN$4:$BN$200,"&gt;-6",$BR$4:$BR$200,"&gt;=70",$K$4:$K$200,"&lt;=30",$C$4:$C$200,"&lt;20190630",AY$4:AY$200,"&gt;="&amp;AY87)&amp;"/"&amp;COUNTIFS(AY$4:AY$200,"&lt;&gt;-",$D$4:$D$200,"&lt;&gt;是",$E$4:$E$200,"&lt;&gt;封闭期",$H$4:$H$200,"&gt;10",$BN$4:$BN$200,"&gt;-6",$BR$4:$BR$200,"&gt;=70",$C$4:$C$200,"&lt;20190630",$K$4:$K$200,"&lt;=30"))</f>
        <v>-</v>
      </c>
      <c r="BC87" s="33" t="str">
        <f>IF(OR($C87&gt;20190630,$K87&gt;30,AY87="-",$D87="是",$E87="封闭期",$H87&lt;10,$BN87&lt;-6,$BR87&lt;70),"-",COUNTIFS(AY$4:AY$200,"&lt;&gt;-",$D$4:$D$200,"&lt;&gt;是",$E$4:$E$200,"&lt;&gt;封闭期",$H$4:$H$200,"&gt;10",$BN$4:$BN$200,"&gt;-6",$BR$4:$BR$200,"&gt;=70",$K$4:$K$200,"&lt;=30",$C$4:$C$200,"&lt;20190630",AY$4:AY$200,"&gt;="&amp;AY87)/COUNTIFS(AY$4:AY$200,"&lt;&gt;-",$D$4:$D$200,"&lt;&gt;是",$E$4:$E$200,"&lt;&gt;封闭期",$H$4:$H$200,"&gt;10",$BN$4:$BN$200,"&gt;-6",$BR$4:$BR$200,"&gt;=70",$C$4:$C$200,"&lt;20190630",$K$4:$K$200,"&lt;=30"))</f>
        <v>-</v>
      </c>
      <c r="BD87" s="20">
        <v>1</v>
      </c>
      <c r="BE87" s="19" t="str">
        <f>IFERROR(RANK(BD87,BD:BD)&amp;"/"&amp;COUNT(BD:BD),"-")</f>
        <v>1/197</v>
      </c>
      <c r="BF87" s="26">
        <f>IFERROR(RANK(BD87,BD:BD)/COUNT(BD:BD),"-")</f>
        <v>5.076142131979695E-3</v>
      </c>
      <c r="BG87" s="34" t="str">
        <f>IF(OR($C87&gt;20190630,$K87&gt;30,BD87="-",$D87="是",$E87="封闭期",$H87&lt;10,$BN87&lt;-6,$BR87&lt;70),"-",COUNTIFS(BD$4:BD$200,"&lt;&gt;-",$D$4:$D$200,"&lt;&gt;是",$E$4:$E$200,"&lt;&gt;封闭期",$H$4:$H$200,"&gt;10",$BN$4:$BN$200,"&gt;-6",$BR$4:$BR$200,"&gt;=70",$K$4:$K$200,"&lt;=30",$C$4:$C$200,"&lt;20190630",BD$4:BD$200,"&gt;="&amp;BD87)&amp;"/"&amp;COUNTIFS(BD$4:BD$200,"&lt;&gt;-",$D$4:$D$200,"&lt;&gt;是",$E$4:$E$200,"&lt;&gt;封闭期",$H$4:$H$200,"&gt;10",$BN$4:$BN$200,"&gt;-6",$BR$4:$BR$200,"&gt;=70",$C$4:$C$200,"&lt;20190630",$K$4:$K$200,"&lt;=30"))</f>
        <v>-</v>
      </c>
      <c r="BH87" s="33" t="str">
        <f>IF(OR($C87&gt;20190630,$K87&gt;30,BD87="-",$D87="是",$E87="封闭期",$H87&lt;10,$BN87&lt;-6,$BR87&lt;70),"-",COUNTIFS(BD$4:BD$200,"&lt;&gt;-",$D$4:$D$200,"&lt;&gt;是",$E$4:$E$200,"&lt;&gt;封闭期",$H$4:$H$200,"&gt;10",$BN$4:$BN$200,"&gt;-6",$BR$4:$BR$200,"&gt;=70",$K$4:$K$200,"&lt;=30",$C$4:$C$200,"&lt;20190630",BD$4:BD$200,"&gt;="&amp;BD87)/COUNTIFS(BD$4:BD$200,"&lt;&gt;-",$D$4:$D$200,"&lt;&gt;是",$E$4:$E$200,"&lt;&gt;封闭期",$H$4:$H$200,"&gt;10",$BN$4:$BN$200,"&gt;-6",$BR$4:$BR$200,"&gt;=70",$C$4:$C$200,"&lt;20190630",$K$4:$K$200,"&lt;=30"))</f>
        <v>-</v>
      </c>
      <c r="BI87" s="21">
        <f>[1]!f_risk_maxdownside(A87,$AM$2,$L$2)</f>
        <v>-4.5116509667823488</v>
      </c>
      <c r="BJ87" s="19" t="str">
        <f>IFERROR(RANK(BI87,BI:BI)&amp;"/"&amp;COUNT(BI:BI),"-")</f>
        <v>146/197</v>
      </c>
      <c r="BK87" s="26">
        <f>IFERROR(RANK(BI87,BI:BI)/COUNT(BI:BI),"-")</f>
        <v>0.74111675126903553</v>
      </c>
      <c r="BL87" s="34" t="str">
        <f>IF(OR($C87&gt;20190630,$K87&gt;30,BI87="-",$D87="是",$E87="封闭期",$H87&lt;10,$BN87&lt;-6,$BR87&lt;70),"-",COUNTIFS(BI$4:BI$200,"&lt;&gt;-",$D$4:$D$200,"&lt;&gt;是",$E$4:$E$200,"&lt;&gt;封闭期",$H$4:$H$200,"&gt;10",$BN$4:$BN$200,"&gt;-6",$BR$4:$BR$200,"&gt;=70",$K$4:$K$200,"&lt;=30",$C$4:$C$200,"&lt;20190630",BI$4:BI$200,"&gt;="&amp;BI87)&amp;"/"&amp;COUNTIFS(BI$4:BI$200,"&lt;&gt;-",$D$4:$D$200,"&lt;&gt;是",$E$4:$E$200,"&lt;&gt;封闭期",$H$4:$H$200,"&gt;10",$BN$4:$BN$200,"&gt;-6",$BR$4:$BR$200,"&gt;=70",$C$4:$C$200,"&lt;20190630",$K$4:$K$200,"&lt;=30"))</f>
        <v>-</v>
      </c>
      <c r="BM87" s="33" t="str">
        <f>IF(OR($C87&gt;20190630,$K87&gt;30,BI87="-",$D87="是",$E87="封闭期",$H87&lt;10,$BN87&lt;-6,$BR87&lt;70),"-",COUNTIFS(BI$4:BI$200,"&lt;&gt;-",$D$4:$D$200,"&lt;&gt;是",$E$4:$E$200,"&lt;&gt;封闭期",$H$4:$H$200,"&gt;10",$BN$4:$BN$200,"&gt;-6",$BR$4:$BR$200,"&gt;=70",$K$4:$K$200,"&lt;=30",$C$4:$C$200,"&lt;20190630",BI$4:BI$200,"&gt;="&amp;BI87)/COUNTIFS(BI$4:BI$200,"&lt;&gt;-",$D$4:$D$200,"&lt;&gt;是",$E$4:$E$200,"&lt;&gt;封闭期",$H$4:$H$200,"&gt;10",$BN$4:$BN$200,"&gt;-6",$BR$4:$BR$200,"&gt;=70",$C$4:$C$200,"&lt;20190630",$K$4:$K$200,"&lt;=30"))</f>
        <v>-</v>
      </c>
      <c r="BN87" s="21">
        <f>[1]!f_risk_maxdownside(A87,$AM$2,$E$1)</f>
        <v>-5.7571964956195254</v>
      </c>
      <c r="BO87" s="21">
        <f>IF(C87&lt;20190930,[1]!f_return_2y(A87,"0","20210930"),"-")</f>
        <v>9.4001072753205062</v>
      </c>
      <c r="BP87" s="19" t="str">
        <f>IFERROR(RANK(BO87,BO:BO)&amp;"/"&amp;COUNT(BO:BO),"-")</f>
        <v>150/197</v>
      </c>
      <c r="BQ87" s="25">
        <f>IFERROR(RANK(BO87,BO:BO)/COUNT(BO:BO),"-")</f>
        <v>0.76142131979695427</v>
      </c>
      <c r="BR87" s="19">
        <f>IF(C87&lt;20190930,[1]!f_absolute_profitmonthper(A87,"20190930","20210930"),"-")</f>
        <v>58.333333333333336</v>
      </c>
      <c r="BS87" s="19" t="str">
        <f>IFERROR(RANK(BR87,BR:BR)&amp;"/"&amp;COUNT(BR:BR),"-")</f>
        <v>165/198</v>
      </c>
      <c r="BT87" s="25">
        <f>IFERROR(RANK(BR87,BR:BR)/COUNT(BR:BR),"-")</f>
        <v>0.83333333333333337</v>
      </c>
      <c r="BV87" s="12">
        <f>X87-3/M87</f>
        <v>-0.34658979931264489</v>
      </c>
      <c r="BW87" s="76">
        <f>IFERROR(RANK(BV87,BV:BV)/COUNT(BV:BV),"-")</f>
        <v>0.91370558375634514</v>
      </c>
      <c r="BX87" s="76">
        <f>IFERROR(RANK(L87,L:L)/COUNT(L:L),"-")</f>
        <v>0.93939393939393945</v>
      </c>
      <c r="BY87" s="12">
        <f>AY87-3/AN87</f>
        <v>1.228464350550349</v>
      </c>
      <c r="BZ87" s="76">
        <f>IFERROR(RANK(BY87,BY:BY)/COUNT(BY:BY),"-")</f>
        <v>0.61928934010152281</v>
      </c>
      <c r="CA87" s="76">
        <f>IFERROR(RANK(AM87,AM:AM)/COUNT(AM:AM),"-")</f>
        <v>0.42929292929292928</v>
      </c>
      <c r="CB87" s="2"/>
      <c r="CC87" s="77">
        <f>AV87+BF87+BZ87+CA87</f>
        <v>1.5409680561964827</v>
      </c>
      <c r="CD87" s="77">
        <f>BW87+BX87+AE87+U87</f>
        <v>3.5586832794954626</v>
      </c>
      <c r="CE87" s="77">
        <f>CC87+CD87</f>
        <v>5.0996513356919451</v>
      </c>
    </row>
    <row r="88" spans="1:83" s="17" customFormat="1" x14ac:dyDescent="0.35">
      <c r="A88" s="3" t="s">
        <v>303</v>
      </c>
      <c r="B88" s="3" t="s">
        <v>304</v>
      </c>
      <c r="C88" s="4">
        <v>20101124</v>
      </c>
      <c r="D88" s="4" t="str">
        <f>[1]!f_info_regulopenfundornot(A88)</f>
        <v>否</v>
      </c>
      <c r="E88" s="4" t="str">
        <f>[1]!f_dq_status(A88,$E$1)</f>
        <v>开放申购|开放赎回</v>
      </c>
      <c r="F88" s="17" t="str">
        <f>[1]!f_info_fundmanager(A88)</f>
        <v>奚鹏洲</v>
      </c>
      <c r="G88" s="4">
        <v>20101124</v>
      </c>
      <c r="H88" s="11">
        <f>[1]!f_netasset_total(A88,$E$1,100000000)</f>
        <v>36.259752983200002</v>
      </c>
      <c r="I88" s="11">
        <f>[1]!f_prt_convertiblebondtonav(A88,$E$1)</f>
        <v>5.124812126159668</v>
      </c>
      <c r="J88" s="11">
        <f>[1]!f_prt_stocktonav(A88,$E$1)+0.5*I88</f>
        <v>17.789594173431396</v>
      </c>
      <c r="K88" s="12">
        <v>8.5649507911400047</v>
      </c>
      <c r="L88" s="19">
        <f>[1]!f_return($A88,"1",L$2,$E$1)</f>
        <v>6.093915379144943</v>
      </c>
      <c r="M88" s="19">
        <f>[1]!f_risk_stdevyearly($A88,L$2,$E$1,1,1)</f>
        <v>4.2577678701840052</v>
      </c>
      <c r="N88" s="12">
        <f>IFERROR(L88/M88,"-")</f>
        <v>1.431246504023618</v>
      </c>
      <c r="O88" s="12" t="str">
        <f>IFERROR(RANK(N88,N:N)&amp;"/"&amp;COUNT(N:N),"-")</f>
        <v>94/197</v>
      </c>
      <c r="P88" s="26">
        <f>IF(O88="-","-",RANK(N88,N:N)/COUNT(N:N))</f>
        <v>0.47715736040609136</v>
      </c>
      <c r="Q88" s="58">
        <v>0.46192893401015228</v>
      </c>
      <c r="R88" s="33">
        <f>IF(OR($C88&gt;20190630,$K88&gt;30,N88="-",$D88="是",$E88="封闭期",$H88&lt;10,$BN88&lt;-6,$BR88&lt;70),"-",COUNTIFS(N$4:N$200,"&lt;&gt;-",$D$4:$D$200,"&lt;&gt;是",$E$4:$E$200,"&lt;&gt;封闭期",$H$4:$H$200,"&gt;10",$BN$4:$BN$200,"&gt;-6",$BR$4:$BR$200,"&gt;=70",$K$4:$K$200,"&lt;=30",$C$4:$C$200,"&lt;20190630",N$4:N$200,"&gt;="&amp;N88)/COUNTIFS(N$4:N$200,"&lt;&gt;-",$D$4:$D$200,"&lt;&gt;是",$E$4:$E$200,"&lt;&gt;封闭期",$H$4:$H$200,"&gt;10",$BN$4:$BN$200,"&gt;-6",$BR$4:$BR$200,"&gt;=70",$C$4:$C$200,"&lt;20190630",$K$4:$K$200,"&lt;=30"))</f>
        <v>0.74358974358974361</v>
      </c>
      <c r="S88" s="12">
        <f>IFERROR((L88-3)/M88,"-")</f>
        <v>0.72665196259542331</v>
      </c>
      <c r="T88" s="12" t="str">
        <f>IFERROR(RANK(S88,S:S)&amp;"/"&amp;COUNT(S:S),"-")</f>
        <v>102/197</v>
      </c>
      <c r="U88" s="26">
        <f>IFERROR(RANK(S88,S:S)/COUNT(S:S),"-")</f>
        <v>0.51776649746192893</v>
      </c>
      <c r="V88" s="13" t="str">
        <f>IF(OR($C88&gt;20190630,$K88&gt;30,S88="-",$D88="是",$E88="封闭期",$H88&lt;10,$BN88&lt;-6,$BR88&lt;70),"-",COUNTIFS(S$4:S$200,"&lt;&gt;-",$D$4:$D$200,"&lt;&gt;是",$E$4:$E$200,"&lt;&gt;封闭期",$H$4:$H$200,"&gt;10",$BN$4:$BN$200,"&gt;-6",$BR$4:$BR$200,"&gt;=70",$K$4:$K$200,"&lt;=30",$C$4:$C$200,"&lt;20190630",S$4:S$200,"&gt;="&amp;S88)&amp;"/"&amp;COUNTIFS(S$4:S$200,"&lt;&gt;-",$D$4:$D$200,"&lt;&gt;是",$E$4:$E$200,"&lt;&gt;封闭期",$H$4:$H$200,"&gt;10",$BN$4:$BN$200,"&gt;-6",$BR$4:$BR$200,"&gt;=70",$C$4:$C$200,"&lt;20190630",$K$4:$K$200,"&lt;=30"))</f>
        <v>33/39</v>
      </c>
      <c r="W88" s="33">
        <f>IF(OR($C88&gt;20190630,$K88&gt;30,S88="-",$D88="是",$E88="封闭期",$H88&lt;10,$BN88&lt;-6,$BR88&lt;70),"-",COUNTIFS(S$4:S$200,"&lt;&gt;-",$D$4:$D$200,"&lt;&gt;是",$E$4:$E$200,"&lt;&gt;封闭期",$H$4:$H$200,"&gt;10",$BN$4:$BN$200,"&gt;-6",$BR$4:$BR$200,"&gt;=70",$K$4:$K$200,"&lt;=30",$C$4:$C$200,"&lt;20190630",S$4:S$200,"&gt;="&amp;S88)/COUNTIFS(S$4:S$200,"&lt;&gt;-",$D$4:$D$200,"&lt;&gt;是",$E$4:$E$200,"&lt;&gt;封闭期",$H$4:$H$200,"&gt;10",$BN$4:$BN$200,"&gt;-6",$BR$4:$BR$200,"&gt;=70",$C$4:$C$200,"&lt;20190630",$K$4:$K$200,"&lt;=30"))</f>
        <v>0.84615384615384615</v>
      </c>
      <c r="X88" s="19">
        <f>[1]!f_risk_calmar(A88,$L$2,$E$1)</f>
        <v>1.8517192867992709</v>
      </c>
      <c r="Y88" s="12" t="str">
        <f>IFERROR(RANK(X88,X:X)&amp;"/"&amp;COUNT(X:X),"-")</f>
        <v>106/197</v>
      </c>
      <c r="Z88" s="26">
        <f>IFERROR(RANK(X88,X:X)/COUNT(X:X),"-")</f>
        <v>0.53807106598984766</v>
      </c>
      <c r="AA88" s="13" t="str">
        <f>IF(OR($C88&gt;20190630,$K88&gt;30,X88="-",$D88="是",$E88="封闭期",$H88&lt;10,$BN88&lt;-6,$BR88&lt;70),"-",COUNTIFS(X$4:X$200,"&lt;&gt;-",$D$4:$D$200,"&lt;&gt;是",$E$4:$E$200,"&lt;&gt;封闭期",$H$4:$H$200,"&gt;10",$BN$4:$BN$200,"&gt;-6",$BR$4:$BR$200,"&gt;=70",$K$4:$K$200,"&lt;=30",$C$4:$C$200,"&lt;20190630",X$4:X$200,"&gt;="&amp;X88)&amp;"/"&amp;COUNTIFS(X$4:X$200,"&lt;&gt;-",$D$4:$D$200,"&lt;&gt;是",$E$4:$E$200,"&lt;&gt;封闭期",$H$4:$H$200,"&gt;10",$BN$4:$BN$200,"&gt;-6",$BR$4:$BR$200,"&gt;=70",$C$4:$C$200,"&lt;20190630",$K$4:$K$200,"&lt;=30"))</f>
        <v>29/39</v>
      </c>
      <c r="AB88" s="33">
        <f>IF(OR($C88&gt;20190630,$K88&gt;30,X88="-",$D88="是",$E88="封闭期",$H88&lt;10,$BN88&lt;-6,$BR88&lt;70),"-",COUNTIFS(X$4:X$200,"&lt;&gt;-",$D$4:$D$200,"&lt;&gt;是",$E$4:$E$200,"&lt;&gt;封闭期",$H$4:$H$200,"&gt;10",$BN$4:$BN$200,"&gt;-6",$BR$4:$BR$200,"&gt;=70",$K$4:$K$200,"&lt;=30",$C$4:$C$200,"&lt;20190630",X$4:X$200,"&gt;="&amp;X88)/COUNTIFS(X$4:X$200,"&lt;&gt;-",$D$4:$D$200,"&lt;&gt;是",$E$4:$E$200,"&lt;&gt;封闭期",$H$4:$H$200,"&gt;10",$BN$4:$BN$200,"&gt;-6",$BR$4:$BR$200,"&gt;=70",$C$4:$C$200,"&lt;20190630",$K$4:$K$200,"&lt;=30"))</f>
        <v>0.74358974358974361</v>
      </c>
      <c r="AC88" s="20">
        <v>1</v>
      </c>
      <c r="AD88" s="12" t="str">
        <f>IFERROR(RANK(AC88,AC:AC)&amp;"/"&amp;COUNT(AC:AC),"-")</f>
        <v>1/197</v>
      </c>
      <c r="AE88" s="26">
        <f>IFERROR(RANK(AC88,AC:AC)/COUNT(AC:AC),"-")</f>
        <v>5.076142131979695E-3</v>
      </c>
      <c r="AF88" s="13" t="str">
        <f>IF(OR($C88&gt;20190630,$K88&gt;30,AC88="-",$D88="是",$E88="封闭期",$H88&lt;10,$BN88&lt;-6,$BR88&lt;70),"-",COUNTIFS(AC$4:AC$200,"&lt;&gt;-",$D$4:$D$200,"&lt;&gt;是",$E$4:$E$200,"&lt;&gt;封闭期",$H$4:$H$200,"&gt;10",$BN$4:$BN$200,"&gt;-6",$BR$4:$BR$200,"&gt;=70",$K$4:$K$200,"&lt;=30",$C$4:$C$200,"&lt;20190630",AC$4:AC$200,"&gt;="&amp;AC88)&amp;"/"&amp;COUNTIFS(AC$4:AC$200,"&lt;&gt;-",$D$4:$D$200,"&lt;&gt;是",$E$4:$E$200,"&lt;&gt;封闭期",$H$4:$H$200,"&gt;10",$BN$4:$BN$200,"&gt;-6",$BR$4:$BR$200,"&gt;=70",$C$4:$C$200,"&lt;20190630",$K$4:$K$200,"&lt;=30"))</f>
        <v>28/39</v>
      </c>
      <c r="AG88" s="33">
        <f>IF(OR($C88&gt;20190630,$K88&gt;30,AC88="-",$D88="是",$E88="封闭期",$H88&lt;10,$BN88&lt;-6,$BR88&lt;70),"-",COUNTIFS(AC$4:AC$200,"&lt;&gt;-",$D$4:$D$200,"&lt;&gt;是",$E$4:$E$200,"&lt;&gt;封闭期",$H$4:$H$200,"&gt;10",$BN$4:$BN$200,"&gt;-6",$BR$4:$BR$200,"&gt;=70",$K$4:$K$200,"&lt;=30",$C$4:$C$200,"&lt;20190630",AC$4:AC$200,"&gt;="&amp;AC88)/COUNTIFS(AC$4:AC$200,"&lt;&gt;-",$D$4:$D$200,"&lt;&gt;是",$E$4:$E$200,"&lt;&gt;封闭期",$H$4:$H$200,"&gt;10",$BN$4:$BN$200,"&gt;-6",$BR$4:$BR$200,"&gt;=70",$C$4:$C$200,"&lt;20190630",$K$4:$K$200,"&lt;=30"))</f>
        <v>0.71794871794871795</v>
      </c>
      <c r="AH88" s="21">
        <f>[1]!f_risk_maxdownside(A88,$L$2,$E$1)</f>
        <v>-3.2909498878085253</v>
      </c>
      <c r="AI88" s="19" t="str">
        <f>IFERROR(RANK(AH88,AH:AH)&amp;"/"&amp;COUNT(AH:AH),"-")</f>
        <v>104/197</v>
      </c>
      <c r="AJ88" s="26">
        <f>IFERROR(RANK(AH88,AH:AH)/COUNT(AH:AH),"-")</f>
        <v>0.52791878172588835</v>
      </c>
      <c r="AK88" s="34" t="str">
        <f>IF(OR($C88&gt;20190630,$K88&gt;30,AH88="-",$D88="是",$E88="封闭期",$H88&lt;10,$BN88&lt;-6,$BR88&lt;70),"-",COUNTIFS(AH$4:AH$200,"&lt;&gt;-",$D$4:$D$200,"&lt;&gt;是",$E$4:$E$200,"&lt;&gt;封闭期",$H$4:$H$200,"&gt;10",$BN$4:$BN$200,"&gt;-6",$BR$4:$BR$200,"&gt;=70",$K$4:$K$200,"&lt;=30",$C$4:$C$200,"&lt;20190630",AH$4:AH$200,"&gt;="&amp;AH88)&amp;"/"&amp;COUNTIFS(AH$4:AH$200,"&lt;&gt;-",$D$4:$D$200,"&lt;&gt;是",$E$4:$E$200,"&lt;&gt;封闭期",$H$4:$H$200,"&gt;10",$BN$4:$BN$200,"&gt;-6",$BR$4:$BR$200,"&gt;=70",$C$4:$C$200,"&lt;20190630",$K$4:$K$200,"&lt;=30"))</f>
        <v>27/39</v>
      </c>
      <c r="AL88" s="33">
        <f>IF(OR($C88&gt;20190630,$K88&gt;30,AH88="-",$D88="是",$E88="封闭期",$H88&lt;10,$BN88&lt;-6,$BR88&lt;70),"-",COUNTIFS(AH$4:AH$200,"&lt;&gt;-",$D$4:$D$200,"&lt;&gt;是",$E$4:$E$200,"&lt;&gt;封闭期",$H$4:$H$200,"&gt;10",$BN$4:$BN$200,"&gt;-6",$BR$4:$BR$200,"&gt;=70",$K$4:$K$200,"&lt;=30",$C$4:$C$200,"&lt;20190630",AH$4:AH$200,"&gt;="&amp;AH88)/COUNTIFS(AH$4:AH$200,"&lt;&gt;-",$D$4:$D$200,"&lt;&gt;是",$E$4:$E$200,"&lt;&gt;封闭期",$H$4:$H$200,"&gt;10",$BN$4:$BN$200,"&gt;-6",$BR$4:$BR$200,"&gt;=70",$C$4:$C$200,"&lt;20190630",$K$4:$K$200,"&lt;=30"))</f>
        <v>0.69230769230769229</v>
      </c>
      <c r="AM88" s="19">
        <f>[1]!f_return($A88,"1",AM$2,$L$2)</f>
        <v>7.9318305070503303</v>
      </c>
      <c r="AN88" s="19">
        <f>[1]!f_risk_stdevyearly($A88,AM$2,$L$2,1,1)</f>
        <v>5.7987305819481598</v>
      </c>
      <c r="AO88" s="12">
        <f>IFERROR(AM88/AN88,"-")</f>
        <v>1.3678563601045124</v>
      </c>
      <c r="AP88" s="12" t="str">
        <f>IFERROR(RANK(AO88,AO:AO)&amp;"/"&amp;COUNT(AO:AO),"-")</f>
        <v>128/197</v>
      </c>
      <c r="AQ88" s="26">
        <f>IF(AP88="-","-",RANK(AO88,AO:AO)/COUNT(AO:AO))</f>
        <v>0.64974619289340096</v>
      </c>
      <c r="AR88" s="60">
        <v>0.43147208121827413</v>
      </c>
      <c r="AS88" s="35">
        <f>IF(OR($C88&gt;20190630,$K88&gt;30,AO88="-",$D88="是",$E88="封闭期",$H88&lt;10,$BN88&lt;-6,$BR88&lt;70),"-",COUNTIFS(AO$4:AO$200,"&lt;&gt;-",$D$4:$D$200,"&lt;&gt;是",$E$4:$E$200,"&lt;&gt;封闭期",$H$4:$H$200,"&gt;10",$BN$4:$BN$200,"&gt;-6",$BR$4:$BR$200,"&gt;=70",$K$4:$K$200,"&lt;=30",$C$4:$C$200,"&lt;20190630",AO$4:AO$200,"&gt;="&amp;AO88)/COUNTIFS(AO$4:AO$200,"&lt;&gt;-",$D$4:$D$200,"&lt;&gt;是",$E$4:$E$200,"&lt;&gt;封闭期",$H$4:$H$200,"&gt;10",$BN$4:$BN$200,"&gt;-6",$BR$4:$BR$200,"&gt;=70",$C$4:$C$200,"&lt;20190630",$K$4:$K$200,"&lt;=30"))</f>
        <v>0.82051282051282048</v>
      </c>
      <c r="AT88" s="12">
        <f>IFERROR((AM88-3)/AN88,"-")</f>
        <v>0.8505017498835783</v>
      </c>
      <c r="AU88" s="12" t="str">
        <f>IFERROR(RANK(AT88,AT:AT)&amp;"/"&amp;COUNT(AT:AT),"-")</f>
        <v>103/197</v>
      </c>
      <c r="AV88" s="26">
        <f>IFERROR(RANK(AT88,AT:AT)/COUNT(AT:AT),"-")</f>
        <v>0.52284263959390864</v>
      </c>
      <c r="AW88" s="13" t="str">
        <f>IF(OR($C88&gt;20190630,$K88&gt;30,AT88="-",$D88="是",$E88="封闭期",$H88&lt;10,$BN88&lt;-6,$BR88&lt;70),"-",COUNTIFS(AT$4:AT$200,"&lt;&gt;-",$D$4:$D$200,"&lt;&gt;是",$E$4:$E$200,"&lt;&gt;封闭期",$H$4:$H$200,"&gt;10",$BN$4:$BN$200,"&gt;-6",$BR$4:$BR$200,"&gt;=70",$K$4:$K$200,"&lt;=30",$C$4:$C$200,"&lt;20190630",AT$4:AT$200,"&gt;="&amp;AT88)&amp;"/"&amp;COUNTIFS(AT$4:AT$200,"&lt;&gt;-",$D$4:$D$200,"&lt;&gt;是",$E$4:$E$200,"&lt;&gt;封闭期",$H$4:$H$200,"&gt;10",$BN$4:$BN$200,"&gt;-6",$BR$4:$BR$200,"&gt;=70",$C$4:$C$200,"&lt;20190630",$K$4:$K$200,"&lt;=30"))</f>
        <v>24/39</v>
      </c>
      <c r="AX88" s="33">
        <f>IF(OR($C88&gt;20190630,$K88&gt;30,AT88="-",$D88="是",$E88="封闭期",$H88&lt;10,$BN88&lt;-6,$BR88&lt;70),"-",COUNTIFS(AT$4:AT$200,"&lt;&gt;-",$D$4:$D$200,"&lt;&gt;是",$E$4:$E$200,"&lt;&gt;封闭期",$H$4:$H$200,"&gt;10",$BN$4:$BN$200,"&gt;-6",$BR$4:$BR$200,"&gt;=70",$K$4:$K$200,"&lt;=30",$C$4:$C$200,"&lt;20190630",AT$4:AT$200,"&gt;="&amp;AT88)/COUNTIFS(AT$4:AT$200,"&lt;&gt;-",$D$4:$D$200,"&lt;&gt;是",$E$4:$E$200,"&lt;&gt;封闭期",$H$4:$H$200,"&gt;10",$BN$4:$BN$200,"&gt;-6",$BR$4:$BR$200,"&gt;=70",$C$4:$C$200,"&lt;20190630",$K$4:$K$200,"&lt;=30"))</f>
        <v>0.61538461538461542</v>
      </c>
      <c r="AY88" s="19">
        <f>[1]!f_risk_calmar(A88,$AM$2,$L$2)</f>
        <v>1.9515296190931368</v>
      </c>
      <c r="AZ88" s="12" t="str">
        <f>IFERROR(RANK(AY88,AY:AY)&amp;"/"&amp;COUNT(AY:AY),"-")</f>
        <v>114/197</v>
      </c>
      <c r="BA88" s="26">
        <f>IFERROR(RANK(AY88,AY:AY)/COUNT(AY:AY),"-")</f>
        <v>0.57868020304568524</v>
      </c>
      <c r="BB88" s="13" t="str">
        <f>IF(OR($C88&gt;20190630,$K88&gt;30,AY88="-",$D88="是",$E88="封闭期",$H88&lt;10,$BN88&lt;-6,$BR88&lt;70),"-",COUNTIFS(AY$4:AY$200,"&lt;&gt;-",$D$4:$D$200,"&lt;&gt;是",$E$4:$E$200,"&lt;&gt;封闭期",$H$4:$H$200,"&gt;10",$BN$4:$BN$200,"&gt;-6",$BR$4:$BR$200,"&gt;=70",$K$4:$K$200,"&lt;=30",$C$4:$C$200,"&lt;20190630",AY$4:AY$200,"&gt;="&amp;AY88)&amp;"/"&amp;COUNTIFS(AY$4:AY$200,"&lt;&gt;-",$D$4:$D$200,"&lt;&gt;是",$E$4:$E$200,"&lt;&gt;封闭期",$H$4:$H$200,"&gt;10",$BN$4:$BN$200,"&gt;-6",$BR$4:$BR$200,"&gt;=70",$C$4:$C$200,"&lt;20190630",$K$4:$K$200,"&lt;=30"))</f>
        <v>30/39</v>
      </c>
      <c r="BC88" s="33">
        <f>IF(OR($C88&gt;20190630,$K88&gt;30,AY88="-",$D88="是",$E88="封闭期",$H88&lt;10,$BN88&lt;-6,$BR88&lt;70),"-",COUNTIFS(AY$4:AY$200,"&lt;&gt;-",$D$4:$D$200,"&lt;&gt;是",$E$4:$E$200,"&lt;&gt;封闭期",$H$4:$H$200,"&gt;10",$BN$4:$BN$200,"&gt;-6",$BR$4:$BR$200,"&gt;=70",$K$4:$K$200,"&lt;=30",$C$4:$C$200,"&lt;20190630",AY$4:AY$200,"&gt;="&amp;AY88)/COUNTIFS(AY$4:AY$200,"&lt;&gt;-",$D$4:$D$200,"&lt;&gt;是",$E$4:$E$200,"&lt;&gt;封闭期",$H$4:$H$200,"&gt;10",$BN$4:$BN$200,"&gt;-6",$BR$4:$BR$200,"&gt;=70",$C$4:$C$200,"&lt;20190630",$K$4:$K$200,"&lt;=30"))</f>
        <v>0.76923076923076927</v>
      </c>
      <c r="BD88" s="20">
        <v>1</v>
      </c>
      <c r="BE88" s="12" t="str">
        <f>IFERROR(RANK(BD88,BD:BD)&amp;"/"&amp;COUNT(BD:BD),"-")</f>
        <v>1/197</v>
      </c>
      <c r="BF88" s="26">
        <f>IFERROR(RANK(BD88,BD:BD)/COUNT(BD:BD),"-")</f>
        <v>5.076142131979695E-3</v>
      </c>
      <c r="BG88" s="13" t="str">
        <f>IF(OR($C88&gt;20190630,$K88&gt;30,BD88="-",$D88="是",$E88="封闭期",$H88&lt;10,$BN88&lt;-6,$BR88&lt;70),"-",COUNTIFS(BD$4:BD$200,"&lt;&gt;-",$D$4:$D$200,"&lt;&gt;是",$E$4:$E$200,"&lt;&gt;封闭期",$H$4:$H$200,"&gt;10",$BN$4:$BN$200,"&gt;-6",$BR$4:$BR$200,"&gt;=70",$K$4:$K$200,"&lt;=30",$C$4:$C$200,"&lt;20190630",BD$4:BD$200,"&gt;="&amp;BD88)&amp;"/"&amp;COUNTIFS(BD$4:BD$200,"&lt;&gt;-",$D$4:$D$200,"&lt;&gt;是",$E$4:$E$200,"&lt;&gt;封闭期",$H$4:$H$200,"&gt;10",$BN$4:$BN$200,"&gt;-6",$BR$4:$BR$200,"&gt;=70",$C$4:$C$200,"&lt;20190630",$K$4:$K$200,"&lt;=30"))</f>
        <v>35/39</v>
      </c>
      <c r="BH88" s="33">
        <f>IF(OR($C88&gt;20190630,$K88&gt;30,BD88="-",$D88="是",$E88="封闭期",$H88&lt;10,$BN88&lt;-6,$BR88&lt;70),"-",COUNTIFS(BD$4:BD$200,"&lt;&gt;-",$D$4:$D$200,"&lt;&gt;是",$E$4:$E$200,"&lt;&gt;封闭期",$H$4:$H$200,"&gt;10",$BN$4:$BN$200,"&gt;-6",$BR$4:$BR$200,"&gt;=70",$K$4:$K$200,"&lt;=30",$C$4:$C$200,"&lt;20190630",BD$4:BD$200,"&gt;="&amp;BD88)/COUNTIFS(BD$4:BD$200,"&lt;&gt;-",$D$4:$D$200,"&lt;&gt;是",$E$4:$E$200,"&lt;&gt;封闭期",$H$4:$H$200,"&gt;10",$BN$4:$BN$200,"&gt;-6",$BR$4:$BR$200,"&gt;=70",$C$4:$C$200,"&lt;20190630",$K$4:$K$200,"&lt;=30"))</f>
        <v>0.89743589743589747</v>
      </c>
      <c r="BI88" s="21">
        <f>[1]!f_risk_maxdownside(A88,$AM$2,$L$2)</f>
        <v>-4.0644171779141125</v>
      </c>
      <c r="BJ88" s="19" t="str">
        <f>IFERROR(RANK(BI88,BI:BI)&amp;"/"&amp;COUNT(BI:BI),"-")</f>
        <v>132/197</v>
      </c>
      <c r="BK88" s="26">
        <f>IFERROR(RANK(BI88,BI:BI)/COUNT(BI:BI),"-")</f>
        <v>0.67005076142131981</v>
      </c>
      <c r="BL88" s="34" t="str">
        <f>IF(OR($C88&gt;20190630,$K88&gt;30,BI88="-",$D88="是",$E88="封闭期",$H88&lt;10,$BN88&lt;-6,$BR88&lt;70),"-",COUNTIFS(BI$4:BI$200,"&lt;&gt;-",$D$4:$D$200,"&lt;&gt;是",$E$4:$E$200,"&lt;&gt;封闭期",$H$4:$H$200,"&gt;10",$BN$4:$BN$200,"&gt;-6",$BR$4:$BR$200,"&gt;=70",$K$4:$K$200,"&lt;=30",$C$4:$C$200,"&lt;20190630",BI$4:BI$200,"&gt;="&amp;BI88)&amp;"/"&amp;COUNTIFS(BI$4:BI$200,"&lt;&gt;-",$D$4:$D$200,"&lt;&gt;是",$E$4:$E$200,"&lt;&gt;封闭期",$H$4:$H$200,"&gt;10",$BN$4:$BN$200,"&gt;-6",$BR$4:$BR$200,"&gt;=70",$C$4:$C$200,"&lt;20190630",$K$4:$K$200,"&lt;=30"))</f>
        <v>31/39</v>
      </c>
      <c r="BM88" s="33">
        <f>IF(OR($C88&gt;20190630,$K88&gt;30,BI88="-",$D88="是",$E88="封闭期",$H88&lt;10,$BN88&lt;-6,$BR88&lt;70),"-",COUNTIFS(BI$4:BI$200,"&lt;&gt;-",$D$4:$D$200,"&lt;&gt;是",$E$4:$E$200,"&lt;&gt;封闭期",$H$4:$H$200,"&gt;10",$BN$4:$BN$200,"&gt;-6",$BR$4:$BR$200,"&gt;=70",$K$4:$K$200,"&lt;=30",$C$4:$C$200,"&lt;20190630",BI$4:BI$200,"&gt;="&amp;BI88)/COUNTIFS(BI$4:BI$200,"&lt;&gt;-",$D$4:$D$200,"&lt;&gt;是",$E$4:$E$200,"&lt;&gt;封闭期",$H$4:$H$200,"&gt;10",$BN$4:$BN$200,"&gt;-6",$BR$4:$BR$200,"&gt;=70",$C$4:$C$200,"&lt;20190630",$K$4:$K$200,"&lt;=30"))</f>
        <v>0.79487179487179482</v>
      </c>
      <c r="BN88" s="21">
        <f>[1]!f_risk_maxdownside(A88,$AM$2,$E$1)</f>
        <v>-4.0644171779141125</v>
      </c>
      <c r="BO88" s="14">
        <f>IF(C88&lt;20190930,[1]!f_return_2y(A88,"0","20210930"),"-")</f>
        <v>14.861929181217661</v>
      </c>
      <c r="BP88" s="12" t="str">
        <f>IFERROR(RANK(BO88,BO:BO)&amp;"/"&amp;COUNT(BO:BO),"-")</f>
        <v>84/197</v>
      </c>
      <c r="BQ88" s="25">
        <f>IFERROR(RANK(BO88,BO:BO)/COUNT(BO:BO),"-")</f>
        <v>0.42639593908629442</v>
      </c>
      <c r="BR88" s="12">
        <f>IF(C88&lt;20190930,[1]!f_absolute_profitmonthper(A88,"20190930","20210930"),"-")</f>
        <v>70.833333333333343</v>
      </c>
      <c r="BS88" s="12" t="str">
        <f>IFERROR(RANK(BR88,BR:BR)&amp;"/"&amp;COUNT(BR:BR),"-")</f>
        <v>55/198</v>
      </c>
      <c r="BT88" s="25">
        <f>IFERROR(RANK(BR88,BR:BR)/COUNT(BR:BR),"-")</f>
        <v>0.27777777777777779</v>
      </c>
      <c r="BV88" s="12">
        <f>X88-3/M88</f>
        <v>1.1471247453710762</v>
      </c>
      <c r="BW88" s="76">
        <f>IFERROR(RANK(BV88,BV:BV)/COUNT(BV:BV),"-")</f>
        <v>0.56345177664974622</v>
      </c>
      <c r="BX88" s="76">
        <f>IFERROR(RANK(L88,L:L)/COUNT(L:L),"-")</f>
        <v>0.46464646464646464</v>
      </c>
      <c r="BY88" s="12">
        <f>AY88-3/AN88</f>
        <v>1.4341750088722027</v>
      </c>
      <c r="BZ88" s="76">
        <f>IFERROR(RANK(BY88,BY:BY)/COUNT(BY:BY),"-")</f>
        <v>0.56345177664974622</v>
      </c>
      <c r="CA88" s="76">
        <f>IFERROR(RANK(AM88,AM:AM)/COUNT(AM:AM),"-")</f>
        <v>0.43434343434343436</v>
      </c>
      <c r="CB88" s="2"/>
      <c r="CC88" s="77">
        <f>AV88+BF88+BZ88+CA88</f>
        <v>1.5257139927190688</v>
      </c>
      <c r="CD88" s="77">
        <f>BW88+BX88+AE88+U88</f>
        <v>1.5509408808901195</v>
      </c>
      <c r="CE88" s="77">
        <f>CC88+CD88</f>
        <v>3.0766548736091881</v>
      </c>
    </row>
    <row r="89" spans="1:83" s="17" customFormat="1" x14ac:dyDescent="0.35">
      <c r="A89" s="15" t="s">
        <v>295</v>
      </c>
      <c r="B89" s="15" t="s">
        <v>296</v>
      </c>
      <c r="C89" s="16">
        <v>20161111</v>
      </c>
      <c r="D89" s="16" t="str">
        <f>[1]!f_info_regulopenfundornot(A89)</f>
        <v>否</v>
      </c>
      <c r="E89" s="16" t="str">
        <f>[1]!f_dq_status(A89,$E$1)</f>
        <v>开放申购|开放赎回</v>
      </c>
      <c r="F89" s="17" t="str">
        <f>[1]!f_info_fundmanager(A89)</f>
        <v>郑迎迎</v>
      </c>
      <c r="G89" s="16">
        <v>20180209</v>
      </c>
      <c r="H89" s="18">
        <f>[1]!f_netasset_total(A89,$E$1,100000000)</f>
        <v>10.2829174579</v>
      </c>
      <c r="I89" s="18">
        <f>[1]!f_prt_convertiblebondtonav(A89,$E$1)</f>
        <v>10.659097671508789</v>
      </c>
      <c r="J89" s="18">
        <f>[1]!f_prt_stocktonav(A89,$E$1)+0.5*I89</f>
        <v>13.437869071960449</v>
      </c>
      <c r="K89" s="19">
        <v>15.725303705104629</v>
      </c>
      <c r="L89" s="19">
        <f>[1]!f_return($A89,"1",L$2,$E$1)</f>
        <v>3.7600582577161257</v>
      </c>
      <c r="M89" s="19">
        <f>[1]!f_risk_stdevyearly($A89,L$2,$E$1,1,1)</f>
        <v>3.323332040815135</v>
      </c>
      <c r="N89" s="19">
        <f>IFERROR(L89/M89,"-")</f>
        <v>1.1314121524835274</v>
      </c>
      <c r="O89" s="19" t="str">
        <f>IFERROR(RANK(N89,N:N)&amp;"/"&amp;COUNT(N:N),"-")</f>
        <v>129/197</v>
      </c>
      <c r="P89" s="26">
        <f>IF(O89="-","-",RANK(N89,N:N)/COUNT(N:N))</f>
        <v>0.65482233502538068</v>
      </c>
      <c r="Q89" s="56">
        <v>0.76649746192893398</v>
      </c>
      <c r="R89" s="33" t="str">
        <f>IF(OR($C89&gt;20190630,$K89&gt;30,N89="-",$D89="是",$E89="封闭期",$H89&lt;10,$BN89&lt;-6,$BR89&lt;70),"-",COUNTIFS(N$4:N$200,"&lt;&gt;-",$D$4:$D$200,"&lt;&gt;是",$E$4:$E$200,"&lt;&gt;封闭期",$H$4:$H$200,"&gt;10",$BN$4:$BN$200,"&gt;-6",$BR$4:$BR$200,"&gt;=70",$K$4:$K$200,"&lt;=30",$C$4:$C$200,"&lt;20190630",N$4:N$200,"&gt;="&amp;N89)/COUNTIFS(N$4:N$200,"&lt;&gt;-",$D$4:$D$200,"&lt;&gt;是",$E$4:$E$200,"&lt;&gt;封闭期",$H$4:$H$200,"&gt;10",$BN$4:$BN$200,"&gt;-6",$BR$4:$BR$200,"&gt;=70",$C$4:$C$200,"&lt;20190630",$K$4:$K$200,"&lt;=30"))</f>
        <v>-</v>
      </c>
      <c r="S89" s="19">
        <f>IFERROR((L89-3)/M89,"-")</f>
        <v>0.22870367702701813</v>
      </c>
      <c r="T89" s="19" t="str">
        <f>IFERROR(RANK(S89,S:S)&amp;"/"&amp;COUNT(S:S),"-")</f>
        <v>150/197</v>
      </c>
      <c r="U89" s="26">
        <f>IFERROR(RANK(S89,S:S)/COUNT(S:S),"-")</f>
        <v>0.76142131979695427</v>
      </c>
      <c r="V89" s="34" t="str">
        <f>IF(OR($C89&gt;20190630,$K89&gt;30,S89="-",$D89="是",$E89="封闭期",$H89&lt;10,$BN89&lt;-6,$BR89&lt;70),"-",COUNTIFS(S$4:S$200,"&lt;&gt;-",$D$4:$D$200,"&lt;&gt;是",$E$4:$E$200,"&lt;&gt;封闭期",$H$4:$H$200,"&gt;10",$BN$4:$BN$200,"&gt;-6",$BR$4:$BR$200,"&gt;=70",$K$4:$K$200,"&lt;=30",$C$4:$C$200,"&lt;20190630",S$4:S$200,"&gt;="&amp;S89)&amp;"/"&amp;COUNTIFS(S$4:S$200,"&lt;&gt;-",$D$4:$D$200,"&lt;&gt;是",$E$4:$E$200,"&lt;&gt;封闭期",$H$4:$H$200,"&gt;10",$BN$4:$BN$200,"&gt;-6",$BR$4:$BR$200,"&gt;=70",$C$4:$C$200,"&lt;20190630",$K$4:$K$200,"&lt;=30"))</f>
        <v>-</v>
      </c>
      <c r="W89" s="33" t="str">
        <f>IF(OR($C89&gt;20190630,$K89&gt;30,S89="-",$D89="是",$E89="封闭期",$H89&lt;10,$BN89&lt;-6,$BR89&lt;70),"-",COUNTIFS(S$4:S$200,"&lt;&gt;-",$D$4:$D$200,"&lt;&gt;是",$E$4:$E$200,"&lt;&gt;封闭期",$H$4:$H$200,"&gt;10",$BN$4:$BN$200,"&gt;-6",$BR$4:$BR$200,"&gt;=70",$K$4:$K$200,"&lt;=30",$C$4:$C$200,"&lt;20190630",S$4:S$200,"&gt;="&amp;S89)/COUNTIFS(S$4:S$200,"&lt;&gt;-",$D$4:$D$200,"&lt;&gt;是",$E$4:$E$200,"&lt;&gt;封闭期",$H$4:$H$200,"&gt;10",$BN$4:$BN$200,"&gt;-6",$BR$4:$BR$200,"&gt;=70",$C$4:$C$200,"&lt;20190630",$K$4:$K$200,"&lt;=30"))</f>
        <v>-</v>
      </c>
      <c r="X89" s="19">
        <f>[1]!f_risk_calmar(A89,$L$2,$E$1)</f>
        <v>2.2689244329279523</v>
      </c>
      <c r="Y89" s="19" t="str">
        <f>IFERROR(RANK(X89,X:X)&amp;"/"&amp;COUNT(X:X),"-")</f>
        <v>82/197</v>
      </c>
      <c r="Z89" s="26">
        <f>IFERROR(RANK(X89,X:X)/COUNT(X:X),"-")</f>
        <v>0.41624365482233505</v>
      </c>
      <c r="AA89" s="34" t="str">
        <f>IF(OR($C89&gt;20190630,$K89&gt;30,X89="-",$D89="是",$E89="封闭期",$H89&lt;10,$BN89&lt;-6,$BR89&lt;70),"-",COUNTIFS(X$4:X$200,"&lt;&gt;-",$D$4:$D$200,"&lt;&gt;是",$E$4:$E$200,"&lt;&gt;封闭期",$H$4:$H$200,"&gt;10",$BN$4:$BN$200,"&gt;-6",$BR$4:$BR$200,"&gt;=70",$K$4:$K$200,"&lt;=30",$C$4:$C$200,"&lt;20190630",X$4:X$200,"&gt;="&amp;X89)&amp;"/"&amp;COUNTIFS(X$4:X$200,"&lt;&gt;-",$D$4:$D$200,"&lt;&gt;是",$E$4:$E$200,"&lt;&gt;封闭期",$H$4:$H$200,"&gt;10",$BN$4:$BN$200,"&gt;-6",$BR$4:$BR$200,"&gt;=70",$C$4:$C$200,"&lt;20190630",$K$4:$K$200,"&lt;=30"))</f>
        <v>-</v>
      </c>
      <c r="AB89" s="33" t="str">
        <f>IF(OR($C89&gt;20190630,$K89&gt;30,X89="-",$D89="是",$E89="封闭期",$H89&lt;10,$BN89&lt;-6,$BR89&lt;70),"-",COUNTIFS(X$4:X$200,"&lt;&gt;-",$D$4:$D$200,"&lt;&gt;是",$E$4:$E$200,"&lt;&gt;封闭期",$H$4:$H$200,"&gt;10",$BN$4:$BN$200,"&gt;-6",$BR$4:$BR$200,"&gt;=70",$K$4:$K$200,"&lt;=30",$C$4:$C$200,"&lt;20190630",X$4:X$200,"&gt;="&amp;X89)/COUNTIFS(X$4:X$200,"&lt;&gt;-",$D$4:$D$200,"&lt;&gt;是",$E$4:$E$200,"&lt;&gt;封闭期",$H$4:$H$200,"&gt;10",$BN$4:$BN$200,"&gt;-6",$BR$4:$BR$200,"&gt;=70",$C$4:$C$200,"&lt;20190630",$K$4:$K$200,"&lt;=30"))</f>
        <v>-</v>
      </c>
      <c r="AC89" s="20">
        <v>0.81512605042016806</v>
      </c>
      <c r="AD89" s="19" t="str">
        <f>IFERROR(RANK(AC89,AC:AC)&amp;"/"&amp;COUNT(AC:AC),"-")</f>
        <v>145/197</v>
      </c>
      <c r="AE89" s="26">
        <f>IFERROR(RANK(AC89,AC:AC)/COUNT(AC:AC),"-")</f>
        <v>0.73604060913705582</v>
      </c>
      <c r="AF89" s="34" t="str">
        <f>IF(OR($C89&gt;20190630,$K89&gt;30,AC89="-",$D89="是",$E89="封闭期",$H89&lt;10,$BN89&lt;-6,$BR89&lt;70),"-",COUNTIFS(AC$4:AC$200,"&lt;&gt;-",$D$4:$D$200,"&lt;&gt;是",$E$4:$E$200,"&lt;&gt;封闭期",$H$4:$H$200,"&gt;10",$BN$4:$BN$200,"&gt;-6",$BR$4:$BR$200,"&gt;=70",$K$4:$K$200,"&lt;=30",$C$4:$C$200,"&lt;20190630",AC$4:AC$200,"&gt;="&amp;AC89)&amp;"/"&amp;COUNTIFS(AC$4:AC$200,"&lt;&gt;-",$D$4:$D$200,"&lt;&gt;是",$E$4:$E$200,"&lt;&gt;封闭期",$H$4:$H$200,"&gt;10",$BN$4:$BN$200,"&gt;-6",$BR$4:$BR$200,"&gt;=70",$C$4:$C$200,"&lt;20190630",$K$4:$K$200,"&lt;=30"))</f>
        <v>-</v>
      </c>
      <c r="AG89" s="33" t="str">
        <f>IF(OR($C89&gt;20190630,$K89&gt;30,AC89="-",$D89="是",$E89="封闭期",$H89&lt;10,$BN89&lt;-6,$BR89&lt;70),"-",COUNTIFS(AC$4:AC$200,"&lt;&gt;-",$D$4:$D$200,"&lt;&gt;是",$E$4:$E$200,"&lt;&gt;封闭期",$H$4:$H$200,"&gt;10",$BN$4:$BN$200,"&gt;-6",$BR$4:$BR$200,"&gt;=70",$K$4:$K$200,"&lt;=30",$C$4:$C$200,"&lt;20190630",AC$4:AC$200,"&gt;="&amp;AC89)/COUNTIFS(AC$4:AC$200,"&lt;&gt;-",$D$4:$D$200,"&lt;&gt;是",$E$4:$E$200,"&lt;&gt;封闭期",$H$4:$H$200,"&gt;10",$BN$4:$BN$200,"&gt;-6",$BR$4:$BR$200,"&gt;=70",$C$4:$C$200,"&lt;20190630",$K$4:$K$200,"&lt;=30"))</f>
        <v>-</v>
      </c>
      <c r="AH89" s="21">
        <f>[1]!f_risk_maxdownside(A89,$L$2,$E$1)</f>
        <v>-1.6571985400430138</v>
      </c>
      <c r="AI89" s="19" t="str">
        <f>IFERROR(RANK(AH89,AH:AH)&amp;"/"&amp;COUNT(AH:AH),"-")</f>
        <v>48/197</v>
      </c>
      <c r="AJ89" s="26">
        <f>IFERROR(RANK(AH89,AH:AH)/COUNT(AH:AH),"-")</f>
        <v>0.24365482233502539</v>
      </c>
      <c r="AK89" s="34" t="str">
        <f>IF(OR($C89&gt;20190630,$K89&gt;30,AH89="-",$D89="是",$E89="封闭期",$H89&lt;10,$BN89&lt;-6,$BR89&lt;70),"-",COUNTIFS(AH$4:AH$200,"&lt;&gt;-",$D$4:$D$200,"&lt;&gt;是",$E$4:$E$200,"&lt;&gt;封闭期",$H$4:$H$200,"&gt;10",$BN$4:$BN$200,"&gt;-6",$BR$4:$BR$200,"&gt;=70",$K$4:$K$200,"&lt;=30",$C$4:$C$200,"&lt;20190630",AH$4:AH$200,"&gt;="&amp;AH89)&amp;"/"&amp;COUNTIFS(AH$4:AH$200,"&lt;&gt;-",$D$4:$D$200,"&lt;&gt;是",$E$4:$E$200,"&lt;&gt;封闭期",$H$4:$H$200,"&gt;10",$BN$4:$BN$200,"&gt;-6",$BR$4:$BR$200,"&gt;=70",$C$4:$C$200,"&lt;20190630",$K$4:$K$200,"&lt;=30"))</f>
        <v>-</v>
      </c>
      <c r="AL89" s="33" t="str">
        <f>IF(OR($C89&gt;20190630,$K89&gt;30,AH89="-",$D89="是",$E89="封闭期",$H89&lt;10,$BN89&lt;-6,$BR89&lt;70),"-",COUNTIFS(AH$4:AH$200,"&lt;&gt;-",$D$4:$D$200,"&lt;&gt;是",$E$4:$E$200,"&lt;&gt;封闭期",$H$4:$H$200,"&gt;10",$BN$4:$BN$200,"&gt;-6",$BR$4:$BR$200,"&gt;=70",$K$4:$K$200,"&lt;=30",$C$4:$C$200,"&lt;20190630",AH$4:AH$200,"&gt;="&amp;AH89)/COUNTIFS(AH$4:AH$200,"&lt;&gt;-",$D$4:$D$200,"&lt;&gt;是",$E$4:$E$200,"&lt;&gt;封闭期",$H$4:$H$200,"&gt;10",$BN$4:$BN$200,"&gt;-6",$BR$4:$BR$200,"&gt;=70",$C$4:$C$200,"&lt;20190630",$K$4:$K$200,"&lt;=30"))</f>
        <v>-</v>
      </c>
      <c r="AM89" s="19">
        <f>[1]!f_return($A89,"1",AM$2,$L$2)</f>
        <v>7.9074218598831125</v>
      </c>
      <c r="AN89" s="19">
        <f>[1]!f_risk_stdevyearly($A89,AM$2,$L$2,1,1)</f>
        <v>4.0121500944303694</v>
      </c>
      <c r="AO89" s="19">
        <f>IFERROR(AM89/AN89,"-")</f>
        <v>1.970868904146962</v>
      </c>
      <c r="AP89" s="19" t="str">
        <f>IFERROR(RANK(AO89,AO:AO)&amp;"/"&amp;COUNT(AO:AO),"-")</f>
        <v>52/197</v>
      </c>
      <c r="AQ89" s="26">
        <f>IF(AP89="-","-",RANK(AO89,AO:AO)/COUNT(AO:AO))</f>
        <v>0.26395939086294418</v>
      </c>
      <c r="AR89" s="57">
        <v>0.43654822335025378</v>
      </c>
      <c r="AS89" s="33" t="str">
        <f>IF(OR($C89&gt;20190630,$K89&gt;30,AO89="-",$D89="是",$E89="封闭期",$H89&lt;10,$BN89&lt;-6,$BR89&lt;70),"-",COUNTIFS(AO$4:AO$200,"&lt;&gt;-",$D$4:$D$200,"&lt;&gt;是",$E$4:$E$200,"&lt;&gt;封闭期",$H$4:$H$200,"&gt;10",$BN$4:$BN$200,"&gt;-6",$BR$4:$BR$200,"&gt;=70",$K$4:$K$200,"&lt;=30",$C$4:$C$200,"&lt;20190630",AO$4:AO$200,"&gt;="&amp;AO89)/COUNTIFS(AO$4:AO$200,"&lt;&gt;-",$D$4:$D$200,"&lt;&gt;是",$E$4:$E$200,"&lt;&gt;封闭期",$H$4:$H$200,"&gt;10",$BN$4:$BN$200,"&gt;-6",$BR$4:$BR$200,"&gt;=70",$C$4:$C$200,"&lt;20190630",$K$4:$K$200,"&lt;=30"))</f>
        <v>-</v>
      </c>
      <c r="AT89" s="19">
        <f>IFERROR((AM89-3)/AN89,"-")</f>
        <v>1.2231401478961497</v>
      </c>
      <c r="AU89" s="19" t="str">
        <f>IFERROR(RANK(AT89,AT:AT)&amp;"/"&amp;COUNT(AT:AT),"-")</f>
        <v>51/197</v>
      </c>
      <c r="AV89" s="26">
        <f>IFERROR(RANK(AT89,AT:AT)/COUNT(AT:AT),"-")</f>
        <v>0.25888324873096447</v>
      </c>
      <c r="AW89" s="34" t="str">
        <f>IF(OR($C89&gt;20190630,$K89&gt;30,AT89="-",$D89="是",$E89="封闭期",$H89&lt;10,$BN89&lt;-6,$BR89&lt;70),"-",COUNTIFS(AT$4:AT$200,"&lt;&gt;-",$D$4:$D$200,"&lt;&gt;是",$E$4:$E$200,"&lt;&gt;封闭期",$H$4:$H$200,"&gt;10",$BN$4:$BN$200,"&gt;-6",$BR$4:$BR$200,"&gt;=70",$K$4:$K$200,"&lt;=30",$C$4:$C$200,"&lt;20190630",AT$4:AT$200,"&gt;="&amp;AT89)&amp;"/"&amp;COUNTIFS(AT$4:AT$200,"&lt;&gt;-",$D$4:$D$200,"&lt;&gt;是",$E$4:$E$200,"&lt;&gt;封闭期",$H$4:$H$200,"&gt;10",$BN$4:$BN$200,"&gt;-6",$BR$4:$BR$200,"&gt;=70",$C$4:$C$200,"&lt;20190630",$K$4:$K$200,"&lt;=30"))</f>
        <v>-</v>
      </c>
      <c r="AX89" s="33" t="str">
        <f>IF(OR($C89&gt;20190630,$K89&gt;30,AT89="-",$D89="是",$E89="封闭期",$H89&lt;10,$BN89&lt;-6,$BR89&lt;70),"-",COUNTIFS(AT$4:AT$200,"&lt;&gt;-",$D$4:$D$200,"&lt;&gt;是",$E$4:$E$200,"&lt;&gt;封闭期",$H$4:$H$200,"&gt;10",$BN$4:$BN$200,"&gt;-6",$BR$4:$BR$200,"&gt;=70",$K$4:$K$200,"&lt;=30",$C$4:$C$200,"&lt;20190630",AT$4:AT$200,"&gt;="&amp;AT89)/COUNTIFS(AT$4:AT$200,"&lt;&gt;-",$D$4:$D$200,"&lt;&gt;是",$E$4:$E$200,"&lt;&gt;封闭期",$H$4:$H$200,"&gt;10",$BN$4:$BN$200,"&gt;-6",$BR$4:$BR$200,"&gt;=70",$C$4:$C$200,"&lt;20190630",$K$4:$K$200,"&lt;=30"))</f>
        <v>-</v>
      </c>
      <c r="AY89" s="19">
        <f>[1]!f_risk_calmar(A89,$AM$2,$L$2)</f>
        <v>3.9401850767601161</v>
      </c>
      <c r="AZ89" s="19" t="str">
        <f>IFERROR(RANK(AY89,AY:AY)&amp;"/"&amp;COUNT(AY:AY),"-")</f>
        <v>25/197</v>
      </c>
      <c r="BA89" s="26">
        <f>IFERROR(RANK(AY89,AY:AY)/COUNT(AY:AY),"-")</f>
        <v>0.12690355329949238</v>
      </c>
      <c r="BB89" s="34" t="str">
        <f>IF(OR($C89&gt;20190630,$K89&gt;30,AY89="-",$D89="是",$E89="封闭期",$H89&lt;10,$BN89&lt;-6,$BR89&lt;70),"-",COUNTIFS(AY$4:AY$200,"&lt;&gt;-",$D$4:$D$200,"&lt;&gt;是",$E$4:$E$200,"&lt;&gt;封闭期",$H$4:$H$200,"&gt;10",$BN$4:$BN$200,"&gt;-6",$BR$4:$BR$200,"&gt;=70",$K$4:$K$200,"&lt;=30",$C$4:$C$200,"&lt;20190630",AY$4:AY$200,"&gt;="&amp;AY89)&amp;"/"&amp;COUNTIFS(AY$4:AY$200,"&lt;&gt;-",$D$4:$D$200,"&lt;&gt;是",$E$4:$E$200,"&lt;&gt;封闭期",$H$4:$H$200,"&gt;10",$BN$4:$BN$200,"&gt;-6",$BR$4:$BR$200,"&gt;=70",$C$4:$C$200,"&lt;20190630",$K$4:$K$200,"&lt;=30"))</f>
        <v>-</v>
      </c>
      <c r="BC89" s="33" t="str">
        <f>IF(OR($C89&gt;20190630,$K89&gt;30,AY89="-",$D89="是",$E89="封闭期",$H89&lt;10,$BN89&lt;-6,$BR89&lt;70),"-",COUNTIFS(AY$4:AY$200,"&lt;&gt;-",$D$4:$D$200,"&lt;&gt;是",$E$4:$E$200,"&lt;&gt;封闭期",$H$4:$H$200,"&gt;10",$BN$4:$BN$200,"&gt;-6",$BR$4:$BR$200,"&gt;=70",$K$4:$K$200,"&lt;=30",$C$4:$C$200,"&lt;20190630",AY$4:AY$200,"&gt;="&amp;AY89)/COUNTIFS(AY$4:AY$200,"&lt;&gt;-",$D$4:$D$200,"&lt;&gt;是",$E$4:$E$200,"&lt;&gt;封闭期",$H$4:$H$200,"&gt;10",$BN$4:$BN$200,"&gt;-6",$BR$4:$BR$200,"&gt;=70",$C$4:$C$200,"&lt;20190630",$K$4:$K$200,"&lt;=30"))</f>
        <v>-</v>
      </c>
      <c r="BD89" s="20">
        <v>1</v>
      </c>
      <c r="BE89" s="19" t="str">
        <f>IFERROR(RANK(BD89,BD:BD)&amp;"/"&amp;COUNT(BD:BD),"-")</f>
        <v>1/197</v>
      </c>
      <c r="BF89" s="26">
        <f>IFERROR(RANK(BD89,BD:BD)/COUNT(BD:BD),"-")</f>
        <v>5.076142131979695E-3</v>
      </c>
      <c r="BG89" s="34" t="str">
        <f>IF(OR($C89&gt;20190630,$K89&gt;30,BD89="-",$D89="是",$E89="封闭期",$H89&lt;10,$BN89&lt;-6,$BR89&lt;70),"-",COUNTIFS(BD$4:BD$200,"&lt;&gt;-",$D$4:$D$200,"&lt;&gt;是",$E$4:$E$200,"&lt;&gt;封闭期",$H$4:$H$200,"&gt;10",$BN$4:$BN$200,"&gt;-6",$BR$4:$BR$200,"&gt;=70",$K$4:$K$200,"&lt;=30",$C$4:$C$200,"&lt;20190630",BD$4:BD$200,"&gt;="&amp;BD89)&amp;"/"&amp;COUNTIFS(BD$4:BD$200,"&lt;&gt;-",$D$4:$D$200,"&lt;&gt;是",$E$4:$E$200,"&lt;&gt;封闭期",$H$4:$H$200,"&gt;10",$BN$4:$BN$200,"&gt;-6",$BR$4:$BR$200,"&gt;=70",$C$4:$C$200,"&lt;20190630",$K$4:$K$200,"&lt;=30"))</f>
        <v>-</v>
      </c>
      <c r="BH89" s="33" t="str">
        <f>IF(OR($C89&gt;20190630,$K89&gt;30,BD89="-",$D89="是",$E89="封闭期",$H89&lt;10,$BN89&lt;-6,$BR89&lt;70),"-",COUNTIFS(BD$4:BD$200,"&lt;&gt;-",$D$4:$D$200,"&lt;&gt;是",$E$4:$E$200,"&lt;&gt;封闭期",$H$4:$H$200,"&gt;10",$BN$4:$BN$200,"&gt;-6",$BR$4:$BR$200,"&gt;=70",$K$4:$K$200,"&lt;=30",$C$4:$C$200,"&lt;20190630",BD$4:BD$200,"&gt;="&amp;BD89)/COUNTIFS(BD$4:BD$200,"&lt;&gt;-",$D$4:$D$200,"&lt;&gt;是",$E$4:$E$200,"&lt;&gt;封闭期",$H$4:$H$200,"&gt;10",$BN$4:$BN$200,"&gt;-6",$BR$4:$BR$200,"&gt;=70",$C$4:$C$200,"&lt;20190630",$K$4:$K$200,"&lt;=30"))</f>
        <v>-</v>
      </c>
      <c r="BI89" s="21">
        <f>[1]!f_risk_maxdownside(A89,$AM$2,$L$2)</f>
        <v>-2.0068655928175647</v>
      </c>
      <c r="BJ89" s="19" t="str">
        <f>IFERROR(RANK(BI89,BI:BI)&amp;"/"&amp;COUNT(BI:BI),"-")</f>
        <v>35/197</v>
      </c>
      <c r="BK89" s="26">
        <f>IFERROR(RANK(BI89,BI:BI)/COUNT(BI:BI),"-")</f>
        <v>0.17766497461928935</v>
      </c>
      <c r="BL89" s="34" t="str">
        <f>IF(OR($C89&gt;20190630,$K89&gt;30,BI89="-",$D89="是",$E89="封闭期",$H89&lt;10,$BN89&lt;-6,$BR89&lt;70),"-",COUNTIFS(BI$4:BI$200,"&lt;&gt;-",$D$4:$D$200,"&lt;&gt;是",$E$4:$E$200,"&lt;&gt;封闭期",$H$4:$H$200,"&gt;10",$BN$4:$BN$200,"&gt;-6",$BR$4:$BR$200,"&gt;=70",$K$4:$K$200,"&lt;=30",$C$4:$C$200,"&lt;20190630",BI$4:BI$200,"&gt;="&amp;BI89)&amp;"/"&amp;COUNTIFS(BI$4:BI$200,"&lt;&gt;-",$D$4:$D$200,"&lt;&gt;是",$E$4:$E$200,"&lt;&gt;封闭期",$H$4:$H$200,"&gt;10",$BN$4:$BN$200,"&gt;-6",$BR$4:$BR$200,"&gt;=70",$C$4:$C$200,"&lt;20190630",$K$4:$K$200,"&lt;=30"))</f>
        <v>-</v>
      </c>
      <c r="BM89" s="33" t="str">
        <f>IF(OR($C89&gt;20190630,$K89&gt;30,BI89="-",$D89="是",$E89="封闭期",$H89&lt;10,$BN89&lt;-6,$BR89&lt;70),"-",COUNTIFS(BI$4:BI$200,"&lt;&gt;-",$D$4:$D$200,"&lt;&gt;是",$E$4:$E$200,"&lt;&gt;封闭期",$H$4:$H$200,"&gt;10",$BN$4:$BN$200,"&gt;-6",$BR$4:$BR$200,"&gt;=70",$K$4:$K$200,"&lt;=30",$C$4:$C$200,"&lt;20190630",BI$4:BI$200,"&gt;="&amp;BI89)/COUNTIFS(BI$4:BI$200,"&lt;&gt;-",$D$4:$D$200,"&lt;&gt;是",$E$4:$E$200,"&lt;&gt;封闭期",$H$4:$H$200,"&gt;10",$BN$4:$BN$200,"&gt;-6",$BR$4:$BR$200,"&gt;=70",$C$4:$C$200,"&lt;20190630",$K$4:$K$200,"&lt;=30"))</f>
        <v>-</v>
      </c>
      <c r="BN89" s="21">
        <f>[1]!f_risk_maxdownside(A89,$AM$2,$E$1)</f>
        <v>-2.0068655928175647</v>
      </c>
      <c r="BO89" s="21">
        <f>IF(C89&lt;20190930,[1]!f_return_2y(A89,"0","20210930"),"-")</f>
        <v>12.146164003066072</v>
      </c>
      <c r="BP89" s="19" t="str">
        <f>IFERROR(RANK(BO89,BO:BO)&amp;"/"&amp;COUNT(BO:BO),"-")</f>
        <v>116/197</v>
      </c>
      <c r="BQ89" s="25">
        <f>IFERROR(RANK(BO89,BO:BO)/COUNT(BO:BO),"-")</f>
        <v>0.58883248730964466</v>
      </c>
      <c r="BR89" s="19">
        <f>IF(C89&lt;20190930,[1]!f_absolute_profitmonthper(A89,"20190930","20210930"),"-")</f>
        <v>62.5</v>
      </c>
      <c r="BS89" s="19" t="str">
        <f>IFERROR(RANK(BR89,BR:BR)&amp;"/"&amp;COUNT(BR:BR),"-")</f>
        <v>142/198</v>
      </c>
      <c r="BT89" s="25">
        <f>IFERROR(RANK(BR89,BR:BR)/COUNT(BR:BR),"-")</f>
        <v>0.71717171717171713</v>
      </c>
      <c r="BV89" s="12">
        <f>X89-3/M89</f>
        <v>1.366215957471443</v>
      </c>
      <c r="BW89" s="76">
        <f>IFERROR(RANK(BV89,BV:BV)/COUNT(BV:BV),"-")</f>
        <v>0.5025380710659898</v>
      </c>
      <c r="BX89" s="76">
        <f>IFERROR(RANK(L89,L:L)/COUNT(L:L),"-")</f>
        <v>0.76767676767676762</v>
      </c>
      <c r="BY89" s="12">
        <f>AY89-3/AN89</f>
        <v>3.1924563205093035</v>
      </c>
      <c r="BZ89" s="76">
        <f>IFERROR(RANK(BY89,BY:BY)/COUNT(BY:BY),"-")</f>
        <v>0.12690355329949238</v>
      </c>
      <c r="CA89" s="76">
        <f>IFERROR(RANK(AM89,AM:AM)/COUNT(AM:AM),"-")</f>
        <v>0.43939393939393939</v>
      </c>
      <c r="CB89" s="2"/>
      <c r="CC89" s="77">
        <f>AV89+BF89+BZ89+CA89</f>
        <v>0.83025688355637595</v>
      </c>
      <c r="CD89" s="77">
        <f>BW89+BX89+AE89+U89</f>
        <v>2.7676767676767673</v>
      </c>
      <c r="CE89" s="77">
        <f>CC89+CD89</f>
        <v>3.5979336512331432</v>
      </c>
    </row>
    <row r="90" spans="1:83" s="17" customFormat="1" hidden="1" x14ac:dyDescent="0.35">
      <c r="A90" s="15" t="s">
        <v>253</v>
      </c>
      <c r="B90" s="15" t="s">
        <v>254</v>
      </c>
      <c r="C90" s="16">
        <v>20160719</v>
      </c>
      <c r="D90" s="16" t="str">
        <f>[1]!f_info_regulopenfundornot(A90)</f>
        <v>否</v>
      </c>
      <c r="E90" s="16" t="str">
        <f>[1]!f_dq_status(A90,$E$1)</f>
        <v>开放申购|开放赎回</v>
      </c>
      <c r="F90" s="17" t="str">
        <f>[1]!f_info_fundmanager(A90)</f>
        <v>曾健飞,陆琦</v>
      </c>
      <c r="G90" s="16">
        <v>20190809</v>
      </c>
      <c r="H90" s="18">
        <f>[1]!f_netasset_total(A90,$E$1,100000000)</f>
        <v>1.0510670879000001</v>
      </c>
      <c r="I90" s="18">
        <f>[1]!f_prt_convertiblebondtonav(A90,$E$1)</f>
        <v>15.378678321838379</v>
      </c>
      <c r="J90" s="18">
        <f>[1]!f_prt_stocktonav(A90,$E$1)+0.5*I90</f>
        <v>17.265182018280029</v>
      </c>
      <c r="K90" s="19">
        <v>0</v>
      </c>
      <c r="L90" s="19">
        <f>[1]!f_return($A90,"1",L$2,$E$1)</f>
        <v>12.83563687896927</v>
      </c>
      <c r="M90" s="19">
        <f>[1]!f_risk_stdevyearly($A90,L$2,$E$1,1,1)</f>
        <v>4.2215453373822802</v>
      </c>
      <c r="N90" s="19">
        <f>IFERROR(L90/M90,"-")</f>
        <v>3.0405066991246539</v>
      </c>
      <c r="O90" s="19" t="str">
        <f>IFERROR(RANK(N90,N:N)&amp;"/"&amp;COUNT(N:N),"-")</f>
        <v>18/197</v>
      </c>
      <c r="P90" s="26">
        <f>IF(O90="-","-",RANK(N90,N:N)/COUNT(N:N))</f>
        <v>9.1370558375634514E-2</v>
      </c>
      <c r="Q90" s="56">
        <v>6.5989847715736044E-2</v>
      </c>
      <c r="R90" s="33" t="str">
        <f>IF(OR($C90&gt;20190630,$K90&gt;30,N90="-",$D90="是",$E90="封闭期",$H90&lt;10,$BN90&lt;-6,$BR90&lt;70),"-",COUNTIFS(N$4:N$200,"&lt;&gt;-",$D$4:$D$200,"&lt;&gt;是",$E$4:$E$200,"&lt;&gt;封闭期",$H$4:$H$200,"&gt;10",$BN$4:$BN$200,"&gt;-6",$BR$4:$BR$200,"&gt;=70",$K$4:$K$200,"&lt;=30",$C$4:$C$200,"&lt;20190630",N$4:N$200,"&gt;="&amp;N90)/COUNTIFS(N$4:N$200,"&lt;&gt;-",$D$4:$D$200,"&lt;&gt;是",$E$4:$E$200,"&lt;&gt;封闭期",$H$4:$H$200,"&gt;10",$BN$4:$BN$200,"&gt;-6",$BR$4:$BR$200,"&gt;=70",$C$4:$C$200,"&lt;20190630",$K$4:$K$200,"&lt;=30"))</f>
        <v>-</v>
      </c>
      <c r="S90" s="19">
        <f>IFERROR((L90-3)/M90,"-")</f>
        <v>2.329866457165235</v>
      </c>
      <c r="T90" s="19" t="str">
        <f>IFERROR(RANK(S90,S:S)&amp;"/"&amp;COUNT(S:S),"-")</f>
        <v>6/197</v>
      </c>
      <c r="U90" s="26">
        <f>IFERROR(RANK(S90,S:S)/COUNT(S:S),"-")</f>
        <v>3.0456852791878174E-2</v>
      </c>
      <c r="V90" s="34" t="str">
        <f>IF(OR($C90&gt;20190630,$K90&gt;30,S90="-",$D90="是",$E90="封闭期",$H90&lt;10,$BN90&lt;-6,$BR90&lt;70),"-",COUNTIFS(S$4:S$200,"&lt;&gt;-",$D$4:$D$200,"&lt;&gt;是",$E$4:$E$200,"&lt;&gt;封闭期",$H$4:$H$200,"&gt;10",$BN$4:$BN$200,"&gt;-6",$BR$4:$BR$200,"&gt;=70",$K$4:$K$200,"&lt;=30",$C$4:$C$200,"&lt;20190630",S$4:S$200,"&gt;="&amp;S90)&amp;"/"&amp;COUNTIFS(S$4:S$200,"&lt;&gt;-",$D$4:$D$200,"&lt;&gt;是",$E$4:$E$200,"&lt;&gt;封闭期",$H$4:$H$200,"&gt;10",$BN$4:$BN$200,"&gt;-6",$BR$4:$BR$200,"&gt;=70",$C$4:$C$200,"&lt;20190630",$K$4:$K$200,"&lt;=30"))</f>
        <v>-</v>
      </c>
      <c r="W90" s="33" t="str">
        <f>IF(OR($C90&gt;20190630,$K90&gt;30,S90="-",$D90="是",$E90="封闭期",$H90&lt;10,$BN90&lt;-6,$BR90&lt;70),"-",COUNTIFS(S$4:S$200,"&lt;&gt;-",$D$4:$D$200,"&lt;&gt;是",$E$4:$E$200,"&lt;&gt;封闭期",$H$4:$H$200,"&gt;10",$BN$4:$BN$200,"&gt;-6",$BR$4:$BR$200,"&gt;=70",$K$4:$K$200,"&lt;=30",$C$4:$C$200,"&lt;20190630",S$4:S$200,"&gt;="&amp;S90)/COUNTIFS(S$4:S$200,"&lt;&gt;-",$D$4:$D$200,"&lt;&gt;是",$E$4:$E$200,"&lt;&gt;封闭期",$H$4:$H$200,"&gt;10",$BN$4:$BN$200,"&gt;-6",$BR$4:$BR$200,"&gt;=70",$C$4:$C$200,"&lt;20190630",$K$4:$K$200,"&lt;=30"))</f>
        <v>-</v>
      </c>
      <c r="X90" s="19">
        <f>[1]!f_risk_calmar(A90,$L$2,$E$1)</f>
        <v>5.7347791912823807</v>
      </c>
      <c r="Y90" s="19" t="str">
        <f>IFERROR(RANK(X90,X:X)&amp;"/"&amp;COUNT(X:X),"-")</f>
        <v>25/197</v>
      </c>
      <c r="Z90" s="26">
        <f>IFERROR(RANK(X90,X:X)/COUNT(X:X),"-")</f>
        <v>0.12690355329949238</v>
      </c>
      <c r="AA90" s="34" t="str">
        <f>IF(OR($C90&gt;20190630,$K90&gt;30,X90="-",$D90="是",$E90="封闭期",$H90&lt;10,$BN90&lt;-6,$BR90&lt;70),"-",COUNTIFS(X$4:X$200,"&lt;&gt;-",$D$4:$D$200,"&lt;&gt;是",$E$4:$E$200,"&lt;&gt;封闭期",$H$4:$H$200,"&gt;10",$BN$4:$BN$200,"&gt;-6",$BR$4:$BR$200,"&gt;=70",$K$4:$K$200,"&lt;=30",$C$4:$C$200,"&lt;20190630",X$4:X$200,"&gt;="&amp;X90)&amp;"/"&amp;COUNTIFS(X$4:X$200,"&lt;&gt;-",$D$4:$D$200,"&lt;&gt;是",$E$4:$E$200,"&lt;&gt;封闭期",$H$4:$H$200,"&gt;10",$BN$4:$BN$200,"&gt;-6",$BR$4:$BR$200,"&gt;=70",$C$4:$C$200,"&lt;20190630",$K$4:$K$200,"&lt;=30"))</f>
        <v>-</v>
      </c>
      <c r="AB90" s="33" t="str">
        <f>IF(OR($C90&gt;20190630,$K90&gt;30,X90="-",$D90="是",$E90="封闭期",$H90&lt;10,$BN90&lt;-6,$BR90&lt;70),"-",COUNTIFS(X$4:X$200,"&lt;&gt;-",$D$4:$D$200,"&lt;&gt;是",$E$4:$E$200,"&lt;&gt;封闭期",$H$4:$H$200,"&gt;10",$BN$4:$BN$200,"&gt;-6",$BR$4:$BR$200,"&gt;=70",$K$4:$K$200,"&lt;=30",$C$4:$C$200,"&lt;20190630",X$4:X$200,"&gt;="&amp;X90)/COUNTIFS(X$4:X$200,"&lt;&gt;-",$D$4:$D$200,"&lt;&gt;是",$E$4:$E$200,"&lt;&gt;封闭期",$H$4:$H$200,"&gt;10",$BN$4:$BN$200,"&gt;-6",$BR$4:$BR$200,"&gt;=70",$C$4:$C$200,"&lt;20190630",$K$4:$K$200,"&lt;=30"))</f>
        <v>-</v>
      </c>
      <c r="AC90" s="20">
        <v>1</v>
      </c>
      <c r="AD90" s="19" t="str">
        <f>IFERROR(RANK(AC90,AC:AC)&amp;"/"&amp;COUNT(AC:AC),"-")</f>
        <v>1/197</v>
      </c>
      <c r="AE90" s="26">
        <f>IFERROR(RANK(AC90,AC:AC)/COUNT(AC:AC),"-")</f>
        <v>5.076142131979695E-3</v>
      </c>
      <c r="AF90" s="34" t="str">
        <f>IF(OR($C90&gt;20190630,$K90&gt;30,AC90="-",$D90="是",$E90="封闭期",$H90&lt;10,$BN90&lt;-6,$BR90&lt;70),"-",COUNTIFS(AC$4:AC$200,"&lt;&gt;-",$D$4:$D$200,"&lt;&gt;是",$E$4:$E$200,"&lt;&gt;封闭期",$H$4:$H$200,"&gt;10",$BN$4:$BN$200,"&gt;-6",$BR$4:$BR$200,"&gt;=70",$K$4:$K$200,"&lt;=30",$C$4:$C$200,"&lt;20190630",AC$4:AC$200,"&gt;="&amp;AC90)&amp;"/"&amp;COUNTIFS(AC$4:AC$200,"&lt;&gt;-",$D$4:$D$200,"&lt;&gt;是",$E$4:$E$200,"&lt;&gt;封闭期",$H$4:$H$200,"&gt;10",$BN$4:$BN$200,"&gt;-6",$BR$4:$BR$200,"&gt;=70",$C$4:$C$200,"&lt;20190630",$K$4:$K$200,"&lt;=30"))</f>
        <v>-</v>
      </c>
      <c r="AG90" s="33" t="str">
        <f>IF(OR($C90&gt;20190630,$K90&gt;30,AC90="-",$D90="是",$E90="封闭期",$H90&lt;10,$BN90&lt;-6,$BR90&lt;70),"-",COUNTIFS(AC$4:AC$200,"&lt;&gt;-",$D$4:$D$200,"&lt;&gt;是",$E$4:$E$200,"&lt;&gt;封闭期",$H$4:$H$200,"&gt;10",$BN$4:$BN$200,"&gt;-6",$BR$4:$BR$200,"&gt;=70",$K$4:$K$200,"&lt;=30",$C$4:$C$200,"&lt;20190630",AC$4:AC$200,"&gt;="&amp;AC90)/COUNTIFS(AC$4:AC$200,"&lt;&gt;-",$D$4:$D$200,"&lt;&gt;是",$E$4:$E$200,"&lt;&gt;封闭期",$H$4:$H$200,"&gt;10",$BN$4:$BN$200,"&gt;-6",$BR$4:$BR$200,"&gt;=70",$C$4:$C$200,"&lt;20190630",$K$4:$K$200,"&lt;=30"))</f>
        <v>-</v>
      </c>
      <c r="AH90" s="21">
        <f>[1]!f_risk_maxdownside(A90,$L$2,$E$1)</f>
        <v>-2.2382094324540214</v>
      </c>
      <c r="AI90" s="19" t="str">
        <f>IFERROR(RANK(AH90,AH:AH)&amp;"/"&amp;COUNT(AH:AH),"-")</f>
        <v>64/197</v>
      </c>
      <c r="AJ90" s="26">
        <f>IFERROR(RANK(AH90,AH:AH)/COUNT(AH:AH),"-")</f>
        <v>0.32487309644670048</v>
      </c>
      <c r="AK90" s="34" t="str">
        <f>IF(OR($C90&gt;20190630,$K90&gt;30,AH90="-",$D90="是",$E90="封闭期",$H90&lt;10,$BN90&lt;-6,$BR90&lt;70),"-",COUNTIFS(AH$4:AH$200,"&lt;&gt;-",$D$4:$D$200,"&lt;&gt;是",$E$4:$E$200,"&lt;&gt;封闭期",$H$4:$H$200,"&gt;10",$BN$4:$BN$200,"&gt;-6",$BR$4:$BR$200,"&gt;=70",$K$4:$K$200,"&lt;=30",$C$4:$C$200,"&lt;20190630",AH$4:AH$200,"&gt;="&amp;AH90)&amp;"/"&amp;COUNTIFS(AH$4:AH$200,"&lt;&gt;-",$D$4:$D$200,"&lt;&gt;是",$E$4:$E$200,"&lt;&gt;封闭期",$H$4:$H$200,"&gt;10",$BN$4:$BN$200,"&gt;-6",$BR$4:$BR$200,"&gt;=70",$C$4:$C$200,"&lt;20190630",$K$4:$K$200,"&lt;=30"))</f>
        <v>-</v>
      </c>
      <c r="AL90" s="33" t="str">
        <f>IF(OR($C90&gt;20190630,$K90&gt;30,AH90="-",$D90="是",$E90="封闭期",$H90&lt;10,$BN90&lt;-6,$BR90&lt;70),"-",COUNTIFS(AH$4:AH$200,"&lt;&gt;-",$D$4:$D$200,"&lt;&gt;是",$E$4:$E$200,"&lt;&gt;封闭期",$H$4:$H$200,"&gt;10",$BN$4:$BN$200,"&gt;-6",$BR$4:$BR$200,"&gt;=70",$K$4:$K$200,"&lt;=30",$C$4:$C$200,"&lt;20190630",AH$4:AH$200,"&gt;="&amp;AH90)/COUNTIFS(AH$4:AH$200,"&lt;&gt;-",$D$4:$D$200,"&lt;&gt;是",$E$4:$E$200,"&lt;&gt;封闭期",$H$4:$H$200,"&gt;10",$BN$4:$BN$200,"&gt;-6",$BR$4:$BR$200,"&gt;=70",$C$4:$C$200,"&lt;20190630",$K$4:$K$200,"&lt;=30"))</f>
        <v>-</v>
      </c>
      <c r="AM90" s="19">
        <f>[1]!f_return($A90,"1",AM$2,$L$2)</f>
        <v>7.8596859414777676</v>
      </c>
      <c r="AN90" s="19">
        <f>[1]!f_risk_stdevyearly($A90,AM$2,$L$2,1,1)</f>
        <v>4.6005541755816362</v>
      </c>
      <c r="AO90" s="19">
        <f>IFERROR(AM90/AN90,"-")</f>
        <v>1.7084215599926258</v>
      </c>
      <c r="AP90" s="19" t="str">
        <f>IFERROR(RANK(AO90,AO:AO)&amp;"/"&amp;COUNT(AO:AO),"-")</f>
        <v>83/197</v>
      </c>
      <c r="AQ90" s="26">
        <f>IF(AP90="-","-",RANK(AO90,AO:AO)/COUNT(AO:AO))</f>
        <v>0.42131979695431471</v>
      </c>
      <c r="AR90" s="57">
        <v>0.44162436548223349</v>
      </c>
      <c r="AS90" s="33" t="str">
        <f>IF(OR($C90&gt;20190630,$K90&gt;30,AO90="-",$D90="是",$E90="封闭期",$H90&lt;10,$BN90&lt;-6,$BR90&lt;70),"-",COUNTIFS(AO$4:AO$200,"&lt;&gt;-",$D$4:$D$200,"&lt;&gt;是",$E$4:$E$200,"&lt;&gt;封闭期",$H$4:$H$200,"&gt;10",$BN$4:$BN$200,"&gt;-6",$BR$4:$BR$200,"&gt;=70",$K$4:$K$200,"&lt;=30",$C$4:$C$200,"&lt;20190630",AO$4:AO$200,"&gt;="&amp;AO90)/COUNTIFS(AO$4:AO$200,"&lt;&gt;-",$D$4:$D$200,"&lt;&gt;是",$E$4:$E$200,"&lt;&gt;封闭期",$H$4:$H$200,"&gt;10",$BN$4:$BN$200,"&gt;-6",$BR$4:$BR$200,"&gt;=70",$C$4:$C$200,"&lt;20190630",$K$4:$K$200,"&lt;=30"))</f>
        <v>-</v>
      </c>
      <c r="AT90" s="19">
        <f>IFERROR((AM90-3)/AN90,"-")</f>
        <v>1.0563262068016774</v>
      </c>
      <c r="AU90" s="19" t="str">
        <f>IFERROR(RANK(AT90,AT:AT)&amp;"/"&amp;COUNT(AT:AT),"-")</f>
        <v>81/197</v>
      </c>
      <c r="AV90" s="26">
        <f>IFERROR(RANK(AT90,AT:AT)/COUNT(AT:AT),"-")</f>
        <v>0.41116751269035534</v>
      </c>
      <c r="AW90" s="34" t="str">
        <f>IF(OR($C90&gt;20190630,$K90&gt;30,AT90="-",$D90="是",$E90="封闭期",$H90&lt;10,$BN90&lt;-6,$BR90&lt;70),"-",COUNTIFS(AT$4:AT$200,"&lt;&gt;-",$D$4:$D$200,"&lt;&gt;是",$E$4:$E$200,"&lt;&gt;封闭期",$H$4:$H$200,"&gt;10",$BN$4:$BN$200,"&gt;-6",$BR$4:$BR$200,"&gt;=70",$K$4:$K$200,"&lt;=30",$C$4:$C$200,"&lt;20190630",AT$4:AT$200,"&gt;="&amp;AT90)&amp;"/"&amp;COUNTIFS(AT$4:AT$200,"&lt;&gt;-",$D$4:$D$200,"&lt;&gt;是",$E$4:$E$200,"&lt;&gt;封闭期",$H$4:$H$200,"&gt;10",$BN$4:$BN$200,"&gt;-6",$BR$4:$BR$200,"&gt;=70",$C$4:$C$200,"&lt;20190630",$K$4:$K$200,"&lt;=30"))</f>
        <v>-</v>
      </c>
      <c r="AX90" s="33" t="str">
        <f>IF(OR($C90&gt;20190630,$K90&gt;30,AT90="-",$D90="是",$E90="封闭期",$H90&lt;10,$BN90&lt;-6,$BR90&lt;70),"-",COUNTIFS(AT$4:AT$200,"&lt;&gt;-",$D$4:$D$200,"&lt;&gt;是",$E$4:$E$200,"&lt;&gt;封闭期",$H$4:$H$200,"&gt;10",$BN$4:$BN$200,"&gt;-6",$BR$4:$BR$200,"&gt;=70",$K$4:$K$200,"&lt;=30",$C$4:$C$200,"&lt;20190630",AT$4:AT$200,"&gt;="&amp;AT90)/COUNTIFS(AT$4:AT$200,"&lt;&gt;-",$D$4:$D$200,"&lt;&gt;是",$E$4:$E$200,"&lt;&gt;封闭期",$H$4:$H$200,"&gt;10",$BN$4:$BN$200,"&gt;-6",$BR$4:$BR$200,"&gt;=70",$C$4:$C$200,"&lt;20190630",$K$4:$K$200,"&lt;=30"))</f>
        <v>-</v>
      </c>
      <c r="AY90" s="19">
        <f>[1]!f_risk_calmar(A90,$AM$2,$L$2)</f>
        <v>2.2223261999528372</v>
      </c>
      <c r="AZ90" s="19" t="str">
        <f>IFERROR(RANK(AY90,AY:AY)&amp;"/"&amp;COUNT(AY:AY),"-")</f>
        <v>95/197</v>
      </c>
      <c r="BA90" s="26">
        <f>IFERROR(RANK(AY90,AY:AY)/COUNT(AY:AY),"-")</f>
        <v>0.48223350253807107</v>
      </c>
      <c r="BB90" s="34" t="str">
        <f>IF(OR($C90&gt;20190630,$K90&gt;30,AY90="-",$D90="是",$E90="封闭期",$H90&lt;10,$BN90&lt;-6,$BR90&lt;70),"-",COUNTIFS(AY$4:AY$200,"&lt;&gt;-",$D$4:$D$200,"&lt;&gt;是",$E$4:$E$200,"&lt;&gt;封闭期",$H$4:$H$200,"&gt;10",$BN$4:$BN$200,"&gt;-6",$BR$4:$BR$200,"&gt;=70",$K$4:$K$200,"&lt;=30",$C$4:$C$200,"&lt;20190630",AY$4:AY$200,"&gt;="&amp;AY90)&amp;"/"&amp;COUNTIFS(AY$4:AY$200,"&lt;&gt;-",$D$4:$D$200,"&lt;&gt;是",$E$4:$E$200,"&lt;&gt;封闭期",$H$4:$H$200,"&gt;10",$BN$4:$BN$200,"&gt;-6",$BR$4:$BR$200,"&gt;=70",$C$4:$C$200,"&lt;20190630",$K$4:$K$200,"&lt;=30"))</f>
        <v>-</v>
      </c>
      <c r="BC90" s="33" t="str">
        <f>IF(OR($C90&gt;20190630,$K90&gt;30,AY90="-",$D90="是",$E90="封闭期",$H90&lt;10,$BN90&lt;-6,$BR90&lt;70),"-",COUNTIFS(AY$4:AY$200,"&lt;&gt;-",$D$4:$D$200,"&lt;&gt;是",$E$4:$E$200,"&lt;&gt;封闭期",$H$4:$H$200,"&gt;10",$BN$4:$BN$200,"&gt;-6",$BR$4:$BR$200,"&gt;=70",$K$4:$K$200,"&lt;=30",$C$4:$C$200,"&lt;20190630",AY$4:AY$200,"&gt;="&amp;AY90)/COUNTIFS(AY$4:AY$200,"&lt;&gt;-",$D$4:$D$200,"&lt;&gt;是",$E$4:$E$200,"&lt;&gt;封闭期",$H$4:$H$200,"&gt;10",$BN$4:$BN$200,"&gt;-6",$BR$4:$BR$200,"&gt;=70",$C$4:$C$200,"&lt;20190630",$K$4:$K$200,"&lt;=30"))</f>
        <v>-</v>
      </c>
      <c r="BD90" s="20">
        <v>1</v>
      </c>
      <c r="BE90" s="19" t="str">
        <f>IFERROR(RANK(BD90,BD:BD)&amp;"/"&amp;COUNT(BD:BD),"-")</f>
        <v>1/197</v>
      </c>
      <c r="BF90" s="26">
        <f>IFERROR(RANK(BD90,BD:BD)/COUNT(BD:BD),"-")</f>
        <v>5.076142131979695E-3</v>
      </c>
      <c r="BG90" s="34" t="str">
        <f>IF(OR($C90&gt;20190630,$K90&gt;30,BD90="-",$D90="是",$E90="封闭期",$H90&lt;10,$BN90&lt;-6,$BR90&lt;70),"-",COUNTIFS(BD$4:BD$200,"&lt;&gt;-",$D$4:$D$200,"&lt;&gt;是",$E$4:$E$200,"&lt;&gt;封闭期",$H$4:$H$200,"&gt;10",$BN$4:$BN$200,"&gt;-6",$BR$4:$BR$200,"&gt;=70",$K$4:$K$200,"&lt;=30",$C$4:$C$200,"&lt;20190630",BD$4:BD$200,"&gt;="&amp;BD90)&amp;"/"&amp;COUNTIFS(BD$4:BD$200,"&lt;&gt;-",$D$4:$D$200,"&lt;&gt;是",$E$4:$E$200,"&lt;&gt;封闭期",$H$4:$H$200,"&gt;10",$BN$4:$BN$200,"&gt;-6",$BR$4:$BR$200,"&gt;=70",$C$4:$C$200,"&lt;20190630",$K$4:$K$200,"&lt;=30"))</f>
        <v>-</v>
      </c>
      <c r="BH90" s="33" t="str">
        <f>IF(OR($C90&gt;20190630,$K90&gt;30,BD90="-",$D90="是",$E90="封闭期",$H90&lt;10,$BN90&lt;-6,$BR90&lt;70),"-",COUNTIFS(BD$4:BD$200,"&lt;&gt;-",$D$4:$D$200,"&lt;&gt;是",$E$4:$E$200,"&lt;&gt;封闭期",$H$4:$H$200,"&gt;10",$BN$4:$BN$200,"&gt;-6",$BR$4:$BR$200,"&gt;=70",$K$4:$K$200,"&lt;=30",$C$4:$C$200,"&lt;20190630",BD$4:BD$200,"&gt;="&amp;BD90)/COUNTIFS(BD$4:BD$200,"&lt;&gt;-",$D$4:$D$200,"&lt;&gt;是",$E$4:$E$200,"&lt;&gt;封闭期",$H$4:$H$200,"&gt;10",$BN$4:$BN$200,"&gt;-6",$BR$4:$BR$200,"&gt;=70",$C$4:$C$200,"&lt;20190630",$K$4:$K$200,"&lt;=30"))</f>
        <v>-</v>
      </c>
      <c r="BI90" s="21">
        <f>[1]!f_risk_maxdownside(A90,$AM$2,$L$2)</f>
        <v>-3.5366931918656084</v>
      </c>
      <c r="BJ90" s="19" t="str">
        <f>IFERROR(RANK(BI90,BI:BI)&amp;"/"&amp;COUNT(BI:BI),"-")</f>
        <v>112/197</v>
      </c>
      <c r="BK90" s="26">
        <f>IFERROR(RANK(BI90,BI:BI)/COUNT(BI:BI),"-")</f>
        <v>0.56852791878172593</v>
      </c>
      <c r="BL90" s="34" t="str">
        <f>IF(OR($C90&gt;20190630,$K90&gt;30,BI90="-",$D90="是",$E90="封闭期",$H90&lt;10,$BN90&lt;-6,$BR90&lt;70),"-",COUNTIFS(BI$4:BI$200,"&lt;&gt;-",$D$4:$D$200,"&lt;&gt;是",$E$4:$E$200,"&lt;&gt;封闭期",$H$4:$H$200,"&gt;10",$BN$4:$BN$200,"&gt;-6",$BR$4:$BR$200,"&gt;=70",$K$4:$K$200,"&lt;=30",$C$4:$C$200,"&lt;20190630",BI$4:BI$200,"&gt;="&amp;BI90)&amp;"/"&amp;COUNTIFS(BI$4:BI$200,"&lt;&gt;-",$D$4:$D$200,"&lt;&gt;是",$E$4:$E$200,"&lt;&gt;封闭期",$H$4:$H$200,"&gt;10",$BN$4:$BN$200,"&gt;-6",$BR$4:$BR$200,"&gt;=70",$C$4:$C$200,"&lt;20190630",$K$4:$K$200,"&lt;=30"))</f>
        <v>-</v>
      </c>
      <c r="BM90" s="33" t="str">
        <f>IF(OR($C90&gt;20190630,$K90&gt;30,BI90="-",$D90="是",$E90="封闭期",$H90&lt;10,$BN90&lt;-6,$BR90&lt;70),"-",COUNTIFS(BI$4:BI$200,"&lt;&gt;-",$D$4:$D$200,"&lt;&gt;是",$E$4:$E$200,"&lt;&gt;封闭期",$H$4:$H$200,"&gt;10",$BN$4:$BN$200,"&gt;-6",$BR$4:$BR$200,"&gt;=70",$K$4:$K$200,"&lt;=30",$C$4:$C$200,"&lt;20190630",BI$4:BI$200,"&gt;="&amp;BI90)/COUNTIFS(BI$4:BI$200,"&lt;&gt;-",$D$4:$D$200,"&lt;&gt;是",$E$4:$E$200,"&lt;&gt;封闭期",$H$4:$H$200,"&gt;10",$BN$4:$BN$200,"&gt;-6",$BR$4:$BR$200,"&gt;=70",$C$4:$C$200,"&lt;20190630",$K$4:$K$200,"&lt;=30"))</f>
        <v>-</v>
      </c>
      <c r="BN90" s="21">
        <f>[1]!f_risk_maxdownside(A90,$AM$2,$E$1)</f>
        <v>-3.5366931918656084</v>
      </c>
      <c r="BO90" s="21">
        <f>IF(C90&lt;20190930,[1]!f_return_2y(A90,"0","20210930"),"-")</f>
        <v>22.027649769585263</v>
      </c>
      <c r="BP90" s="19" t="str">
        <f>IFERROR(RANK(BO90,BO:BO)&amp;"/"&amp;COUNT(BO:BO),"-")</f>
        <v>30/197</v>
      </c>
      <c r="BQ90" s="25">
        <f>IFERROR(RANK(BO90,BO:BO)/COUNT(BO:BO),"-")</f>
        <v>0.15228426395939088</v>
      </c>
      <c r="BR90" s="19">
        <f>IF(C90&lt;20190930,[1]!f_absolute_profitmonthper(A90,"20190930","20210930"),"-")</f>
        <v>70.833333333333343</v>
      </c>
      <c r="BS90" s="19" t="str">
        <f>IFERROR(RANK(BR90,BR:BR)&amp;"/"&amp;COUNT(BR:BR),"-")</f>
        <v>55/198</v>
      </c>
      <c r="BT90" s="25">
        <f>IFERROR(RANK(BR90,BR:BR)/COUNT(BR:BR),"-")</f>
        <v>0.27777777777777779</v>
      </c>
      <c r="BV90" s="12">
        <f>X90-3/M90</f>
        <v>5.0241389493229622</v>
      </c>
      <c r="BW90" s="76">
        <f>IFERROR(RANK(BV90,BV:BV)/COUNT(BV:BV),"-")</f>
        <v>0.10152284263959391</v>
      </c>
      <c r="BX90" s="76">
        <f>IFERROR(RANK(L90,L:L)/COUNT(L:L),"-")</f>
        <v>7.0707070707070704E-2</v>
      </c>
      <c r="BY90" s="12">
        <f>AY90-3/AN90</f>
        <v>1.5702308467618886</v>
      </c>
      <c r="BZ90" s="76">
        <f>IFERROR(RANK(BY90,BY:BY)/COUNT(BY:BY),"-")</f>
        <v>0.51776649746192893</v>
      </c>
      <c r="CA90" s="76">
        <f>IFERROR(RANK(AM90,AM:AM)/COUNT(AM:AM),"-")</f>
        <v>0.44444444444444442</v>
      </c>
      <c r="CB90" s="2"/>
      <c r="CC90" s="77">
        <f>AV90+BF90+BZ90+CA90</f>
        <v>1.3784545967287083</v>
      </c>
      <c r="CD90" s="77">
        <f>BW90+BX90+AE90+U90</f>
        <v>0.20776290827052246</v>
      </c>
      <c r="CE90" s="77">
        <f>CC90+CD90</f>
        <v>1.5862175049992309</v>
      </c>
    </row>
    <row r="91" spans="1:83" s="17" customFormat="1" x14ac:dyDescent="0.35">
      <c r="A91" s="15" t="s">
        <v>125</v>
      </c>
      <c r="B91" s="15" t="s">
        <v>126</v>
      </c>
      <c r="C91" s="16">
        <v>20121009</v>
      </c>
      <c r="D91" s="16" t="str">
        <f>[1]!f_info_regulopenfundornot(A91)</f>
        <v>否</v>
      </c>
      <c r="E91" s="16" t="str">
        <f>[1]!f_dq_status(A91,$E$1)</f>
        <v>开放申购|开放赎回</v>
      </c>
      <c r="F91" s="17" t="str">
        <f>[1]!f_info_fundmanager(A91)</f>
        <v>许文波</v>
      </c>
      <c r="G91" s="16">
        <v>20180813</v>
      </c>
      <c r="H91" s="18">
        <f>[1]!f_netasset_total(A91,$E$1,100000000)</f>
        <v>10.086237795800001</v>
      </c>
      <c r="I91" s="18">
        <f>[1]!f_prt_convertiblebondtonav(A91,$E$1)</f>
        <v>19.759283065795898</v>
      </c>
      <c r="J91" s="18">
        <f>[1]!f_prt_stocktonav(A91,$E$1)+0.5*I91</f>
        <v>26.033555030822754</v>
      </c>
      <c r="K91" s="19">
        <v>11.04980888378511</v>
      </c>
      <c r="L91" s="19">
        <f>[1]!f_return($A91,"1",L$2,$E$1)</f>
        <v>5.1630691935200312</v>
      </c>
      <c r="M91" s="19">
        <f>[1]!f_risk_stdevyearly($A91,L$2,$E$1,1,1)</f>
        <v>6.3705920190884164</v>
      </c>
      <c r="N91" s="19">
        <f>IFERROR(L91/M91,"-")</f>
        <v>0.81045359333163314</v>
      </c>
      <c r="O91" s="19" t="str">
        <f>IFERROR(RANK(N91,N:N)&amp;"/"&amp;COUNT(N:N),"-")</f>
        <v>155/197</v>
      </c>
      <c r="P91" s="26">
        <f>IF(O91="-","-",RANK(N91,N:N)/COUNT(N:N))</f>
        <v>0.78680203045685282</v>
      </c>
      <c r="Q91" s="56">
        <v>0.55837563451776651</v>
      </c>
      <c r="R91" s="33" t="str">
        <f>IF(OR($C91&gt;20190630,$K91&gt;30,N91="-",$D91="是",$E91="封闭期",$H91&lt;10,$BN91&lt;-6,$BR91&lt;70),"-",COUNTIFS(N$4:N$200,"&lt;&gt;-",$D$4:$D$200,"&lt;&gt;是",$E$4:$E$200,"&lt;&gt;封闭期",$H$4:$H$200,"&gt;10",$BN$4:$BN$200,"&gt;-6",$BR$4:$BR$200,"&gt;=70",$K$4:$K$200,"&lt;=30",$C$4:$C$200,"&lt;20190630",N$4:N$200,"&gt;="&amp;N91)/COUNTIFS(N$4:N$200,"&lt;&gt;-",$D$4:$D$200,"&lt;&gt;是",$E$4:$E$200,"&lt;&gt;封闭期",$H$4:$H$200,"&gt;10",$BN$4:$BN$200,"&gt;-6",$BR$4:$BR$200,"&gt;=70",$C$4:$C$200,"&lt;20190630",$K$4:$K$200,"&lt;=30"))</f>
        <v>-</v>
      </c>
      <c r="S91" s="19">
        <f>IFERROR((L91-3)/M91,"-")</f>
        <v>0.33953974560586442</v>
      </c>
      <c r="T91" s="19" t="str">
        <f>IFERROR(RANK(S91,S:S)&amp;"/"&amp;COUNT(S:S),"-")</f>
        <v>134/197</v>
      </c>
      <c r="U91" s="26">
        <f>IFERROR(RANK(S91,S:S)/COUNT(S:S),"-")</f>
        <v>0.68020304568527923</v>
      </c>
      <c r="V91" s="34" t="str">
        <f>IF(OR($C91&gt;20190630,$K91&gt;30,S91="-",$D91="是",$E91="封闭期",$H91&lt;10,$BN91&lt;-6,$BR91&lt;70),"-",COUNTIFS(S$4:S$200,"&lt;&gt;-",$D$4:$D$200,"&lt;&gt;是",$E$4:$E$200,"&lt;&gt;封闭期",$H$4:$H$200,"&gt;10",$BN$4:$BN$200,"&gt;-6",$BR$4:$BR$200,"&gt;=70",$K$4:$K$200,"&lt;=30",$C$4:$C$200,"&lt;20190630",S$4:S$200,"&gt;="&amp;S91)&amp;"/"&amp;COUNTIFS(S$4:S$200,"&lt;&gt;-",$D$4:$D$200,"&lt;&gt;是",$E$4:$E$200,"&lt;&gt;封闭期",$H$4:$H$200,"&gt;10",$BN$4:$BN$200,"&gt;-6",$BR$4:$BR$200,"&gt;=70",$C$4:$C$200,"&lt;20190630",$K$4:$K$200,"&lt;=30"))</f>
        <v>-</v>
      </c>
      <c r="W91" s="33" t="str">
        <f>IF(OR($C91&gt;20190630,$K91&gt;30,S91="-",$D91="是",$E91="封闭期",$H91&lt;10,$BN91&lt;-6,$BR91&lt;70),"-",COUNTIFS(S$4:S$200,"&lt;&gt;-",$D$4:$D$200,"&lt;&gt;是",$E$4:$E$200,"&lt;&gt;封闭期",$H$4:$H$200,"&gt;10",$BN$4:$BN$200,"&gt;-6",$BR$4:$BR$200,"&gt;=70",$K$4:$K$200,"&lt;=30",$C$4:$C$200,"&lt;20190630",S$4:S$200,"&gt;="&amp;S91)/COUNTIFS(S$4:S$200,"&lt;&gt;-",$D$4:$D$200,"&lt;&gt;是",$E$4:$E$200,"&lt;&gt;封闭期",$H$4:$H$200,"&gt;10",$BN$4:$BN$200,"&gt;-6",$BR$4:$BR$200,"&gt;=70",$C$4:$C$200,"&lt;20190630",$K$4:$K$200,"&lt;=30"))</f>
        <v>-</v>
      </c>
      <c r="X91" s="19">
        <f>[1]!f_risk_calmar(A91,$L$2,$E$1)</f>
        <v>0.99084935657825979</v>
      </c>
      <c r="Y91" s="19" t="str">
        <f>IFERROR(RANK(X91,X:X)&amp;"/"&amp;COUNT(X:X),"-")</f>
        <v>159/197</v>
      </c>
      <c r="Z91" s="26">
        <f>IFERROR(RANK(X91,X:X)/COUNT(X:X),"-")</f>
        <v>0.80710659898477155</v>
      </c>
      <c r="AA91" s="34" t="str">
        <f>IF(OR($C91&gt;20190630,$K91&gt;30,X91="-",$D91="是",$E91="封闭期",$H91&lt;10,$BN91&lt;-6,$BR91&lt;70),"-",COUNTIFS(X$4:X$200,"&lt;&gt;-",$D$4:$D$200,"&lt;&gt;是",$E$4:$E$200,"&lt;&gt;封闭期",$H$4:$H$200,"&gt;10",$BN$4:$BN$200,"&gt;-6",$BR$4:$BR$200,"&gt;=70",$K$4:$K$200,"&lt;=30",$C$4:$C$200,"&lt;20190630",X$4:X$200,"&gt;="&amp;X91)&amp;"/"&amp;COUNTIFS(X$4:X$200,"&lt;&gt;-",$D$4:$D$200,"&lt;&gt;是",$E$4:$E$200,"&lt;&gt;封闭期",$H$4:$H$200,"&gt;10",$BN$4:$BN$200,"&gt;-6",$BR$4:$BR$200,"&gt;=70",$C$4:$C$200,"&lt;20190630",$K$4:$K$200,"&lt;=30"))</f>
        <v>-</v>
      </c>
      <c r="AB91" s="33" t="str">
        <f>IF(OR($C91&gt;20190630,$K91&gt;30,X91="-",$D91="是",$E91="封闭期",$H91&lt;10,$BN91&lt;-6,$BR91&lt;70),"-",COUNTIFS(X$4:X$200,"&lt;&gt;-",$D$4:$D$200,"&lt;&gt;是",$E$4:$E$200,"&lt;&gt;封闭期",$H$4:$H$200,"&gt;10",$BN$4:$BN$200,"&gt;-6",$BR$4:$BR$200,"&gt;=70",$K$4:$K$200,"&lt;=30",$C$4:$C$200,"&lt;20190630",X$4:X$200,"&gt;="&amp;X91)/COUNTIFS(X$4:X$200,"&lt;&gt;-",$D$4:$D$200,"&lt;&gt;是",$E$4:$E$200,"&lt;&gt;封闭期",$H$4:$H$200,"&gt;10",$BN$4:$BN$200,"&gt;-6",$BR$4:$BR$200,"&gt;=70",$C$4:$C$200,"&lt;20190630",$K$4:$K$200,"&lt;=30"))</f>
        <v>-</v>
      </c>
      <c r="AC91" s="20">
        <v>0.7142857142857143</v>
      </c>
      <c r="AD91" s="19" t="str">
        <f>IFERROR(RANK(AC91,AC:AC)&amp;"/"&amp;COUNT(AC:AC),"-")</f>
        <v>165/197</v>
      </c>
      <c r="AE91" s="26">
        <f>IFERROR(RANK(AC91,AC:AC)/COUNT(AC:AC),"-")</f>
        <v>0.8375634517766497</v>
      </c>
      <c r="AF91" s="34" t="str">
        <f>IF(OR($C91&gt;20190630,$K91&gt;30,AC91="-",$D91="是",$E91="封闭期",$H91&lt;10,$BN91&lt;-6,$BR91&lt;70),"-",COUNTIFS(AC$4:AC$200,"&lt;&gt;-",$D$4:$D$200,"&lt;&gt;是",$E$4:$E$200,"&lt;&gt;封闭期",$H$4:$H$200,"&gt;10",$BN$4:$BN$200,"&gt;-6",$BR$4:$BR$200,"&gt;=70",$K$4:$K$200,"&lt;=30",$C$4:$C$200,"&lt;20190630",AC$4:AC$200,"&gt;="&amp;AC91)&amp;"/"&amp;COUNTIFS(AC$4:AC$200,"&lt;&gt;-",$D$4:$D$200,"&lt;&gt;是",$E$4:$E$200,"&lt;&gt;封闭期",$H$4:$H$200,"&gt;10",$BN$4:$BN$200,"&gt;-6",$BR$4:$BR$200,"&gt;=70",$C$4:$C$200,"&lt;20190630",$K$4:$K$200,"&lt;=30"))</f>
        <v>-</v>
      </c>
      <c r="AG91" s="33" t="str">
        <f>IF(OR($C91&gt;20190630,$K91&gt;30,AC91="-",$D91="是",$E91="封闭期",$H91&lt;10,$BN91&lt;-6,$BR91&lt;70),"-",COUNTIFS(AC$4:AC$200,"&lt;&gt;-",$D$4:$D$200,"&lt;&gt;是",$E$4:$E$200,"&lt;&gt;封闭期",$H$4:$H$200,"&gt;10",$BN$4:$BN$200,"&gt;-6",$BR$4:$BR$200,"&gt;=70",$K$4:$K$200,"&lt;=30",$C$4:$C$200,"&lt;20190630",AC$4:AC$200,"&gt;="&amp;AC91)/COUNTIFS(AC$4:AC$200,"&lt;&gt;-",$D$4:$D$200,"&lt;&gt;是",$E$4:$E$200,"&lt;&gt;封闭期",$H$4:$H$200,"&gt;10",$BN$4:$BN$200,"&gt;-6",$BR$4:$BR$200,"&gt;=70",$C$4:$C$200,"&lt;20190630",$K$4:$K$200,"&lt;=30"))</f>
        <v>-</v>
      </c>
      <c r="AH91" s="21">
        <f>[1]!f_risk_maxdownside(A91,$L$2,$E$1)</f>
        <v>-5.2107509171221214</v>
      </c>
      <c r="AI91" s="19" t="str">
        <f>IFERROR(RANK(AH91,AH:AH)&amp;"/"&amp;COUNT(AH:AH),"-")</f>
        <v>160/197</v>
      </c>
      <c r="AJ91" s="26">
        <f>IFERROR(RANK(AH91,AH:AH)/COUNT(AH:AH),"-")</f>
        <v>0.81218274111675126</v>
      </c>
      <c r="AK91" s="34" t="str">
        <f>IF(OR($C91&gt;20190630,$K91&gt;30,AH91="-",$D91="是",$E91="封闭期",$H91&lt;10,$BN91&lt;-6,$BR91&lt;70),"-",COUNTIFS(AH$4:AH$200,"&lt;&gt;-",$D$4:$D$200,"&lt;&gt;是",$E$4:$E$200,"&lt;&gt;封闭期",$H$4:$H$200,"&gt;10",$BN$4:$BN$200,"&gt;-6",$BR$4:$BR$200,"&gt;=70",$K$4:$K$200,"&lt;=30",$C$4:$C$200,"&lt;20190630",AH$4:AH$200,"&gt;="&amp;AH91)&amp;"/"&amp;COUNTIFS(AH$4:AH$200,"&lt;&gt;-",$D$4:$D$200,"&lt;&gt;是",$E$4:$E$200,"&lt;&gt;封闭期",$H$4:$H$200,"&gt;10",$BN$4:$BN$200,"&gt;-6",$BR$4:$BR$200,"&gt;=70",$C$4:$C$200,"&lt;20190630",$K$4:$K$200,"&lt;=30"))</f>
        <v>-</v>
      </c>
      <c r="AL91" s="33" t="str">
        <f>IF(OR($C91&gt;20190630,$K91&gt;30,AH91="-",$D91="是",$E91="封闭期",$H91&lt;10,$BN91&lt;-6,$BR91&lt;70),"-",COUNTIFS(AH$4:AH$200,"&lt;&gt;-",$D$4:$D$200,"&lt;&gt;是",$E$4:$E$200,"&lt;&gt;封闭期",$H$4:$H$200,"&gt;10",$BN$4:$BN$200,"&gt;-6",$BR$4:$BR$200,"&gt;=70",$K$4:$K$200,"&lt;=30",$C$4:$C$200,"&lt;20190630",AH$4:AH$200,"&gt;="&amp;AH91)/COUNTIFS(AH$4:AH$200,"&lt;&gt;-",$D$4:$D$200,"&lt;&gt;是",$E$4:$E$200,"&lt;&gt;封闭期",$H$4:$H$200,"&gt;10",$BN$4:$BN$200,"&gt;-6",$BR$4:$BR$200,"&gt;=70",$C$4:$C$200,"&lt;20190630",$K$4:$K$200,"&lt;=30"))</f>
        <v>-</v>
      </c>
      <c r="AM91" s="19">
        <f>[1]!f_return($A91,"1",AM$2,$L$2)</f>
        <v>7.8359435888144535</v>
      </c>
      <c r="AN91" s="19">
        <f>[1]!f_risk_stdevyearly($A91,AM$2,$L$2,1,1)</f>
        <v>5.7543556427722651</v>
      </c>
      <c r="AO91" s="19">
        <f>IFERROR(AM91/AN91,"-")</f>
        <v>1.3617412748300948</v>
      </c>
      <c r="AP91" s="19" t="str">
        <f>IFERROR(RANK(AO91,AO:AO)&amp;"/"&amp;COUNT(AO:AO),"-")</f>
        <v>129/197</v>
      </c>
      <c r="AQ91" s="26">
        <f>IF(AP91="-","-",RANK(AO91,AO:AO)/COUNT(AO:AO))</f>
        <v>0.65482233502538068</v>
      </c>
      <c r="AR91" s="57">
        <v>0.4467005076142132</v>
      </c>
      <c r="AS91" s="33" t="str">
        <f>IF(OR($C91&gt;20190630,$K91&gt;30,AO91="-",$D91="是",$E91="封闭期",$H91&lt;10,$BN91&lt;-6,$BR91&lt;70),"-",COUNTIFS(AO$4:AO$200,"&lt;&gt;-",$D$4:$D$200,"&lt;&gt;是",$E$4:$E$200,"&lt;&gt;封闭期",$H$4:$H$200,"&gt;10",$BN$4:$BN$200,"&gt;-6",$BR$4:$BR$200,"&gt;=70",$K$4:$K$200,"&lt;=30",$C$4:$C$200,"&lt;20190630",AO$4:AO$200,"&gt;="&amp;AO91)/COUNTIFS(AO$4:AO$200,"&lt;&gt;-",$D$4:$D$200,"&lt;&gt;是",$E$4:$E$200,"&lt;&gt;封闭期",$H$4:$H$200,"&gt;10",$BN$4:$BN$200,"&gt;-6",$BR$4:$BR$200,"&gt;=70",$C$4:$C$200,"&lt;20190630",$K$4:$K$200,"&lt;=30"))</f>
        <v>-</v>
      </c>
      <c r="AT91" s="19">
        <f>IFERROR((AM91-3)/AN91,"-")</f>
        <v>0.84039706424621508</v>
      </c>
      <c r="AU91" s="19" t="str">
        <f>IFERROR(RANK(AT91,AT:AT)&amp;"/"&amp;COUNT(AT:AT),"-")</f>
        <v>105/197</v>
      </c>
      <c r="AV91" s="26">
        <f>IFERROR(RANK(AT91,AT:AT)/COUNT(AT:AT),"-")</f>
        <v>0.53299492385786806</v>
      </c>
      <c r="AW91" s="34" t="str">
        <f>IF(OR($C91&gt;20190630,$K91&gt;30,AT91="-",$D91="是",$E91="封闭期",$H91&lt;10,$BN91&lt;-6,$BR91&lt;70),"-",COUNTIFS(AT$4:AT$200,"&lt;&gt;-",$D$4:$D$200,"&lt;&gt;是",$E$4:$E$200,"&lt;&gt;封闭期",$H$4:$H$200,"&gt;10",$BN$4:$BN$200,"&gt;-6",$BR$4:$BR$200,"&gt;=70",$K$4:$K$200,"&lt;=30",$C$4:$C$200,"&lt;20190630",AT$4:AT$200,"&gt;="&amp;AT91)&amp;"/"&amp;COUNTIFS(AT$4:AT$200,"&lt;&gt;-",$D$4:$D$200,"&lt;&gt;是",$E$4:$E$200,"&lt;&gt;封闭期",$H$4:$H$200,"&gt;10",$BN$4:$BN$200,"&gt;-6",$BR$4:$BR$200,"&gt;=70",$C$4:$C$200,"&lt;20190630",$K$4:$K$200,"&lt;=30"))</f>
        <v>-</v>
      </c>
      <c r="AX91" s="33" t="str">
        <f>IF(OR($C91&gt;20190630,$K91&gt;30,AT91="-",$D91="是",$E91="封闭期",$H91&lt;10,$BN91&lt;-6,$BR91&lt;70),"-",COUNTIFS(AT$4:AT$200,"&lt;&gt;-",$D$4:$D$200,"&lt;&gt;是",$E$4:$E$200,"&lt;&gt;封闭期",$H$4:$H$200,"&gt;10",$BN$4:$BN$200,"&gt;-6",$BR$4:$BR$200,"&gt;=70",$K$4:$K$200,"&lt;=30",$C$4:$C$200,"&lt;20190630",AT$4:AT$200,"&gt;="&amp;AT91)/COUNTIFS(AT$4:AT$200,"&lt;&gt;-",$D$4:$D$200,"&lt;&gt;是",$E$4:$E$200,"&lt;&gt;封闭期",$H$4:$H$200,"&gt;10",$BN$4:$BN$200,"&gt;-6",$BR$4:$BR$200,"&gt;=70",$C$4:$C$200,"&lt;20190630",$K$4:$K$200,"&lt;=30"))</f>
        <v>-</v>
      </c>
      <c r="AY91" s="19">
        <f>[1]!f_risk_calmar(A91,$AM$2,$L$2)</f>
        <v>1.8915053367204573</v>
      </c>
      <c r="AZ91" s="19" t="str">
        <f>IFERROR(RANK(AY91,AY:AY)&amp;"/"&amp;COUNT(AY:AY),"-")</f>
        <v>121/197</v>
      </c>
      <c r="BA91" s="26">
        <f>IFERROR(RANK(AY91,AY:AY)/COUNT(AY:AY),"-")</f>
        <v>0.6142131979695431</v>
      </c>
      <c r="BB91" s="34" t="str">
        <f>IF(OR($C91&gt;20190630,$K91&gt;30,AY91="-",$D91="是",$E91="封闭期",$H91&lt;10,$BN91&lt;-6,$BR91&lt;70),"-",COUNTIFS(AY$4:AY$200,"&lt;&gt;-",$D$4:$D$200,"&lt;&gt;是",$E$4:$E$200,"&lt;&gt;封闭期",$H$4:$H$200,"&gt;10",$BN$4:$BN$200,"&gt;-6",$BR$4:$BR$200,"&gt;=70",$K$4:$K$200,"&lt;=30",$C$4:$C$200,"&lt;20190630",AY$4:AY$200,"&gt;="&amp;AY91)&amp;"/"&amp;COUNTIFS(AY$4:AY$200,"&lt;&gt;-",$D$4:$D$200,"&lt;&gt;是",$E$4:$E$200,"&lt;&gt;封闭期",$H$4:$H$200,"&gt;10",$BN$4:$BN$200,"&gt;-6",$BR$4:$BR$200,"&gt;=70",$C$4:$C$200,"&lt;20190630",$K$4:$K$200,"&lt;=30"))</f>
        <v>-</v>
      </c>
      <c r="BC91" s="33" t="str">
        <f>IF(OR($C91&gt;20190630,$K91&gt;30,AY91="-",$D91="是",$E91="封闭期",$H91&lt;10,$BN91&lt;-6,$BR91&lt;70),"-",COUNTIFS(AY$4:AY$200,"&lt;&gt;-",$D$4:$D$200,"&lt;&gt;是",$E$4:$E$200,"&lt;&gt;封闭期",$H$4:$H$200,"&gt;10",$BN$4:$BN$200,"&gt;-6",$BR$4:$BR$200,"&gt;=70",$K$4:$K$200,"&lt;=30",$C$4:$C$200,"&lt;20190630",AY$4:AY$200,"&gt;="&amp;AY91)/COUNTIFS(AY$4:AY$200,"&lt;&gt;-",$D$4:$D$200,"&lt;&gt;是",$E$4:$E$200,"&lt;&gt;封闭期",$H$4:$H$200,"&gt;10",$BN$4:$BN$200,"&gt;-6",$BR$4:$BR$200,"&gt;=70",$C$4:$C$200,"&lt;20190630",$K$4:$K$200,"&lt;=30"))</f>
        <v>-</v>
      </c>
      <c r="BD91" s="20">
        <v>1</v>
      </c>
      <c r="BE91" s="19" t="str">
        <f>IFERROR(RANK(BD91,BD:BD)&amp;"/"&amp;COUNT(BD:BD),"-")</f>
        <v>1/197</v>
      </c>
      <c r="BF91" s="26">
        <f>IFERROR(RANK(BD91,BD:BD)/COUNT(BD:BD),"-")</f>
        <v>5.076142131979695E-3</v>
      </c>
      <c r="BG91" s="34" t="str">
        <f>IF(OR($C91&gt;20190630,$K91&gt;30,BD91="-",$D91="是",$E91="封闭期",$H91&lt;10,$BN91&lt;-6,$BR91&lt;70),"-",COUNTIFS(BD$4:BD$200,"&lt;&gt;-",$D$4:$D$200,"&lt;&gt;是",$E$4:$E$200,"&lt;&gt;封闭期",$H$4:$H$200,"&gt;10",$BN$4:$BN$200,"&gt;-6",$BR$4:$BR$200,"&gt;=70",$K$4:$K$200,"&lt;=30",$C$4:$C$200,"&lt;20190630",BD$4:BD$200,"&gt;="&amp;BD91)&amp;"/"&amp;COUNTIFS(BD$4:BD$200,"&lt;&gt;-",$D$4:$D$200,"&lt;&gt;是",$E$4:$E$200,"&lt;&gt;封闭期",$H$4:$H$200,"&gt;10",$BN$4:$BN$200,"&gt;-6",$BR$4:$BR$200,"&gt;=70",$C$4:$C$200,"&lt;20190630",$K$4:$K$200,"&lt;=30"))</f>
        <v>-</v>
      </c>
      <c r="BH91" s="33" t="str">
        <f>IF(OR($C91&gt;20190630,$K91&gt;30,BD91="-",$D91="是",$E91="封闭期",$H91&lt;10,$BN91&lt;-6,$BR91&lt;70),"-",COUNTIFS(BD$4:BD$200,"&lt;&gt;-",$D$4:$D$200,"&lt;&gt;是",$E$4:$E$200,"&lt;&gt;封闭期",$H$4:$H$200,"&gt;10",$BN$4:$BN$200,"&gt;-6",$BR$4:$BR$200,"&gt;=70",$K$4:$K$200,"&lt;=30",$C$4:$C$200,"&lt;20190630",BD$4:BD$200,"&gt;="&amp;BD91)/COUNTIFS(BD$4:BD$200,"&lt;&gt;-",$D$4:$D$200,"&lt;&gt;是",$E$4:$E$200,"&lt;&gt;封闭期",$H$4:$H$200,"&gt;10",$BN$4:$BN$200,"&gt;-6",$BR$4:$BR$200,"&gt;=70",$C$4:$C$200,"&lt;20190630",$K$4:$K$200,"&lt;=30"))</f>
        <v>-</v>
      </c>
      <c r="BI91" s="21">
        <f>[1]!f_risk_maxdownside(A91,$AM$2,$L$2)</f>
        <v>-4.1427023422522415</v>
      </c>
      <c r="BJ91" s="19" t="str">
        <f>IFERROR(RANK(BI91,BI:BI)&amp;"/"&amp;COUNT(BI:BI),"-")</f>
        <v>135/197</v>
      </c>
      <c r="BK91" s="26">
        <f>IFERROR(RANK(BI91,BI:BI)/COUNT(BI:BI),"-")</f>
        <v>0.68527918781725883</v>
      </c>
      <c r="BL91" s="34" t="str">
        <f>IF(OR($C91&gt;20190630,$K91&gt;30,BI91="-",$D91="是",$E91="封闭期",$H91&lt;10,$BN91&lt;-6,$BR91&lt;70),"-",COUNTIFS(BI$4:BI$200,"&lt;&gt;-",$D$4:$D$200,"&lt;&gt;是",$E$4:$E$200,"&lt;&gt;封闭期",$H$4:$H$200,"&gt;10",$BN$4:$BN$200,"&gt;-6",$BR$4:$BR$200,"&gt;=70",$K$4:$K$200,"&lt;=30",$C$4:$C$200,"&lt;20190630",BI$4:BI$200,"&gt;="&amp;BI91)&amp;"/"&amp;COUNTIFS(BI$4:BI$200,"&lt;&gt;-",$D$4:$D$200,"&lt;&gt;是",$E$4:$E$200,"&lt;&gt;封闭期",$H$4:$H$200,"&gt;10",$BN$4:$BN$200,"&gt;-6",$BR$4:$BR$200,"&gt;=70",$C$4:$C$200,"&lt;20190630",$K$4:$K$200,"&lt;=30"))</f>
        <v>-</v>
      </c>
      <c r="BM91" s="33" t="str">
        <f>IF(OR($C91&gt;20190630,$K91&gt;30,BI91="-",$D91="是",$E91="封闭期",$H91&lt;10,$BN91&lt;-6,$BR91&lt;70),"-",COUNTIFS(BI$4:BI$200,"&lt;&gt;-",$D$4:$D$200,"&lt;&gt;是",$E$4:$E$200,"&lt;&gt;封闭期",$H$4:$H$200,"&gt;10",$BN$4:$BN$200,"&gt;-6",$BR$4:$BR$200,"&gt;=70",$K$4:$K$200,"&lt;=30",$C$4:$C$200,"&lt;20190630",BI$4:BI$200,"&gt;="&amp;BI91)/COUNTIFS(BI$4:BI$200,"&lt;&gt;-",$D$4:$D$200,"&lt;&gt;是",$E$4:$E$200,"&lt;&gt;封闭期",$H$4:$H$200,"&gt;10",$BN$4:$BN$200,"&gt;-6",$BR$4:$BR$200,"&gt;=70",$C$4:$C$200,"&lt;20190630",$K$4:$K$200,"&lt;=30"))</f>
        <v>-</v>
      </c>
      <c r="BN91" s="21">
        <f>[1]!f_risk_maxdownside(A91,$AM$2,$E$1)</f>
        <v>-5.2107509171221214</v>
      </c>
      <c r="BO91" s="21">
        <f>IF(C91&lt;20190930,[1]!f_return_2y(A91,"0","20210930"),"-")</f>
        <v>13.347863993025278</v>
      </c>
      <c r="BP91" s="19" t="str">
        <f>IFERROR(RANK(BO91,BO:BO)&amp;"/"&amp;COUNT(BO:BO),"-")</f>
        <v>100/197</v>
      </c>
      <c r="BQ91" s="25">
        <f>IFERROR(RANK(BO91,BO:BO)/COUNT(BO:BO),"-")</f>
        <v>0.50761421319796951</v>
      </c>
      <c r="BR91" s="19">
        <f>IF(C91&lt;20190930,[1]!f_absolute_profitmonthper(A91,"20190930","20210930"),"-")</f>
        <v>66.666666666666657</v>
      </c>
      <c r="BS91" s="19" t="str">
        <f>IFERROR(RANK(BR91,BR:BR)&amp;"/"&amp;COUNT(BR:BR),"-")</f>
        <v>115/198</v>
      </c>
      <c r="BT91" s="25">
        <f>IFERROR(RANK(BR91,BR:BR)/COUNT(BR:BR),"-")</f>
        <v>0.58080808080808077</v>
      </c>
      <c r="BV91" s="12">
        <f>X91-3/M91</f>
        <v>0.51993550885249107</v>
      </c>
      <c r="BW91" s="76">
        <f>IFERROR(RANK(BV91,BV:BV)/COUNT(BV:BV),"-")</f>
        <v>0.73604060913705582</v>
      </c>
      <c r="BX91" s="76">
        <f>IFERROR(RANK(L91,L:L)/COUNT(L:L),"-")</f>
        <v>0.56060606060606055</v>
      </c>
      <c r="BY91" s="12">
        <f>AY91-3/AN91</f>
        <v>1.3701611261365776</v>
      </c>
      <c r="BZ91" s="76">
        <f>IFERROR(RANK(BY91,BY:BY)/COUNT(BY:BY),"-")</f>
        <v>0.58375634517766495</v>
      </c>
      <c r="CA91" s="76">
        <f>IFERROR(RANK(AM91,AM:AM)/COUNT(AM:AM),"-")</f>
        <v>0.4494949494949495</v>
      </c>
      <c r="CB91" s="2"/>
      <c r="CC91" s="77">
        <f>AV91+BF91+BZ91+CA91</f>
        <v>1.571322360662462</v>
      </c>
      <c r="CD91" s="77">
        <f>BW91+BX91+AE91+U91</f>
        <v>2.8144131672050454</v>
      </c>
      <c r="CE91" s="77">
        <f>CC91+CD91</f>
        <v>4.3857355278675074</v>
      </c>
    </row>
    <row r="92" spans="1:83" s="2" customFormat="1" x14ac:dyDescent="0.35">
      <c r="A92" s="15" t="s">
        <v>33</v>
      </c>
      <c r="B92" s="15" t="s">
        <v>34</v>
      </c>
      <c r="C92" s="16">
        <v>20080528</v>
      </c>
      <c r="D92" s="16" t="str">
        <f>[1]!f_info_regulopenfundornot(A92)</f>
        <v>否</v>
      </c>
      <c r="E92" s="16" t="str">
        <f>[1]!f_dq_status(A92,$E$1)</f>
        <v>开放申购|开放赎回</v>
      </c>
      <c r="F92" s="17" t="str">
        <f>[1]!f_info_fundmanager(A92)</f>
        <v>刘太阳</v>
      </c>
      <c r="G92" s="16">
        <v>20160804</v>
      </c>
      <c r="H92" s="18">
        <f>[1]!f_netasset_total(A92,$E$1,100000000)</f>
        <v>27.8075567355</v>
      </c>
      <c r="I92" s="18">
        <f>[1]!f_prt_convertiblebondtonav(A92,$E$1)</f>
        <v>3.133962869644165</v>
      </c>
      <c r="J92" s="18">
        <f>[1]!f_prt_stocktonav(A92,$E$1)+0.5*I92</f>
        <v>16.560962796211243</v>
      </c>
      <c r="K92" s="19">
        <v>3.9530621494576068</v>
      </c>
      <c r="L92" s="19">
        <f>[1]!f_return($A92,"1",L$2,$E$1)</f>
        <v>8.3732120924103768</v>
      </c>
      <c r="M92" s="19">
        <f>[1]!f_risk_stdevyearly($A92,L$2,$E$1,1,1)</f>
        <v>8.1944516070113398</v>
      </c>
      <c r="N92" s="19">
        <f>IFERROR(L92/M92,"-")</f>
        <v>1.0218148198283441</v>
      </c>
      <c r="O92" s="19" t="str">
        <f>IFERROR(RANK(N92,N:N)&amp;"/"&amp;COUNT(N:N),"-")</f>
        <v>139/197</v>
      </c>
      <c r="P92" s="26">
        <f>IF(O92="-","-",RANK(N92,N:N)/COUNT(N:N))</f>
        <v>0.70558375634517767</v>
      </c>
      <c r="Q92" s="56">
        <v>0.24873096446700507</v>
      </c>
      <c r="R92" s="33" t="str">
        <f>IF(OR($C92&gt;20190630,$K92&gt;30,N92="-",$D92="是",$E92="封闭期",$H92&lt;10,$BN92&lt;-6,$BR92&lt;70),"-",COUNTIFS(N$4:N$200,"&lt;&gt;-",$D$4:$D$200,"&lt;&gt;是",$E$4:$E$200,"&lt;&gt;封闭期",$H$4:$H$200,"&gt;10",$BN$4:$BN$200,"&gt;-6",$BR$4:$BR$200,"&gt;=70",$K$4:$K$200,"&lt;=30",$C$4:$C$200,"&lt;20190630",N$4:N$200,"&gt;="&amp;N92)/COUNTIFS(N$4:N$200,"&lt;&gt;-",$D$4:$D$200,"&lt;&gt;是",$E$4:$E$200,"&lt;&gt;封闭期",$H$4:$H$200,"&gt;10",$BN$4:$BN$200,"&gt;-6",$BR$4:$BR$200,"&gt;=70",$C$4:$C$200,"&lt;20190630",$K$4:$K$200,"&lt;=30"))</f>
        <v>-</v>
      </c>
      <c r="S92" s="19">
        <f>IFERROR((L92-3)/M92,"-")</f>
        <v>0.65571344491350059</v>
      </c>
      <c r="T92" s="19" t="str">
        <f>IFERROR(RANK(S92,S:S)&amp;"/"&amp;COUNT(S:S),"-")</f>
        <v>109/197</v>
      </c>
      <c r="U92" s="26">
        <f>IFERROR(RANK(S92,S:S)/COUNT(S:S),"-")</f>
        <v>0.5532994923857868</v>
      </c>
      <c r="V92" s="34" t="str">
        <f>IF(OR($C92&gt;20190630,$K92&gt;30,S92="-",$D92="是",$E92="封闭期",$H92&lt;10,$BN92&lt;-6,$BR92&lt;70),"-",COUNTIFS(S$4:S$200,"&lt;&gt;-",$D$4:$D$200,"&lt;&gt;是",$E$4:$E$200,"&lt;&gt;封闭期",$H$4:$H$200,"&gt;10",$BN$4:$BN$200,"&gt;-6",$BR$4:$BR$200,"&gt;=70",$K$4:$K$200,"&lt;=30",$C$4:$C$200,"&lt;20190630",S$4:S$200,"&gt;="&amp;S92)&amp;"/"&amp;COUNTIFS(S$4:S$200,"&lt;&gt;-",$D$4:$D$200,"&lt;&gt;是",$E$4:$E$200,"&lt;&gt;封闭期",$H$4:$H$200,"&gt;10",$BN$4:$BN$200,"&gt;-6",$BR$4:$BR$200,"&gt;=70",$C$4:$C$200,"&lt;20190630",$K$4:$K$200,"&lt;=30"))</f>
        <v>-</v>
      </c>
      <c r="W92" s="33" t="str">
        <f>IF(OR($C92&gt;20190630,$K92&gt;30,S92="-",$D92="是",$E92="封闭期",$H92&lt;10,$BN92&lt;-6,$BR92&lt;70),"-",COUNTIFS(S$4:S$200,"&lt;&gt;-",$D$4:$D$200,"&lt;&gt;是",$E$4:$E$200,"&lt;&gt;封闭期",$H$4:$H$200,"&gt;10",$BN$4:$BN$200,"&gt;-6",$BR$4:$BR$200,"&gt;=70",$K$4:$K$200,"&lt;=30",$C$4:$C$200,"&lt;20190630",S$4:S$200,"&gt;="&amp;S92)/COUNTIFS(S$4:S$200,"&lt;&gt;-",$D$4:$D$200,"&lt;&gt;是",$E$4:$E$200,"&lt;&gt;封闭期",$H$4:$H$200,"&gt;10",$BN$4:$BN$200,"&gt;-6",$BR$4:$BR$200,"&gt;=70",$C$4:$C$200,"&lt;20190630",$K$4:$K$200,"&lt;=30"))</f>
        <v>-</v>
      </c>
      <c r="X92" s="19">
        <f>[1]!f_risk_calmar(A92,$L$2,$E$1)</f>
        <v>1.3938935424424357</v>
      </c>
      <c r="Y92" s="19" t="str">
        <f>IFERROR(RANK(X92,X:X)&amp;"/"&amp;COUNT(X:X),"-")</f>
        <v>134/197</v>
      </c>
      <c r="Z92" s="26">
        <f>IFERROR(RANK(X92,X:X)/COUNT(X:X),"-")</f>
        <v>0.68020304568527923</v>
      </c>
      <c r="AA92" s="34" t="str">
        <f>IF(OR($C92&gt;20190630,$K92&gt;30,X92="-",$D92="是",$E92="封闭期",$H92&lt;10,$BN92&lt;-6,$BR92&lt;70),"-",COUNTIFS(X$4:X$200,"&lt;&gt;-",$D$4:$D$200,"&lt;&gt;是",$E$4:$E$200,"&lt;&gt;封闭期",$H$4:$H$200,"&gt;10",$BN$4:$BN$200,"&gt;-6",$BR$4:$BR$200,"&gt;=70",$K$4:$K$200,"&lt;=30",$C$4:$C$200,"&lt;20190630",X$4:X$200,"&gt;="&amp;X92)&amp;"/"&amp;COUNTIFS(X$4:X$200,"&lt;&gt;-",$D$4:$D$200,"&lt;&gt;是",$E$4:$E$200,"&lt;&gt;封闭期",$H$4:$H$200,"&gt;10",$BN$4:$BN$200,"&gt;-6",$BR$4:$BR$200,"&gt;=70",$C$4:$C$200,"&lt;20190630",$K$4:$K$200,"&lt;=30"))</f>
        <v>-</v>
      </c>
      <c r="AB92" s="33" t="str">
        <f>IF(OR($C92&gt;20190630,$K92&gt;30,X92="-",$D92="是",$E92="封闭期",$H92&lt;10,$BN92&lt;-6,$BR92&lt;70),"-",COUNTIFS(X$4:X$200,"&lt;&gt;-",$D$4:$D$200,"&lt;&gt;是",$E$4:$E$200,"&lt;&gt;封闭期",$H$4:$H$200,"&gt;10",$BN$4:$BN$200,"&gt;-6",$BR$4:$BR$200,"&gt;=70",$K$4:$K$200,"&lt;=30",$C$4:$C$200,"&lt;20190630",X$4:X$200,"&gt;="&amp;X92)/COUNTIFS(X$4:X$200,"&lt;&gt;-",$D$4:$D$200,"&lt;&gt;是",$E$4:$E$200,"&lt;&gt;封闭期",$H$4:$H$200,"&gt;10",$BN$4:$BN$200,"&gt;-6",$BR$4:$BR$200,"&gt;=70",$C$4:$C$200,"&lt;20190630",$K$4:$K$200,"&lt;=30"))</f>
        <v>-</v>
      </c>
      <c r="AC92" s="20">
        <v>0.94957983193277307</v>
      </c>
      <c r="AD92" s="19" t="str">
        <f>IFERROR(RANK(AC92,AC:AC)&amp;"/"&amp;COUNT(AC:AC),"-")</f>
        <v>111/197</v>
      </c>
      <c r="AE92" s="26">
        <f>IFERROR(RANK(AC92,AC:AC)/COUNT(AC:AC),"-")</f>
        <v>0.56345177664974622</v>
      </c>
      <c r="AF92" s="34" t="str">
        <f>IF(OR($C92&gt;20190630,$K92&gt;30,AC92="-",$D92="是",$E92="封闭期",$H92&lt;10,$BN92&lt;-6,$BR92&lt;70),"-",COUNTIFS(AC$4:AC$200,"&lt;&gt;-",$D$4:$D$200,"&lt;&gt;是",$E$4:$E$200,"&lt;&gt;封闭期",$H$4:$H$200,"&gt;10",$BN$4:$BN$200,"&gt;-6",$BR$4:$BR$200,"&gt;=70",$K$4:$K$200,"&lt;=30",$C$4:$C$200,"&lt;20190630",AC$4:AC$200,"&gt;="&amp;AC92)&amp;"/"&amp;COUNTIFS(AC$4:AC$200,"&lt;&gt;-",$D$4:$D$200,"&lt;&gt;是",$E$4:$E$200,"&lt;&gt;封闭期",$H$4:$H$200,"&gt;10",$BN$4:$BN$200,"&gt;-6",$BR$4:$BR$200,"&gt;=70",$C$4:$C$200,"&lt;20190630",$K$4:$K$200,"&lt;=30"))</f>
        <v>-</v>
      </c>
      <c r="AG92" s="33" t="str">
        <f>IF(OR($C92&gt;20190630,$K92&gt;30,AC92="-",$D92="是",$E92="封闭期",$H92&lt;10,$BN92&lt;-6,$BR92&lt;70),"-",COUNTIFS(AC$4:AC$200,"&lt;&gt;-",$D$4:$D$200,"&lt;&gt;是",$E$4:$E$200,"&lt;&gt;封闭期",$H$4:$H$200,"&gt;10",$BN$4:$BN$200,"&gt;-6",$BR$4:$BR$200,"&gt;=70",$K$4:$K$200,"&lt;=30",$C$4:$C$200,"&lt;20190630",AC$4:AC$200,"&gt;="&amp;AC92)/COUNTIFS(AC$4:AC$200,"&lt;&gt;-",$D$4:$D$200,"&lt;&gt;是",$E$4:$E$200,"&lt;&gt;封闭期",$H$4:$H$200,"&gt;10",$BN$4:$BN$200,"&gt;-6",$BR$4:$BR$200,"&gt;=70",$C$4:$C$200,"&lt;20190630",$K$4:$K$200,"&lt;=30"))</f>
        <v>-</v>
      </c>
      <c r="AH92" s="21">
        <f>[1]!f_risk_maxdownside(A92,$L$2,$E$1)</f>
        <v>-6.0070671378091767</v>
      </c>
      <c r="AI92" s="19" t="str">
        <f>IFERROR(RANK(AH92,AH:AH)&amp;"/"&amp;COUNT(AH:AH),"-")</f>
        <v>175/197</v>
      </c>
      <c r="AJ92" s="26">
        <f>IFERROR(RANK(AH92,AH:AH)/COUNT(AH:AH),"-")</f>
        <v>0.8883248730964467</v>
      </c>
      <c r="AK92" s="34" t="str">
        <f>IF(OR($C92&gt;20190630,$K92&gt;30,AH92="-",$D92="是",$E92="封闭期",$H92&lt;10,$BN92&lt;-6,$BR92&lt;70),"-",COUNTIFS(AH$4:AH$200,"&lt;&gt;-",$D$4:$D$200,"&lt;&gt;是",$E$4:$E$200,"&lt;&gt;封闭期",$H$4:$H$200,"&gt;10",$BN$4:$BN$200,"&gt;-6",$BR$4:$BR$200,"&gt;=70",$K$4:$K$200,"&lt;=30",$C$4:$C$200,"&lt;20190630",AH$4:AH$200,"&gt;="&amp;AH92)&amp;"/"&amp;COUNTIFS(AH$4:AH$200,"&lt;&gt;-",$D$4:$D$200,"&lt;&gt;是",$E$4:$E$200,"&lt;&gt;封闭期",$H$4:$H$200,"&gt;10",$BN$4:$BN$200,"&gt;-6",$BR$4:$BR$200,"&gt;=70",$C$4:$C$200,"&lt;20190630",$K$4:$K$200,"&lt;=30"))</f>
        <v>-</v>
      </c>
      <c r="AL92" s="33" t="str">
        <f>IF(OR($C92&gt;20190630,$K92&gt;30,AH92="-",$D92="是",$E92="封闭期",$H92&lt;10,$BN92&lt;-6,$BR92&lt;70),"-",COUNTIFS(AH$4:AH$200,"&lt;&gt;-",$D$4:$D$200,"&lt;&gt;是",$E$4:$E$200,"&lt;&gt;封闭期",$H$4:$H$200,"&gt;10",$BN$4:$BN$200,"&gt;-6",$BR$4:$BR$200,"&gt;=70",$K$4:$K$200,"&lt;=30",$C$4:$C$200,"&lt;20190630",AH$4:AH$200,"&gt;="&amp;AH92)/COUNTIFS(AH$4:AH$200,"&lt;&gt;-",$D$4:$D$200,"&lt;&gt;是",$E$4:$E$200,"&lt;&gt;封闭期",$H$4:$H$200,"&gt;10",$BN$4:$BN$200,"&gt;-6",$BR$4:$BR$200,"&gt;=70",$C$4:$C$200,"&lt;20190630",$K$4:$K$200,"&lt;=30"))</f>
        <v>-</v>
      </c>
      <c r="AM92" s="19">
        <f>[1]!f_return($A92,"1",AM$2,$L$2)</f>
        <v>7.8192946667896335</v>
      </c>
      <c r="AN92" s="19">
        <f>[1]!f_risk_stdevyearly($A92,AM$2,$L$2,1,1)</f>
        <v>6.5183522502829581</v>
      </c>
      <c r="AO92" s="19">
        <f>IFERROR(AM92/AN92,"-")</f>
        <v>1.1995814841780301</v>
      </c>
      <c r="AP92" s="19" t="str">
        <f>IFERROR(RANK(AO92,AO:AO)&amp;"/"&amp;COUNT(AO:AO),"-")</f>
        <v>144/197</v>
      </c>
      <c r="AQ92" s="26">
        <f>IF(AP92="-","-",RANK(AO92,AO:AO)/COUNT(AO:AO))</f>
        <v>0.73096446700507611</v>
      </c>
      <c r="AR92" s="57">
        <v>0.45177664974619292</v>
      </c>
      <c r="AS92" s="33" t="str">
        <f>IF(OR($C92&gt;20190630,$K92&gt;30,AO92="-",$D92="是",$E92="封闭期",$H92&lt;10,$BN92&lt;-6,$BR92&lt;70),"-",COUNTIFS(AO$4:AO$200,"&lt;&gt;-",$D$4:$D$200,"&lt;&gt;是",$E$4:$E$200,"&lt;&gt;封闭期",$H$4:$H$200,"&gt;10",$BN$4:$BN$200,"&gt;-6",$BR$4:$BR$200,"&gt;=70",$K$4:$K$200,"&lt;=30",$C$4:$C$200,"&lt;20190630",AO$4:AO$200,"&gt;="&amp;AO92)/COUNTIFS(AO$4:AO$200,"&lt;&gt;-",$D$4:$D$200,"&lt;&gt;是",$E$4:$E$200,"&lt;&gt;封闭期",$H$4:$H$200,"&gt;10",$BN$4:$BN$200,"&gt;-6",$BR$4:$BR$200,"&gt;=70",$C$4:$C$200,"&lt;20190630",$K$4:$K$200,"&lt;=30"))</f>
        <v>-</v>
      </c>
      <c r="AT92" s="19">
        <f>IFERROR((AM92-3)/AN92,"-")</f>
        <v>0.73934247210718484</v>
      </c>
      <c r="AU92" s="19" t="str">
        <f>IFERROR(RANK(AT92,AT:AT)&amp;"/"&amp;COUNT(AT:AT),"-")</f>
        <v>116/197</v>
      </c>
      <c r="AV92" s="26">
        <f>IFERROR(RANK(AT92,AT:AT)/COUNT(AT:AT),"-")</f>
        <v>0.58883248730964466</v>
      </c>
      <c r="AW92" s="34" t="str">
        <f>IF(OR($C92&gt;20190630,$K92&gt;30,AT92="-",$D92="是",$E92="封闭期",$H92&lt;10,$BN92&lt;-6,$BR92&lt;70),"-",COUNTIFS(AT$4:AT$200,"&lt;&gt;-",$D$4:$D$200,"&lt;&gt;是",$E$4:$E$200,"&lt;&gt;封闭期",$H$4:$H$200,"&gt;10",$BN$4:$BN$200,"&gt;-6",$BR$4:$BR$200,"&gt;=70",$K$4:$K$200,"&lt;=30",$C$4:$C$200,"&lt;20190630",AT$4:AT$200,"&gt;="&amp;AT92)&amp;"/"&amp;COUNTIFS(AT$4:AT$200,"&lt;&gt;-",$D$4:$D$200,"&lt;&gt;是",$E$4:$E$200,"&lt;&gt;封闭期",$H$4:$H$200,"&gt;10",$BN$4:$BN$200,"&gt;-6",$BR$4:$BR$200,"&gt;=70",$C$4:$C$200,"&lt;20190630",$K$4:$K$200,"&lt;=30"))</f>
        <v>-</v>
      </c>
      <c r="AX92" s="33" t="str">
        <f>IF(OR($C92&gt;20190630,$K92&gt;30,AT92="-",$D92="是",$E92="封闭期",$H92&lt;10,$BN92&lt;-6,$BR92&lt;70),"-",COUNTIFS(AT$4:AT$200,"&lt;&gt;-",$D$4:$D$200,"&lt;&gt;是",$E$4:$E$200,"&lt;&gt;封闭期",$H$4:$H$200,"&gt;10",$BN$4:$BN$200,"&gt;-6",$BR$4:$BR$200,"&gt;=70",$K$4:$K$200,"&lt;=30",$C$4:$C$200,"&lt;20190630",AT$4:AT$200,"&gt;="&amp;AT92)/COUNTIFS(AT$4:AT$200,"&lt;&gt;-",$D$4:$D$200,"&lt;&gt;是",$E$4:$E$200,"&lt;&gt;封闭期",$H$4:$H$200,"&gt;10",$BN$4:$BN$200,"&gt;-6",$BR$4:$BR$200,"&gt;=70",$C$4:$C$200,"&lt;20190630",$K$4:$K$200,"&lt;=30"))</f>
        <v>-</v>
      </c>
      <c r="AY92" s="19">
        <f>[1]!f_risk_calmar(A92,$AM$2,$L$2)</f>
        <v>1.2906250634098586</v>
      </c>
      <c r="AZ92" s="19" t="str">
        <f>IFERROR(RANK(AY92,AY:AY)&amp;"/"&amp;COUNT(AY:AY),"-")</f>
        <v>152/197</v>
      </c>
      <c r="BA92" s="26">
        <f>IFERROR(RANK(AY92,AY:AY)/COUNT(AY:AY),"-")</f>
        <v>0.77157360406091369</v>
      </c>
      <c r="BB92" s="34" t="str">
        <f>IF(OR($C92&gt;20190630,$K92&gt;30,AY92="-",$D92="是",$E92="封闭期",$H92&lt;10,$BN92&lt;-6,$BR92&lt;70),"-",COUNTIFS(AY$4:AY$200,"&lt;&gt;-",$D$4:$D$200,"&lt;&gt;是",$E$4:$E$200,"&lt;&gt;封闭期",$H$4:$H$200,"&gt;10",$BN$4:$BN$200,"&gt;-6",$BR$4:$BR$200,"&gt;=70",$K$4:$K$200,"&lt;=30",$C$4:$C$200,"&lt;20190630",AY$4:AY$200,"&gt;="&amp;AY92)&amp;"/"&amp;COUNTIFS(AY$4:AY$200,"&lt;&gt;-",$D$4:$D$200,"&lt;&gt;是",$E$4:$E$200,"&lt;&gt;封闭期",$H$4:$H$200,"&gt;10",$BN$4:$BN$200,"&gt;-6",$BR$4:$BR$200,"&gt;=70",$C$4:$C$200,"&lt;20190630",$K$4:$K$200,"&lt;=30"))</f>
        <v>-</v>
      </c>
      <c r="BC92" s="33" t="str">
        <f>IF(OR($C92&gt;20190630,$K92&gt;30,AY92="-",$D92="是",$E92="封闭期",$H92&lt;10,$BN92&lt;-6,$BR92&lt;70),"-",COUNTIFS(AY$4:AY$200,"&lt;&gt;-",$D$4:$D$200,"&lt;&gt;是",$E$4:$E$200,"&lt;&gt;封闭期",$H$4:$H$200,"&gt;10",$BN$4:$BN$200,"&gt;-6",$BR$4:$BR$200,"&gt;=70",$K$4:$K$200,"&lt;=30",$C$4:$C$200,"&lt;20190630",AY$4:AY$200,"&gt;="&amp;AY92)/COUNTIFS(AY$4:AY$200,"&lt;&gt;-",$D$4:$D$200,"&lt;&gt;是",$E$4:$E$200,"&lt;&gt;封闭期",$H$4:$H$200,"&gt;10",$BN$4:$BN$200,"&gt;-6",$BR$4:$BR$200,"&gt;=70",$C$4:$C$200,"&lt;20190630",$K$4:$K$200,"&lt;=30"))</f>
        <v>-</v>
      </c>
      <c r="BD92" s="20">
        <v>1</v>
      </c>
      <c r="BE92" s="19" t="str">
        <f>IFERROR(RANK(BD92,BD:BD)&amp;"/"&amp;COUNT(BD:BD),"-")</f>
        <v>1/197</v>
      </c>
      <c r="BF92" s="26">
        <f>IFERROR(RANK(BD92,BD:BD)/COUNT(BD:BD),"-")</f>
        <v>5.076142131979695E-3</v>
      </c>
      <c r="BG92" s="34" t="str">
        <f>IF(OR($C92&gt;20190630,$K92&gt;30,BD92="-",$D92="是",$E92="封闭期",$H92&lt;10,$BN92&lt;-6,$BR92&lt;70),"-",COUNTIFS(BD$4:BD$200,"&lt;&gt;-",$D$4:$D$200,"&lt;&gt;是",$E$4:$E$200,"&lt;&gt;封闭期",$H$4:$H$200,"&gt;10",$BN$4:$BN$200,"&gt;-6",$BR$4:$BR$200,"&gt;=70",$K$4:$K$200,"&lt;=30",$C$4:$C$200,"&lt;20190630",BD$4:BD$200,"&gt;="&amp;BD92)&amp;"/"&amp;COUNTIFS(BD$4:BD$200,"&lt;&gt;-",$D$4:$D$200,"&lt;&gt;是",$E$4:$E$200,"&lt;&gt;封闭期",$H$4:$H$200,"&gt;10",$BN$4:$BN$200,"&gt;-6",$BR$4:$BR$200,"&gt;=70",$C$4:$C$200,"&lt;20190630",$K$4:$K$200,"&lt;=30"))</f>
        <v>-</v>
      </c>
      <c r="BH92" s="33" t="str">
        <f>IF(OR($C92&gt;20190630,$K92&gt;30,BD92="-",$D92="是",$E92="封闭期",$H92&lt;10,$BN92&lt;-6,$BR92&lt;70),"-",COUNTIFS(BD$4:BD$200,"&lt;&gt;-",$D$4:$D$200,"&lt;&gt;是",$E$4:$E$200,"&lt;&gt;封闭期",$H$4:$H$200,"&gt;10",$BN$4:$BN$200,"&gt;-6",$BR$4:$BR$200,"&gt;=70",$K$4:$K$200,"&lt;=30",$C$4:$C$200,"&lt;20190630",BD$4:BD$200,"&gt;="&amp;BD92)/COUNTIFS(BD$4:BD$200,"&lt;&gt;-",$D$4:$D$200,"&lt;&gt;是",$E$4:$E$200,"&lt;&gt;封闭期",$H$4:$H$200,"&gt;10",$BN$4:$BN$200,"&gt;-6",$BR$4:$BR$200,"&gt;=70",$C$4:$C$200,"&lt;20190630",$K$4:$K$200,"&lt;=30"))</f>
        <v>-</v>
      </c>
      <c r="BI92" s="21">
        <f>[1]!f_risk_maxdownside(A92,$AM$2,$L$2)</f>
        <v>-6.0585331003342615</v>
      </c>
      <c r="BJ92" s="19" t="str">
        <f>IFERROR(RANK(BI92,BI:BI)&amp;"/"&amp;COUNT(BI:BI),"-")</f>
        <v>169/197</v>
      </c>
      <c r="BK92" s="26">
        <f>IFERROR(RANK(BI92,BI:BI)/COUNT(BI:BI),"-")</f>
        <v>0.85786802030456855</v>
      </c>
      <c r="BL92" s="34" t="str">
        <f>IF(OR($C92&gt;20190630,$K92&gt;30,BI92="-",$D92="是",$E92="封闭期",$H92&lt;10,$BN92&lt;-6,$BR92&lt;70),"-",COUNTIFS(BI$4:BI$200,"&lt;&gt;-",$D$4:$D$200,"&lt;&gt;是",$E$4:$E$200,"&lt;&gt;封闭期",$H$4:$H$200,"&gt;10",$BN$4:$BN$200,"&gt;-6",$BR$4:$BR$200,"&gt;=70",$K$4:$K$200,"&lt;=30",$C$4:$C$200,"&lt;20190630",BI$4:BI$200,"&gt;="&amp;BI92)&amp;"/"&amp;COUNTIFS(BI$4:BI$200,"&lt;&gt;-",$D$4:$D$200,"&lt;&gt;是",$E$4:$E$200,"&lt;&gt;封闭期",$H$4:$H$200,"&gt;10",$BN$4:$BN$200,"&gt;-6",$BR$4:$BR$200,"&gt;=70",$C$4:$C$200,"&lt;20190630",$K$4:$K$200,"&lt;=30"))</f>
        <v>-</v>
      </c>
      <c r="BM92" s="33" t="str">
        <f>IF(OR($C92&gt;20190630,$K92&gt;30,BI92="-",$D92="是",$E92="封闭期",$H92&lt;10,$BN92&lt;-6,$BR92&lt;70),"-",COUNTIFS(BI$4:BI$200,"&lt;&gt;-",$D$4:$D$200,"&lt;&gt;是",$E$4:$E$200,"&lt;&gt;封闭期",$H$4:$H$200,"&gt;10",$BN$4:$BN$200,"&gt;-6",$BR$4:$BR$200,"&gt;=70",$K$4:$K$200,"&lt;=30",$C$4:$C$200,"&lt;20190630",BI$4:BI$200,"&gt;="&amp;BI92)/COUNTIFS(BI$4:BI$200,"&lt;&gt;-",$D$4:$D$200,"&lt;&gt;是",$E$4:$E$200,"&lt;&gt;封闭期",$H$4:$H$200,"&gt;10",$BN$4:$BN$200,"&gt;-6",$BR$4:$BR$200,"&gt;=70",$C$4:$C$200,"&lt;20190630",$K$4:$K$200,"&lt;=30"))</f>
        <v>-</v>
      </c>
      <c r="BN92" s="21">
        <f>[1]!f_risk_maxdownside(A92,$AM$2,$E$1)</f>
        <v>-6.0585331003342615</v>
      </c>
      <c r="BO92" s="21">
        <f>IF(C92&lt;20190930,[1]!f_return_2y(A92,"0","20210930"),"-")</f>
        <v>17.021419419144241</v>
      </c>
      <c r="BP92" s="19" t="str">
        <f>IFERROR(RANK(BO92,BO:BO)&amp;"/"&amp;COUNT(BO:BO),"-")</f>
        <v>65/197</v>
      </c>
      <c r="BQ92" s="25">
        <f>IFERROR(RANK(BO92,BO:BO)/COUNT(BO:BO),"-")</f>
        <v>0.32994923857868019</v>
      </c>
      <c r="BR92" s="19">
        <f>IF(C92&lt;20190930,[1]!f_absolute_profitmonthper(A92,"20190930","20210930"),"-")</f>
        <v>66.666666666666657</v>
      </c>
      <c r="BS92" s="19" t="str">
        <f>IFERROR(RANK(BR92,BR:BR)&amp;"/"&amp;COUNT(BR:BR),"-")</f>
        <v>115/198</v>
      </c>
      <c r="BT92" s="25">
        <f>IFERROR(RANK(BR92,BR:BR)/COUNT(BR:BR),"-")</f>
        <v>0.58080808080808077</v>
      </c>
      <c r="BU92" s="17"/>
      <c r="BV92" s="12">
        <f>X92-3/M92</f>
        <v>1.0277921675275923</v>
      </c>
      <c r="BW92" s="76">
        <f>IFERROR(RANK(BV92,BV:BV)/COUNT(BV:BV),"-")</f>
        <v>0.58883248730964466</v>
      </c>
      <c r="BX92" s="76">
        <f>IFERROR(RANK(L92,L:L)/COUNT(L:L),"-")</f>
        <v>0.25252525252525254</v>
      </c>
      <c r="BY92" s="12">
        <f>AY92-3/AN92</f>
        <v>0.83038605133901333</v>
      </c>
      <c r="BZ92" s="76">
        <f>IFERROR(RANK(BY92,BY:BY)/COUNT(BY:BY),"-")</f>
        <v>0.73096446700507611</v>
      </c>
      <c r="CA92" s="76">
        <f>IFERROR(RANK(AM92,AM:AM)/COUNT(AM:AM),"-")</f>
        <v>0.45454545454545453</v>
      </c>
      <c r="CC92" s="77">
        <f>AV92+BF92+BZ92+CA92</f>
        <v>1.7794185509921552</v>
      </c>
      <c r="CD92" s="77">
        <f>BW92+BX92+AE92+U92</f>
        <v>1.9581090088704303</v>
      </c>
      <c r="CE92" s="77">
        <f>CC92+CD92</f>
        <v>3.7375275598625857</v>
      </c>
    </row>
    <row r="93" spans="1:83" s="2" customFormat="1" x14ac:dyDescent="0.35">
      <c r="A93" s="3" t="s">
        <v>85</v>
      </c>
      <c r="B93" s="3" t="s">
        <v>86</v>
      </c>
      <c r="C93" s="4">
        <v>20110531</v>
      </c>
      <c r="D93" s="4" t="str">
        <f>[1]!f_info_regulopenfundornot(A93)</f>
        <v>否</v>
      </c>
      <c r="E93" s="4" t="str">
        <f>[1]!f_dq_status(A93,$E$1)</f>
        <v>开放申购|开放赎回</v>
      </c>
      <c r="F93" s="17" t="str">
        <f>[1]!f_info_fundmanager(A93)</f>
        <v>张沛,祝建辉</v>
      </c>
      <c r="G93" s="4">
        <v>20180202</v>
      </c>
      <c r="H93" s="11">
        <f>[1]!f_netasset_total(A93,$E$1,100000000)</f>
        <v>20.193188784300002</v>
      </c>
      <c r="I93" s="11">
        <f>[1]!f_prt_convertiblebondtonav(A93,$E$1)</f>
        <v>0</v>
      </c>
      <c r="J93" s="11">
        <f>[1]!f_prt_stocktonav(A93,$E$1)+0.5*I93</f>
        <v>13.768885612487793</v>
      </c>
      <c r="K93" s="12">
        <v>0</v>
      </c>
      <c r="L93" s="19">
        <f>[1]!f_return($A93,"1",L$2,$E$1)</f>
        <v>2.7413298535093</v>
      </c>
      <c r="M93" s="19">
        <f>[1]!f_risk_stdevyearly($A93,L$2,$E$1,1,1)</f>
        <v>3.5859570893193373</v>
      </c>
      <c r="N93" s="12">
        <f>IFERROR(L93/M93,"-")</f>
        <v>0.7644625368424699</v>
      </c>
      <c r="O93" s="12" t="str">
        <f>IFERROR(RANK(N93,N:N)&amp;"/"&amp;COUNT(N:N),"-")</f>
        <v>160/197</v>
      </c>
      <c r="P93" s="26">
        <f>IF(O93="-","-",RANK(N93,N:N)/COUNT(N:N))</f>
        <v>0.81218274111675126</v>
      </c>
      <c r="Q93" s="58">
        <v>0.84771573604060912</v>
      </c>
      <c r="R93" s="33">
        <f>IF(OR($C93&gt;20190630,$K93&gt;30,N93="-",$D93="是",$E93="封闭期",$H93&lt;10,$BN93&lt;-6,$BR93&lt;70),"-",COUNTIFS(N$4:N$200,"&lt;&gt;-",$D$4:$D$200,"&lt;&gt;是",$E$4:$E$200,"&lt;&gt;封闭期",$H$4:$H$200,"&gt;10",$BN$4:$BN$200,"&gt;-6",$BR$4:$BR$200,"&gt;=70",$K$4:$K$200,"&lt;=30",$C$4:$C$200,"&lt;20190630",N$4:N$200,"&gt;="&amp;N93)/COUNTIFS(N$4:N$200,"&lt;&gt;-",$D$4:$D$200,"&lt;&gt;是",$E$4:$E$200,"&lt;&gt;封闭期",$H$4:$H$200,"&gt;10",$BN$4:$BN$200,"&gt;-6",$BR$4:$BR$200,"&gt;=70",$C$4:$C$200,"&lt;20190630",$K$4:$K$200,"&lt;=30"))</f>
        <v>1</v>
      </c>
      <c r="S93" s="12">
        <f>IFERROR((L93-3)/M93,"-")</f>
        <v>-7.2134200172428456E-2</v>
      </c>
      <c r="T93" s="12" t="str">
        <f>IFERROR(RANK(S93,S:S)&amp;"/"&amp;COUNT(S:S),"-")</f>
        <v>166/197</v>
      </c>
      <c r="U93" s="26">
        <f>IFERROR(RANK(S93,S:S)/COUNT(S:S),"-")</f>
        <v>0.84263959390862941</v>
      </c>
      <c r="V93" s="13" t="str">
        <f>IF(OR($C93&gt;20190630,$K93&gt;30,S93="-",$D93="是",$E93="封闭期",$H93&lt;10,$BN93&lt;-6,$BR93&lt;70),"-",COUNTIFS(S$4:S$200,"&lt;&gt;-",$D$4:$D$200,"&lt;&gt;是",$E$4:$E$200,"&lt;&gt;封闭期",$H$4:$H$200,"&gt;10",$BN$4:$BN$200,"&gt;-6",$BR$4:$BR$200,"&gt;=70",$K$4:$K$200,"&lt;=30",$C$4:$C$200,"&lt;20190630",S$4:S$200,"&gt;="&amp;S93)&amp;"/"&amp;COUNTIFS(S$4:S$200,"&lt;&gt;-",$D$4:$D$200,"&lt;&gt;是",$E$4:$E$200,"&lt;&gt;封闭期",$H$4:$H$200,"&gt;10",$BN$4:$BN$200,"&gt;-6",$BR$4:$BR$200,"&gt;=70",$C$4:$C$200,"&lt;20190630",$K$4:$K$200,"&lt;=30"))</f>
        <v>39/39</v>
      </c>
      <c r="W93" s="33">
        <f>IF(OR($C93&gt;20190630,$K93&gt;30,S93="-",$D93="是",$E93="封闭期",$H93&lt;10,$BN93&lt;-6,$BR93&lt;70),"-",COUNTIFS(S$4:S$200,"&lt;&gt;-",$D$4:$D$200,"&lt;&gt;是",$E$4:$E$200,"&lt;&gt;封闭期",$H$4:$H$200,"&gt;10",$BN$4:$BN$200,"&gt;-6",$BR$4:$BR$200,"&gt;=70",$K$4:$K$200,"&lt;=30",$C$4:$C$200,"&lt;20190630",S$4:S$200,"&gt;="&amp;S93)/COUNTIFS(S$4:S$200,"&lt;&gt;-",$D$4:$D$200,"&lt;&gt;是",$E$4:$E$200,"&lt;&gt;封闭期",$H$4:$H$200,"&gt;10",$BN$4:$BN$200,"&gt;-6",$BR$4:$BR$200,"&gt;=70",$C$4:$C$200,"&lt;20190630",$K$4:$K$200,"&lt;=30"))</f>
        <v>1</v>
      </c>
      <c r="X93" s="19">
        <f>[1]!f_risk_calmar(A93,$L$2,$E$1)</f>
        <v>1.3419659269790087</v>
      </c>
      <c r="Y93" s="12" t="str">
        <f>IFERROR(RANK(X93,X:X)&amp;"/"&amp;COUNT(X:X),"-")</f>
        <v>140/197</v>
      </c>
      <c r="Z93" s="26">
        <f>IFERROR(RANK(X93,X:X)/COUNT(X:X),"-")</f>
        <v>0.71065989847715738</v>
      </c>
      <c r="AA93" s="13" t="str">
        <f>IF(OR($C93&gt;20190630,$K93&gt;30,X93="-",$D93="是",$E93="封闭期",$H93&lt;10,$BN93&lt;-6,$BR93&lt;70),"-",COUNTIFS(X$4:X$200,"&lt;&gt;-",$D$4:$D$200,"&lt;&gt;是",$E$4:$E$200,"&lt;&gt;封闭期",$H$4:$H$200,"&gt;10",$BN$4:$BN$200,"&gt;-6",$BR$4:$BR$200,"&gt;=70",$K$4:$K$200,"&lt;=30",$C$4:$C$200,"&lt;20190630",X$4:X$200,"&gt;="&amp;X93)&amp;"/"&amp;COUNTIFS(X$4:X$200,"&lt;&gt;-",$D$4:$D$200,"&lt;&gt;是",$E$4:$E$200,"&lt;&gt;封闭期",$H$4:$H$200,"&gt;10",$BN$4:$BN$200,"&gt;-6",$BR$4:$BR$200,"&gt;=70",$C$4:$C$200,"&lt;20190630",$K$4:$K$200,"&lt;=30"))</f>
        <v>38/39</v>
      </c>
      <c r="AB93" s="33">
        <f>IF(OR($C93&gt;20190630,$K93&gt;30,X93="-",$D93="是",$E93="封闭期",$H93&lt;10,$BN93&lt;-6,$BR93&lt;70),"-",COUNTIFS(X$4:X$200,"&lt;&gt;-",$D$4:$D$200,"&lt;&gt;是",$E$4:$E$200,"&lt;&gt;封闭期",$H$4:$H$200,"&gt;10",$BN$4:$BN$200,"&gt;-6",$BR$4:$BR$200,"&gt;=70",$K$4:$K$200,"&lt;=30",$C$4:$C$200,"&lt;20190630",X$4:X$200,"&gt;="&amp;X93)/COUNTIFS(X$4:X$200,"&lt;&gt;-",$D$4:$D$200,"&lt;&gt;是",$E$4:$E$200,"&lt;&gt;封闭期",$H$4:$H$200,"&gt;10",$BN$4:$BN$200,"&gt;-6",$BR$4:$BR$200,"&gt;=70",$C$4:$C$200,"&lt;20190630",$K$4:$K$200,"&lt;=30"))</f>
        <v>0.97435897435897434</v>
      </c>
      <c r="AC93" s="20">
        <v>1</v>
      </c>
      <c r="AD93" s="12" t="str">
        <f>IFERROR(RANK(AC93,AC:AC)&amp;"/"&amp;COUNT(AC:AC),"-")</f>
        <v>1/197</v>
      </c>
      <c r="AE93" s="26">
        <f>IFERROR(RANK(AC93,AC:AC)/COUNT(AC:AC),"-")</f>
        <v>5.076142131979695E-3</v>
      </c>
      <c r="AF93" s="13" t="str">
        <f>IF(OR($C93&gt;20190630,$K93&gt;30,AC93="-",$D93="是",$E93="封闭期",$H93&lt;10,$BN93&lt;-6,$BR93&lt;70),"-",COUNTIFS(AC$4:AC$200,"&lt;&gt;-",$D$4:$D$200,"&lt;&gt;是",$E$4:$E$200,"&lt;&gt;封闭期",$H$4:$H$200,"&gt;10",$BN$4:$BN$200,"&gt;-6",$BR$4:$BR$200,"&gt;=70",$K$4:$K$200,"&lt;=30",$C$4:$C$200,"&lt;20190630",AC$4:AC$200,"&gt;="&amp;AC93)&amp;"/"&amp;COUNTIFS(AC$4:AC$200,"&lt;&gt;-",$D$4:$D$200,"&lt;&gt;是",$E$4:$E$200,"&lt;&gt;封闭期",$H$4:$H$200,"&gt;10",$BN$4:$BN$200,"&gt;-6",$BR$4:$BR$200,"&gt;=70",$C$4:$C$200,"&lt;20190630",$K$4:$K$200,"&lt;=30"))</f>
        <v>28/39</v>
      </c>
      <c r="AG93" s="33">
        <f>IF(OR($C93&gt;20190630,$K93&gt;30,AC93="-",$D93="是",$E93="封闭期",$H93&lt;10,$BN93&lt;-6,$BR93&lt;70),"-",COUNTIFS(AC$4:AC$200,"&lt;&gt;-",$D$4:$D$200,"&lt;&gt;是",$E$4:$E$200,"&lt;&gt;封闭期",$H$4:$H$200,"&gt;10",$BN$4:$BN$200,"&gt;-6",$BR$4:$BR$200,"&gt;=70",$K$4:$K$200,"&lt;=30",$C$4:$C$200,"&lt;20190630",AC$4:AC$200,"&gt;="&amp;AC93)/COUNTIFS(AC$4:AC$200,"&lt;&gt;-",$D$4:$D$200,"&lt;&gt;是",$E$4:$E$200,"&lt;&gt;封闭期",$H$4:$H$200,"&gt;10",$BN$4:$BN$200,"&gt;-6",$BR$4:$BR$200,"&gt;=70",$C$4:$C$200,"&lt;20190630",$K$4:$K$200,"&lt;=30"))</f>
        <v>0.71794871794871795</v>
      </c>
      <c r="AH93" s="21">
        <f>[1]!f_risk_maxdownside(A93,$L$2,$E$1)</f>
        <v>-2.0427715774278226</v>
      </c>
      <c r="AI93" s="19" t="str">
        <f>IFERROR(RANK(AH93,AH:AH)&amp;"/"&amp;COUNT(AH:AH),"-")</f>
        <v>60/197</v>
      </c>
      <c r="AJ93" s="26">
        <f>IFERROR(RANK(AH93,AH:AH)/COUNT(AH:AH),"-")</f>
        <v>0.30456852791878175</v>
      </c>
      <c r="AK93" s="34" t="str">
        <f>IF(OR($C93&gt;20190630,$K93&gt;30,AH93="-",$D93="是",$E93="封闭期",$H93&lt;10,$BN93&lt;-6,$BR93&lt;70),"-",COUNTIFS(AH$4:AH$200,"&lt;&gt;-",$D$4:$D$200,"&lt;&gt;是",$E$4:$E$200,"&lt;&gt;封闭期",$H$4:$H$200,"&gt;10",$BN$4:$BN$200,"&gt;-6",$BR$4:$BR$200,"&gt;=70",$K$4:$K$200,"&lt;=30",$C$4:$C$200,"&lt;20190630",AH$4:AH$200,"&gt;="&amp;AH93)&amp;"/"&amp;COUNTIFS(AH$4:AH$200,"&lt;&gt;-",$D$4:$D$200,"&lt;&gt;是",$E$4:$E$200,"&lt;&gt;封闭期",$H$4:$H$200,"&gt;10",$BN$4:$BN$200,"&gt;-6",$BR$4:$BR$200,"&gt;=70",$C$4:$C$200,"&lt;20190630",$K$4:$K$200,"&lt;=30"))</f>
        <v>14/39</v>
      </c>
      <c r="AL93" s="33">
        <f>IF(OR($C93&gt;20190630,$K93&gt;30,AH93="-",$D93="是",$E93="封闭期",$H93&lt;10,$BN93&lt;-6,$BR93&lt;70),"-",COUNTIFS(AH$4:AH$200,"&lt;&gt;-",$D$4:$D$200,"&lt;&gt;是",$E$4:$E$200,"&lt;&gt;封闭期",$H$4:$H$200,"&gt;10",$BN$4:$BN$200,"&gt;-6",$BR$4:$BR$200,"&gt;=70",$K$4:$K$200,"&lt;=30",$C$4:$C$200,"&lt;20190630",AH$4:AH$200,"&gt;="&amp;AH93)/COUNTIFS(AH$4:AH$200,"&lt;&gt;-",$D$4:$D$200,"&lt;&gt;是",$E$4:$E$200,"&lt;&gt;封闭期",$H$4:$H$200,"&gt;10",$BN$4:$BN$200,"&gt;-6",$BR$4:$BR$200,"&gt;=70",$C$4:$C$200,"&lt;20190630",$K$4:$K$200,"&lt;=30"))</f>
        <v>0.35897435897435898</v>
      </c>
      <c r="AM93" s="19">
        <f>[1]!f_return($A93,"1",AM$2,$L$2)</f>
        <v>7.7974903774388649</v>
      </c>
      <c r="AN93" s="19">
        <f>[1]!f_risk_stdevyearly($A93,AM$2,$L$2,1,1)</f>
        <v>4.5416685138749111</v>
      </c>
      <c r="AO93" s="12">
        <f>IFERROR(AM93/AN93,"-")</f>
        <v>1.7168779169191535</v>
      </c>
      <c r="AP93" s="12" t="str">
        <f>IFERROR(RANK(AO93,AO:AO)&amp;"/"&amp;COUNT(AO:AO),"-")</f>
        <v>80/197</v>
      </c>
      <c r="AQ93" s="26">
        <f>IF(AP93="-","-",RANK(AO93,AO:AO)/COUNT(AO:AO))</f>
        <v>0.40609137055837563</v>
      </c>
      <c r="AR93" s="60">
        <v>0.45685279187817257</v>
      </c>
      <c r="AS93" s="35">
        <f>IF(OR($C93&gt;20190630,$K93&gt;30,AO93="-",$D93="是",$E93="封闭期",$H93&lt;10,$BN93&lt;-6,$BR93&lt;70),"-",COUNTIFS(AO$4:AO$200,"&lt;&gt;-",$D$4:$D$200,"&lt;&gt;是",$E$4:$E$200,"&lt;&gt;封闭期",$H$4:$H$200,"&gt;10",$BN$4:$BN$200,"&gt;-6",$BR$4:$BR$200,"&gt;=70",$K$4:$K$200,"&lt;=30",$C$4:$C$200,"&lt;20190630",AO$4:AO$200,"&gt;="&amp;AO93)/COUNTIFS(AO$4:AO$200,"&lt;&gt;-",$D$4:$D$200,"&lt;&gt;是",$E$4:$E$200,"&lt;&gt;封闭期",$H$4:$H$200,"&gt;10",$BN$4:$BN$200,"&gt;-6",$BR$4:$BR$200,"&gt;=70",$C$4:$C$200,"&lt;20190630",$K$4:$K$200,"&lt;=30"))</f>
        <v>0.66666666666666663</v>
      </c>
      <c r="AT93" s="12">
        <f>IFERROR((AM93-3)/AN93,"-")</f>
        <v>1.0563277268656688</v>
      </c>
      <c r="AU93" s="12" t="str">
        <f>IFERROR(RANK(AT93,AT:AT)&amp;"/"&amp;COUNT(AT:AT),"-")</f>
        <v>80/197</v>
      </c>
      <c r="AV93" s="26">
        <f>IFERROR(RANK(AT93,AT:AT)/COUNT(AT:AT),"-")</f>
        <v>0.40609137055837563</v>
      </c>
      <c r="AW93" s="13" t="str">
        <f>IF(OR($C93&gt;20190630,$K93&gt;30,AT93="-",$D93="是",$E93="封闭期",$H93&lt;10,$BN93&lt;-6,$BR93&lt;70),"-",COUNTIFS(AT$4:AT$200,"&lt;&gt;-",$D$4:$D$200,"&lt;&gt;是",$E$4:$E$200,"&lt;&gt;封闭期",$H$4:$H$200,"&gt;10",$BN$4:$BN$200,"&gt;-6",$BR$4:$BR$200,"&gt;=70",$K$4:$K$200,"&lt;=30",$C$4:$C$200,"&lt;20190630",AT$4:AT$200,"&gt;="&amp;AT93)&amp;"/"&amp;COUNTIFS(AT$4:AT$200,"&lt;&gt;-",$D$4:$D$200,"&lt;&gt;是",$E$4:$E$200,"&lt;&gt;封闭期",$H$4:$H$200,"&gt;10",$BN$4:$BN$200,"&gt;-6",$BR$4:$BR$200,"&gt;=70",$C$4:$C$200,"&lt;20190630",$K$4:$K$200,"&lt;=30"))</f>
        <v>22/39</v>
      </c>
      <c r="AX93" s="33">
        <f>IF(OR($C93&gt;20190630,$K93&gt;30,AT93="-",$D93="是",$E93="封闭期",$H93&lt;10,$BN93&lt;-6,$BR93&lt;70),"-",COUNTIFS(AT$4:AT$200,"&lt;&gt;-",$D$4:$D$200,"&lt;&gt;是",$E$4:$E$200,"&lt;&gt;封闭期",$H$4:$H$200,"&gt;10",$BN$4:$BN$200,"&gt;-6",$BR$4:$BR$200,"&gt;=70",$K$4:$K$200,"&lt;=30",$C$4:$C$200,"&lt;20190630",AT$4:AT$200,"&gt;="&amp;AT93)/COUNTIFS(AT$4:AT$200,"&lt;&gt;-",$D$4:$D$200,"&lt;&gt;是",$E$4:$E$200,"&lt;&gt;封闭期",$H$4:$H$200,"&gt;10",$BN$4:$BN$200,"&gt;-6",$BR$4:$BR$200,"&gt;=70",$C$4:$C$200,"&lt;20190630",$K$4:$K$200,"&lt;=30"))</f>
        <v>0.5641025641025641</v>
      </c>
      <c r="AY93" s="19">
        <f>[1]!f_risk_calmar(A93,$AM$2,$L$2)</f>
        <v>3.5238658436502583</v>
      </c>
      <c r="AZ93" s="12" t="str">
        <f>IFERROR(RANK(AY93,AY:AY)&amp;"/"&amp;COUNT(AY:AY),"-")</f>
        <v>30/197</v>
      </c>
      <c r="BA93" s="26">
        <f>IFERROR(RANK(AY93,AY:AY)/COUNT(AY:AY),"-")</f>
        <v>0.15228426395939088</v>
      </c>
      <c r="BB93" s="13" t="str">
        <f>IF(OR($C93&gt;20190630,$K93&gt;30,AY93="-",$D93="是",$E93="封闭期",$H93&lt;10,$BN93&lt;-6,$BR93&lt;70),"-",COUNTIFS(AY$4:AY$200,"&lt;&gt;-",$D$4:$D$200,"&lt;&gt;是",$E$4:$E$200,"&lt;&gt;封闭期",$H$4:$H$200,"&gt;10",$BN$4:$BN$200,"&gt;-6",$BR$4:$BR$200,"&gt;=70",$K$4:$K$200,"&lt;=30",$C$4:$C$200,"&lt;20190630",AY$4:AY$200,"&gt;="&amp;AY93)&amp;"/"&amp;COUNTIFS(AY$4:AY$200,"&lt;&gt;-",$D$4:$D$200,"&lt;&gt;是",$E$4:$E$200,"&lt;&gt;封闭期",$H$4:$H$200,"&gt;10",$BN$4:$BN$200,"&gt;-6",$BR$4:$BR$200,"&gt;=70",$C$4:$C$200,"&lt;20190630",$K$4:$K$200,"&lt;=30"))</f>
        <v>12/39</v>
      </c>
      <c r="BC93" s="33">
        <f>IF(OR($C93&gt;20190630,$K93&gt;30,AY93="-",$D93="是",$E93="封闭期",$H93&lt;10,$BN93&lt;-6,$BR93&lt;70),"-",COUNTIFS(AY$4:AY$200,"&lt;&gt;-",$D$4:$D$200,"&lt;&gt;是",$E$4:$E$200,"&lt;&gt;封闭期",$H$4:$H$200,"&gt;10",$BN$4:$BN$200,"&gt;-6",$BR$4:$BR$200,"&gt;=70",$K$4:$K$200,"&lt;=30",$C$4:$C$200,"&lt;20190630",AY$4:AY$200,"&gt;="&amp;AY93)/COUNTIFS(AY$4:AY$200,"&lt;&gt;-",$D$4:$D$200,"&lt;&gt;是",$E$4:$E$200,"&lt;&gt;封闭期",$H$4:$H$200,"&gt;10",$BN$4:$BN$200,"&gt;-6",$BR$4:$BR$200,"&gt;=70",$C$4:$C$200,"&lt;20190630",$K$4:$K$200,"&lt;=30"))</f>
        <v>0.30769230769230771</v>
      </c>
      <c r="BD93" s="20">
        <v>1</v>
      </c>
      <c r="BE93" s="12" t="str">
        <f>IFERROR(RANK(BD93,BD:BD)&amp;"/"&amp;COUNT(BD:BD),"-")</f>
        <v>1/197</v>
      </c>
      <c r="BF93" s="26">
        <f>IFERROR(RANK(BD93,BD:BD)/COUNT(BD:BD),"-")</f>
        <v>5.076142131979695E-3</v>
      </c>
      <c r="BG93" s="13" t="str">
        <f>IF(OR($C93&gt;20190630,$K93&gt;30,BD93="-",$D93="是",$E93="封闭期",$H93&lt;10,$BN93&lt;-6,$BR93&lt;70),"-",COUNTIFS(BD$4:BD$200,"&lt;&gt;-",$D$4:$D$200,"&lt;&gt;是",$E$4:$E$200,"&lt;&gt;封闭期",$H$4:$H$200,"&gt;10",$BN$4:$BN$200,"&gt;-6",$BR$4:$BR$200,"&gt;=70",$K$4:$K$200,"&lt;=30",$C$4:$C$200,"&lt;20190630",BD$4:BD$200,"&gt;="&amp;BD93)&amp;"/"&amp;COUNTIFS(BD$4:BD$200,"&lt;&gt;-",$D$4:$D$200,"&lt;&gt;是",$E$4:$E$200,"&lt;&gt;封闭期",$H$4:$H$200,"&gt;10",$BN$4:$BN$200,"&gt;-6",$BR$4:$BR$200,"&gt;=70",$C$4:$C$200,"&lt;20190630",$K$4:$K$200,"&lt;=30"))</f>
        <v>35/39</v>
      </c>
      <c r="BH93" s="33">
        <f>IF(OR($C93&gt;20190630,$K93&gt;30,BD93="-",$D93="是",$E93="封闭期",$H93&lt;10,$BN93&lt;-6,$BR93&lt;70),"-",COUNTIFS(BD$4:BD$200,"&lt;&gt;-",$D$4:$D$200,"&lt;&gt;是",$E$4:$E$200,"&lt;&gt;封闭期",$H$4:$H$200,"&gt;10",$BN$4:$BN$200,"&gt;-6",$BR$4:$BR$200,"&gt;=70",$K$4:$K$200,"&lt;=30",$C$4:$C$200,"&lt;20190630",BD$4:BD$200,"&gt;="&amp;BD93)/COUNTIFS(BD$4:BD$200,"&lt;&gt;-",$D$4:$D$200,"&lt;&gt;是",$E$4:$E$200,"&lt;&gt;封闭期",$H$4:$H$200,"&gt;10",$BN$4:$BN$200,"&gt;-6",$BR$4:$BR$200,"&gt;=70",$C$4:$C$200,"&lt;20190630",$K$4:$K$200,"&lt;=30"))</f>
        <v>0.89743589743589747</v>
      </c>
      <c r="BI93" s="21">
        <f>[1]!f_risk_maxdownside(A93,$AM$2,$L$2)</f>
        <v>-2.2127659574468073</v>
      </c>
      <c r="BJ93" s="19" t="str">
        <f>IFERROR(RANK(BI93,BI:BI)&amp;"/"&amp;COUNT(BI:BI),"-")</f>
        <v>45/197</v>
      </c>
      <c r="BK93" s="26">
        <f>IFERROR(RANK(BI93,BI:BI)/COUNT(BI:BI),"-")</f>
        <v>0.22842639593908629</v>
      </c>
      <c r="BL93" s="34" t="str">
        <f>IF(OR($C93&gt;20190630,$K93&gt;30,BI93="-",$D93="是",$E93="封闭期",$H93&lt;10,$BN93&lt;-6,$BR93&lt;70),"-",COUNTIFS(BI$4:BI$200,"&lt;&gt;-",$D$4:$D$200,"&lt;&gt;是",$E$4:$E$200,"&lt;&gt;封闭期",$H$4:$H$200,"&gt;10",$BN$4:$BN$200,"&gt;-6",$BR$4:$BR$200,"&gt;=70",$K$4:$K$200,"&lt;=30",$C$4:$C$200,"&lt;20190630",BI$4:BI$200,"&gt;="&amp;BI93)&amp;"/"&amp;COUNTIFS(BI$4:BI$200,"&lt;&gt;-",$D$4:$D$200,"&lt;&gt;是",$E$4:$E$200,"&lt;&gt;封闭期",$H$4:$H$200,"&gt;10",$BN$4:$BN$200,"&gt;-6",$BR$4:$BR$200,"&gt;=70",$C$4:$C$200,"&lt;20190630",$K$4:$K$200,"&lt;=30"))</f>
        <v>7/39</v>
      </c>
      <c r="BM93" s="33">
        <f>IF(OR($C93&gt;20190630,$K93&gt;30,BI93="-",$D93="是",$E93="封闭期",$H93&lt;10,$BN93&lt;-6,$BR93&lt;70),"-",COUNTIFS(BI$4:BI$200,"&lt;&gt;-",$D$4:$D$200,"&lt;&gt;是",$E$4:$E$200,"&lt;&gt;封闭期",$H$4:$H$200,"&gt;10",$BN$4:$BN$200,"&gt;-6",$BR$4:$BR$200,"&gt;=70",$K$4:$K$200,"&lt;=30",$C$4:$C$200,"&lt;20190630",BI$4:BI$200,"&gt;="&amp;BI93)/COUNTIFS(BI$4:BI$200,"&lt;&gt;-",$D$4:$D$200,"&lt;&gt;是",$E$4:$E$200,"&lt;&gt;封闭期",$H$4:$H$200,"&gt;10",$BN$4:$BN$200,"&gt;-6",$BR$4:$BR$200,"&gt;=70",$C$4:$C$200,"&lt;20190630",$K$4:$K$200,"&lt;=30"))</f>
        <v>0.17948717948717949</v>
      </c>
      <c r="BN93" s="21">
        <f>[1]!f_risk_maxdownside(A93,$AM$2,$E$1)</f>
        <v>-2.2127659574468073</v>
      </c>
      <c r="BO93" s="14">
        <f>IF(C93&lt;20190930,[1]!f_return_2y(A93,"0","20210930"),"-")</f>
        <v>11.108010869302802</v>
      </c>
      <c r="BP93" s="12" t="str">
        <f>IFERROR(RANK(BO93,BO:BO)&amp;"/"&amp;COUNT(BO:BO),"-")</f>
        <v>129/197</v>
      </c>
      <c r="BQ93" s="25">
        <f>IFERROR(RANK(BO93,BO:BO)/COUNT(BO:BO),"-")</f>
        <v>0.65482233502538068</v>
      </c>
      <c r="BR93" s="12">
        <f>IF(C93&lt;20190930,[1]!f_absolute_profitmonthper(A93,"20190930","20210930"),"-")</f>
        <v>70.833333333333343</v>
      </c>
      <c r="BS93" s="12" t="str">
        <f>IFERROR(RANK(BR93,BR:BR)&amp;"/"&amp;COUNT(BR:BR),"-")</f>
        <v>55/198</v>
      </c>
      <c r="BT93" s="25">
        <f>IFERROR(RANK(BR93,BR:BR)/COUNT(BR:BR),"-")</f>
        <v>0.27777777777777779</v>
      </c>
      <c r="BU93" s="17"/>
      <c r="BV93" s="12">
        <f>X93-3/M93</f>
        <v>0.5053691899641104</v>
      </c>
      <c r="BW93" s="76">
        <f>IFERROR(RANK(BV93,BV:BV)/COUNT(BV:BV),"-")</f>
        <v>0.74111675126903553</v>
      </c>
      <c r="BX93" s="76">
        <f>IFERROR(RANK(L93,L:L)/COUNT(L:L),"-")</f>
        <v>0.84848484848484851</v>
      </c>
      <c r="BY93" s="12">
        <f>AY93-3/AN93</f>
        <v>2.8633156535967736</v>
      </c>
      <c r="BZ93" s="76">
        <f>IFERROR(RANK(BY93,BY:BY)/COUNT(BY:BY),"-")</f>
        <v>0.15228426395939088</v>
      </c>
      <c r="CA93" s="76">
        <f>IFERROR(RANK(AM93,AM:AM)/COUNT(AM:AM),"-")</f>
        <v>0.45959595959595961</v>
      </c>
      <c r="CC93" s="77">
        <f>AV93+BF93+BZ93+CA93</f>
        <v>1.0230477362457058</v>
      </c>
      <c r="CD93" s="77">
        <f>BW93+BX93+AE93+U93</f>
        <v>2.4373173357944928</v>
      </c>
      <c r="CE93" s="77">
        <f>CC93+CD93</f>
        <v>3.4603650720401986</v>
      </c>
    </row>
    <row r="94" spans="1:83" s="17" customFormat="1" hidden="1" x14ac:dyDescent="0.35">
      <c r="A94" s="15" t="s">
        <v>203</v>
      </c>
      <c r="B94" s="15" t="s">
        <v>204</v>
      </c>
      <c r="C94" s="16">
        <v>20150619</v>
      </c>
      <c r="D94" s="16" t="str">
        <f>[1]!f_info_regulopenfundornot(A94)</f>
        <v>否</v>
      </c>
      <c r="E94" s="16" t="str">
        <f>[1]!f_dq_status(A94,$E$1)</f>
        <v>开放申购|开放赎回</v>
      </c>
      <c r="F94" s="17" t="str">
        <f>[1]!f_info_fundmanager(A94)</f>
        <v>丁孙楠,黎莹</v>
      </c>
      <c r="G94" s="16">
        <v>20170124</v>
      </c>
      <c r="H94" s="18">
        <f>[1]!f_netasset_total(A94,$E$1,100000000)</f>
        <v>1.4547374900000001</v>
      </c>
      <c r="I94" s="18">
        <f>[1]!f_prt_convertiblebondtonav(A94,$E$1)</f>
        <v>5.0869250297546387</v>
      </c>
      <c r="J94" s="18">
        <f>[1]!f_prt_stocktonav(A94,$E$1)+0.5*I94</f>
        <v>20.431905508041382</v>
      </c>
      <c r="K94" s="19">
        <v>35.336340991665793</v>
      </c>
      <c r="L94" s="19">
        <f>[1]!f_return($A94,"1",L$2,$E$1)</f>
        <v>4.1847262991302925</v>
      </c>
      <c r="M94" s="19">
        <f>[1]!f_risk_stdevyearly($A94,L$2,$E$1,1,1)</f>
        <v>3.7525217570065168</v>
      </c>
      <c r="N94" s="19">
        <f>IFERROR(L94/M94,"-")</f>
        <v>1.1151770915962806</v>
      </c>
      <c r="O94" s="19" t="str">
        <f>IFERROR(RANK(N94,N:N)&amp;"/"&amp;COUNT(N:N),"-")</f>
        <v>132/197</v>
      </c>
      <c r="P94" s="26">
        <f>IF(O94="-","-",RANK(N94,N:N)/COUNT(N:N))</f>
        <v>0.67005076142131981</v>
      </c>
      <c r="Q94" s="56">
        <v>0.69543147208121825</v>
      </c>
      <c r="R94" s="33" t="str">
        <f>IF(OR($C94&gt;20190630,$K94&gt;30,N94="-",$D94="是",$E94="封闭期",$H94&lt;10,$BN94&lt;-6,$BR94&lt;70),"-",COUNTIFS(N$4:N$200,"&lt;&gt;-",$D$4:$D$200,"&lt;&gt;是",$E$4:$E$200,"&lt;&gt;封闭期",$H$4:$H$200,"&gt;10",$BN$4:$BN$200,"&gt;-6",$BR$4:$BR$200,"&gt;=70",$K$4:$K$200,"&lt;=30",$C$4:$C$200,"&lt;20190630",N$4:N$200,"&gt;="&amp;N94)/COUNTIFS(N$4:N$200,"&lt;&gt;-",$D$4:$D$200,"&lt;&gt;是",$E$4:$E$200,"&lt;&gt;封闭期",$H$4:$H$200,"&gt;10",$BN$4:$BN$200,"&gt;-6",$BR$4:$BR$200,"&gt;=70",$C$4:$C$200,"&lt;20190630",$K$4:$K$200,"&lt;=30"))</f>
        <v>-</v>
      </c>
      <c r="S94" s="19">
        <f>IFERROR((L94-3)/M94,"-")</f>
        <v>0.31571470489630926</v>
      </c>
      <c r="T94" s="19" t="str">
        <f>IFERROR(RANK(S94,S:S)&amp;"/"&amp;COUNT(S:S),"-")</f>
        <v>137/197</v>
      </c>
      <c r="U94" s="26">
        <f>IFERROR(RANK(S94,S:S)/COUNT(S:S),"-")</f>
        <v>0.69543147208121825</v>
      </c>
      <c r="V94" s="34" t="str">
        <f>IF(OR($C94&gt;20190630,$K94&gt;30,S94="-",$D94="是",$E94="封闭期",$H94&lt;10,$BN94&lt;-6,$BR94&lt;70),"-",COUNTIFS(S$4:S$200,"&lt;&gt;-",$D$4:$D$200,"&lt;&gt;是",$E$4:$E$200,"&lt;&gt;封闭期",$H$4:$H$200,"&gt;10",$BN$4:$BN$200,"&gt;-6",$BR$4:$BR$200,"&gt;=70",$K$4:$K$200,"&lt;=30",$C$4:$C$200,"&lt;20190630",S$4:S$200,"&gt;="&amp;S94)&amp;"/"&amp;COUNTIFS(S$4:S$200,"&lt;&gt;-",$D$4:$D$200,"&lt;&gt;是",$E$4:$E$200,"&lt;&gt;封闭期",$H$4:$H$200,"&gt;10",$BN$4:$BN$200,"&gt;-6",$BR$4:$BR$200,"&gt;=70",$C$4:$C$200,"&lt;20190630",$K$4:$K$200,"&lt;=30"))</f>
        <v>-</v>
      </c>
      <c r="W94" s="33" t="str">
        <f>IF(OR($C94&gt;20190630,$K94&gt;30,S94="-",$D94="是",$E94="封闭期",$H94&lt;10,$BN94&lt;-6,$BR94&lt;70),"-",COUNTIFS(S$4:S$200,"&lt;&gt;-",$D$4:$D$200,"&lt;&gt;是",$E$4:$E$200,"&lt;&gt;封闭期",$H$4:$H$200,"&gt;10",$BN$4:$BN$200,"&gt;-6",$BR$4:$BR$200,"&gt;=70",$K$4:$K$200,"&lt;=30",$C$4:$C$200,"&lt;20190630",S$4:S$200,"&gt;="&amp;S94)/COUNTIFS(S$4:S$200,"&lt;&gt;-",$D$4:$D$200,"&lt;&gt;是",$E$4:$E$200,"&lt;&gt;封闭期",$H$4:$H$200,"&gt;10",$BN$4:$BN$200,"&gt;-6",$BR$4:$BR$200,"&gt;=70",$C$4:$C$200,"&lt;20190630",$K$4:$K$200,"&lt;=30"))</f>
        <v>-</v>
      </c>
      <c r="X94" s="19">
        <f>[1]!f_risk_calmar(A94,$L$2,$E$1)</f>
        <v>1.6362419787000757</v>
      </c>
      <c r="Y94" s="19" t="str">
        <f>IFERROR(RANK(X94,X:X)&amp;"/"&amp;COUNT(X:X),"-")</f>
        <v>121/197</v>
      </c>
      <c r="Z94" s="26">
        <f>IFERROR(RANK(X94,X:X)/COUNT(X:X),"-")</f>
        <v>0.6142131979695431</v>
      </c>
      <c r="AA94" s="34" t="str">
        <f>IF(OR($C94&gt;20190630,$K94&gt;30,X94="-",$D94="是",$E94="封闭期",$H94&lt;10,$BN94&lt;-6,$BR94&lt;70),"-",COUNTIFS(X$4:X$200,"&lt;&gt;-",$D$4:$D$200,"&lt;&gt;是",$E$4:$E$200,"&lt;&gt;封闭期",$H$4:$H$200,"&gt;10",$BN$4:$BN$200,"&gt;-6",$BR$4:$BR$200,"&gt;=70",$K$4:$K$200,"&lt;=30",$C$4:$C$200,"&lt;20190630",X$4:X$200,"&gt;="&amp;X94)&amp;"/"&amp;COUNTIFS(X$4:X$200,"&lt;&gt;-",$D$4:$D$200,"&lt;&gt;是",$E$4:$E$200,"&lt;&gt;封闭期",$H$4:$H$200,"&gt;10",$BN$4:$BN$200,"&gt;-6",$BR$4:$BR$200,"&gt;=70",$C$4:$C$200,"&lt;20190630",$K$4:$K$200,"&lt;=30"))</f>
        <v>-</v>
      </c>
      <c r="AB94" s="33" t="str">
        <f>IF(OR($C94&gt;20190630,$K94&gt;30,X94="-",$D94="是",$E94="封闭期",$H94&lt;10,$BN94&lt;-6,$BR94&lt;70),"-",COUNTIFS(X$4:X$200,"&lt;&gt;-",$D$4:$D$200,"&lt;&gt;是",$E$4:$E$200,"&lt;&gt;封闭期",$H$4:$H$200,"&gt;10",$BN$4:$BN$200,"&gt;-6",$BR$4:$BR$200,"&gt;=70",$K$4:$K$200,"&lt;=30",$C$4:$C$200,"&lt;20190630",X$4:X$200,"&gt;="&amp;X94)/COUNTIFS(X$4:X$200,"&lt;&gt;-",$D$4:$D$200,"&lt;&gt;是",$E$4:$E$200,"&lt;&gt;封闭期",$H$4:$H$200,"&gt;10",$BN$4:$BN$200,"&gt;-6",$BR$4:$BR$200,"&gt;=70",$C$4:$C$200,"&lt;20190630",$K$4:$K$200,"&lt;=30"))</f>
        <v>-</v>
      </c>
      <c r="AC94" s="20">
        <v>0.68067226890756305</v>
      </c>
      <c r="AD94" s="19" t="str">
        <f>IFERROR(RANK(AC94,AC:AC)&amp;"/"&amp;COUNT(AC:AC),"-")</f>
        <v>170/197</v>
      </c>
      <c r="AE94" s="26">
        <f>IFERROR(RANK(AC94,AC:AC)/COUNT(AC:AC),"-")</f>
        <v>0.86294416243654826</v>
      </c>
      <c r="AF94" s="34" t="str">
        <f>IF(OR($C94&gt;20190630,$K94&gt;30,AC94="-",$D94="是",$E94="封闭期",$H94&lt;10,$BN94&lt;-6,$BR94&lt;70),"-",COUNTIFS(AC$4:AC$200,"&lt;&gt;-",$D$4:$D$200,"&lt;&gt;是",$E$4:$E$200,"&lt;&gt;封闭期",$H$4:$H$200,"&gt;10",$BN$4:$BN$200,"&gt;-6",$BR$4:$BR$200,"&gt;=70",$K$4:$K$200,"&lt;=30",$C$4:$C$200,"&lt;20190630",AC$4:AC$200,"&gt;="&amp;AC94)&amp;"/"&amp;COUNTIFS(AC$4:AC$200,"&lt;&gt;-",$D$4:$D$200,"&lt;&gt;是",$E$4:$E$200,"&lt;&gt;封闭期",$H$4:$H$200,"&gt;10",$BN$4:$BN$200,"&gt;-6",$BR$4:$BR$200,"&gt;=70",$C$4:$C$200,"&lt;20190630",$K$4:$K$200,"&lt;=30"))</f>
        <v>-</v>
      </c>
      <c r="AG94" s="33" t="str">
        <f>IF(OR($C94&gt;20190630,$K94&gt;30,AC94="-",$D94="是",$E94="封闭期",$H94&lt;10,$BN94&lt;-6,$BR94&lt;70),"-",COUNTIFS(AC$4:AC$200,"&lt;&gt;-",$D$4:$D$200,"&lt;&gt;是",$E$4:$E$200,"&lt;&gt;封闭期",$H$4:$H$200,"&gt;10",$BN$4:$BN$200,"&gt;-6",$BR$4:$BR$200,"&gt;=70",$K$4:$K$200,"&lt;=30",$C$4:$C$200,"&lt;20190630",AC$4:AC$200,"&gt;="&amp;AC94)/COUNTIFS(AC$4:AC$200,"&lt;&gt;-",$D$4:$D$200,"&lt;&gt;是",$E$4:$E$200,"&lt;&gt;封闭期",$H$4:$H$200,"&gt;10",$BN$4:$BN$200,"&gt;-6",$BR$4:$BR$200,"&gt;=70",$C$4:$C$200,"&lt;20190630",$K$4:$K$200,"&lt;=30"))</f>
        <v>-</v>
      </c>
      <c r="AH94" s="21">
        <f>[1]!f_risk_maxdownside(A94,$L$2,$E$1)</f>
        <v>-2.5575228808485151</v>
      </c>
      <c r="AI94" s="19" t="str">
        <f>IFERROR(RANK(AH94,AH:AH)&amp;"/"&amp;COUNT(AH:AH),"-")</f>
        <v>76/197</v>
      </c>
      <c r="AJ94" s="26">
        <f>IFERROR(RANK(AH94,AH:AH)/COUNT(AH:AH),"-")</f>
        <v>0.38578680203045684</v>
      </c>
      <c r="AK94" s="34" t="str">
        <f>IF(OR($C94&gt;20190630,$K94&gt;30,AH94="-",$D94="是",$E94="封闭期",$H94&lt;10,$BN94&lt;-6,$BR94&lt;70),"-",COUNTIFS(AH$4:AH$200,"&lt;&gt;-",$D$4:$D$200,"&lt;&gt;是",$E$4:$E$200,"&lt;&gt;封闭期",$H$4:$H$200,"&gt;10",$BN$4:$BN$200,"&gt;-6",$BR$4:$BR$200,"&gt;=70",$K$4:$K$200,"&lt;=30",$C$4:$C$200,"&lt;20190630",AH$4:AH$200,"&gt;="&amp;AH94)&amp;"/"&amp;COUNTIFS(AH$4:AH$200,"&lt;&gt;-",$D$4:$D$200,"&lt;&gt;是",$E$4:$E$200,"&lt;&gt;封闭期",$H$4:$H$200,"&gt;10",$BN$4:$BN$200,"&gt;-6",$BR$4:$BR$200,"&gt;=70",$C$4:$C$200,"&lt;20190630",$K$4:$K$200,"&lt;=30"))</f>
        <v>-</v>
      </c>
      <c r="AL94" s="33" t="str">
        <f>IF(OR($C94&gt;20190630,$K94&gt;30,AH94="-",$D94="是",$E94="封闭期",$H94&lt;10,$BN94&lt;-6,$BR94&lt;70),"-",COUNTIFS(AH$4:AH$200,"&lt;&gt;-",$D$4:$D$200,"&lt;&gt;是",$E$4:$E$200,"&lt;&gt;封闭期",$H$4:$H$200,"&gt;10",$BN$4:$BN$200,"&gt;-6",$BR$4:$BR$200,"&gt;=70",$K$4:$K$200,"&lt;=30",$C$4:$C$200,"&lt;20190630",AH$4:AH$200,"&gt;="&amp;AH94)/COUNTIFS(AH$4:AH$200,"&lt;&gt;-",$D$4:$D$200,"&lt;&gt;是",$E$4:$E$200,"&lt;&gt;封闭期",$H$4:$H$200,"&gt;10",$BN$4:$BN$200,"&gt;-6",$BR$4:$BR$200,"&gt;=70",$C$4:$C$200,"&lt;20190630",$K$4:$K$200,"&lt;=30"))</f>
        <v>-</v>
      </c>
      <c r="AM94" s="19">
        <f>[1]!f_return($A94,"1",AM$2,$L$2)</f>
        <v>7.6666459200340986</v>
      </c>
      <c r="AN94" s="19">
        <f>[1]!f_risk_stdevyearly($A94,AM$2,$L$2,1,1)</f>
        <v>4.4311030911072748</v>
      </c>
      <c r="AO94" s="19">
        <f>IFERROR(AM94/AN94,"-")</f>
        <v>1.7301890211988509</v>
      </c>
      <c r="AP94" s="19" t="str">
        <f>IFERROR(RANK(AO94,AO:AO)&amp;"/"&amp;COUNT(AO:AO),"-")</f>
        <v>76/197</v>
      </c>
      <c r="AQ94" s="26">
        <f>IF(AP94="-","-",RANK(AO94,AO:AO)/COUNT(AO:AO))</f>
        <v>0.38578680203045684</v>
      </c>
      <c r="AR94" s="57">
        <v>0.46192893401015228</v>
      </c>
      <c r="AS94" s="33" t="str">
        <f>IF(OR($C94&gt;20190630,$K94&gt;30,AO94="-",$D94="是",$E94="封闭期",$H94&lt;10,$BN94&lt;-6,$BR94&lt;70),"-",COUNTIFS(AO$4:AO$200,"&lt;&gt;-",$D$4:$D$200,"&lt;&gt;是",$E$4:$E$200,"&lt;&gt;封闭期",$H$4:$H$200,"&gt;10",$BN$4:$BN$200,"&gt;-6",$BR$4:$BR$200,"&gt;=70",$K$4:$K$200,"&lt;=30",$C$4:$C$200,"&lt;20190630",AO$4:AO$200,"&gt;="&amp;AO94)/COUNTIFS(AO$4:AO$200,"&lt;&gt;-",$D$4:$D$200,"&lt;&gt;是",$E$4:$E$200,"&lt;&gt;封闭期",$H$4:$H$200,"&gt;10",$BN$4:$BN$200,"&gt;-6",$BR$4:$BR$200,"&gt;=70",$C$4:$C$200,"&lt;20190630",$K$4:$K$200,"&lt;=30"))</f>
        <v>-</v>
      </c>
      <c r="AT94" s="19">
        <f>IFERROR((AM94-3)/AN94,"-")</f>
        <v>1.0531567025374633</v>
      </c>
      <c r="AU94" s="19" t="str">
        <f>IFERROR(RANK(AT94,AT:AT)&amp;"/"&amp;COUNT(AT:AT),"-")</f>
        <v>82/197</v>
      </c>
      <c r="AV94" s="26">
        <f>IFERROR(RANK(AT94,AT:AT)/COUNT(AT:AT),"-")</f>
        <v>0.41624365482233505</v>
      </c>
      <c r="AW94" s="34" t="str">
        <f>IF(OR($C94&gt;20190630,$K94&gt;30,AT94="-",$D94="是",$E94="封闭期",$H94&lt;10,$BN94&lt;-6,$BR94&lt;70),"-",COUNTIFS(AT$4:AT$200,"&lt;&gt;-",$D$4:$D$200,"&lt;&gt;是",$E$4:$E$200,"&lt;&gt;封闭期",$H$4:$H$200,"&gt;10",$BN$4:$BN$200,"&gt;-6",$BR$4:$BR$200,"&gt;=70",$K$4:$K$200,"&lt;=30",$C$4:$C$200,"&lt;20190630",AT$4:AT$200,"&gt;="&amp;AT94)&amp;"/"&amp;COUNTIFS(AT$4:AT$200,"&lt;&gt;-",$D$4:$D$200,"&lt;&gt;是",$E$4:$E$200,"&lt;&gt;封闭期",$H$4:$H$200,"&gt;10",$BN$4:$BN$200,"&gt;-6",$BR$4:$BR$200,"&gt;=70",$C$4:$C$200,"&lt;20190630",$K$4:$K$200,"&lt;=30"))</f>
        <v>-</v>
      </c>
      <c r="AX94" s="33" t="str">
        <f>IF(OR($C94&gt;20190630,$K94&gt;30,AT94="-",$D94="是",$E94="封闭期",$H94&lt;10,$BN94&lt;-6,$BR94&lt;70),"-",COUNTIFS(AT$4:AT$200,"&lt;&gt;-",$D$4:$D$200,"&lt;&gt;是",$E$4:$E$200,"&lt;&gt;封闭期",$H$4:$H$200,"&gt;10",$BN$4:$BN$200,"&gt;-6",$BR$4:$BR$200,"&gt;=70",$K$4:$K$200,"&lt;=30",$C$4:$C$200,"&lt;20190630",AT$4:AT$200,"&gt;="&amp;AT94)/COUNTIFS(AT$4:AT$200,"&lt;&gt;-",$D$4:$D$200,"&lt;&gt;是",$E$4:$E$200,"&lt;&gt;封闭期",$H$4:$H$200,"&gt;10",$BN$4:$BN$200,"&gt;-6",$BR$4:$BR$200,"&gt;=70",$C$4:$C$200,"&lt;20190630",$K$4:$K$200,"&lt;=30"))</f>
        <v>-</v>
      </c>
      <c r="AY94" s="19">
        <f>[1]!f_risk_calmar(A94,$AM$2,$L$2)</f>
        <v>2.1595376530824675</v>
      </c>
      <c r="AZ94" s="19" t="str">
        <f>IFERROR(RANK(AY94,AY:AY)&amp;"/"&amp;COUNT(AY:AY),"-")</f>
        <v>103/197</v>
      </c>
      <c r="BA94" s="26">
        <f>IFERROR(RANK(AY94,AY:AY)/COUNT(AY:AY),"-")</f>
        <v>0.52284263959390864</v>
      </c>
      <c r="BB94" s="34" t="str">
        <f>IF(OR($C94&gt;20190630,$K94&gt;30,AY94="-",$D94="是",$E94="封闭期",$H94&lt;10,$BN94&lt;-6,$BR94&lt;70),"-",COUNTIFS(AY$4:AY$200,"&lt;&gt;-",$D$4:$D$200,"&lt;&gt;是",$E$4:$E$200,"&lt;&gt;封闭期",$H$4:$H$200,"&gt;10",$BN$4:$BN$200,"&gt;-6",$BR$4:$BR$200,"&gt;=70",$K$4:$K$200,"&lt;=30",$C$4:$C$200,"&lt;20190630",AY$4:AY$200,"&gt;="&amp;AY94)&amp;"/"&amp;COUNTIFS(AY$4:AY$200,"&lt;&gt;-",$D$4:$D$200,"&lt;&gt;是",$E$4:$E$200,"&lt;&gt;封闭期",$H$4:$H$200,"&gt;10",$BN$4:$BN$200,"&gt;-6",$BR$4:$BR$200,"&gt;=70",$C$4:$C$200,"&lt;20190630",$K$4:$K$200,"&lt;=30"))</f>
        <v>-</v>
      </c>
      <c r="BC94" s="33" t="str">
        <f>IF(OR($C94&gt;20190630,$K94&gt;30,AY94="-",$D94="是",$E94="封闭期",$H94&lt;10,$BN94&lt;-6,$BR94&lt;70),"-",COUNTIFS(AY$4:AY$200,"&lt;&gt;-",$D$4:$D$200,"&lt;&gt;是",$E$4:$E$200,"&lt;&gt;封闭期",$H$4:$H$200,"&gt;10",$BN$4:$BN$200,"&gt;-6",$BR$4:$BR$200,"&gt;=70",$K$4:$K$200,"&lt;=30",$C$4:$C$200,"&lt;20190630",AY$4:AY$200,"&gt;="&amp;AY94)/COUNTIFS(AY$4:AY$200,"&lt;&gt;-",$D$4:$D$200,"&lt;&gt;是",$E$4:$E$200,"&lt;&gt;封闭期",$H$4:$H$200,"&gt;10",$BN$4:$BN$200,"&gt;-6",$BR$4:$BR$200,"&gt;=70",$C$4:$C$200,"&lt;20190630",$K$4:$K$200,"&lt;=30"))</f>
        <v>-</v>
      </c>
      <c r="BD94" s="20">
        <v>1</v>
      </c>
      <c r="BE94" s="19" t="str">
        <f>IFERROR(RANK(BD94,BD:BD)&amp;"/"&amp;COUNT(BD:BD),"-")</f>
        <v>1/197</v>
      </c>
      <c r="BF94" s="26">
        <f>IFERROR(RANK(BD94,BD:BD)/COUNT(BD:BD),"-")</f>
        <v>5.076142131979695E-3</v>
      </c>
      <c r="BG94" s="34" t="str">
        <f>IF(OR($C94&gt;20190630,$K94&gt;30,BD94="-",$D94="是",$E94="封闭期",$H94&lt;10,$BN94&lt;-6,$BR94&lt;70),"-",COUNTIFS(BD$4:BD$200,"&lt;&gt;-",$D$4:$D$200,"&lt;&gt;是",$E$4:$E$200,"&lt;&gt;封闭期",$H$4:$H$200,"&gt;10",$BN$4:$BN$200,"&gt;-6",$BR$4:$BR$200,"&gt;=70",$K$4:$K$200,"&lt;=30",$C$4:$C$200,"&lt;20190630",BD$4:BD$200,"&gt;="&amp;BD94)&amp;"/"&amp;COUNTIFS(BD$4:BD$200,"&lt;&gt;-",$D$4:$D$200,"&lt;&gt;是",$E$4:$E$200,"&lt;&gt;封闭期",$H$4:$H$200,"&gt;10",$BN$4:$BN$200,"&gt;-6",$BR$4:$BR$200,"&gt;=70",$C$4:$C$200,"&lt;20190630",$K$4:$K$200,"&lt;=30"))</f>
        <v>-</v>
      </c>
      <c r="BH94" s="33" t="str">
        <f>IF(OR($C94&gt;20190630,$K94&gt;30,BD94="-",$D94="是",$E94="封闭期",$H94&lt;10,$BN94&lt;-6,$BR94&lt;70),"-",COUNTIFS(BD$4:BD$200,"&lt;&gt;-",$D$4:$D$200,"&lt;&gt;是",$E$4:$E$200,"&lt;&gt;封闭期",$H$4:$H$200,"&gt;10",$BN$4:$BN$200,"&gt;-6",$BR$4:$BR$200,"&gt;=70",$K$4:$K$200,"&lt;=30",$C$4:$C$200,"&lt;20190630",BD$4:BD$200,"&gt;="&amp;BD94)/COUNTIFS(BD$4:BD$200,"&lt;&gt;-",$D$4:$D$200,"&lt;&gt;是",$E$4:$E$200,"&lt;&gt;封闭期",$H$4:$H$200,"&gt;10",$BN$4:$BN$200,"&gt;-6",$BR$4:$BR$200,"&gt;=70",$C$4:$C$200,"&lt;20190630",$K$4:$K$200,"&lt;=30"))</f>
        <v>-</v>
      </c>
      <c r="BI94" s="21">
        <f>[1]!f_risk_maxdownside(A94,$AM$2,$L$2)</f>
        <v>-3.5501330153197044</v>
      </c>
      <c r="BJ94" s="19" t="str">
        <f>IFERROR(RANK(BI94,BI:BI)&amp;"/"&amp;COUNT(BI:BI),"-")</f>
        <v>114/197</v>
      </c>
      <c r="BK94" s="26">
        <f>IFERROR(RANK(BI94,BI:BI)/COUNT(BI:BI),"-")</f>
        <v>0.57868020304568524</v>
      </c>
      <c r="BL94" s="34" t="str">
        <f>IF(OR($C94&gt;20190630,$K94&gt;30,BI94="-",$D94="是",$E94="封闭期",$H94&lt;10,$BN94&lt;-6,$BR94&lt;70),"-",COUNTIFS(BI$4:BI$200,"&lt;&gt;-",$D$4:$D$200,"&lt;&gt;是",$E$4:$E$200,"&lt;&gt;封闭期",$H$4:$H$200,"&gt;10",$BN$4:$BN$200,"&gt;-6",$BR$4:$BR$200,"&gt;=70",$K$4:$K$200,"&lt;=30",$C$4:$C$200,"&lt;20190630",BI$4:BI$200,"&gt;="&amp;BI94)&amp;"/"&amp;COUNTIFS(BI$4:BI$200,"&lt;&gt;-",$D$4:$D$200,"&lt;&gt;是",$E$4:$E$200,"&lt;&gt;封闭期",$H$4:$H$200,"&gt;10",$BN$4:$BN$200,"&gt;-6",$BR$4:$BR$200,"&gt;=70",$C$4:$C$200,"&lt;20190630",$K$4:$K$200,"&lt;=30"))</f>
        <v>-</v>
      </c>
      <c r="BM94" s="33" t="str">
        <f>IF(OR($C94&gt;20190630,$K94&gt;30,BI94="-",$D94="是",$E94="封闭期",$H94&lt;10,$BN94&lt;-6,$BR94&lt;70),"-",COUNTIFS(BI$4:BI$200,"&lt;&gt;-",$D$4:$D$200,"&lt;&gt;是",$E$4:$E$200,"&lt;&gt;封闭期",$H$4:$H$200,"&gt;10",$BN$4:$BN$200,"&gt;-6",$BR$4:$BR$200,"&gt;=70",$K$4:$K$200,"&lt;=30",$C$4:$C$200,"&lt;20190630",BI$4:BI$200,"&gt;="&amp;BI94)/COUNTIFS(BI$4:BI$200,"&lt;&gt;-",$D$4:$D$200,"&lt;&gt;是",$E$4:$E$200,"&lt;&gt;封闭期",$H$4:$H$200,"&gt;10",$BN$4:$BN$200,"&gt;-6",$BR$4:$BR$200,"&gt;=70",$C$4:$C$200,"&lt;20190630",$K$4:$K$200,"&lt;=30"))</f>
        <v>-</v>
      </c>
      <c r="BN94" s="21">
        <f>[1]!f_risk_maxdownside(A94,$AM$2,$E$1)</f>
        <v>-3.5501330153197044</v>
      </c>
      <c r="BO94" s="21">
        <f>IF(C94&lt;20190930,[1]!f_return_2y(A94,"0","20210930"),"-")</f>
        <v>12.251075643599734</v>
      </c>
      <c r="BP94" s="19" t="str">
        <f>IFERROR(RANK(BO94,BO:BO)&amp;"/"&amp;COUNT(BO:BO),"-")</f>
        <v>113/197</v>
      </c>
      <c r="BQ94" s="25">
        <f>IFERROR(RANK(BO94,BO:BO)/COUNT(BO:BO),"-")</f>
        <v>0.57360406091370564</v>
      </c>
      <c r="BR94" s="19">
        <f>IF(C94&lt;20190930,[1]!f_absolute_profitmonthper(A94,"20190930","20210930"),"-")</f>
        <v>62.5</v>
      </c>
      <c r="BS94" s="19" t="str">
        <f>IFERROR(RANK(BR94,BR:BR)&amp;"/"&amp;COUNT(BR:BR),"-")</f>
        <v>142/198</v>
      </c>
      <c r="BT94" s="25">
        <f>IFERROR(RANK(BR94,BR:BR)/COUNT(BR:BR),"-")</f>
        <v>0.71717171717171713</v>
      </c>
      <c r="BV94" s="12">
        <f>X94-3/M94</f>
        <v>0.83677959200010432</v>
      </c>
      <c r="BW94" s="76">
        <f>IFERROR(RANK(BV94,BV:BV)/COUNT(BV:BV),"-")</f>
        <v>0.64974619289340096</v>
      </c>
      <c r="BX94" s="76">
        <f>IFERROR(RANK(L94,L:L)/COUNT(L:L),"-")</f>
        <v>0.69696969696969702</v>
      </c>
      <c r="BY94" s="12">
        <f>AY94-3/AN94</f>
        <v>1.4825053344210799</v>
      </c>
      <c r="BZ94" s="76">
        <f>IFERROR(RANK(BY94,BY:BY)/COUNT(BY:BY),"-")</f>
        <v>0.53807106598984766</v>
      </c>
      <c r="CA94" s="76">
        <f>IFERROR(RANK(AM94,AM:AM)/COUNT(AM:AM),"-")</f>
        <v>0.46464646464646464</v>
      </c>
      <c r="CB94" s="2"/>
      <c r="CC94" s="77">
        <f>AV94+BF94+BZ94+CA94</f>
        <v>1.4240373275906271</v>
      </c>
      <c r="CD94" s="77">
        <f>BW94+BX94+AE94+U94</f>
        <v>2.9050915243808646</v>
      </c>
      <c r="CE94" s="77">
        <f>CC94+CD94</f>
        <v>4.3291288519714914</v>
      </c>
    </row>
    <row r="95" spans="1:83" s="17" customFormat="1" hidden="1" x14ac:dyDescent="0.35">
      <c r="A95" s="15" t="s">
        <v>245</v>
      </c>
      <c r="B95" s="15" t="s">
        <v>246</v>
      </c>
      <c r="C95" s="16">
        <v>20160616</v>
      </c>
      <c r="D95" s="16" t="str">
        <f>[1]!f_info_regulopenfundornot(A95)</f>
        <v>否</v>
      </c>
      <c r="E95" s="16" t="str">
        <f>[1]!f_dq_status(A95,$E$1)</f>
        <v>开放申购|开放赎回</v>
      </c>
      <c r="F95" s="17" t="str">
        <f>[1]!f_info_fundmanager(A95)</f>
        <v>马英</v>
      </c>
      <c r="G95" s="16">
        <v>20160616</v>
      </c>
      <c r="H95" s="18">
        <f>[1]!f_netasset_total(A95,$E$1,100000000)</f>
        <v>3.2965733900000002E-2</v>
      </c>
      <c r="I95" s="18">
        <f>[1]!f_prt_convertiblebondtonav(A95,$E$1)</f>
        <v>0.12722301483154297</v>
      </c>
      <c r="J95" s="18">
        <f>[1]!f_prt_stocktonav(A95,$E$1)+0.5*I95</f>
        <v>6.3611507415771484E-2</v>
      </c>
      <c r="K95" s="19">
        <v>0</v>
      </c>
      <c r="L95" s="19">
        <f>[1]!f_return($A95,"1",L$2,$E$1)</f>
        <v>12.235071484136007</v>
      </c>
      <c r="M95" s="19">
        <f>[1]!f_risk_stdevyearly($A95,L$2,$E$1,1,1)</f>
        <v>10.263670884413219</v>
      </c>
      <c r="N95" s="19">
        <f>IFERROR(L95/M95,"-")</f>
        <v>1.1920755860085721</v>
      </c>
      <c r="O95" s="19" t="str">
        <f>IFERROR(RANK(N95,N:N)&amp;"/"&amp;COUNT(N:N),"-")</f>
        <v>122/197</v>
      </c>
      <c r="P95" s="26">
        <f>IF(O95="-","-",RANK(N95,N:N)/COUNT(N:N))</f>
        <v>0.61928934010152281</v>
      </c>
      <c r="Q95" s="56">
        <v>8.1218274111675121E-2</v>
      </c>
      <c r="R95" s="33" t="str">
        <f>IF(OR($C95&gt;20190630,$K95&gt;30,N95="-",$D95="是",$E95="封闭期",$H95&lt;10,$BN95&lt;-6,$BR95&lt;70),"-",COUNTIFS(N$4:N$200,"&lt;&gt;-",$D$4:$D$200,"&lt;&gt;是",$E$4:$E$200,"&lt;&gt;封闭期",$H$4:$H$200,"&gt;10",$BN$4:$BN$200,"&gt;-6",$BR$4:$BR$200,"&gt;=70",$K$4:$K$200,"&lt;=30",$C$4:$C$200,"&lt;20190630",N$4:N$200,"&gt;="&amp;N95)/COUNTIFS(N$4:N$200,"&lt;&gt;-",$D$4:$D$200,"&lt;&gt;是",$E$4:$E$200,"&lt;&gt;封闭期",$H$4:$H$200,"&gt;10",$BN$4:$BN$200,"&gt;-6",$BR$4:$BR$200,"&gt;=70",$C$4:$C$200,"&lt;20190630",$K$4:$K$200,"&lt;=30"))</f>
        <v>-</v>
      </c>
      <c r="S95" s="19">
        <f>IFERROR((L95-3)/M95,"-")</f>
        <v>0.89978250356417022</v>
      </c>
      <c r="T95" s="19" t="str">
        <f>IFERROR(RANK(S95,S:S)&amp;"/"&amp;COUNT(S:S),"-")</f>
        <v>83/197</v>
      </c>
      <c r="U95" s="26">
        <f>IFERROR(RANK(S95,S:S)/COUNT(S:S),"-")</f>
        <v>0.42131979695431471</v>
      </c>
      <c r="V95" s="34" t="str">
        <f>IF(OR($C95&gt;20190630,$K95&gt;30,S95="-",$D95="是",$E95="封闭期",$H95&lt;10,$BN95&lt;-6,$BR95&lt;70),"-",COUNTIFS(S$4:S$200,"&lt;&gt;-",$D$4:$D$200,"&lt;&gt;是",$E$4:$E$200,"&lt;&gt;封闭期",$H$4:$H$200,"&gt;10",$BN$4:$BN$200,"&gt;-6",$BR$4:$BR$200,"&gt;=70",$K$4:$K$200,"&lt;=30",$C$4:$C$200,"&lt;20190630",S$4:S$200,"&gt;="&amp;S95)&amp;"/"&amp;COUNTIFS(S$4:S$200,"&lt;&gt;-",$D$4:$D$200,"&lt;&gt;是",$E$4:$E$200,"&lt;&gt;封闭期",$H$4:$H$200,"&gt;10",$BN$4:$BN$200,"&gt;-6",$BR$4:$BR$200,"&gt;=70",$C$4:$C$200,"&lt;20190630",$K$4:$K$200,"&lt;=30"))</f>
        <v>-</v>
      </c>
      <c r="W95" s="33" t="str">
        <f>IF(OR($C95&gt;20190630,$K95&gt;30,S95="-",$D95="是",$E95="封闭期",$H95&lt;10,$BN95&lt;-6,$BR95&lt;70),"-",COUNTIFS(S$4:S$200,"&lt;&gt;-",$D$4:$D$200,"&lt;&gt;是",$E$4:$E$200,"&lt;&gt;封闭期",$H$4:$H$200,"&gt;10",$BN$4:$BN$200,"&gt;-6",$BR$4:$BR$200,"&gt;=70",$K$4:$K$200,"&lt;=30",$C$4:$C$200,"&lt;20190630",S$4:S$200,"&gt;="&amp;S95)/COUNTIFS(S$4:S$200,"&lt;&gt;-",$D$4:$D$200,"&lt;&gt;是",$E$4:$E$200,"&lt;&gt;封闭期",$H$4:$H$200,"&gt;10",$BN$4:$BN$200,"&gt;-6",$BR$4:$BR$200,"&gt;=70",$C$4:$C$200,"&lt;20190630",$K$4:$K$200,"&lt;=30"))</f>
        <v>-</v>
      </c>
      <c r="X95" s="19">
        <f>[1]!f_risk_calmar(A95,$L$2,$E$1)</f>
        <v>1.2108836619617158</v>
      </c>
      <c r="Y95" s="19" t="str">
        <f>IFERROR(RANK(X95,X:X)&amp;"/"&amp;COUNT(X:X),"-")</f>
        <v>145/197</v>
      </c>
      <c r="Z95" s="26">
        <f>IFERROR(RANK(X95,X:X)/COUNT(X:X),"-")</f>
        <v>0.73604060913705582</v>
      </c>
      <c r="AA95" s="34" t="str">
        <f>IF(OR($C95&gt;20190630,$K95&gt;30,X95="-",$D95="是",$E95="封闭期",$H95&lt;10,$BN95&lt;-6,$BR95&lt;70),"-",COUNTIFS(X$4:X$200,"&lt;&gt;-",$D$4:$D$200,"&lt;&gt;是",$E$4:$E$200,"&lt;&gt;封闭期",$H$4:$H$200,"&gt;10",$BN$4:$BN$200,"&gt;-6",$BR$4:$BR$200,"&gt;=70",$K$4:$K$200,"&lt;=30",$C$4:$C$200,"&lt;20190630",X$4:X$200,"&gt;="&amp;X95)&amp;"/"&amp;COUNTIFS(X$4:X$200,"&lt;&gt;-",$D$4:$D$200,"&lt;&gt;是",$E$4:$E$200,"&lt;&gt;封闭期",$H$4:$H$200,"&gt;10",$BN$4:$BN$200,"&gt;-6",$BR$4:$BR$200,"&gt;=70",$C$4:$C$200,"&lt;20190630",$K$4:$K$200,"&lt;=30"))</f>
        <v>-</v>
      </c>
      <c r="AB95" s="33" t="str">
        <f>IF(OR($C95&gt;20190630,$K95&gt;30,X95="-",$D95="是",$E95="封闭期",$H95&lt;10,$BN95&lt;-6,$BR95&lt;70),"-",COUNTIFS(X$4:X$200,"&lt;&gt;-",$D$4:$D$200,"&lt;&gt;是",$E$4:$E$200,"&lt;&gt;封闭期",$H$4:$H$200,"&gt;10",$BN$4:$BN$200,"&gt;-6",$BR$4:$BR$200,"&gt;=70",$K$4:$K$200,"&lt;=30",$C$4:$C$200,"&lt;20190630",X$4:X$200,"&gt;="&amp;X95)/COUNTIFS(X$4:X$200,"&lt;&gt;-",$D$4:$D$200,"&lt;&gt;是",$E$4:$E$200,"&lt;&gt;封闭期",$H$4:$H$200,"&gt;10",$BN$4:$BN$200,"&gt;-6",$BR$4:$BR$200,"&gt;=70",$C$4:$C$200,"&lt;20190630",$K$4:$K$200,"&lt;=30"))</f>
        <v>-</v>
      </c>
      <c r="AC95" s="20">
        <v>0.49579831932773111</v>
      </c>
      <c r="AD95" s="19" t="str">
        <f>IFERROR(RANK(AC95,AC:AC)&amp;"/"&amp;COUNT(AC:AC),"-")</f>
        <v>184/197</v>
      </c>
      <c r="AE95" s="26">
        <f>IFERROR(RANK(AC95,AC:AC)/COUNT(AC:AC),"-")</f>
        <v>0.93401015228426398</v>
      </c>
      <c r="AF95" s="34" t="str">
        <f>IF(OR($C95&gt;20190630,$K95&gt;30,AC95="-",$D95="是",$E95="封闭期",$H95&lt;10,$BN95&lt;-6,$BR95&lt;70),"-",COUNTIFS(AC$4:AC$200,"&lt;&gt;-",$D$4:$D$200,"&lt;&gt;是",$E$4:$E$200,"&lt;&gt;封闭期",$H$4:$H$200,"&gt;10",$BN$4:$BN$200,"&gt;-6",$BR$4:$BR$200,"&gt;=70",$K$4:$K$200,"&lt;=30",$C$4:$C$200,"&lt;20190630",AC$4:AC$200,"&gt;="&amp;AC95)&amp;"/"&amp;COUNTIFS(AC$4:AC$200,"&lt;&gt;-",$D$4:$D$200,"&lt;&gt;是",$E$4:$E$200,"&lt;&gt;封闭期",$H$4:$H$200,"&gt;10",$BN$4:$BN$200,"&gt;-6",$BR$4:$BR$200,"&gt;=70",$C$4:$C$200,"&lt;20190630",$K$4:$K$200,"&lt;=30"))</f>
        <v>-</v>
      </c>
      <c r="AG95" s="33" t="str">
        <f>IF(OR($C95&gt;20190630,$K95&gt;30,AC95="-",$D95="是",$E95="封闭期",$H95&lt;10,$BN95&lt;-6,$BR95&lt;70),"-",COUNTIFS(AC$4:AC$200,"&lt;&gt;-",$D$4:$D$200,"&lt;&gt;是",$E$4:$E$200,"&lt;&gt;封闭期",$H$4:$H$200,"&gt;10",$BN$4:$BN$200,"&gt;-6",$BR$4:$BR$200,"&gt;=70",$K$4:$K$200,"&lt;=30",$C$4:$C$200,"&lt;20190630",AC$4:AC$200,"&gt;="&amp;AC95)/COUNTIFS(AC$4:AC$200,"&lt;&gt;-",$D$4:$D$200,"&lt;&gt;是",$E$4:$E$200,"&lt;&gt;封闭期",$H$4:$H$200,"&gt;10",$BN$4:$BN$200,"&gt;-6",$BR$4:$BR$200,"&gt;=70",$C$4:$C$200,"&lt;20190630",$K$4:$K$200,"&lt;=30"))</f>
        <v>-</v>
      </c>
      <c r="AH95" s="21">
        <f>[1]!f_risk_maxdownside(A95,$L$2,$E$1)</f>
        <v>-10.104250200481143</v>
      </c>
      <c r="AI95" s="19" t="str">
        <f>IFERROR(RANK(AH95,AH:AH)&amp;"/"&amp;COUNT(AH:AH),"-")</f>
        <v>193/197</v>
      </c>
      <c r="AJ95" s="26">
        <f>IFERROR(RANK(AH95,AH:AH)/COUNT(AH:AH),"-")</f>
        <v>0.97969543147208127</v>
      </c>
      <c r="AK95" s="34" t="str">
        <f>IF(OR($C95&gt;20190630,$K95&gt;30,AH95="-",$D95="是",$E95="封闭期",$H95&lt;10,$BN95&lt;-6,$BR95&lt;70),"-",COUNTIFS(AH$4:AH$200,"&lt;&gt;-",$D$4:$D$200,"&lt;&gt;是",$E$4:$E$200,"&lt;&gt;封闭期",$H$4:$H$200,"&gt;10",$BN$4:$BN$200,"&gt;-6",$BR$4:$BR$200,"&gt;=70",$K$4:$K$200,"&lt;=30",$C$4:$C$200,"&lt;20190630",AH$4:AH$200,"&gt;="&amp;AH95)&amp;"/"&amp;COUNTIFS(AH$4:AH$200,"&lt;&gt;-",$D$4:$D$200,"&lt;&gt;是",$E$4:$E$200,"&lt;&gt;封闭期",$H$4:$H$200,"&gt;10",$BN$4:$BN$200,"&gt;-6",$BR$4:$BR$200,"&gt;=70",$C$4:$C$200,"&lt;20190630",$K$4:$K$200,"&lt;=30"))</f>
        <v>-</v>
      </c>
      <c r="AL95" s="33" t="str">
        <f>IF(OR($C95&gt;20190630,$K95&gt;30,AH95="-",$D95="是",$E95="封闭期",$H95&lt;10,$BN95&lt;-6,$BR95&lt;70),"-",COUNTIFS(AH$4:AH$200,"&lt;&gt;-",$D$4:$D$200,"&lt;&gt;是",$E$4:$E$200,"&lt;&gt;封闭期",$H$4:$H$200,"&gt;10",$BN$4:$BN$200,"&gt;-6",$BR$4:$BR$200,"&gt;=70",$K$4:$K$200,"&lt;=30",$C$4:$C$200,"&lt;20190630",AH$4:AH$200,"&gt;="&amp;AH95)/COUNTIFS(AH$4:AH$200,"&lt;&gt;-",$D$4:$D$200,"&lt;&gt;是",$E$4:$E$200,"&lt;&gt;封闭期",$H$4:$H$200,"&gt;10",$BN$4:$BN$200,"&gt;-6",$BR$4:$BR$200,"&gt;=70",$C$4:$C$200,"&lt;20190630",$K$4:$K$200,"&lt;=30"))</f>
        <v>-</v>
      </c>
      <c r="AM95" s="19">
        <f>[1]!f_return($A95,"1",AM$2,$L$2)</f>
        <v>7.6098071874894924</v>
      </c>
      <c r="AN95" s="19">
        <f>[1]!f_risk_stdevyearly($A95,AM$2,$L$2,1,1)</f>
        <v>12.113704995129721</v>
      </c>
      <c r="AO95" s="19">
        <f>IFERROR(AM95/AN95,"-")</f>
        <v>0.62819815989814776</v>
      </c>
      <c r="AP95" s="19" t="str">
        <f>IFERROR(RANK(AO95,AO:AO)&amp;"/"&amp;COUNT(AO:AO),"-")</f>
        <v>182/197</v>
      </c>
      <c r="AQ95" s="26">
        <f>IF(AP95="-","-",RANK(AO95,AO:AO)/COUNT(AO:AO))</f>
        <v>0.92385786802030456</v>
      </c>
      <c r="AR95" s="57">
        <v>0.46700507614213199</v>
      </c>
      <c r="AS95" s="33" t="str">
        <f>IF(OR($C95&gt;20190630,$K95&gt;30,AO95="-",$D95="是",$E95="封闭期",$H95&lt;10,$BN95&lt;-6,$BR95&lt;70),"-",COUNTIFS(AO$4:AO$200,"&lt;&gt;-",$D$4:$D$200,"&lt;&gt;是",$E$4:$E$200,"&lt;&gt;封闭期",$H$4:$H$200,"&gt;10",$BN$4:$BN$200,"&gt;-6",$BR$4:$BR$200,"&gt;=70",$K$4:$K$200,"&lt;=30",$C$4:$C$200,"&lt;20190630",AO$4:AO$200,"&gt;="&amp;AO95)/COUNTIFS(AO$4:AO$200,"&lt;&gt;-",$D$4:$D$200,"&lt;&gt;是",$E$4:$E$200,"&lt;&gt;封闭期",$H$4:$H$200,"&gt;10",$BN$4:$BN$200,"&gt;-6",$BR$4:$BR$200,"&gt;=70",$C$4:$C$200,"&lt;20190630",$K$4:$K$200,"&lt;=30"))</f>
        <v>-</v>
      </c>
      <c r="AT95" s="19">
        <f>IFERROR((AM95-3)/AN95,"-")</f>
        <v>0.38054477877270837</v>
      </c>
      <c r="AU95" s="19" t="str">
        <f>IFERROR(RANK(AT95,AT:AT)&amp;"/"&amp;COUNT(AT:AT),"-")</f>
        <v>149/197</v>
      </c>
      <c r="AV95" s="26">
        <f>IFERROR(RANK(AT95,AT:AT)/COUNT(AT:AT),"-")</f>
        <v>0.75634517766497467</v>
      </c>
      <c r="AW95" s="34" t="str">
        <f>IF(OR($C95&gt;20190630,$K95&gt;30,AT95="-",$D95="是",$E95="封闭期",$H95&lt;10,$BN95&lt;-6,$BR95&lt;70),"-",COUNTIFS(AT$4:AT$200,"&lt;&gt;-",$D$4:$D$200,"&lt;&gt;是",$E$4:$E$200,"&lt;&gt;封闭期",$H$4:$H$200,"&gt;10",$BN$4:$BN$200,"&gt;-6",$BR$4:$BR$200,"&gt;=70",$K$4:$K$200,"&lt;=30",$C$4:$C$200,"&lt;20190630",AT$4:AT$200,"&gt;="&amp;AT95)&amp;"/"&amp;COUNTIFS(AT$4:AT$200,"&lt;&gt;-",$D$4:$D$200,"&lt;&gt;是",$E$4:$E$200,"&lt;&gt;封闭期",$H$4:$H$200,"&gt;10",$BN$4:$BN$200,"&gt;-6",$BR$4:$BR$200,"&gt;=70",$C$4:$C$200,"&lt;20190630",$K$4:$K$200,"&lt;=30"))</f>
        <v>-</v>
      </c>
      <c r="AX95" s="33" t="str">
        <f>IF(OR($C95&gt;20190630,$K95&gt;30,AT95="-",$D95="是",$E95="封闭期",$H95&lt;10,$BN95&lt;-6,$BR95&lt;70),"-",COUNTIFS(AT$4:AT$200,"&lt;&gt;-",$D$4:$D$200,"&lt;&gt;是",$E$4:$E$200,"&lt;&gt;封闭期",$H$4:$H$200,"&gt;10",$BN$4:$BN$200,"&gt;-6",$BR$4:$BR$200,"&gt;=70",$K$4:$K$200,"&lt;=30",$C$4:$C$200,"&lt;20190630",AT$4:AT$200,"&gt;="&amp;AT95)/COUNTIFS(AT$4:AT$200,"&lt;&gt;-",$D$4:$D$200,"&lt;&gt;是",$E$4:$E$200,"&lt;&gt;封闭期",$H$4:$H$200,"&gt;10",$BN$4:$BN$200,"&gt;-6",$BR$4:$BR$200,"&gt;=70",$C$4:$C$200,"&lt;20190630",$K$4:$K$200,"&lt;=30"))</f>
        <v>-</v>
      </c>
      <c r="AY95" s="19">
        <f>[1]!f_risk_calmar(A95,$AM$2,$L$2)</f>
        <v>1.0069542844051755</v>
      </c>
      <c r="AZ95" s="19" t="str">
        <f>IFERROR(RANK(AY95,AY:AY)&amp;"/"&amp;COUNT(AY:AY),"-")</f>
        <v>171/197</v>
      </c>
      <c r="BA95" s="26">
        <f>IFERROR(RANK(AY95,AY:AY)/COUNT(AY:AY),"-")</f>
        <v>0.86802030456852797</v>
      </c>
      <c r="BB95" s="34" t="str">
        <f>IF(OR($C95&gt;20190630,$K95&gt;30,AY95="-",$D95="是",$E95="封闭期",$H95&lt;10,$BN95&lt;-6,$BR95&lt;70),"-",COUNTIFS(AY$4:AY$200,"&lt;&gt;-",$D$4:$D$200,"&lt;&gt;是",$E$4:$E$200,"&lt;&gt;封闭期",$H$4:$H$200,"&gt;10",$BN$4:$BN$200,"&gt;-6",$BR$4:$BR$200,"&gt;=70",$K$4:$K$200,"&lt;=30",$C$4:$C$200,"&lt;20190630",AY$4:AY$200,"&gt;="&amp;AY95)&amp;"/"&amp;COUNTIFS(AY$4:AY$200,"&lt;&gt;-",$D$4:$D$200,"&lt;&gt;是",$E$4:$E$200,"&lt;&gt;封闭期",$H$4:$H$200,"&gt;10",$BN$4:$BN$200,"&gt;-6",$BR$4:$BR$200,"&gt;=70",$C$4:$C$200,"&lt;20190630",$K$4:$K$200,"&lt;=30"))</f>
        <v>-</v>
      </c>
      <c r="BC95" s="33" t="str">
        <f>IF(OR($C95&gt;20190630,$K95&gt;30,AY95="-",$D95="是",$E95="封闭期",$H95&lt;10,$BN95&lt;-6,$BR95&lt;70),"-",COUNTIFS(AY$4:AY$200,"&lt;&gt;-",$D$4:$D$200,"&lt;&gt;是",$E$4:$E$200,"&lt;&gt;封闭期",$H$4:$H$200,"&gt;10",$BN$4:$BN$200,"&gt;-6",$BR$4:$BR$200,"&gt;=70",$K$4:$K$200,"&lt;=30",$C$4:$C$200,"&lt;20190630",AY$4:AY$200,"&gt;="&amp;AY95)/COUNTIFS(AY$4:AY$200,"&lt;&gt;-",$D$4:$D$200,"&lt;&gt;是",$E$4:$E$200,"&lt;&gt;封闭期",$H$4:$H$200,"&gt;10",$BN$4:$BN$200,"&gt;-6",$BR$4:$BR$200,"&gt;=70",$C$4:$C$200,"&lt;20190630",$K$4:$K$200,"&lt;=30"))</f>
        <v>-</v>
      </c>
      <c r="BD95" s="20">
        <v>0.9</v>
      </c>
      <c r="BE95" s="19" t="str">
        <f>IFERROR(RANK(BD95,BD:BD)&amp;"/"&amp;COUNT(BD:BD),"-")</f>
        <v>166/197</v>
      </c>
      <c r="BF95" s="26">
        <f>IFERROR(RANK(BD95,BD:BD)/COUNT(BD:BD),"-")</f>
        <v>0.84263959390862941</v>
      </c>
      <c r="BG95" s="34" t="str">
        <f>IF(OR($C95&gt;20190630,$K95&gt;30,BD95="-",$D95="是",$E95="封闭期",$H95&lt;10,$BN95&lt;-6,$BR95&lt;70),"-",COUNTIFS(BD$4:BD$200,"&lt;&gt;-",$D$4:$D$200,"&lt;&gt;是",$E$4:$E$200,"&lt;&gt;封闭期",$H$4:$H$200,"&gt;10",$BN$4:$BN$200,"&gt;-6",$BR$4:$BR$200,"&gt;=70",$K$4:$K$200,"&lt;=30",$C$4:$C$200,"&lt;20190630",BD$4:BD$200,"&gt;="&amp;BD95)&amp;"/"&amp;COUNTIFS(BD$4:BD$200,"&lt;&gt;-",$D$4:$D$200,"&lt;&gt;是",$E$4:$E$200,"&lt;&gt;封闭期",$H$4:$H$200,"&gt;10",$BN$4:$BN$200,"&gt;-6",$BR$4:$BR$200,"&gt;=70",$C$4:$C$200,"&lt;20190630",$K$4:$K$200,"&lt;=30"))</f>
        <v>-</v>
      </c>
      <c r="BH95" s="33" t="str">
        <f>IF(OR($C95&gt;20190630,$K95&gt;30,BD95="-",$D95="是",$E95="封闭期",$H95&lt;10,$BN95&lt;-6,$BR95&lt;70),"-",COUNTIFS(BD$4:BD$200,"&lt;&gt;-",$D$4:$D$200,"&lt;&gt;是",$E$4:$E$200,"&lt;&gt;封闭期",$H$4:$H$200,"&gt;10",$BN$4:$BN$200,"&gt;-6",$BR$4:$BR$200,"&gt;=70",$K$4:$K$200,"&lt;=30",$C$4:$C$200,"&lt;20190630",BD$4:BD$200,"&gt;="&amp;BD95)/COUNTIFS(BD$4:BD$200,"&lt;&gt;-",$D$4:$D$200,"&lt;&gt;是",$E$4:$E$200,"&lt;&gt;封闭期",$H$4:$H$200,"&gt;10",$BN$4:$BN$200,"&gt;-6",$BR$4:$BR$200,"&gt;=70",$C$4:$C$200,"&lt;20190630",$K$4:$K$200,"&lt;=30"))</f>
        <v>-</v>
      </c>
      <c r="BI95" s="21">
        <f>[1]!f_risk_maxdownside(A95,$AM$2,$L$2)</f>
        <v>-7.5572519083969443</v>
      </c>
      <c r="BJ95" s="19" t="str">
        <f>IFERROR(RANK(BI95,BI:BI)&amp;"/"&amp;COUNT(BI:BI),"-")</f>
        <v>182/197</v>
      </c>
      <c r="BK95" s="26">
        <f>IFERROR(RANK(BI95,BI:BI)/COUNT(BI:BI),"-")</f>
        <v>0.92385786802030456</v>
      </c>
      <c r="BL95" s="34" t="str">
        <f>IF(OR($C95&gt;20190630,$K95&gt;30,BI95="-",$D95="是",$E95="封闭期",$H95&lt;10,$BN95&lt;-6,$BR95&lt;70),"-",COUNTIFS(BI$4:BI$200,"&lt;&gt;-",$D$4:$D$200,"&lt;&gt;是",$E$4:$E$200,"&lt;&gt;封闭期",$H$4:$H$200,"&gt;10",$BN$4:$BN$200,"&gt;-6",$BR$4:$BR$200,"&gt;=70",$K$4:$K$200,"&lt;=30",$C$4:$C$200,"&lt;20190630",BI$4:BI$200,"&gt;="&amp;BI95)&amp;"/"&amp;COUNTIFS(BI$4:BI$200,"&lt;&gt;-",$D$4:$D$200,"&lt;&gt;是",$E$4:$E$200,"&lt;&gt;封闭期",$H$4:$H$200,"&gt;10",$BN$4:$BN$200,"&gt;-6",$BR$4:$BR$200,"&gt;=70",$C$4:$C$200,"&lt;20190630",$K$4:$K$200,"&lt;=30"))</f>
        <v>-</v>
      </c>
      <c r="BM95" s="33" t="str">
        <f>IF(OR($C95&gt;20190630,$K95&gt;30,BI95="-",$D95="是",$E95="封闭期",$H95&lt;10,$BN95&lt;-6,$BR95&lt;70),"-",COUNTIFS(BI$4:BI$200,"&lt;&gt;-",$D$4:$D$200,"&lt;&gt;是",$E$4:$E$200,"&lt;&gt;封闭期",$H$4:$H$200,"&gt;10",$BN$4:$BN$200,"&gt;-6",$BR$4:$BR$200,"&gt;=70",$K$4:$K$200,"&lt;=30",$C$4:$C$200,"&lt;20190630",BI$4:BI$200,"&gt;="&amp;BI95)/COUNTIFS(BI$4:BI$200,"&lt;&gt;-",$D$4:$D$200,"&lt;&gt;是",$E$4:$E$200,"&lt;&gt;封闭期",$H$4:$H$200,"&gt;10",$BN$4:$BN$200,"&gt;-6",$BR$4:$BR$200,"&gt;=70",$C$4:$C$200,"&lt;20190630",$K$4:$K$200,"&lt;=30"))</f>
        <v>-</v>
      </c>
      <c r="BN95" s="21">
        <f>[1]!f_risk_maxdownside(A95,$AM$2,$E$1)</f>
        <v>-10.104250200481143</v>
      </c>
      <c r="BO95" s="21">
        <f>IF(C95&lt;20190930,[1]!f_return_2y(A95,"0","20210930"),"-")</f>
        <v>21.2905982905983</v>
      </c>
      <c r="BP95" s="19" t="str">
        <f>IFERROR(RANK(BO95,BO:BO)&amp;"/"&amp;COUNT(BO:BO),"-")</f>
        <v>33/197</v>
      </c>
      <c r="BQ95" s="25">
        <f>IFERROR(RANK(BO95,BO:BO)/COUNT(BO:BO),"-")</f>
        <v>0.16751269035532995</v>
      </c>
      <c r="BR95" s="19">
        <f>IF(C95&lt;20190930,[1]!f_absolute_profitmonthper(A95,"20190930","20210930"),"-")</f>
        <v>66.666666666666657</v>
      </c>
      <c r="BS95" s="19" t="str">
        <f>IFERROR(RANK(BR95,BR:BR)&amp;"/"&amp;COUNT(BR:BR),"-")</f>
        <v>115/198</v>
      </c>
      <c r="BT95" s="25">
        <f>IFERROR(RANK(BR95,BR:BR)/COUNT(BR:BR),"-")</f>
        <v>0.58080808080808077</v>
      </c>
      <c r="BV95" s="12">
        <f>X95-3/M95</f>
        <v>0.91859057951731393</v>
      </c>
      <c r="BW95" s="76">
        <f>IFERROR(RANK(BV95,BV:BV)/COUNT(BV:BV),"-")</f>
        <v>0.63451776649746194</v>
      </c>
      <c r="BX95" s="76">
        <f>IFERROR(RANK(L95,L:L)/COUNT(L:L),"-")</f>
        <v>8.5858585858585856E-2</v>
      </c>
      <c r="BY95" s="12">
        <f>AY95-3/AN95</f>
        <v>0.75930090327973609</v>
      </c>
      <c r="BZ95" s="76">
        <f>IFERROR(RANK(BY95,BY:BY)/COUNT(BY:BY),"-")</f>
        <v>0.74619289340101524</v>
      </c>
      <c r="CA95" s="76">
        <f>IFERROR(RANK(AM95,AM:AM)/COUNT(AM:AM),"-")</f>
        <v>0.46969696969696972</v>
      </c>
      <c r="CB95" s="2"/>
      <c r="CC95" s="77">
        <f>AV95+BF95+BZ95+CA95</f>
        <v>2.8148746346715892</v>
      </c>
      <c r="CD95" s="77">
        <f>BW95+BX95+AE95+U95</f>
        <v>2.0757063015946264</v>
      </c>
      <c r="CE95" s="77">
        <f>CC95+CD95</f>
        <v>4.8905809362662156</v>
      </c>
    </row>
    <row r="96" spans="1:83" s="17" customFormat="1" hidden="1" x14ac:dyDescent="0.35">
      <c r="A96" s="15" t="s">
        <v>349</v>
      </c>
      <c r="B96" s="15" t="s">
        <v>350</v>
      </c>
      <c r="C96" s="16">
        <v>20170920</v>
      </c>
      <c r="D96" s="16" t="str">
        <f>[1]!f_info_regulopenfundornot(A96)</f>
        <v>否</v>
      </c>
      <c r="E96" s="16" t="str">
        <f>[1]!f_dq_status(A96,$E$1)</f>
        <v>开放申购|开放赎回</v>
      </c>
      <c r="F96" s="17" t="str">
        <f>[1]!f_info_fundmanager(A96)</f>
        <v>尹诚庸</v>
      </c>
      <c r="G96" s="16">
        <v>20190212</v>
      </c>
      <c r="H96" s="18">
        <f>[1]!f_netasset_total(A96,$E$1,100000000)</f>
        <v>4.4013939454000006</v>
      </c>
      <c r="I96" s="18">
        <f>[1]!f_prt_convertiblebondtonav(A96,$E$1)</f>
        <v>6.3177814483642578</v>
      </c>
      <c r="J96" s="18">
        <f>[1]!f_prt_stocktonav(A96,$E$1)+0.5*I96</f>
        <v>15.088418006896973</v>
      </c>
      <c r="K96" s="19">
        <v>16.039918461237409</v>
      </c>
      <c r="L96" s="19">
        <f>[1]!f_return($A96,"1",L$2,$E$1)</f>
        <v>4.8010973946222668</v>
      </c>
      <c r="M96" s="19">
        <f>[1]!f_risk_stdevyearly($A96,L$2,$E$1,1,1)</f>
        <v>3.8424493291209845</v>
      </c>
      <c r="N96" s="19">
        <f>IFERROR(L96/M96,"-")</f>
        <v>1.2494887982610265</v>
      </c>
      <c r="O96" s="19" t="str">
        <f>IFERROR(RANK(N96,N:N)&amp;"/"&amp;COUNT(N:N),"-")</f>
        <v>116/197</v>
      </c>
      <c r="P96" s="26">
        <f>IF(O96="-","-",RANK(N96,N:N)/COUNT(N:N))</f>
        <v>0.58883248730964466</v>
      </c>
      <c r="Q96" s="56">
        <v>0.59390862944162437</v>
      </c>
      <c r="R96" s="33" t="str">
        <f>IF(OR($C96&gt;20190630,$K96&gt;30,N96="-",$D96="是",$E96="封闭期",$H96&lt;10,$BN96&lt;-6,$BR96&lt;70),"-",COUNTIFS(N$4:N$200,"&lt;&gt;-",$D$4:$D$200,"&lt;&gt;是",$E$4:$E$200,"&lt;&gt;封闭期",$H$4:$H$200,"&gt;10",$BN$4:$BN$200,"&gt;-6",$BR$4:$BR$200,"&gt;=70",$K$4:$K$200,"&lt;=30",$C$4:$C$200,"&lt;20190630",N$4:N$200,"&gt;="&amp;N96)/COUNTIFS(N$4:N$200,"&lt;&gt;-",$D$4:$D$200,"&lt;&gt;是",$E$4:$E$200,"&lt;&gt;封闭期",$H$4:$H$200,"&gt;10",$BN$4:$BN$200,"&gt;-6",$BR$4:$BR$200,"&gt;=70",$C$4:$C$200,"&lt;20190630",$K$4:$K$200,"&lt;=30"))</f>
        <v>-</v>
      </c>
      <c r="S96" s="19">
        <f>IFERROR((L96-3)/M96,"-")</f>
        <v>0.46873679789924355</v>
      </c>
      <c r="T96" s="19" t="str">
        <f>IFERROR(RANK(S96,S:S)&amp;"/"&amp;COUNT(S:S),"-")</f>
        <v>121/197</v>
      </c>
      <c r="U96" s="26">
        <f>IFERROR(RANK(S96,S:S)/COUNT(S:S),"-")</f>
        <v>0.6142131979695431</v>
      </c>
      <c r="V96" s="34" t="str">
        <f>IF(OR($C96&gt;20190630,$K96&gt;30,S96="-",$D96="是",$E96="封闭期",$H96&lt;10,$BN96&lt;-6,$BR96&lt;70),"-",COUNTIFS(S$4:S$200,"&lt;&gt;-",$D$4:$D$200,"&lt;&gt;是",$E$4:$E$200,"&lt;&gt;封闭期",$H$4:$H$200,"&gt;10",$BN$4:$BN$200,"&gt;-6",$BR$4:$BR$200,"&gt;=70",$K$4:$K$200,"&lt;=30",$C$4:$C$200,"&lt;20190630",S$4:S$200,"&gt;="&amp;S96)&amp;"/"&amp;COUNTIFS(S$4:S$200,"&lt;&gt;-",$D$4:$D$200,"&lt;&gt;是",$E$4:$E$200,"&lt;&gt;封闭期",$H$4:$H$200,"&gt;10",$BN$4:$BN$200,"&gt;-6",$BR$4:$BR$200,"&gt;=70",$C$4:$C$200,"&lt;20190630",$K$4:$K$200,"&lt;=30"))</f>
        <v>-</v>
      </c>
      <c r="W96" s="33" t="str">
        <f>IF(OR($C96&gt;20190630,$K96&gt;30,S96="-",$D96="是",$E96="封闭期",$H96&lt;10,$BN96&lt;-6,$BR96&lt;70),"-",COUNTIFS(S$4:S$200,"&lt;&gt;-",$D$4:$D$200,"&lt;&gt;是",$E$4:$E$200,"&lt;&gt;封闭期",$H$4:$H$200,"&gt;10",$BN$4:$BN$200,"&gt;-6",$BR$4:$BR$200,"&gt;=70",$K$4:$K$200,"&lt;=30",$C$4:$C$200,"&lt;20190630",S$4:S$200,"&gt;="&amp;S96)/COUNTIFS(S$4:S$200,"&lt;&gt;-",$D$4:$D$200,"&lt;&gt;是",$E$4:$E$200,"&lt;&gt;封闭期",$H$4:$H$200,"&gt;10",$BN$4:$BN$200,"&gt;-6",$BR$4:$BR$200,"&gt;=70",$C$4:$C$200,"&lt;20190630",$K$4:$K$200,"&lt;=30"))</f>
        <v>-</v>
      </c>
      <c r="X96" s="19">
        <f>[1]!f_risk_calmar(A96,$L$2,$E$1)</f>
        <v>1.7323029320363839</v>
      </c>
      <c r="Y96" s="19" t="str">
        <f>IFERROR(RANK(X96,X:X)&amp;"/"&amp;COUNT(X:X),"-")</f>
        <v>113/197</v>
      </c>
      <c r="Z96" s="26">
        <f>IFERROR(RANK(X96,X:X)/COUNT(X:X),"-")</f>
        <v>0.57360406091370564</v>
      </c>
      <c r="AA96" s="34" t="str">
        <f>IF(OR($C96&gt;20190630,$K96&gt;30,X96="-",$D96="是",$E96="封闭期",$H96&lt;10,$BN96&lt;-6,$BR96&lt;70),"-",COUNTIFS(X$4:X$200,"&lt;&gt;-",$D$4:$D$200,"&lt;&gt;是",$E$4:$E$200,"&lt;&gt;封闭期",$H$4:$H$200,"&gt;10",$BN$4:$BN$200,"&gt;-6",$BR$4:$BR$200,"&gt;=70",$K$4:$K$200,"&lt;=30",$C$4:$C$200,"&lt;20190630",X$4:X$200,"&gt;="&amp;X96)&amp;"/"&amp;COUNTIFS(X$4:X$200,"&lt;&gt;-",$D$4:$D$200,"&lt;&gt;是",$E$4:$E$200,"&lt;&gt;封闭期",$H$4:$H$200,"&gt;10",$BN$4:$BN$200,"&gt;-6",$BR$4:$BR$200,"&gt;=70",$C$4:$C$200,"&lt;20190630",$K$4:$K$200,"&lt;=30"))</f>
        <v>-</v>
      </c>
      <c r="AB96" s="33" t="str">
        <f>IF(OR($C96&gt;20190630,$K96&gt;30,X96="-",$D96="是",$E96="封闭期",$H96&lt;10,$BN96&lt;-6,$BR96&lt;70),"-",COUNTIFS(X$4:X$200,"&lt;&gt;-",$D$4:$D$200,"&lt;&gt;是",$E$4:$E$200,"&lt;&gt;封闭期",$H$4:$H$200,"&gt;10",$BN$4:$BN$200,"&gt;-6",$BR$4:$BR$200,"&gt;=70",$K$4:$K$200,"&lt;=30",$C$4:$C$200,"&lt;20190630",X$4:X$200,"&gt;="&amp;X96)/COUNTIFS(X$4:X$200,"&lt;&gt;-",$D$4:$D$200,"&lt;&gt;是",$E$4:$E$200,"&lt;&gt;封闭期",$H$4:$H$200,"&gt;10",$BN$4:$BN$200,"&gt;-6",$BR$4:$BR$200,"&gt;=70",$C$4:$C$200,"&lt;20190630",$K$4:$K$200,"&lt;=30"))</f>
        <v>-</v>
      </c>
      <c r="AC96" s="20">
        <v>0.77310924369747902</v>
      </c>
      <c r="AD96" s="19" t="str">
        <f>IFERROR(RANK(AC96,AC:AC)&amp;"/"&amp;COUNT(AC:AC),"-")</f>
        <v>152/197</v>
      </c>
      <c r="AE96" s="26">
        <f>IFERROR(RANK(AC96,AC:AC)/COUNT(AC:AC),"-")</f>
        <v>0.77157360406091369</v>
      </c>
      <c r="AF96" s="34" t="str">
        <f>IF(OR($C96&gt;20190630,$K96&gt;30,AC96="-",$D96="是",$E96="封闭期",$H96&lt;10,$BN96&lt;-6,$BR96&lt;70),"-",COUNTIFS(AC$4:AC$200,"&lt;&gt;-",$D$4:$D$200,"&lt;&gt;是",$E$4:$E$200,"&lt;&gt;封闭期",$H$4:$H$200,"&gt;10",$BN$4:$BN$200,"&gt;-6",$BR$4:$BR$200,"&gt;=70",$K$4:$K$200,"&lt;=30",$C$4:$C$200,"&lt;20190630",AC$4:AC$200,"&gt;="&amp;AC96)&amp;"/"&amp;COUNTIFS(AC$4:AC$200,"&lt;&gt;-",$D$4:$D$200,"&lt;&gt;是",$E$4:$E$200,"&lt;&gt;封闭期",$H$4:$H$200,"&gt;10",$BN$4:$BN$200,"&gt;-6",$BR$4:$BR$200,"&gt;=70",$C$4:$C$200,"&lt;20190630",$K$4:$K$200,"&lt;=30"))</f>
        <v>-</v>
      </c>
      <c r="AG96" s="33" t="str">
        <f>IF(OR($C96&gt;20190630,$K96&gt;30,AC96="-",$D96="是",$E96="封闭期",$H96&lt;10,$BN96&lt;-6,$BR96&lt;70),"-",COUNTIFS(AC$4:AC$200,"&lt;&gt;-",$D$4:$D$200,"&lt;&gt;是",$E$4:$E$200,"&lt;&gt;封闭期",$H$4:$H$200,"&gt;10",$BN$4:$BN$200,"&gt;-6",$BR$4:$BR$200,"&gt;=70",$K$4:$K$200,"&lt;=30",$C$4:$C$200,"&lt;20190630",AC$4:AC$200,"&gt;="&amp;AC96)/COUNTIFS(AC$4:AC$200,"&lt;&gt;-",$D$4:$D$200,"&lt;&gt;是",$E$4:$E$200,"&lt;&gt;封闭期",$H$4:$H$200,"&gt;10",$BN$4:$BN$200,"&gt;-6",$BR$4:$BR$200,"&gt;=70",$C$4:$C$200,"&lt;20190630",$K$4:$K$200,"&lt;=30"))</f>
        <v>-</v>
      </c>
      <c r="AH96" s="21">
        <f>[1]!f_risk_maxdownside(A96,$L$2,$E$1)</f>
        <v>-2.7715114405414103</v>
      </c>
      <c r="AI96" s="19" t="str">
        <f>IFERROR(RANK(AH96,AH:AH)&amp;"/"&amp;COUNT(AH:AH),"-")</f>
        <v>83/197</v>
      </c>
      <c r="AJ96" s="26">
        <f>IFERROR(RANK(AH96,AH:AH)/COUNT(AH:AH),"-")</f>
        <v>0.42131979695431471</v>
      </c>
      <c r="AK96" s="34" t="str">
        <f>IF(OR($C96&gt;20190630,$K96&gt;30,AH96="-",$D96="是",$E96="封闭期",$H96&lt;10,$BN96&lt;-6,$BR96&lt;70),"-",COUNTIFS(AH$4:AH$200,"&lt;&gt;-",$D$4:$D$200,"&lt;&gt;是",$E$4:$E$200,"&lt;&gt;封闭期",$H$4:$H$200,"&gt;10",$BN$4:$BN$200,"&gt;-6",$BR$4:$BR$200,"&gt;=70",$K$4:$K$200,"&lt;=30",$C$4:$C$200,"&lt;20190630",AH$4:AH$200,"&gt;="&amp;AH96)&amp;"/"&amp;COUNTIFS(AH$4:AH$200,"&lt;&gt;-",$D$4:$D$200,"&lt;&gt;是",$E$4:$E$200,"&lt;&gt;封闭期",$H$4:$H$200,"&gt;10",$BN$4:$BN$200,"&gt;-6",$BR$4:$BR$200,"&gt;=70",$C$4:$C$200,"&lt;20190630",$K$4:$K$200,"&lt;=30"))</f>
        <v>-</v>
      </c>
      <c r="AL96" s="33" t="str">
        <f>IF(OR($C96&gt;20190630,$K96&gt;30,AH96="-",$D96="是",$E96="封闭期",$H96&lt;10,$BN96&lt;-6,$BR96&lt;70),"-",COUNTIFS(AH$4:AH$200,"&lt;&gt;-",$D$4:$D$200,"&lt;&gt;是",$E$4:$E$200,"&lt;&gt;封闭期",$H$4:$H$200,"&gt;10",$BN$4:$BN$200,"&gt;-6",$BR$4:$BR$200,"&gt;=70",$K$4:$K$200,"&lt;=30",$C$4:$C$200,"&lt;20190630",AH$4:AH$200,"&gt;="&amp;AH96)/COUNTIFS(AH$4:AH$200,"&lt;&gt;-",$D$4:$D$200,"&lt;&gt;是",$E$4:$E$200,"&lt;&gt;封闭期",$H$4:$H$200,"&gt;10",$BN$4:$BN$200,"&gt;-6",$BR$4:$BR$200,"&gt;=70",$C$4:$C$200,"&lt;20190630",$K$4:$K$200,"&lt;=30"))</f>
        <v>-</v>
      </c>
      <c r="AM96" s="19">
        <f>[1]!f_return($A96,"1",AM$2,$L$2)</f>
        <v>7.5809319406175746</v>
      </c>
      <c r="AN96" s="19">
        <f>[1]!f_risk_stdevyearly($A96,AM$2,$L$2,1,1)</f>
        <v>4.5565454223955051</v>
      </c>
      <c r="AO96" s="19">
        <f>IFERROR(AM96/AN96,"-")</f>
        <v>1.6637454996842902</v>
      </c>
      <c r="AP96" s="19" t="str">
        <f>IFERROR(RANK(AO96,AO:AO)&amp;"/"&amp;COUNT(AO:AO),"-")</f>
        <v>91/197</v>
      </c>
      <c r="AQ96" s="26">
        <f>IF(AP96="-","-",RANK(AO96,AO:AO)/COUNT(AO:AO))</f>
        <v>0.46192893401015228</v>
      </c>
      <c r="AR96" s="57">
        <v>0.4720812182741117</v>
      </c>
      <c r="AS96" s="33" t="str">
        <f>IF(OR($C96&gt;20190630,$K96&gt;30,AO96="-",$D96="是",$E96="封闭期",$H96&lt;10,$BN96&lt;-6,$BR96&lt;70),"-",COUNTIFS(AO$4:AO$200,"&lt;&gt;-",$D$4:$D$200,"&lt;&gt;是",$E$4:$E$200,"&lt;&gt;封闭期",$H$4:$H$200,"&gt;10",$BN$4:$BN$200,"&gt;-6",$BR$4:$BR$200,"&gt;=70",$K$4:$K$200,"&lt;=30",$C$4:$C$200,"&lt;20190630",AO$4:AO$200,"&gt;="&amp;AO96)/COUNTIFS(AO$4:AO$200,"&lt;&gt;-",$D$4:$D$200,"&lt;&gt;是",$E$4:$E$200,"&lt;&gt;封闭期",$H$4:$H$200,"&gt;10",$BN$4:$BN$200,"&gt;-6",$BR$4:$BR$200,"&gt;=70",$C$4:$C$200,"&lt;20190630",$K$4:$K$200,"&lt;=30"))</f>
        <v>-</v>
      </c>
      <c r="AT96" s="19">
        <f>IFERROR((AM96-3)/AN96,"-")</f>
        <v>1.0053519752271556</v>
      </c>
      <c r="AU96" s="19" t="str">
        <f>IFERROR(RANK(AT96,AT:AT)&amp;"/"&amp;COUNT(AT:AT),"-")</f>
        <v>86/197</v>
      </c>
      <c r="AV96" s="26">
        <f>IFERROR(RANK(AT96,AT:AT)/COUNT(AT:AT),"-")</f>
        <v>0.43654822335025378</v>
      </c>
      <c r="AW96" s="34" t="str">
        <f>IF(OR($C96&gt;20190630,$K96&gt;30,AT96="-",$D96="是",$E96="封闭期",$H96&lt;10,$BN96&lt;-6,$BR96&lt;70),"-",COUNTIFS(AT$4:AT$200,"&lt;&gt;-",$D$4:$D$200,"&lt;&gt;是",$E$4:$E$200,"&lt;&gt;封闭期",$H$4:$H$200,"&gt;10",$BN$4:$BN$200,"&gt;-6",$BR$4:$BR$200,"&gt;=70",$K$4:$K$200,"&lt;=30",$C$4:$C$200,"&lt;20190630",AT$4:AT$200,"&gt;="&amp;AT96)&amp;"/"&amp;COUNTIFS(AT$4:AT$200,"&lt;&gt;-",$D$4:$D$200,"&lt;&gt;是",$E$4:$E$200,"&lt;&gt;封闭期",$H$4:$H$200,"&gt;10",$BN$4:$BN$200,"&gt;-6",$BR$4:$BR$200,"&gt;=70",$C$4:$C$200,"&lt;20190630",$K$4:$K$200,"&lt;=30"))</f>
        <v>-</v>
      </c>
      <c r="AX96" s="33" t="str">
        <f>IF(OR($C96&gt;20190630,$K96&gt;30,AT96="-",$D96="是",$E96="封闭期",$H96&lt;10,$BN96&lt;-6,$BR96&lt;70),"-",COUNTIFS(AT$4:AT$200,"&lt;&gt;-",$D$4:$D$200,"&lt;&gt;是",$E$4:$E$200,"&lt;&gt;封闭期",$H$4:$H$200,"&gt;10",$BN$4:$BN$200,"&gt;-6",$BR$4:$BR$200,"&gt;=70",$K$4:$K$200,"&lt;=30",$C$4:$C$200,"&lt;20190630",AT$4:AT$200,"&gt;="&amp;AT96)/COUNTIFS(AT$4:AT$200,"&lt;&gt;-",$D$4:$D$200,"&lt;&gt;是",$E$4:$E$200,"&lt;&gt;封闭期",$H$4:$H$200,"&gt;10",$BN$4:$BN$200,"&gt;-6",$BR$4:$BR$200,"&gt;=70",$C$4:$C$200,"&lt;20190630",$K$4:$K$200,"&lt;=30"))</f>
        <v>-</v>
      </c>
      <c r="AY96" s="19">
        <f>[1]!f_risk_calmar(A96,$AM$2,$L$2)</f>
        <v>2.263643070533889</v>
      </c>
      <c r="AZ96" s="19" t="str">
        <f>IFERROR(RANK(AY96,AY:AY)&amp;"/"&amp;COUNT(AY:AY),"-")</f>
        <v>92/197</v>
      </c>
      <c r="BA96" s="26">
        <f>IFERROR(RANK(AY96,AY:AY)/COUNT(AY:AY),"-")</f>
        <v>0.46700507614213199</v>
      </c>
      <c r="BB96" s="34" t="str">
        <f>IF(OR($C96&gt;20190630,$K96&gt;30,AY96="-",$D96="是",$E96="封闭期",$H96&lt;10,$BN96&lt;-6,$BR96&lt;70),"-",COUNTIFS(AY$4:AY$200,"&lt;&gt;-",$D$4:$D$200,"&lt;&gt;是",$E$4:$E$200,"&lt;&gt;封闭期",$H$4:$H$200,"&gt;10",$BN$4:$BN$200,"&gt;-6",$BR$4:$BR$200,"&gt;=70",$K$4:$K$200,"&lt;=30",$C$4:$C$200,"&lt;20190630",AY$4:AY$200,"&gt;="&amp;AY96)&amp;"/"&amp;COUNTIFS(AY$4:AY$200,"&lt;&gt;-",$D$4:$D$200,"&lt;&gt;是",$E$4:$E$200,"&lt;&gt;封闭期",$H$4:$H$200,"&gt;10",$BN$4:$BN$200,"&gt;-6",$BR$4:$BR$200,"&gt;=70",$C$4:$C$200,"&lt;20190630",$K$4:$K$200,"&lt;=30"))</f>
        <v>-</v>
      </c>
      <c r="BC96" s="33" t="str">
        <f>IF(OR($C96&gt;20190630,$K96&gt;30,AY96="-",$D96="是",$E96="封闭期",$H96&lt;10,$BN96&lt;-6,$BR96&lt;70),"-",COUNTIFS(AY$4:AY$200,"&lt;&gt;-",$D$4:$D$200,"&lt;&gt;是",$E$4:$E$200,"&lt;&gt;封闭期",$H$4:$H$200,"&gt;10",$BN$4:$BN$200,"&gt;-6",$BR$4:$BR$200,"&gt;=70",$K$4:$K$200,"&lt;=30",$C$4:$C$200,"&lt;20190630",AY$4:AY$200,"&gt;="&amp;AY96)/COUNTIFS(AY$4:AY$200,"&lt;&gt;-",$D$4:$D$200,"&lt;&gt;是",$E$4:$E$200,"&lt;&gt;封闭期",$H$4:$H$200,"&gt;10",$BN$4:$BN$200,"&gt;-6",$BR$4:$BR$200,"&gt;=70",$C$4:$C$200,"&lt;20190630",$K$4:$K$200,"&lt;=30"))</f>
        <v>-</v>
      </c>
      <c r="BD96" s="20">
        <v>1</v>
      </c>
      <c r="BE96" s="19" t="str">
        <f>IFERROR(RANK(BD96,BD:BD)&amp;"/"&amp;COUNT(BD:BD),"-")</f>
        <v>1/197</v>
      </c>
      <c r="BF96" s="26">
        <f>IFERROR(RANK(BD96,BD:BD)/COUNT(BD:BD),"-")</f>
        <v>5.076142131979695E-3</v>
      </c>
      <c r="BG96" s="34" t="str">
        <f>IF(OR($C96&gt;20190630,$K96&gt;30,BD96="-",$D96="是",$E96="封闭期",$H96&lt;10,$BN96&lt;-6,$BR96&lt;70),"-",COUNTIFS(BD$4:BD$200,"&lt;&gt;-",$D$4:$D$200,"&lt;&gt;是",$E$4:$E$200,"&lt;&gt;封闭期",$H$4:$H$200,"&gt;10",$BN$4:$BN$200,"&gt;-6",$BR$4:$BR$200,"&gt;=70",$K$4:$K$200,"&lt;=30",$C$4:$C$200,"&lt;20190630",BD$4:BD$200,"&gt;="&amp;BD96)&amp;"/"&amp;COUNTIFS(BD$4:BD$200,"&lt;&gt;-",$D$4:$D$200,"&lt;&gt;是",$E$4:$E$200,"&lt;&gt;封闭期",$H$4:$H$200,"&gt;10",$BN$4:$BN$200,"&gt;-6",$BR$4:$BR$200,"&gt;=70",$C$4:$C$200,"&lt;20190630",$K$4:$K$200,"&lt;=30"))</f>
        <v>-</v>
      </c>
      <c r="BH96" s="33" t="str">
        <f>IF(OR($C96&gt;20190630,$K96&gt;30,BD96="-",$D96="是",$E96="封闭期",$H96&lt;10,$BN96&lt;-6,$BR96&lt;70),"-",COUNTIFS(BD$4:BD$200,"&lt;&gt;-",$D$4:$D$200,"&lt;&gt;是",$E$4:$E$200,"&lt;&gt;封闭期",$H$4:$H$200,"&gt;10",$BN$4:$BN$200,"&gt;-6",$BR$4:$BR$200,"&gt;=70",$K$4:$K$200,"&lt;=30",$C$4:$C$200,"&lt;20190630",BD$4:BD$200,"&gt;="&amp;BD96)/COUNTIFS(BD$4:BD$200,"&lt;&gt;-",$D$4:$D$200,"&lt;&gt;是",$E$4:$E$200,"&lt;&gt;封闭期",$H$4:$H$200,"&gt;10",$BN$4:$BN$200,"&gt;-6",$BR$4:$BR$200,"&gt;=70",$C$4:$C$200,"&lt;20190630",$K$4:$K$200,"&lt;=30"))</f>
        <v>-</v>
      </c>
      <c r="BI96" s="21">
        <f>[1]!f_risk_maxdownside(A96,$AM$2,$L$2)</f>
        <v>-3.3489961554891172</v>
      </c>
      <c r="BJ96" s="19" t="str">
        <f>IFERROR(RANK(BI96,BI:BI)&amp;"/"&amp;COUNT(BI:BI),"-")</f>
        <v>102/197</v>
      </c>
      <c r="BK96" s="26">
        <f>IFERROR(RANK(BI96,BI:BI)/COUNT(BI:BI),"-")</f>
        <v>0.51776649746192893</v>
      </c>
      <c r="BL96" s="34" t="str">
        <f>IF(OR($C96&gt;20190630,$K96&gt;30,BI96="-",$D96="是",$E96="封闭期",$H96&lt;10,$BN96&lt;-6,$BR96&lt;70),"-",COUNTIFS(BI$4:BI$200,"&lt;&gt;-",$D$4:$D$200,"&lt;&gt;是",$E$4:$E$200,"&lt;&gt;封闭期",$H$4:$H$200,"&gt;10",$BN$4:$BN$200,"&gt;-6",$BR$4:$BR$200,"&gt;=70",$K$4:$K$200,"&lt;=30",$C$4:$C$200,"&lt;20190630",BI$4:BI$200,"&gt;="&amp;BI96)&amp;"/"&amp;COUNTIFS(BI$4:BI$200,"&lt;&gt;-",$D$4:$D$200,"&lt;&gt;是",$E$4:$E$200,"&lt;&gt;封闭期",$H$4:$H$200,"&gt;10",$BN$4:$BN$200,"&gt;-6",$BR$4:$BR$200,"&gt;=70",$C$4:$C$200,"&lt;20190630",$K$4:$K$200,"&lt;=30"))</f>
        <v>-</v>
      </c>
      <c r="BM96" s="33" t="str">
        <f>IF(OR($C96&gt;20190630,$K96&gt;30,BI96="-",$D96="是",$E96="封闭期",$H96&lt;10,$BN96&lt;-6,$BR96&lt;70),"-",COUNTIFS(BI$4:BI$200,"&lt;&gt;-",$D$4:$D$200,"&lt;&gt;是",$E$4:$E$200,"&lt;&gt;封闭期",$H$4:$H$200,"&gt;10",$BN$4:$BN$200,"&gt;-6",$BR$4:$BR$200,"&gt;=70",$K$4:$K$200,"&lt;=30",$C$4:$C$200,"&lt;20190630",BI$4:BI$200,"&gt;="&amp;BI96)/COUNTIFS(BI$4:BI$200,"&lt;&gt;-",$D$4:$D$200,"&lt;&gt;是",$E$4:$E$200,"&lt;&gt;封闭期",$H$4:$H$200,"&gt;10",$BN$4:$BN$200,"&gt;-6",$BR$4:$BR$200,"&gt;=70",$C$4:$C$200,"&lt;20190630",$K$4:$K$200,"&lt;=30"))</f>
        <v>-</v>
      </c>
      <c r="BN96" s="21">
        <f>[1]!f_risk_maxdownside(A96,$AM$2,$E$1)</f>
        <v>-3.3489961554891172</v>
      </c>
      <c r="BO96" s="21">
        <f>IF(C96&lt;20190930,[1]!f_return_2y(A96,"0","20210930"),"-")</f>
        <v>12.766541594216157</v>
      </c>
      <c r="BP96" s="19" t="str">
        <f>IFERROR(RANK(BO96,BO:BO)&amp;"/"&amp;COUNT(BO:BO),"-")</f>
        <v>109/197</v>
      </c>
      <c r="BQ96" s="25">
        <f>IFERROR(RANK(BO96,BO:BO)/COUNT(BO:BO),"-")</f>
        <v>0.5532994923857868</v>
      </c>
      <c r="BR96" s="19">
        <f>IF(C96&lt;20190930,[1]!f_absolute_profitmonthper(A96,"20190930","20210930"),"-")</f>
        <v>62.5</v>
      </c>
      <c r="BS96" s="19" t="str">
        <f>IFERROR(RANK(BR96,BR:BR)&amp;"/"&amp;COUNT(BR:BR),"-")</f>
        <v>142/198</v>
      </c>
      <c r="BT96" s="25">
        <f>IFERROR(RANK(BR96,BR:BR)/COUNT(BR:BR),"-")</f>
        <v>0.71717171717171713</v>
      </c>
      <c r="BV96" s="12">
        <f>X96-3/M96</f>
        <v>0.95155093167460081</v>
      </c>
      <c r="BW96" s="76">
        <f>IFERROR(RANK(BV96,BV:BV)/COUNT(BV:BV),"-")</f>
        <v>0.62944162436548223</v>
      </c>
      <c r="BX96" s="76">
        <f>IFERROR(RANK(L96,L:L)/COUNT(L:L),"-")</f>
        <v>0.59595959595959591</v>
      </c>
      <c r="BY96" s="12">
        <f>AY96-3/AN96</f>
        <v>1.6052495460767544</v>
      </c>
      <c r="BZ96" s="76">
        <f>IFERROR(RANK(BY96,BY:BY)/COUNT(BY:BY),"-")</f>
        <v>0.49238578680203043</v>
      </c>
      <c r="CA96" s="76">
        <f>IFERROR(RANK(AM96,AM:AM)/COUNT(AM:AM),"-")</f>
        <v>0.47474747474747475</v>
      </c>
      <c r="CB96" s="2"/>
      <c r="CC96" s="77">
        <f>AV96+BF96+BZ96+CA96</f>
        <v>1.4087576270317386</v>
      </c>
      <c r="CD96" s="77">
        <f>BW96+BX96+AE96+U96</f>
        <v>2.6111880223555346</v>
      </c>
      <c r="CE96" s="77">
        <f>CC96+CD96</f>
        <v>4.0199456493872727</v>
      </c>
    </row>
    <row r="97" spans="1:83" s="2" customFormat="1" hidden="1" x14ac:dyDescent="0.35">
      <c r="A97" s="15" t="s">
        <v>403</v>
      </c>
      <c r="B97" s="15" t="s">
        <v>404</v>
      </c>
      <c r="C97" s="16">
        <v>20190821</v>
      </c>
      <c r="D97" s="16" t="str">
        <f>[1]!f_info_regulopenfundornot(A97)</f>
        <v>否</v>
      </c>
      <c r="E97" s="16" t="str">
        <f>[1]!f_dq_status(A97,$E$1)</f>
        <v>开放申购|开放赎回</v>
      </c>
      <c r="F97" s="17" t="str">
        <f>[1]!f_info_fundmanager(A97)</f>
        <v>刘明宇,董阳阳</v>
      </c>
      <c r="G97" s="16">
        <v>20190821</v>
      </c>
      <c r="H97" s="18">
        <f>[1]!f_netasset_total(A97,$E$1,100000000)</f>
        <v>6.0086642122000002</v>
      </c>
      <c r="I97" s="18">
        <f>[1]!f_prt_convertiblebondtonav(A97,$E$1)</f>
        <v>20.396341323852539</v>
      </c>
      <c r="J97" s="18">
        <f>[1]!f_prt_stocktonav(A97,$E$1)+0.5*I97</f>
        <v>16.377645015716553</v>
      </c>
      <c r="K97" s="19">
        <v>38.660839047776669</v>
      </c>
      <c r="L97" s="19">
        <f>[1]!f_return($A97,"1",L$2,$E$1)</f>
        <v>8.9934156140653698</v>
      </c>
      <c r="M97" s="19">
        <f>[1]!f_risk_stdevyearly($A97,L$2,$E$1,1,1)</f>
        <v>5.1275200992730197</v>
      </c>
      <c r="N97" s="19">
        <f>IFERROR(L97/M97,"-")</f>
        <v>1.7539503385545885</v>
      </c>
      <c r="O97" s="19" t="str">
        <f>IFERROR(RANK(N97,N:N)&amp;"/"&amp;COUNT(N:N),"-")</f>
        <v>64/197</v>
      </c>
      <c r="P97" s="26">
        <f>IF(O97="-","-",RANK(N97,N:N)/COUNT(N:N))</f>
        <v>0.32487309644670048</v>
      </c>
      <c r="Q97" s="56">
        <v>0.21827411167512689</v>
      </c>
      <c r="R97" s="33" t="str">
        <f>IF(OR($C97&gt;20190630,$K97&gt;30,N97="-",$D97="是",$E97="封闭期",$H97&lt;10,$BN97&lt;-6,$BR97&lt;70),"-",COUNTIFS(N$4:N$200,"&lt;&gt;-",$D$4:$D$200,"&lt;&gt;是",$E$4:$E$200,"&lt;&gt;封闭期",$H$4:$H$200,"&gt;10",$BN$4:$BN$200,"&gt;-6",$BR$4:$BR$200,"&gt;=70",$K$4:$K$200,"&lt;=30",$C$4:$C$200,"&lt;20190630",N$4:N$200,"&gt;="&amp;N97)/COUNTIFS(N$4:N$200,"&lt;&gt;-",$D$4:$D$200,"&lt;&gt;是",$E$4:$E$200,"&lt;&gt;封闭期",$H$4:$H$200,"&gt;10",$BN$4:$BN$200,"&gt;-6",$BR$4:$BR$200,"&gt;=70",$C$4:$C$200,"&lt;20190630",$K$4:$K$200,"&lt;=30"))</f>
        <v>-</v>
      </c>
      <c r="S97" s="19">
        <f>IFERROR((L97-3)/M97,"-")</f>
        <v>1.1688721834391478</v>
      </c>
      <c r="T97" s="19" t="str">
        <f>IFERROR(RANK(S97,S:S)&amp;"/"&amp;COUNT(S:S),"-")</f>
        <v>59/197</v>
      </c>
      <c r="U97" s="26">
        <f>IFERROR(RANK(S97,S:S)/COUNT(S:S),"-")</f>
        <v>0.29949238578680204</v>
      </c>
      <c r="V97" s="34" t="str">
        <f>IF(OR($C97&gt;20190630,$K97&gt;30,S97="-",$D97="是",$E97="封闭期",$H97&lt;10,$BN97&lt;-6,$BR97&lt;70),"-",COUNTIFS(S$4:S$200,"&lt;&gt;-",$D$4:$D$200,"&lt;&gt;是",$E$4:$E$200,"&lt;&gt;封闭期",$H$4:$H$200,"&gt;10",$BN$4:$BN$200,"&gt;-6",$BR$4:$BR$200,"&gt;=70",$K$4:$K$200,"&lt;=30",$C$4:$C$200,"&lt;20190630",S$4:S$200,"&gt;="&amp;S97)&amp;"/"&amp;COUNTIFS(S$4:S$200,"&lt;&gt;-",$D$4:$D$200,"&lt;&gt;是",$E$4:$E$200,"&lt;&gt;封闭期",$H$4:$H$200,"&gt;10",$BN$4:$BN$200,"&gt;-6",$BR$4:$BR$200,"&gt;=70",$C$4:$C$200,"&lt;20190630",$K$4:$K$200,"&lt;=30"))</f>
        <v>-</v>
      </c>
      <c r="W97" s="33" t="str">
        <f>IF(OR($C97&gt;20190630,$K97&gt;30,S97="-",$D97="是",$E97="封闭期",$H97&lt;10,$BN97&lt;-6,$BR97&lt;70),"-",COUNTIFS(S$4:S$200,"&lt;&gt;-",$D$4:$D$200,"&lt;&gt;是",$E$4:$E$200,"&lt;&gt;封闭期",$H$4:$H$200,"&gt;10",$BN$4:$BN$200,"&gt;-6",$BR$4:$BR$200,"&gt;=70",$K$4:$K$200,"&lt;=30",$C$4:$C$200,"&lt;20190630",S$4:S$200,"&gt;="&amp;S97)/COUNTIFS(S$4:S$200,"&lt;&gt;-",$D$4:$D$200,"&lt;&gt;是",$E$4:$E$200,"&lt;&gt;封闭期",$H$4:$H$200,"&gt;10",$BN$4:$BN$200,"&gt;-6",$BR$4:$BR$200,"&gt;=70",$C$4:$C$200,"&lt;20190630",$K$4:$K$200,"&lt;=30"))</f>
        <v>-</v>
      </c>
      <c r="X97" s="19">
        <f>[1]!f_risk_calmar(A97,$L$2,$E$1)</f>
        <v>3.1911021711989616</v>
      </c>
      <c r="Y97" s="19" t="str">
        <f>IFERROR(RANK(X97,X:X)&amp;"/"&amp;COUNT(X:X),"-")</f>
        <v>58/197</v>
      </c>
      <c r="Z97" s="26">
        <f>IFERROR(RANK(X97,X:X)/COUNT(X:X),"-")</f>
        <v>0.29441624365482233</v>
      </c>
      <c r="AA97" s="34" t="str">
        <f>IF(OR($C97&gt;20190630,$K97&gt;30,X97="-",$D97="是",$E97="封闭期",$H97&lt;10,$BN97&lt;-6,$BR97&lt;70),"-",COUNTIFS(X$4:X$200,"&lt;&gt;-",$D$4:$D$200,"&lt;&gt;是",$E$4:$E$200,"&lt;&gt;封闭期",$H$4:$H$200,"&gt;10",$BN$4:$BN$200,"&gt;-6",$BR$4:$BR$200,"&gt;=70",$K$4:$K$200,"&lt;=30",$C$4:$C$200,"&lt;20190630",X$4:X$200,"&gt;="&amp;X97)&amp;"/"&amp;COUNTIFS(X$4:X$200,"&lt;&gt;-",$D$4:$D$200,"&lt;&gt;是",$E$4:$E$200,"&lt;&gt;封闭期",$H$4:$H$200,"&gt;10",$BN$4:$BN$200,"&gt;-6",$BR$4:$BR$200,"&gt;=70",$C$4:$C$200,"&lt;20190630",$K$4:$K$200,"&lt;=30"))</f>
        <v>-</v>
      </c>
      <c r="AB97" s="33" t="str">
        <f>IF(OR($C97&gt;20190630,$K97&gt;30,X97="-",$D97="是",$E97="封闭期",$H97&lt;10,$BN97&lt;-6,$BR97&lt;70),"-",COUNTIFS(X$4:X$200,"&lt;&gt;-",$D$4:$D$200,"&lt;&gt;是",$E$4:$E$200,"&lt;&gt;封闭期",$H$4:$H$200,"&gt;10",$BN$4:$BN$200,"&gt;-6",$BR$4:$BR$200,"&gt;=70",$K$4:$K$200,"&lt;=30",$C$4:$C$200,"&lt;20190630",X$4:X$200,"&gt;="&amp;X97)/COUNTIFS(X$4:X$200,"&lt;&gt;-",$D$4:$D$200,"&lt;&gt;是",$E$4:$E$200,"&lt;&gt;封闭期",$H$4:$H$200,"&gt;10",$BN$4:$BN$200,"&gt;-6",$BR$4:$BR$200,"&gt;=70",$C$4:$C$200,"&lt;20190630",$K$4:$K$200,"&lt;=30"))</f>
        <v>-</v>
      </c>
      <c r="AC97" s="20">
        <v>0.99159663865546221</v>
      </c>
      <c r="AD97" s="19" t="str">
        <f>IFERROR(RANK(AC97,AC:AC)&amp;"/"&amp;COUNT(AC:AC),"-")</f>
        <v>91/197</v>
      </c>
      <c r="AE97" s="26">
        <f>IFERROR(RANK(AC97,AC:AC)/COUNT(AC:AC),"-")</f>
        <v>0.46192893401015228</v>
      </c>
      <c r="AF97" s="34" t="str">
        <f>IF(OR($C97&gt;20190630,$K97&gt;30,AC97="-",$D97="是",$E97="封闭期",$H97&lt;10,$BN97&lt;-6,$BR97&lt;70),"-",COUNTIFS(AC$4:AC$200,"&lt;&gt;-",$D$4:$D$200,"&lt;&gt;是",$E$4:$E$200,"&lt;&gt;封闭期",$H$4:$H$200,"&gt;10",$BN$4:$BN$200,"&gt;-6",$BR$4:$BR$200,"&gt;=70",$K$4:$K$200,"&lt;=30",$C$4:$C$200,"&lt;20190630",AC$4:AC$200,"&gt;="&amp;AC97)&amp;"/"&amp;COUNTIFS(AC$4:AC$200,"&lt;&gt;-",$D$4:$D$200,"&lt;&gt;是",$E$4:$E$200,"&lt;&gt;封闭期",$H$4:$H$200,"&gt;10",$BN$4:$BN$200,"&gt;-6",$BR$4:$BR$200,"&gt;=70",$C$4:$C$200,"&lt;20190630",$K$4:$K$200,"&lt;=30"))</f>
        <v>-</v>
      </c>
      <c r="AG97" s="33" t="str">
        <f>IF(OR($C97&gt;20190630,$K97&gt;30,AC97="-",$D97="是",$E97="封闭期",$H97&lt;10,$BN97&lt;-6,$BR97&lt;70),"-",COUNTIFS(AC$4:AC$200,"&lt;&gt;-",$D$4:$D$200,"&lt;&gt;是",$E$4:$E$200,"&lt;&gt;封闭期",$H$4:$H$200,"&gt;10",$BN$4:$BN$200,"&gt;-6",$BR$4:$BR$200,"&gt;=70",$K$4:$K$200,"&lt;=30",$C$4:$C$200,"&lt;20190630",AC$4:AC$200,"&gt;="&amp;AC97)/COUNTIFS(AC$4:AC$200,"&lt;&gt;-",$D$4:$D$200,"&lt;&gt;是",$E$4:$E$200,"&lt;&gt;封闭期",$H$4:$H$200,"&gt;10",$BN$4:$BN$200,"&gt;-6",$BR$4:$BR$200,"&gt;=70",$C$4:$C$200,"&lt;20190630",$K$4:$K$200,"&lt;=30"))</f>
        <v>-</v>
      </c>
      <c r="AH97" s="21">
        <f>[1]!f_risk_maxdownside(A97,$L$2,$E$1)</f>
        <v>-2.818278805120916</v>
      </c>
      <c r="AI97" s="19" t="str">
        <f>IFERROR(RANK(AH97,AH:AH)&amp;"/"&amp;COUNT(AH:AH),"-")</f>
        <v>86/197</v>
      </c>
      <c r="AJ97" s="26">
        <f>IFERROR(RANK(AH97,AH:AH)/COUNT(AH:AH),"-")</f>
        <v>0.43654822335025378</v>
      </c>
      <c r="AK97" s="34" t="str">
        <f>IF(OR($C97&gt;20190630,$K97&gt;30,AH97="-",$D97="是",$E97="封闭期",$H97&lt;10,$BN97&lt;-6,$BR97&lt;70),"-",COUNTIFS(AH$4:AH$200,"&lt;&gt;-",$D$4:$D$200,"&lt;&gt;是",$E$4:$E$200,"&lt;&gt;封闭期",$H$4:$H$200,"&gt;10",$BN$4:$BN$200,"&gt;-6",$BR$4:$BR$200,"&gt;=70",$K$4:$K$200,"&lt;=30",$C$4:$C$200,"&lt;20190630",AH$4:AH$200,"&gt;="&amp;AH97)&amp;"/"&amp;COUNTIFS(AH$4:AH$200,"&lt;&gt;-",$D$4:$D$200,"&lt;&gt;是",$E$4:$E$200,"&lt;&gt;封闭期",$H$4:$H$200,"&gt;10",$BN$4:$BN$200,"&gt;-6",$BR$4:$BR$200,"&gt;=70",$C$4:$C$200,"&lt;20190630",$K$4:$K$200,"&lt;=30"))</f>
        <v>-</v>
      </c>
      <c r="AL97" s="33" t="str">
        <f>IF(OR($C97&gt;20190630,$K97&gt;30,AH97="-",$D97="是",$E97="封闭期",$H97&lt;10,$BN97&lt;-6,$BR97&lt;70),"-",COUNTIFS(AH$4:AH$200,"&lt;&gt;-",$D$4:$D$200,"&lt;&gt;是",$E$4:$E$200,"&lt;&gt;封闭期",$H$4:$H$200,"&gt;10",$BN$4:$BN$200,"&gt;-6",$BR$4:$BR$200,"&gt;=70",$K$4:$K$200,"&lt;=30",$C$4:$C$200,"&lt;20190630",AH$4:AH$200,"&gt;="&amp;AH97)/COUNTIFS(AH$4:AH$200,"&lt;&gt;-",$D$4:$D$200,"&lt;&gt;是",$E$4:$E$200,"&lt;&gt;封闭期",$H$4:$H$200,"&gt;10",$BN$4:$BN$200,"&gt;-6",$BR$4:$BR$200,"&gt;=70",$C$4:$C$200,"&lt;20190630",$K$4:$K$200,"&lt;=30"))</f>
        <v>-</v>
      </c>
      <c r="AM97" s="19">
        <f>[1]!f_return($A97,"1",AM$2,$L$2)</f>
        <v>7.5801493320679869</v>
      </c>
      <c r="AN97" s="19">
        <f>[1]!f_risk_stdevyearly($A97,AM$2,$L$2,1,1)</f>
        <v>7.3288149811786436</v>
      </c>
      <c r="AO97" s="19">
        <f>IFERROR(AM97/AN97,"-")</f>
        <v>1.0342939958963082</v>
      </c>
      <c r="AP97" s="19" t="str">
        <f>IFERROR(RANK(AO97,AO:AO)&amp;"/"&amp;COUNT(AO:AO),"-")</f>
        <v>156/197</v>
      </c>
      <c r="AQ97" s="26">
        <f>IF(AP97="-","-",RANK(AO97,AO:AO)/COUNT(AO:AO))</f>
        <v>0.79187817258883253</v>
      </c>
      <c r="AR97" s="57">
        <v>0.47715736040609136</v>
      </c>
      <c r="AS97" s="33" t="str">
        <f>IF(OR($C97&gt;20190630,$K97&gt;30,AO97="-",$D97="是",$E97="封闭期",$H97&lt;10,$BN97&lt;-6,$BR97&lt;70),"-",COUNTIFS(AO$4:AO$200,"&lt;&gt;-",$D$4:$D$200,"&lt;&gt;是",$E$4:$E$200,"&lt;&gt;封闭期",$H$4:$H$200,"&gt;10",$BN$4:$BN$200,"&gt;-6",$BR$4:$BR$200,"&gt;=70",$K$4:$K$200,"&lt;=30",$C$4:$C$200,"&lt;20190630",AO$4:AO$200,"&gt;="&amp;AO97)/COUNTIFS(AO$4:AO$200,"&lt;&gt;-",$D$4:$D$200,"&lt;&gt;是",$E$4:$E$200,"&lt;&gt;封闭期",$H$4:$H$200,"&gt;10",$BN$4:$BN$200,"&gt;-6",$BR$4:$BR$200,"&gt;=70",$C$4:$C$200,"&lt;20190630",$K$4:$K$200,"&lt;=30"))</f>
        <v>-</v>
      </c>
      <c r="AT97" s="19">
        <f>IFERROR((AM97-3)/AN97,"-")</f>
        <v>0.62495087457254828</v>
      </c>
      <c r="AU97" s="19" t="str">
        <f>IFERROR(RANK(AT97,AT:AT)&amp;"/"&amp;COUNT(AT:AT),"-")</f>
        <v>126/197</v>
      </c>
      <c r="AV97" s="26">
        <f>IFERROR(RANK(AT97,AT:AT)/COUNT(AT:AT),"-")</f>
        <v>0.63959390862944165</v>
      </c>
      <c r="AW97" s="34" t="str">
        <f>IF(OR($C97&gt;20190630,$K97&gt;30,AT97="-",$D97="是",$E97="封闭期",$H97&lt;10,$BN97&lt;-6,$BR97&lt;70),"-",COUNTIFS(AT$4:AT$200,"&lt;&gt;-",$D$4:$D$200,"&lt;&gt;是",$E$4:$E$200,"&lt;&gt;封闭期",$H$4:$H$200,"&gt;10",$BN$4:$BN$200,"&gt;-6",$BR$4:$BR$200,"&gt;=70",$K$4:$K$200,"&lt;=30",$C$4:$C$200,"&lt;20190630",AT$4:AT$200,"&gt;="&amp;AT97)&amp;"/"&amp;COUNTIFS(AT$4:AT$200,"&lt;&gt;-",$D$4:$D$200,"&lt;&gt;是",$E$4:$E$200,"&lt;&gt;封闭期",$H$4:$H$200,"&gt;10",$BN$4:$BN$200,"&gt;-6",$BR$4:$BR$200,"&gt;=70",$C$4:$C$200,"&lt;20190630",$K$4:$K$200,"&lt;=30"))</f>
        <v>-</v>
      </c>
      <c r="AX97" s="33" t="str">
        <f>IF(OR($C97&gt;20190630,$K97&gt;30,AT97="-",$D97="是",$E97="封闭期",$H97&lt;10,$BN97&lt;-6,$BR97&lt;70),"-",COUNTIFS(AT$4:AT$200,"&lt;&gt;-",$D$4:$D$200,"&lt;&gt;是",$E$4:$E$200,"&lt;&gt;封闭期",$H$4:$H$200,"&gt;10",$BN$4:$BN$200,"&gt;-6",$BR$4:$BR$200,"&gt;=70",$K$4:$K$200,"&lt;=30",$C$4:$C$200,"&lt;20190630",AT$4:AT$200,"&gt;="&amp;AT97)/COUNTIFS(AT$4:AT$200,"&lt;&gt;-",$D$4:$D$200,"&lt;&gt;是",$E$4:$E$200,"&lt;&gt;封闭期",$H$4:$H$200,"&gt;10",$BN$4:$BN$200,"&gt;-6",$BR$4:$BR$200,"&gt;=70",$C$4:$C$200,"&lt;20190630",$K$4:$K$200,"&lt;=30"))</f>
        <v>-</v>
      </c>
      <c r="AY97" s="19">
        <f>[1]!f_risk_calmar(A97,$AM$2,$L$2)</f>
        <v>1.2556203821029315</v>
      </c>
      <c r="AZ97" s="19" t="str">
        <f>IFERROR(RANK(AY97,AY:AY)&amp;"/"&amp;COUNT(AY:AY),"-")</f>
        <v>154/197</v>
      </c>
      <c r="BA97" s="26">
        <f>IFERROR(RANK(AY97,AY:AY)/COUNT(AY:AY),"-")</f>
        <v>0.78172588832487311</v>
      </c>
      <c r="BB97" s="34" t="str">
        <f>IF(OR($C97&gt;20190630,$K97&gt;30,AY97="-",$D97="是",$E97="封闭期",$H97&lt;10,$BN97&lt;-6,$BR97&lt;70),"-",COUNTIFS(AY$4:AY$200,"&lt;&gt;-",$D$4:$D$200,"&lt;&gt;是",$E$4:$E$200,"&lt;&gt;封闭期",$H$4:$H$200,"&gt;10",$BN$4:$BN$200,"&gt;-6",$BR$4:$BR$200,"&gt;=70",$K$4:$K$200,"&lt;=30",$C$4:$C$200,"&lt;20190630",AY$4:AY$200,"&gt;="&amp;AY97)&amp;"/"&amp;COUNTIFS(AY$4:AY$200,"&lt;&gt;-",$D$4:$D$200,"&lt;&gt;是",$E$4:$E$200,"&lt;&gt;封闭期",$H$4:$H$200,"&gt;10",$BN$4:$BN$200,"&gt;-6",$BR$4:$BR$200,"&gt;=70",$C$4:$C$200,"&lt;20190630",$K$4:$K$200,"&lt;=30"))</f>
        <v>-</v>
      </c>
      <c r="BC97" s="33" t="str">
        <f>IF(OR($C97&gt;20190630,$K97&gt;30,AY97="-",$D97="是",$E97="封闭期",$H97&lt;10,$BN97&lt;-6,$BR97&lt;70),"-",COUNTIFS(AY$4:AY$200,"&lt;&gt;-",$D$4:$D$200,"&lt;&gt;是",$E$4:$E$200,"&lt;&gt;封闭期",$H$4:$H$200,"&gt;10",$BN$4:$BN$200,"&gt;-6",$BR$4:$BR$200,"&gt;=70",$K$4:$K$200,"&lt;=30",$C$4:$C$200,"&lt;20190630",AY$4:AY$200,"&gt;="&amp;AY97)/COUNTIFS(AY$4:AY$200,"&lt;&gt;-",$D$4:$D$200,"&lt;&gt;是",$E$4:$E$200,"&lt;&gt;封闭期",$H$4:$H$200,"&gt;10",$BN$4:$BN$200,"&gt;-6",$BR$4:$BR$200,"&gt;=70",$C$4:$C$200,"&lt;20190630",$K$4:$K$200,"&lt;=30"))</f>
        <v>-</v>
      </c>
      <c r="BD97" s="20">
        <v>1</v>
      </c>
      <c r="BE97" s="19" t="str">
        <f>IFERROR(RANK(BD97,BD:BD)&amp;"/"&amp;COUNT(BD:BD),"-")</f>
        <v>1/197</v>
      </c>
      <c r="BF97" s="26">
        <f>IFERROR(RANK(BD97,BD:BD)/COUNT(BD:BD),"-")</f>
        <v>5.076142131979695E-3</v>
      </c>
      <c r="BG97" s="34" t="str">
        <f>IF(OR($C97&gt;20190630,$K97&gt;30,BD97="-",$D97="是",$E97="封闭期",$H97&lt;10,$BN97&lt;-6,$BR97&lt;70),"-",COUNTIFS(BD$4:BD$200,"&lt;&gt;-",$D$4:$D$200,"&lt;&gt;是",$E$4:$E$200,"&lt;&gt;封闭期",$H$4:$H$200,"&gt;10",$BN$4:$BN$200,"&gt;-6",$BR$4:$BR$200,"&gt;=70",$K$4:$K$200,"&lt;=30",$C$4:$C$200,"&lt;20190630",BD$4:BD$200,"&gt;="&amp;BD97)&amp;"/"&amp;COUNTIFS(BD$4:BD$200,"&lt;&gt;-",$D$4:$D$200,"&lt;&gt;是",$E$4:$E$200,"&lt;&gt;封闭期",$H$4:$H$200,"&gt;10",$BN$4:$BN$200,"&gt;-6",$BR$4:$BR$200,"&gt;=70",$C$4:$C$200,"&lt;20190630",$K$4:$K$200,"&lt;=30"))</f>
        <v>-</v>
      </c>
      <c r="BH97" s="33" t="str">
        <f>IF(OR($C97&gt;20190630,$K97&gt;30,BD97="-",$D97="是",$E97="封闭期",$H97&lt;10,$BN97&lt;-6,$BR97&lt;70),"-",COUNTIFS(BD$4:BD$200,"&lt;&gt;-",$D$4:$D$200,"&lt;&gt;是",$E$4:$E$200,"&lt;&gt;封闭期",$H$4:$H$200,"&gt;10",$BN$4:$BN$200,"&gt;-6",$BR$4:$BR$200,"&gt;=70",$K$4:$K$200,"&lt;=30",$C$4:$C$200,"&lt;20190630",BD$4:BD$200,"&gt;="&amp;BD97)/COUNTIFS(BD$4:BD$200,"&lt;&gt;-",$D$4:$D$200,"&lt;&gt;是",$E$4:$E$200,"&lt;&gt;封闭期",$H$4:$H$200,"&gt;10",$BN$4:$BN$200,"&gt;-6",$BR$4:$BR$200,"&gt;=70",$C$4:$C$200,"&lt;20190630",$K$4:$K$200,"&lt;=30"))</f>
        <v>-</v>
      </c>
      <c r="BI97" s="21">
        <f>[1]!f_risk_maxdownside(A97,$AM$2,$L$2)</f>
        <v>-6.0369753789538212</v>
      </c>
      <c r="BJ97" s="19" t="str">
        <f>IFERROR(RANK(BI97,BI:BI)&amp;"/"&amp;COUNT(BI:BI),"-")</f>
        <v>168/197</v>
      </c>
      <c r="BK97" s="26">
        <f>IFERROR(RANK(BI97,BI:BI)/COUNT(BI:BI),"-")</f>
        <v>0.85279187817258884</v>
      </c>
      <c r="BL97" s="34" t="str">
        <f>IF(OR($C97&gt;20190630,$K97&gt;30,BI97="-",$D97="是",$E97="封闭期",$H97&lt;10,$BN97&lt;-6,$BR97&lt;70),"-",COUNTIFS(BI$4:BI$200,"&lt;&gt;-",$D$4:$D$200,"&lt;&gt;是",$E$4:$E$200,"&lt;&gt;封闭期",$H$4:$H$200,"&gt;10",$BN$4:$BN$200,"&gt;-6",$BR$4:$BR$200,"&gt;=70",$K$4:$K$200,"&lt;=30",$C$4:$C$200,"&lt;20190630",BI$4:BI$200,"&gt;="&amp;BI97)&amp;"/"&amp;COUNTIFS(BI$4:BI$200,"&lt;&gt;-",$D$4:$D$200,"&lt;&gt;是",$E$4:$E$200,"&lt;&gt;封闭期",$H$4:$H$200,"&gt;10",$BN$4:$BN$200,"&gt;-6",$BR$4:$BR$200,"&gt;=70",$C$4:$C$200,"&lt;20190630",$K$4:$K$200,"&lt;=30"))</f>
        <v>-</v>
      </c>
      <c r="BM97" s="33" t="str">
        <f>IF(OR($C97&gt;20190630,$K97&gt;30,BI97="-",$D97="是",$E97="封闭期",$H97&lt;10,$BN97&lt;-6,$BR97&lt;70),"-",COUNTIFS(BI$4:BI$200,"&lt;&gt;-",$D$4:$D$200,"&lt;&gt;是",$E$4:$E$200,"&lt;&gt;封闭期",$H$4:$H$200,"&gt;10",$BN$4:$BN$200,"&gt;-6",$BR$4:$BR$200,"&gt;=70",$K$4:$K$200,"&lt;=30",$C$4:$C$200,"&lt;20190630",BI$4:BI$200,"&gt;="&amp;BI97)/COUNTIFS(BI$4:BI$200,"&lt;&gt;-",$D$4:$D$200,"&lt;&gt;是",$E$4:$E$200,"&lt;&gt;封闭期",$H$4:$H$200,"&gt;10",$BN$4:$BN$200,"&gt;-6",$BR$4:$BR$200,"&gt;=70",$C$4:$C$200,"&lt;20190630",$K$4:$K$200,"&lt;=30"))</f>
        <v>-</v>
      </c>
      <c r="BN97" s="21">
        <f>[1]!f_risk_maxdownside(A97,$AM$2,$E$1)</f>
        <v>-6.0369753789538212</v>
      </c>
      <c r="BO97" s="21">
        <f>IF(C97&lt;20190930,[1]!f_return_2y(A97,"0","20210930"),"-")</f>
        <v>17.065629363654502</v>
      </c>
      <c r="BP97" s="19" t="str">
        <f>IFERROR(RANK(BO97,BO:BO)&amp;"/"&amp;COUNT(BO:BO),"-")</f>
        <v>61/197</v>
      </c>
      <c r="BQ97" s="25">
        <f>IFERROR(RANK(BO97,BO:BO)/COUNT(BO:BO),"-")</f>
        <v>0.30964467005076141</v>
      </c>
      <c r="BR97" s="19">
        <f>IF(C97&lt;20190930,[1]!f_absolute_profitmonthper(A97,"20190930","20210930"),"-")</f>
        <v>70.833333333333343</v>
      </c>
      <c r="BS97" s="19" t="str">
        <f>IFERROR(RANK(BR97,BR:BR)&amp;"/"&amp;COUNT(BR:BR),"-")</f>
        <v>55/198</v>
      </c>
      <c r="BT97" s="25">
        <f>IFERROR(RANK(BR97,BR:BR)/COUNT(BR:BR),"-")</f>
        <v>0.27777777777777779</v>
      </c>
      <c r="BU97" s="17"/>
      <c r="BV97" s="12">
        <f>X97-3/M97</f>
        <v>2.6060240160835209</v>
      </c>
      <c r="BW97" s="76">
        <f>IFERROR(RANK(BV97,BV:BV)/COUNT(BV:BV),"-")</f>
        <v>0.25888324873096447</v>
      </c>
      <c r="BX97" s="76">
        <f>IFERROR(RANK(L97,L:L)/COUNT(L:L),"-")</f>
        <v>0.22222222222222221</v>
      </c>
      <c r="BY97" s="12">
        <f>AY97-3/AN97</f>
        <v>0.84627726077917131</v>
      </c>
      <c r="BZ97" s="76">
        <f>IFERROR(RANK(BY97,BY:BY)/COUNT(BY:BY),"-")</f>
        <v>0.7208121827411168</v>
      </c>
      <c r="CA97" s="76">
        <f>IFERROR(RANK(AM97,AM:AM)/COUNT(AM:AM),"-")</f>
        <v>0.47979797979797978</v>
      </c>
      <c r="CC97" s="77">
        <f>AV97+BF97+BZ97+CA97</f>
        <v>1.8452802133005179</v>
      </c>
      <c r="CD97" s="77">
        <f>BW97+BX97+AE97+U97</f>
        <v>1.2425267907501412</v>
      </c>
      <c r="CE97" s="77">
        <f>CC97+CD97</f>
        <v>3.0878070040506591</v>
      </c>
    </row>
    <row r="98" spans="1:83" s="17" customFormat="1" hidden="1" x14ac:dyDescent="0.35">
      <c r="A98" s="15" t="s">
        <v>231</v>
      </c>
      <c r="B98" s="15" t="s">
        <v>232</v>
      </c>
      <c r="C98" s="16">
        <v>20160511</v>
      </c>
      <c r="D98" s="16" t="str">
        <f>[1]!f_info_regulopenfundornot(A98)</f>
        <v>否</v>
      </c>
      <c r="E98" s="16" t="str">
        <f>[1]!f_dq_status(A98,$E$1)</f>
        <v>开放申购|开放赎回</v>
      </c>
      <c r="F98" s="17" t="str">
        <f>[1]!f_info_fundmanager(A98)</f>
        <v>曾刚</v>
      </c>
      <c r="G98" s="16">
        <v>20210408</v>
      </c>
      <c r="H98" s="18">
        <f>[1]!f_netasset_total(A98,$E$1,100000000)</f>
        <v>6.5253700020000007</v>
      </c>
      <c r="I98" s="18">
        <f>[1]!f_prt_convertiblebondtonav(A98,$E$1)</f>
        <v>3.8065590858459473</v>
      </c>
      <c r="J98" s="18">
        <f>[1]!f_prt_stocktonav(A98,$E$1)+0.5*I98</f>
        <v>8.97664475440979</v>
      </c>
      <c r="K98" s="19">
        <v>20.03595197819098</v>
      </c>
      <c r="L98" s="19">
        <f>[1]!f_return($A98,"1",L$2,$E$1)</f>
        <v>5.9753660446601353</v>
      </c>
      <c r="M98" s="19">
        <f>[1]!f_risk_stdevyearly($A98,L$2,$E$1,1,1)</f>
        <v>4.3947576300536566</v>
      </c>
      <c r="N98" s="19">
        <f>IFERROR(L98/M98,"-")</f>
        <v>1.3596576984809015</v>
      </c>
      <c r="O98" s="19" t="str">
        <f>IFERROR(RANK(N98,N:N)&amp;"/"&amp;COUNT(N:N),"-")</f>
        <v>103/197</v>
      </c>
      <c r="P98" s="26">
        <f>IF(O98="-","-",RANK(N98,N:N)/COUNT(N:N))</f>
        <v>0.52284263959390864</v>
      </c>
      <c r="Q98" s="56">
        <v>0.4720812182741117</v>
      </c>
      <c r="R98" s="33" t="str">
        <f>IF(OR($C98&gt;20190630,$K98&gt;30,N98="-",$D98="是",$E98="封闭期",$H98&lt;10,$BN98&lt;-6,$BR98&lt;70),"-",COUNTIFS(N$4:N$200,"&lt;&gt;-",$D$4:$D$200,"&lt;&gt;是",$E$4:$E$200,"&lt;&gt;封闭期",$H$4:$H$200,"&gt;10",$BN$4:$BN$200,"&gt;-6",$BR$4:$BR$200,"&gt;=70",$K$4:$K$200,"&lt;=30",$C$4:$C$200,"&lt;20190630",N$4:N$200,"&gt;="&amp;N98)/COUNTIFS(N$4:N$200,"&lt;&gt;-",$D$4:$D$200,"&lt;&gt;是",$E$4:$E$200,"&lt;&gt;封闭期",$H$4:$H$200,"&gt;10",$BN$4:$BN$200,"&gt;-6",$BR$4:$BR$200,"&gt;=70",$C$4:$C$200,"&lt;20190630",$K$4:$K$200,"&lt;=30"))</f>
        <v>-</v>
      </c>
      <c r="S98" s="19">
        <f>IFERROR((L98-3)/M98,"-")</f>
        <v>0.67702619691994448</v>
      </c>
      <c r="T98" s="19" t="str">
        <f>IFERROR(RANK(S98,S:S)&amp;"/"&amp;COUNT(S:S),"-")</f>
        <v>107/197</v>
      </c>
      <c r="U98" s="26">
        <f>IFERROR(RANK(S98,S:S)/COUNT(S:S),"-")</f>
        <v>0.54314720812182737</v>
      </c>
      <c r="V98" s="34" t="str">
        <f>IF(OR($C98&gt;20190630,$K98&gt;30,S98="-",$D98="是",$E98="封闭期",$H98&lt;10,$BN98&lt;-6,$BR98&lt;70),"-",COUNTIFS(S$4:S$200,"&lt;&gt;-",$D$4:$D$200,"&lt;&gt;是",$E$4:$E$200,"&lt;&gt;封闭期",$H$4:$H$200,"&gt;10",$BN$4:$BN$200,"&gt;-6",$BR$4:$BR$200,"&gt;=70",$K$4:$K$200,"&lt;=30",$C$4:$C$200,"&lt;20190630",S$4:S$200,"&gt;="&amp;S98)&amp;"/"&amp;COUNTIFS(S$4:S$200,"&lt;&gt;-",$D$4:$D$200,"&lt;&gt;是",$E$4:$E$200,"&lt;&gt;封闭期",$H$4:$H$200,"&gt;10",$BN$4:$BN$200,"&gt;-6",$BR$4:$BR$200,"&gt;=70",$C$4:$C$200,"&lt;20190630",$K$4:$K$200,"&lt;=30"))</f>
        <v>-</v>
      </c>
      <c r="W98" s="33" t="str">
        <f>IF(OR($C98&gt;20190630,$K98&gt;30,S98="-",$D98="是",$E98="封闭期",$H98&lt;10,$BN98&lt;-6,$BR98&lt;70),"-",COUNTIFS(S$4:S$200,"&lt;&gt;-",$D$4:$D$200,"&lt;&gt;是",$E$4:$E$200,"&lt;&gt;封闭期",$H$4:$H$200,"&gt;10",$BN$4:$BN$200,"&gt;-6",$BR$4:$BR$200,"&gt;=70",$K$4:$K$200,"&lt;=30",$C$4:$C$200,"&lt;20190630",S$4:S$200,"&gt;="&amp;S98)/COUNTIFS(S$4:S$200,"&lt;&gt;-",$D$4:$D$200,"&lt;&gt;是",$E$4:$E$200,"&lt;&gt;封闭期",$H$4:$H$200,"&gt;10",$BN$4:$BN$200,"&gt;-6",$BR$4:$BR$200,"&gt;=70",$C$4:$C$200,"&lt;20190630",$K$4:$K$200,"&lt;=30"))</f>
        <v>-</v>
      </c>
      <c r="X98" s="19">
        <f>[1]!f_risk_calmar(A98,$L$2,$E$1)</f>
        <v>2.0362208906034192</v>
      </c>
      <c r="Y98" s="19" t="str">
        <f>IFERROR(RANK(X98,X:X)&amp;"/"&amp;COUNT(X:X),"-")</f>
        <v>95/197</v>
      </c>
      <c r="Z98" s="26">
        <f>IFERROR(RANK(X98,X:X)/COUNT(X:X),"-")</f>
        <v>0.48223350253807107</v>
      </c>
      <c r="AA98" s="34" t="str">
        <f>IF(OR($C98&gt;20190630,$K98&gt;30,X98="-",$D98="是",$E98="封闭期",$H98&lt;10,$BN98&lt;-6,$BR98&lt;70),"-",COUNTIFS(X$4:X$200,"&lt;&gt;-",$D$4:$D$200,"&lt;&gt;是",$E$4:$E$200,"&lt;&gt;封闭期",$H$4:$H$200,"&gt;10",$BN$4:$BN$200,"&gt;-6",$BR$4:$BR$200,"&gt;=70",$K$4:$K$200,"&lt;=30",$C$4:$C$200,"&lt;20190630",X$4:X$200,"&gt;="&amp;X98)&amp;"/"&amp;COUNTIFS(X$4:X$200,"&lt;&gt;-",$D$4:$D$200,"&lt;&gt;是",$E$4:$E$200,"&lt;&gt;封闭期",$H$4:$H$200,"&gt;10",$BN$4:$BN$200,"&gt;-6",$BR$4:$BR$200,"&gt;=70",$C$4:$C$200,"&lt;20190630",$K$4:$K$200,"&lt;=30"))</f>
        <v>-</v>
      </c>
      <c r="AB98" s="33" t="str">
        <f>IF(OR($C98&gt;20190630,$K98&gt;30,X98="-",$D98="是",$E98="封闭期",$H98&lt;10,$BN98&lt;-6,$BR98&lt;70),"-",COUNTIFS(X$4:X$200,"&lt;&gt;-",$D$4:$D$200,"&lt;&gt;是",$E$4:$E$200,"&lt;&gt;封闭期",$H$4:$H$200,"&gt;10",$BN$4:$BN$200,"&gt;-6",$BR$4:$BR$200,"&gt;=70",$K$4:$K$200,"&lt;=30",$C$4:$C$200,"&lt;20190630",X$4:X$200,"&gt;="&amp;X98)/COUNTIFS(X$4:X$200,"&lt;&gt;-",$D$4:$D$200,"&lt;&gt;是",$E$4:$E$200,"&lt;&gt;封闭期",$H$4:$H$200,"&gt;10",$BN$4:$BN$200,"&gt;-6",$BR$4:$BR$200,"&gt;=70",$C$4:$C$200,"&lt;20190630",$K$4:$K$200,"&lt;=30"))</f>
        <v>-</v>
      </c>
      <c r="AC98" s="20">
        <v>0.92436974789915971</v>
      </c>
      <c r="AD98" s="19" t="str">
        <f>IFERROR(RANK(AC98,AC:AC)&amp;"/"&amp;COUNT(AC:AC),"-")</f>
        <v>123/197</v>
      </c>
      <c r="AE98" s="26">
        <f>IFERROR(RANK(AC98,AC:AC)/COUNT(AC:AC),"-")</f>
        <v>0.62436548223350252</v>
      </c>
      <c r="AF98" s="34" t="str">
        <f>IF(OR($C98&gt;20190630,$K98&gt;30,AC98="-",$D98="是",$E98="封闭期",$H98&lt;10,$BN98&lt;-6,$BR98&lt;70),"-",COUNTIFS(AC$4:AC$200,"&lt;&gt;-",$D$4:$D$200,"&lt;&gt;是",$E$4:$E$200,"&lt;&gt;封闭期",$H$4:$H$200,"&gt;10",$BN$4:$BN$200,"&gt;-6",$BR$4:$BR$200,"&gt;=70",$K$4:$K$200,"&lt;=30",$C$4:$C$200,"&lt;20190630",AC$4:AC$200,"&gt;="&amp;AC98)&amp;"/"&amp;COUNTIFS(AC$4:AC$200,"&lt;&gt;-",$D$4:$D$200,"&lt;&gt;是",$E$4:$E$200,"&lt;&gt;封闭期",$H$4:$H$200,"&gt;10",$BN$4:$BN$200,"&gt;-6",$BR$4:$BR$200,"&gt;=70",$C$4:$C$200,"&lt;20190630",$K$4:$K$200,"&lt;=30"))</f>
        <v>-</v>
      </c>
      <c r="AG98" s="33" t="str">
        <f>IF(OR($C98&gt;20190630,$K98&gt;30,AC98="-",$D98="是",$E98="封闭期",$H98&lt;10,$BN98&lt;-6,$BR98&lt;70),"-",COUNTIFS(AC$4:AC$200,"&lt;&gt;-",$D$4:$D$200,"&lt;&gt;是",$E$4:$E$200,"&lt;&gt;封闭期",$H$4:$H$200,"&gt;10",$BN$4:$BN$200,"&gt;-6",$BR$4:$BR$200,"&gt;=70",$K$4:$K$200,"&lt;=30",$C$4:$C$200,"&lt;20190630",AC$4:AC$200,"&gt;="&amp;AC98)/COUNTIFS(AC$4:AC$200,"&lt;&gt;-",$D$4:$D$200,"&lt;&gt;是",$E$4:$E$200,"&lt;&gt;封闭期",$H$4:$H$200,"&gt;10",$BN$4:$BN$200,"&gt;-6",$BR$4:$BR$200,"&gt;=70",$C$4:$C$200,"&lt;20190630",$K$4:$K$200,"&lt;=30"))</f>
        <v>-</v>
      </c>
      <c r="AH98" s="21">
        <f>[1]!f_risk_maxdownside(A98,$L$2,$E$1)</f>
        <v>-2.9345372460496559</v>
      </c>
      <c r="AI98" s="19" t="str">
        <f>IFERROR(RANK(AH98,AH:AH)&amp;"/"&amp;COUNT(AH:AH),"-")</f>
        <v>90/197</v>
      </c>
      <c r="AJ98" s="26">
        <f>IFERROR(RANK(AH98,AH:AH)/COUNT(AH:AH),"-")</f>
        <v>0.45685279187817257</v>
      </c>
      <c r="AK98" s="34" t="str">
        <f>IF(OR($C98&gt;20190630,$K98&gt;30,AH98="-",$D98="是",$E98="封闭期",$H98&lt;10,$BN98&lt;-6,$BR98&lt;70),"-",COUNTIFS(AH$4:AH$200,"&lt;&gt;-",$D$4:$D$200,"&lt;&gt;是",$E$4:$E$200,"&lt;&gt;封闭期",$H$4:$H$200,"&gt;10",$BN$4:$BN$200,"&gt;-6",$BR$4:$BR$200,"&gt;=70",$K$4:$K$200,"&lt;=30",$C$4:$C$200,"&lt;20190630",AH$4:AH$200,"&gt;="&amp;AH98)&amp;"/"&amp;COUNTIFS(AH$4:AH$200,"&lt;&gt;-",$D$4:$D$200,"&lt;&gt;是",$E$4:$E$200,"&lt;&gt;封闭期",$H$4:$H$200,"&gt;10",$BN$4:$BN$200,"&gt;-6",$BR$4:$BR$200,"&gt;=70",$C$4:$C$200,"&lt;20190630",$K$4:$K$200,"&lt;=30"))</f>
        <v>-</v>
      </c>
      <c r="AL98" s="33" t="str">
        <f>IF(OR($C98&gt;20190630,$K98&gt;30,AH98="-",$D98="是",$E98="封闭期",$H98&lt;10,$BN98&lt;-6,$BR98&lt;70),"-",COUNTIFS(AH$4:AH$200,"&lt;&gt;-",$D$4:$D$200,"&lt;&gt;是",$E$4:$E$200,"&lt;&gt;封闭期",$H$4:$H$200,"&gt;10",$BN$4:$BN$200,"&gt;-6",$BR$4:$BR$200,"&gt;=70",$K$4:$K$200,"&lt;=30",$C$4:$C$200,"&lt;20190630",AH$4:AH$200,"&gt;="&amp;AH98)/COUNTIFS(AH$4:AH$200,"&lt;&gt;-",$D$4:$D$200,"&lt;&gt;是",$E$4:$E$200,"&lt;&gt;封闭期",$H$4:$H$200,"&gt;10",$BN$4:$BN$200,"&gt;-6",$BR$4:$BR$200,"&gt;=70",$C$4:$C$200,"&lt;20190630",$K$4:$K$200,"&lt;=30"))</f>
        <v>-</v>
      </c>
      <c r="AM98" s="19">
        <f>[1]!f_return($A98,"1",AM$2,$L$2)</f>
        <v>7.4825777284729833</v>
      </c>
      <c r="AN98" s="19">
        <f>[1]!f_risk_stdevyearly($A98,AM$2,$L$2,1,1)</f>
        <v>7.6832979166510942</v>
      </c>
      <c r="AO98" s="19">
        <f>IFERROR(AM98/AN98,"-")</f>
        <v>0.97387577699634498</v>
      </c>
      <c r="AP98" s="19" t="str">
        <f>IFERROR(RANK(AO98,AO:AO)&amp;"/"&amp;COUNT(AO:AO),"-")</f>
        <v>161/197</v>
      </c>
      <c r="AQ98" s="26">
        <f>IF(AP98="-","-",RANK(AO98,AO:AO)/COUNT(AO:AO))</f>
        <v>0.81725888324873097</v>
      </c>
      <c r="AR98" s="57">
        <v>0.48223350253807107</v>
      </c>
      <c r="AS98" s="33" t="str">
        <f>IF(OR($C98&gt;20190630,$K98&gt;30,AO98="-",$D98="是",$E98="封闭期",$H98&lt;10,$BN98&lt;-6,$BR98&lt;70),"-",COUNTIFS(AO$4:AO$200,"&lt;&gt;-",$D$4:$D$200,"&lt;&gt;是",$E$4:$E$200,"&lt;&gt;封闭期",$H$4:$H$200,"&gt;10",$BN$4:$BN$200,"&gt;-6",$BR$4:$BR$200,"&gt;=70",$K$4:$K$200,"&lt;=30",$C$4:$C$200,"&lt;20190630",AO$4:AO$200,"&gt;="&amp;AO98)/COUNTIFS(AO$4:AO$200,"&lt;&gt;-",$D$4:$D$200,"&lt;&gt;是",$E$4:$E$200,"&lt;&gt;封闭期",$H$4:$H$200,"&gt;10",$BN$4:$BN$200,"&gt;-6",$BR$4:$BR$200,"&gt;=70",$C$4:$C$200,"&lt;20190630",$K$4:$K$200,"&lt;=30"))</f>
        <v>-</v>
      </c>
      <c r="AT98" s="19">
        <f>IFERROR((AM98-3)/AN98,"-")</f>
        <v>0.58341844571175971</v>
      </c>
      <c r="AU98" s="19" t="str">
        <f>IFERROR(RANK(AT98,AT:AT)&amp;"/"&amp;COUNT(AT:AT),"-")</f>
        <v>132/197</v>
      </c>
      <c r="AV98" s="26">
        <f>IFERROR(RANK(AT98,AT:AT)/COUNT(AT:AT),"-")</f>
        <v>0.67005076142131981</v>
      </c>
      <c r="AW98" s="34" t="str">
        <f>IF(OR($C98&gt;20190630,$K98&gt;30,AT98="-",$D98="是",$E98="封闭期",$H98&lt;10,$BN98&lt;-6,$BR98&lt;70),"-",COUNTIFS(AT$4:AT$200,"&lt;&gt;-",$D$4:$D$200,"&lt;&gt;是",$E$4:$E$200,"&lt;&gt;封闭期",$H$4:$H$200,"&gt;10",$BN$4:$BN$200,"&gt;-6",$BR$4:$BR$200,"&gt;=70",$K$4:$K$200,"&lt;=30",$C$4:$C$200,"&lt;20190630",AT$4:AT$200,"&gt;="&amp;AT98)&amp;"/"&amp;COUNTIFS(AT$4:AT$200,"&lt;&gt;-",$D$4:$D$200,"&lt;&gt;是",$E$4:$E$200,"&lt;&gt;封闭期",$H$4:$H$200,"&gt;10",$BN$4:$BN$200,"&gt;-6",$BR$4:$BR$200,"&gt;=70",$C$4:$C$200,"&lt;20190630",$K$4:$K$200,"&lt;=30"))</f>
        <v>-</v>
      </c>
      <c r="AX98" s="33" t="str">
        <f>IF(OR($C98&gt;20190630,$K98&gt;30,AT98="-",$D98="是",$E98="封闭期",$H98&lt;10,$BN98&lt;-6,$BR98&lt;70),"-",COUNTIFS(AT$4:AT$200,"&lt;&gt;-",$D$4:$D$200,"&lt;&gt;是",$E$4:$E$200,"&lt;&gt;封闭期",$H$4:$H$200,"&gt;10",$BN$4:$BN$200,"&gt;-6",$BR$4:$BR$200,"&gt;=70",$K$4:$K$200,"&lt;=30",$C$4:$C$200,"&lt;20190630",AT$4:AT$200,"&gt;="&amp;AT98)/COUNTIFS(AT$4:AT$200,"&lt;&gt;-",$D$4:$D$200,"&lt;&gt;是",$E$4:$E$200,"&lt;&gt;封闭期",$H$4:$H$200,"&gt;10",$BN$4:$BN$200,"&gt;-6",$BR$4:$BR$200,"&gt;=70",$C$4:$C$200,"&lt;20190630",$K$4:$K$200,"&lt;=30"))</f>
        <v>-</v>
      </c>
      <c r="AY98" s="19">
        <f>[1]!f_risk_calmar(A98,$AM$2,$L$2)</f>
        <v>1.7103034807938233</v>
      </c>
      <c r="AZ98" s="19" t="str">
        <f>IFERROR(RANK(AY98,AY:AY)&amp;"/"&amp;COUNT(AY:AY),"-")</f>
        <v>130/197</v>
      </c>
      <c r="BA98" s="26">
        <f>IFERROR(RANK(AY98,AY:AY)/COUNT(AY:AY),"-")</f>
        <v>0.65989847715736039</v>
      </c>
      <c r="BB98" s="34" t="str">
        <f>IF(OR($C98&gt;20190630,$K98&gt;30,AY98="-",$D98="是",$E98="封闭期",$H98&lt;10,$BN98&lt;-6,$BR98&lt;70),"-",COUNTIFS(AY$4:AY$200,"&lt;&gt;-",$D$4:$D$200,"&lt;&gt;是",$E$4:$E$200,"&lt;&gt;封闭期",$H$4:$H$200,"&gt;10",$BN$4:$BN$200,"&gt;-6",$BR$4:$BR$200,"&gt;=70",$K$4:$K$200,"&lt;=30",$C$4:$C$200,"&lt;20190630",AY$4:AY$200,"&gt;="&amp;AY98)&amp;"/"&amp;COUNTIFS(AY$4:AY$200,"&lt;&gt;-",$D$4:$D$200,"&lt;&gt;是",$E$4:$E$200,"&lt;&gt;封闭期",$H$4:$H$200,"&gt;10",$BN$4:$BN$200,"&gt;-6",$BR$4:$BR$200,"&gt;=70",$C$4:$C$200,"&lt;20190630",$K$4:$K$200,"&lt;=30"))</f>
        <v>-</v>
      </c>
      <c r="BC98" s="33" t="str">
        <f>IF(OR($C98&gt;20190630,$K98&gt;30,AY98="-",$D98="是",$E98="封闭期",$H98&lt;10,$BN98&lt;-6,$BR98&lt;70),"-",COUNTIFS(AY$4:AY$200,"&lt;&gt;-",$D$4:$D$200,"&lt;&gt;是",$E$4:$E$200,"&lt;&gt;封闭期",$H$4:$H$200,"&gt;10",$BN$4:$BN$200,"&gt;-6",$BR$4:$BR$200,"&gt;=70",$K$4:$K$200,"&lt;=30",$C$4:$C$200,"&lt;20190630",AY$4:AY$200,"&gt;="&amp;AY98)/COUNTIFS(AY$4:AY$200,"&lt;&gt;-",$D$4:$D$200,"&lt;&gt;是",$E$4:$E$200,"&lt;&gt;封闭期",$H$4:$H$200,"&gt;10",$BN$4:$BN$200,"&gt;-6",$BR$4:$BR$200,"&gt;=70",$C$4:$C$200,"&lt;20190630",$K$4:$K$200,"&lt;=30"))</f>
        <v>-</v>
      </c>
      <c r="BD98" s="20">
        <v>1</v>
      </c>
      <c r="BE98" s="19" t="str">
        <f>IFERROR(RANK(BD98,BD:BD)&amp;"/"&amp;COUNT(BD:BD),"-")</f>
        <v>1/197</v>
      </c>
      <c r="BF98" s="26">
        <f>IFERROR(RANK(BD98,BD:BD)/COUNT(BD:BD),"-")</f>
        <v>5.076142131979695E-3</v>
      </c>
      <c r="BG98" s="34" t="str">
        <f>IF(OR($C98&gt;20190630,$K98&gt;30,BD98="-",$D98="是",$E98="封闭期",$H98&lt;10,$BN98&lt;-6,$BR98&lt;70),"-",COUNTIFS(BD$4:BD$200,"&lt;&gt;-",$D$4:$D$200,"&lt;&gt;是",$E$4:$E$200,"&lt;&gt;封闭期",$H$4:$H$200,"&gt;10",$BN$4:$BN$200,"&gt;-6",$BR$4:$BR$200,"&gt;=70",$K$4:$K$200,"&lt;=30",$C$4:$C$200,"&lt;20190630",BD$4:BD$200,"&gt;="&amp;BD98)&amp;"/"&amp;COUNTIFS(BD$4:BD$200,"&lt;&gt;-",$D$4:$D$200,"&lt;&gt;是",$E$4:$E$200,"&lt;&gt;封闭期",$H$4:$H$200,"&gt;10",$BN$4:$BN$200,"&gt;-6",$BR$4:$BR$200,"&gt;=70",$C$4:$C$200,"&lt;20190630",$K$4:$K$200,"&lt;=30"))</f>
        <v>-</v>
      </c>
      <c r="BH98" s="33" t="str">
        <f>IF(OR($C98&gt;20190630,$K98&gt;30,BD98="-",$D98="是",$E98="封闭期",$H98&lt;10,$BN98&lt;-6,$BR98&lt;70),"-",COUNTIFS(BD$4:BD$200,"&lt;&gt;-",$D$4:$D$200,"&lt;&gt;是",$E$4:$E$200,"&lt;&gt;封闭期",$H$4:$H$200,"&gt;10",$BN$4:$BN$200,"&gt;-6",$BR$4:$BR$200,"&gt;=70",$K$4:$K$200,"&lt;=30",$C$4:$C$200,"&lt;20190630",BD$4:BD$200,"&gt;="&amp;BD98)/COUNTIFS(BD$4:BD$200,"&lt;&gt;-",$D$4:$D$200,"&lt;&gt;是",$E$4:$E$200,"&lt;&gt;封闭期",$H$4:$H$200,"&gt;10",$BN$4:$BN$200,"&gt;-6",$BR$4:$BR$200,"&gt;=70",$C$4:$C$200,"&lt;20190630",$K$4:$K$200,"&lt;=30"))</f>
        <v>-</v>
      </c>
      <c r="BI98" s="21">
        <f>[1]!f_risk_maxdownside(A98,$AM$2,$L$2)</f>
        <v>-4.3750000000000036</v>
      </c>
      <c r="BJ98" s="19" t="str">
        <f>IFERROR(RANK(BI98,BI:BI)&amp;"/"&amp;COUNT(BI:BI),"-")</f>
        <v>144/197</v>
      </c>
      <c r="BK98" s="26">
        <f>IFERROR(RANK(BI98,BI:BI)/COUNT(BI:BI),"-")</f>
        <v>0.73096446700507611</v>
      </c>
      <c r="BL98" s="34" t="str">
        <f>IF(OR($C98&gt;20190630,$K98&gt;30,BI98="-",$D98="是",$E98="封闭期",$H98&lt;10,$BN98&lt;-6,$BR98&lt;70),"-",COUNTIFS(BI$4:BI$200,"&lt;&gt;-",$D$4:$D$200,"&lt;&gt;是",$E$4:$E$200,"&lt;&gt;封闭期",$H$4:$H$200,"&gt;10",$BN$4:$BN$200,"&gt;-6",$BR$4:$BR$200,"&gt;=70",$K$4:$K$200,"&lt;=30",$C$4:$C$200,"&lt;20190630",BI$4:BI$200,"&gt;="&amp;BI98)&amp;"/"&amp;COUNTIFS(BI$4:BI$200,"&lt;&gt;-",$D$4:$D$200,"&lt;&gt;是",$E$4:$E$200,"&lt;&gt;封闭期",$H$4:$H$200,"&gt;10",$BN$4:$BN$200,"&gt;-6",$BR$4:$BR$200,"&gt;=70",$C$4:$C$200,"&lt;20190630",$K$4:$K$200,"&lt;=30"))</f>
        <v>-</v>
      </c>
      <c r="BM98" s="33" t="str">
        <f>IF(OR($C98&gt;20190630,$K98&gt;30,BI98="-",$D98="是",$E98="封闭期",$H98&lt;10,$BN98&lt;-6,$BR98&lt;70),"-",COUNTIFS(BI$4:BI$200,"&lt;&gt;-",$D$4:$D$200,"&lt;&gt;是",$E$4:$E$200,"&lt;&gt;封闭期",$H$4:$H$200,"&gt;10",$BN$4:$BN$200,"&gt;-6",$BR$4:$BR$200,"&gt;=70",$K$4:$K$200,"&lt;=30",$C$4:$C$200,"&lt;20190630",BI$4:BI$200,"&gt;="&amp;BI98)/COUNTIFS(BI$4:BI$200,"&lt;&gt;-",$D$4:$D$200,"&lt;&gt;是",$E$4:$E$200,"&lt;&gt;封闭期",$H$4:$H$200,"&gt;10",$BN$4:$BN$200,"&gt;-6",$BR$4:$BR$200,"&gt;=70",$C$4:$C$200,"&lt;20190630",$K$4:$K$200,"&lt;=30"))</f>
        <v>-</v>
      </c>
      <c r="BN98" s="21">
        <f>[1]!f_risk_maxdownside(A98,$AM$2,$E$1)</f>
        <v>-4.3750000000000036</v>
      </c>
      <c r="BO98" s="21">
        <f>IF(C98&lt;20190930,[1]!f_return_2y(A98,"0","20210930"),"-")</f>
        <v>13.974895397489542</v>
      </c>
      <c r="BP98" s="19" t="str">
        <f>IFERROR(RANK(BO98,BO:BO)&amp;"/"&amp;COUNT(BO:BO),"-")</f>
        <v>89/197</v>
      </c>
      <c r="BQ98" s="25">
        <f>IFERROR(RANK(BO98,BO:BO)/COUNT(BO:BO),"-")</f>
        <v>0.45177664974619292</v>
      </c>
      <c r="BR98" s="19">
        <f>IF(C98&lt;20190930,[1]!f_absolute_profitmonthper(A98,"20190930","20210930"),"-")</f>
        <v>70.833333333333343</v>
      </c>
      <c r="BS98" s="19" t="str">
        <f>IFERROR(RANK(BR98,BR:BR)&amp;"/"&amp;COUNT(BR:BR),"-")</f>
        <v>55/198</v>
      </c>
      <c r="BT98" s="25">
        <f>IFERROR(RANK(BR98,BR:BR)/COUNT(BR:BR),"-")</f>
        <v>0.27777777777777779</v>
      </c>
      <c r="BV98" s="12">
        <f>X98-3/M98</f>
        <v>1.3535893890424622</v>
      </c>
      <c r="BW98" s="76">
        <f>IFERROR(RANK(BV98,BV:BV)/COUNT(BV:BV),"-")</f>
        <v>0.51269035532994922</v>
      </c>
      <c r="BX98" s="76">
        <f>IFERROR(RANK(L98,L:L)/COUNT(L:L),"-")</f>
        <v>0.47474747474747475</v>
      </c>
      <c r="BY98" s="12">
        <f>AY98-3/AN98</f>
        <v>1.319846149509238</v>
      </c>
      <c r="BZ98" s="76">
        <f>IFERROR(RANK(BY98,BY:BY)/COUNT(BY:BY),"-")</f>
        <v>0.59390862944162437</v>
      </c>
      <c r="CA98" s="76">
        <f>IFERROR(RANK(AM98,AM:AM)/COUNT(AM:AM),"-")</f>
        <v>0.48484848484848486</v>
      </c>
      <c r="CB98" s="2"/>
      <c r="CC98" s="77">
        <f>AV98+BF98+BZ98+CA98</f>
        <v>1.7538840178434087</v>
      </c>
      <c r="CD98" s="77">
        <f>BW98+BX98+AE98+U98</f>
        <v>2.1549505204327541</v>
      </c>
      <c r="CE98" s="77">
        <f>CC98+CD98</f>
        <v>3.9088345382761629</v>
      </c>
    </row>
    <row r="99" spans="1:83" s="17" customFormat="1" x14ac:dyDescent="0.35">
      <c r="A99" s="15" t="s">
        <v>261</v>
      </c>
      <c r="B99" s="15" t="s">
        <v>262</v>
      </c>
      <c r="C99" s="16">
        <v>20160727</v>
      </c>
      <c r="D99" s="16" t="str">
        <f>[1]!f_info_regulopenfundornot(A99)</f>
        <v>否</v>
      </c>
      <c r="E99" s="16" t="str">
        <f>[1]!f_dq_status(A99,$E$1)</f>
        <v>开放申购|开放赎回</v>
      </c>
      <c r="F99" s="17" t="str">
        <f>[1]!f_info_fundmanager(A99)</f>
        <v>李明阳,林铮</v>
      </c>
      <c r="G99" s="16">
        <v>20180103</v>
      </c>
      <c r="H99" s="18">
        <f>[1]!f_netasset_total(A99,$E$1,100000000)</f>
        <v>30.5517946127</v>
      </c>
      <c r="I99" s="18">
        <f>[1]!f_prt_convertiblebondtonav(A99,$E$1)</f>
        <v>7.3848991394042969</v>
      </c>
      <c r="J99" s="18">
        <f>[1]!f_prt_stocktonav(A99,$E$1)+0.5*I99</f>
        <v>23.631065368652344</v>
      </c>
      <c r="K99" s="19">
        <v>10.10799214628225</v>
      </c>
      <c r="L99" s="19">
        <f>[1]!f_return($A99,"1",L$2,$E$1)</f>
        <v>5.7060176517082395</v>
      </c>
      <c r="M99" s="19">
        <f>[1]!f_risk_stdevyearly($A99,L$2,$E$1,1,1)</f>
        <v>5.3418569350469767</v>
      </c>
      <c r="N99" s="19">
        <f>IFERROR(L99/M99,"-")</f>
        <v>1.0681711848687052</v>
      </c>
      <c r="O99" s="19" t="str">
        <f>IFERROR(RANK(N99,N:N)&amp;"/"&amp;COUNT(N:N),"-")</f>
        <v>136/197</v>
      </c>
      <c r="P99" s="26">
        <f>IF(O99="-","-",RANK(N99,N:N)/COUNT(N:N))</f>
        <v>0.69035532994923854</v>
      </c>
      <c r="Q99" s="56">
        <v>0.5025380710659898</v>
      </c>
      <c r="R99" s="33" t="str">
        <f>IF(OR($C99&gt;20190630,$K99&gt;30,N99="-",$D99="是",$E99="封闭期",$H99&lt;10,$BN99&lt;-6,$BR99&lt;70),"-",COUNTIFS(N$4:N$200,"&lt;&gt;-",$D$4:$D$200,"&lt;&gt;是",$E$4:$E$200,"&lt;&gt;封闭期",$H$4:$H$200,"&gt;10",$BN$4:$BN$200,"&gt;-6",$BR$4:$BR$200,"&gt;=70",$K$4:$K$200,"&lt;=30",$C$4:$C$200,"&lt;20190630",N$4:N$200,"&gt;="&amp;N99)/COUNTIFS(N$4:N$200,"&lt;&gt;-",$D$4:$D$200,"&lt;&gt;是",$E$4:$E$200,"&lt;&gt;封闭期",$H$4:$H$200,"&gt;10",$BN$4:$BN$200,"&gt;-6",$BR$4:$BR$200,"&gt;=70",$C$4:$C$200,"&lt;20190630",$K$4:$K$200,"&lt;=30"))</f>
        <v>-</v>
      </c>
      <c r="S99" s="19">
        <f>IFERROR((L99-3)/M99,"-")</f>
        <v>0.50656872406195252</v>
      </c>
      <c r="T99" s="19" t="str">
        <f>IFERROR(RANK(S99,S:S)&amp;"/"&amp;COUNT(S:S),"-")</f>
        <v>119/197</v>
      </c>
      <c r="U99" s="26">
        <f>IFERROR(RANK(S99,S:S)/COUNT(S:S),"-")</f>
        <v>0.60406091370558379</v>
      </c>
      <c r="V99" s="34" t="str">
        <f>IF(OR($C99&gt;20190630,$K99&gt;30,S99="-",$D99="是",$E99="封闭期",$H99&lt;10,$BN99&lt;-6,$BR99&lt;70),"-",COUNTIFS(S$4:S$200,"&lt;&gt;-",$D$4:$D$200,"&lt;&gt;是",$E$4:$E$200,"&lt;&gt;封闭期",$H$4:$H$200,"&gt;10",$BN$4:$BN$200,"&gt;-6",$BR$4:$BR$200,"&gt;=70",$K$4:$K$200,"&lt;=30",$C$4:$C$200,"&lt;20190630",S$4:S$200,"&gt;="&amp;S99)&amp;"/"&amp;COUNTIFS(S$4:S$200,"&lt;&gt;-",$D$4:$D$200,"&lt;&gt;是",$E$4:$E$200,"&lt;&gt;封闭期",$H$4:$H$200,"&gt;10",$BN$4:$BN$200,"&gt;-6",$BR$4:$BR$200,"&gt;=70",$C$4:$C$200,"&lt;20190630",$K$4:$K$200,"&lt;=30"))</f>
        <v>-</v>
      </c>
      <c r="W99" s="33" t="str">
        <f>IF(OR($C99&gt;20190630,$K99&gt;30,S99="-",$D99="是",$E99="封闭期",$H99&lt;10,$BN99&lt;-6,$BR99&lt;70),"-",COUNTIFS(S$4:S$200,"&lt;&gt;-",$D$4:$D$200,"&lt;&gt;是",$E$4:$E$200,"&lt;&gt;封闭期",$H$4:$H$200,"&gt;10",$BN$4:$BN$200,"&gt;-6",$BR$4:$BR$200,"&gt;=70",$K$4:$K$200,"&lt;=30",$C$4:$C$200,"&lt;20190630",S$4:S$200,"&gt;="&amp;S99)/COUNTIFS(S$4:S$200,"&lt;&gt;-",$D$4:$D$200,"&lt;&gt;是",$E$4:$E$200,"&lt;&gt;封闭期",$H$4:$H$200,"&gt;10",$BN$4:$BN$200,"&gt;-6",$BR$4:$BR$200,"&gt;=70",$C$4:$C$200,"&lt;20190630",$K$4:$K$200,"&lt;=30"))</f>
        <v>-</v>
      </c>
      <c r="X99" s="19">
        <f>[1]!f_risk_calmar(A99,$L$2,$E$1)</f>
        <v>1.3199532669819001</v>
      </c>
      <c r="Y99" s="19" t="str">
        <f>IFERROR(RANK(X99,X:X)&amp;"/"&amp;COUNT(X:X),"-")</f>
        <v>142/197</v>
      </c>
      <c r="Z99" s="26">
        <f>IFERROR(RANK(X99,X:X)/COUNT(X:X),"-")</f>
        <v>0.7208121827411168</v>
      </c>
      <c r="AA99" s="34" t="str">
        <f>IF(OR($C99&gt;20190630,$K99&gt;30,X99="-",$D99="是",$E99="封闭期",$H99&lt;10,$BN99&lt;-6,$BR99&lt;70),"-",COUNTIFS(X$4:X$200,"&lt;&gt;-",$D$4:$D$200,"&lt;&gt;是",$E$4:$E$200,"&lt;&gt;封闭期",$H$4:$H$200,"&gt;10",$BN$4:$BN$200,"&gt;-6",$BR$4:$BR$200,"&gt;=70",$K$4:$K$200,"&lt;=30",$C$4:$C$200,"&lt;20190630",X$4:X$200,"&gt;="&amp;X99)&amp;"/"&amp;COUNTIFS(X$4:X$200,"&lt;&gt;-",$D$4:$D$200,"&lt;&gt;是",$E$4:$E$200,"&lt;&gt;封闭期",$H$4:$H$200,"&gt;10",$BN$4:$BN$200,"&gt;-6",$BR$4:$BR$200,"&gt;=70",$C$4:$C$200,"&lt;20190630",$K$4:$K$200,"&lt;=30"))</f>
        <v>-</v>
      </c>
      <c r="AB99" s="33" t="str">
        <f>IF(OR($C99&gt;20190630,$K99&gt;30,X99="-",$D99="是",$E99="封闭期",$H99&lt;10,$BN99&lt;-6,$BR99&lt;70),"-",COUNTIFS(X$4:X$200,"&lt;&gt;-",$D$4:$D$200,"&lt;&gt;是",$E$4:$E$200,"&lt;&gt;封闭期",$H$4:$H$200,"&gt;10",$BN$4:$BN$200,"&gt;-6",$BR$4:$BR$200,"&gt;=70",$K$4:$K$200,"&lt;=30",$C$4:$C$200,"&lt;20190630",X$4:X$200,"&gt;="&amp;X99)/COUNTIFS(X$4:X$200,"&lt;&gt;-",$D$4:$D$200,"&lt;&gt;是",$E$4:$E$200,"&lt;&gt;封闭期",$H$4:$H$200,"&gt;10",$BN$4:$BN$200,"&gt;-6",$BR$4:$BR$200,"&gt;=70",$C$4:$C$200,"&lt;20190630",$K$4:$K$200,"&lt;=30"))</f>
        <v>-</v>
      </c>
      <c r="AC99" s="20">
        <v>1</v>
      </c>
      <c r="AD99" s="19" t="str">
        <f>IFERROR(RANK(AC99,AC:AC)&amp;"/"&amp;COUNT(AC:AC),"-")</f>
        <v>1/197</v>
      </c>
      <c r="AE99" s="26">
        <f>IFERROR(RANK(AC99,AC:AC)/COUNT(AC:AC),"-")</f>
        <v>5.076142131979695E-3</v>
      </c>
      <c r="AF99" s="34" t="str">
        <f>IF(OR($C99&gt;20190630,$K99&gt;30,AC99="-",$D99="是",$E99="封闭期",$H99&lt;10,$BN99&lt;-6,$BR99&lt;70),"-",COUNTIFS(AC$4:AC$200,"&lt;&gt;-",$D$4:$D$200,"&lt;&gt;是",$E$4:$E$200,"&lt;&gt;封闭期",$H$4:$H$200,"&gt;10",$BN$4:$BN$200,"&gt;-6",$BR$4:$BR$200,"&gt;=70",$K$4:$K$200,"&lt;=30",$C$4:$C$200,"&lt;20190630",AC$4:AC$200,"&gt;="&amp;AC99)&amp;"/"&amp;COUNTIFS(AC$4:AC$200,"&lt;&gt;-",$D$4:$D$200,"&lt;&gt;是",$E$4:$E$200,"&lt;&gt;封闭期",$H$4:$H$200,"&gt;10",$BN$4:$BN$200,"&gt;-6",$BR$4:$BR$200,"&gt;=70",$C$4:$C$200,"&lt;20190630",$K$4:$K$200,"&lt;=30"))</f>
        <v>-</v>
      </c>
      <c r="AG99" s="33" t="str">
        <f>IF(OR($C99&gt;20190630,$K99&gt;30,AC99="-",$D99="是",$E99="封闭期",$H99&lt;10,$BN99&lt;-6,$BR99&lt;70),"-",COUNTIFS(AC$4:AC$200,"&lt;&gt;-",$D$4:$D$200,"&lt;&gt;是",$E$4:$E$200,"&lt;&gt;封闭期",$H$4:$H$200,"&gt;10",$BN$4:$BN$200,"&gt;-6",$BR$4:$BR$200,"&gt;=70",$K$4:$K$200,"&lt;=30",$C$4:$C$200,"&lt;20190630",AC$4:AC$200,"&gt;="&amp;AC99)/COUNTIFS(AC$4:AC$200,"&lt;&gt;-",$D$4:$D$200,"&lt;&gt;是",$E$4:$E$200,"&lt;&gt;封闭期",$H$4:$H$200,"&gt;10",$BN$4:$BN$200,"&gt;-6",$BR$4:$BR$200,"&gt;=70",$C$4:$C$200,"&lt;20190630",$K$4:$K$200,"&lt;=30"))</f>
        <v>-</v>
      </c>
      <c r="AH99" s="21">
        <f>[1]!f_risk_maxdownside(A99,$L$2,$E$1)</f>
        <v>-4.3228936921040884</v>
      </c>
      <c r="AI99" s="19" t="str">
        <f>IFERROR(RANK(AH99,AH:AH)&amp;"/"&amp;COUNT(AH:AH),"-")</f>
        <v>134/197</v>
      </c>
      <c r="AJ99" s="26">
        <f>IFERROR(RANK(AH99,AH:AH)/COUNT(AH:AH),"-")</f>
        <v>0.68020304568527923</v>
      </c>
      <c r="AK99" s="34" t="str">
        <f>IF(OR($C99&gt;20190630,$K99&gt;30,AH99="-",$D99="是",$E99="封闭期",$H99&lt;10,$BN99&lt;-6,$BR99&lt;70),"-",COUNTIFS(AH$4:AH$200,"&lt;&gt;-",$D$4:$D$200,"&lt;&gt;是",$E$4:$E$200,"&lt;&gt;封闭期",$H$4:$H$200,"&gt;10",$BN$4:$BN$200,"&gt;-6",$BR$4:$BR$200,"&gt;=70",$K$4:$K$200,"&lt;=30",$C$4:$C$200,"&lt;20190630",AH$4:AH$200,"&gt;="&amp;AH99)&amp;"/"&amp;COUNTIFS(AH$4:AH$200,"&lt;&gt;-",$D$4:$D$200,"&lt;&gt;是",$E$4:$E$200,"&lt;&gt;封闭期",$H$4:$H$200,"&gt;10",$BN$4:$BN$200,"&gt;-6",$BR$4:$BR$200,"&gt;=70",$C$4:$C$200,"&lt;20190630",$K$4:$K$200,"&lt;=30"))</f>
        <v>-</v>
      </c>
      <c r="AL99" s="33" t="str">
        <f>IF(OR($C99&gt;20190630,$K99&gt;30,AH99="-",$D99="是",$E99="封闭期",$H99&lt;10,$BN99&lt;-6,$BR99&lt;70),"-",COUNTIFS(AH$4:AH$200,"&lt;&gt;-",$D$4:$D$200,"&lt;&gt;是",$E$4:$E$200,"&lt;&gt;封闭期",$H$4:$H$200,"&gt;10",$BN$4:$BN$200,"&gt;-6",$BR$4:$BR$200,"&gt;=70",$K$4:$K$200,"&lt;=30",$C$4:$C$200,"&lt;20190630",AH$4:AH$200,"&gt;="&amp;AH99)/COUNTIFS(AH$4:AH$200,"&lt;&gt;-",$D$4:$D$200,"&lt;&gt;是",$E$4:$E$200,"&lt;&gt;封闭期",$H$4:$H$200,"&gt;10",$BN$4:$BN$200,"&gt;-6",$BR$4:$BR$200,"&gt;=70",$C$4:$C$200,"&lt;20190630",$K$4:$K$200,"&lt;=30"))</f>
        <v>-</v>
      </c>
      <c r="AM99" s="19">
        <f>[1]!f_return($A99,"1",AM$2,$L$2)</f>
        <v>7.4752997414242905</v>
      </c>
      <c r="AN99" s="19">
        <f>[1]!f_risk_stdevyearly($A99,AM$2,$L$2,1,1)</f>
        <v>5.7306397722237374</v>
      </c>
      <c r="AO99" s="19">
        <f>IFERROR(AM99/AN99,"-")</f>
        <v>1.3044441874809292</v>
      </c>
      <c r="AP99" s="19" t="str">
        <f>IFERROR(RANK(AO99,AO:AO)&amp;"/"&amp;COUNT(AO:AO),"-")</f>
        <v>134/197</v>
      </c>
      <c r="AQ99" s="26">
        <f>IF(AP99="-","-",RANK(AO99,AO:AO)/COUNT(AO:AO))</f>
        <v>0.68020304568527923</v>
      </c>
      <c r="AR99" s="57">
        <v>0.48730964467005078</v>
      </c>
      <c r="AS99" s="33" t="str">
        <f>IF(OR($C99&gt;20190630,$K99&gt;30,AO99="-",$D99="是",$E99="封闭期",$H99&lt;10,$BN99&lt;-6,$BR99&lt;70),"-",COUNTIFS(AO$4:AO$200,"&lt;&gt;-",$D$4:$D$200,"&lt;&gt;是",$E$4:$E$200,"&lt;&gt;封闭期",$H$4:$H$200,"&gt;10",$BN$4:$BN$200,"&gt;-6",$BR$4:$BR$200,"&gt;=70",$K$4:$K$200,"&lt;=30",$C$4:$C$200,"&lt;20190630",AO$4:AO$200,"&gt;="&amp;AO99)/COUNTIFS(AO$4:AO$200,"&lt;&gt;-",$D$4:$D$200,"&lt;&gt;是",$E$4:$E$200,"&lt;&gt;封闭期",$H$4:$H$200,"&gt;10",$BN$4:$BN$200,"&gt;-6",$BR$4:$BR$200,"&gt;=70",$C$4:$C$200,"&lt;20190630",$K$4:$K$200,"&lt;=30"))</f>
        <v>-</v>
      </c>
      <c r="AT99" s="19">
        <f>IFERROR((AM99-3)/AN99,"-")</f>
        <v>0.78094242864748753</v>
      </c>
      <c r="AU99" s="19" t="str">
        <f>IFERROR(RANK(AT99,AT:AT)&amp;"/"&amp;COUNT(AT:AT),"-")</f>
        <v>113/197</v>
      </c>
      <c r="AV99" s="26">
        <f>IFERROR(RANK(AT99,AT:AT)/COUNT(AT:AT),"-")</f>
        <v>0.57360406091370564</v>
      </c>
      <c r="AW99" s="34" t="str">
        <f>IF(OR($C99&gt;20190630,$K99&gt;30,AT99="-",$D99="是",$E99="封闭期",$H99&lt;10,$BN99&lt;-6,$BR99&lt;70),"-",COUNTIFS(AT$4:AT$200,"&lt;&gt;-",$D$4:$D$200,"&lt;&gt;是",$E$4:$E$200,"&lt;&gt;封闭期",$H$4:$H$200,"&gt;10",$BN$4:$BN$200,"&gt;-6",$BR$4:$BR$200,"&gt;=70",$K$4:$K$200,"&lt;=30",$C$4:$C$200,"&lt;20190630",AT$4:AT$200,"&gt;="&amp;AT99)&amp;"/"&amp;COUNTIFS(AT$4:AT$200,"&lt;&gt;-",$D$4:$D$200,"&lt;&gt;是",$E$4:$E$200,"&lt;&gt;封闭期",$H$4:$H$200,"&gt;10",$BN$4:$BN$200,"&gt;-6",$BR$4:$BR$200,"&gt;=70",$C$4:$C$200,"&lt;20190630",$K$4:$K$200,"&lt;=30"))</f>
        <v>-</v>
      </c>
      <c r="AX99" s="33" t="str">
        <f>IF(OR($C99&gt;20190630,$K99&gt;30,AT99="-",$D99="是",$E99="封闭期",$H99&lt;10,$BN99&lt;-6,$BR99&lt;70),"-",COUNTIFS(AT$4:AT$200,"&lt;&gt;-",$D$4:$D$200,"&lt;&gt;是",$E$4:$E$200,"&lt;&gt;封闭期",$H$4:$H$200,"&gt;10",$BN$4:$BN$200,"&gt;-6",$BR$4:$BR$200,"&gt;=70",$K$4:$K$200,"&lt;=30",$C$4:$C$200,"&lt;20190630",AT$4:AT$200,"&gt;="&amp;AT99)/COUNTIFS(AT$4:AT$200,"&lt;&gt;-",$D$4:$D$200,"&lt;&gt;是",$E$4:$E$200,"&lt;&gt;封闭期",$H$4:$H$200,"&gt;10",$BN$4:$BN$200,"&gt;-6",$BR$4:$BR$200,"&gt;=70",$C$4:$C$200,"&lt;20190630",$K$4:$K$200,"&lt;=30"))</f>
        <v>-</v>
      </c>
      <c r="AY99" s="19">
        <f>[1]!f_risk_calmar(A99,$AM$2,$L$2)</f>
        <v>1.6066166245026712</v>
      </c>
      <c r="AZ99" s="19" t="str">
        <f>IFERROR(RANK(AY99,AY:AY)&amp;"/"&amp;COUNT(AY:AY),"-")</f>
        <v>136/197</v>
      </c>
      <c r="BA99" s="26">
        <f>IFERROR(RANK(AY99,AY:AY)/COUNT(AY:AY),"-")</f>
        <v>0.69035532994923854</v>
      </c>
      <c r="BB99" s="34" t="str">
        <f>IF(OR($C99&gt;20190630,$K99&gt;30,AY99="-",$D99="是",$E99="封闭期",$H99&lt;10,$BN99&lt;-6,$BR99&lt;70),"-",COUNTIFS(AY$4:AY$200,"&lt;&gt;-",$D$4:$D$200,"&lt;&gt;是",$E$4:$E$200,"&lt;&gt;封闭期",$H$4:$H$200,"&gt;10",$BN$4:$BN$200,"&gt;-6",$BR$4:$BR$200,"&gt;=70",$K$4:$K$200,"&lt;=30",$C$4:$C$200,"&lt;20190630",AY$4:AY$200,"&gt;="&amp;AY99)&amp;"/"&amp;COUNTIFS(AY$4:AY$200,"&lt;&gt;-",$D$4:$D$200,"&lt;&gt;是",$E$4:$E$200,"&lt;&gt;封闭期",$H$4:$H$200,"&gt;10",$BN$4:$BN$200,"&gt;-6",$BR$4:$BR$200,"&gt;=70",$C$4:$C$200,"&lt;20190630",$K$4:$K$200,"&lt;=30"))</f>
        <v>-</v>
      </c>
      <c r="BC99" s="33" t="str">
        <f>IF(OR($C99&gt;20190630,$K99&gt;30,AY99="-",$D99="是",$E99="封闭期",$H99&lt;10,$BN99&lt;-6,$BR99&lt;70),"-",COUNTIFS(AY$4:AY$200,"&lt;&gt;-",$D$4:$D$200,"&lt;&gt;是",$E$4:$E$200,"&lt;&gt;封闭期",$H$4:$H$200,"&gt;10",$BN$4:$BN$200,"&gt;-6",$BR$4:$BR$200,"&gt;=70",$K$4:$K$200,"&lt;=30",$C$4:$C$200,"&lt;20190630",AY$4:AY$200,"&gt;="&amp;AY99)/COUNTIFS(AY$4:AY$200,"&lt;&gt;-",$D$4:$D$200,"&lt;&gt;是",$E$4:$E$200,"&lt;&gt;封闭期",$H$4:$H$200,"&gt;10",$BN$4:$BN$200,"&gt;-6",$BR$4:$BR$200,"&gt;=70",$C$4:$C$200,"&lt;20190630",$K$4:$K$200,"&lt;=30"))</f>
        <v>-</v>
      </c>
      <c r="BD99" s="20">
        <v>1</v>
      </c>
      <c r="BE99" s="19" t="str">
        <f>IFERROR(RANK(BD99,BD:BD)&amp;"/"&amp;COUNT(BD:BD),"-")</f>
        <v>1/197</v>
      </c>
      <c r="BF99" s="26">
        <f>IFERROR(RANK(BD99,BD:BD)/COUNT(BD:BD),"-")</f>
        <v>5.076142131979695E-3</v>
      </c>
      <c r="BG99" s="34" t="str">
        <f>IF(OR($C99&gt;20190630,$K99&gt;30,BD99="-",$D99="是",$E99="封闭期",$H99&lt;10,$BN99&lt;-6,$BR99&lt;70),"-",COUNTIFS(BD$4:BD$200,"&lt;&gt;-",$D$4:$D$200,"&lt;&gt;是",$E$4:$E$200,"&lt;&gt;封闭期",$H$4:$H$200,"&gt;10",$BN$4:$BN$200,"&gt;-6",$BR$4:$BR$200,"&gt;=70",$K$4:$K$200,"&lt;=30",$C$4:$C$200,"&lt;20190630",BD$4:BD$200,"&gt;="&amp;BD99)&amp;"/"&amp;COUNTIFS(BD$4:BD$200,"&lt;&gt;-",$D$4:$D$200,"&lt;&gt;是",$E$4:$E$200,"&lt;&gt;封闭期",$H$4:$H$200,"&gt;10",$BN$4:$BN$200,"&gt;-6",$BR$4:$BR$200,"&gt;=70",$C$4:$C$200,"&lt;20190630",$K$4:$K$200,"&lt;=30"))</f>
        <v>-</v>
      </c>
      <c r="BH99" s="33" t="str">
        <f>IF(OR($C99&gt;20190630,$K99&gt;30,BD99="-",$D99="是",$E99="封闭期",$H99&lt;10,$BN99&lt;-6,$BR99&lt;70),"-",COUNTIFS(BD$4:BD$200,"&lt;&gt;-",$D$4:$D$200,"&lt;&gt;是",$E$4:$E$200,"&lt;&gt;封闭期",$H$4:$H$200,"&gt;10",$BN$4:$BN$200,"&gt;-6",$BR$4:$BR$200,"&gt;=70",$K$4:$K$200,"&lt;=30",$C$4:$C$200,"&lt;20190630",BD$4:BD$200,"&gt;="&amp;BD99)/COUNTIFS(BD$4:BD$200,"&lt;&gt;-",$D$4:$D$200,"&lt;&gt;是",$E$4:$E$200,"&lt;&gt;封闭期",$H$4:$H$200,"&gt;10",$BN$4:$BN$200,"&gt;-6",$BR$4:$BR$200,"&gt;=70",$C$4:$C$200,"&lt;20190630",$K$4:$K$200,"&lt;=30"))</f>
        <v>-</v>
      </c>
      <c r="BI99" s="21">
        <f>[1]!f_risk_maxdownside(A99,$AM$2,$L$2)</f>
        <v>-4.6528211070505217</v>
      </c>
      <c r="BJ99" s="19" t="str">
        <f>IFERROR(RANK(BI99,BI:BI)&amp;"/"&amp;COUNT(BI:BI),"-")</f>
        <v>150/197</v>
      </c>
      <c r="BK99" s="26">
        <f>IFERROR(RANK(BI99,BI:BI)/COUNT(BI:BI),"-")</f>
        <v>0.76142131979695427</v>
      </c>
      <c r="BL99" s="34" t="str">
        <f>IF(OR($C99&gt;20190630,$K99&gt;30,BI99="-",$D99="是",$E99="封闭期",$H99&lt;10,$BN99&lt;-6,$BR99&lt;70),"-",COUNTIFS(BI$4:BI$200,"&lt;&gt;-",$D$4:$D$200,"&lt;&gt;是",$E$4:$E$200,"&lt;&gt;封闭期",$H$4:$H$200,"&gt;10",$BN$4:$BN$200,"&gt;-6",$BR$4:$BR$200,"&gt;=70",$K$4:$K$200,"&lt;=30",$C$4:$C$200,"&lt;20190630",BI$4:BI$200,"&gt;="&amp;BI99)&amp;"/"&amp;COUNTIFS(BI$4:BI$200,"&lt;&gt;-",$D$4:$D$200,"&lt;&gt;是",$E$4:$E$200,"&lt;&gt;封闭期",$H$4:$H$200,"&gt;10",$BN$4:$BN$200,"&gt;-6",$BR$4:$BR$200,"&gt;=70",$C$4:$C$200,"&lt;20190630",$K$4:$K$200,"&lt;=30"))</f>
        <v>-</v>
      </c>
      <c r="BM99" s="33" t="str">
        <f>IF(OR($C99&gt;20190630,$K99&gt;30,BI99="-",$D99="是",$E99="封闭期",$H99&lt;10,$BN99&lt;-6,$BR99&lt;70),"-",COUNTIFS(BI$4:BI$200,"&lt;&gt;-",$D$4:$D$200,"&lt;&gt;是",$E$4:$E$200,"&lt;&gt;封闭期",$H$4:$H$200,"&gt;10",$BN$4:$BN$200,"&gt;-6",$BR$4:$BR$200,"&gt;=70",$K$4:$K$200,"&lt;=30",$C$4:$C$200,"&lt;20190630",BI$4:BI$200,"&gt;="&amp;BI99)/COUNTIFS(BI$4:BI$200,"&lt;&gt;-",$D$4:$D$200,"&lt;&gt;是",$E$4:$E$200,"&lt;&gt;封闭期",$H$4:$H$200,"&gt;10",$BN$4:$BN$200,"&gt;-6",$BR$4:$BR$200,"&gt;=70",$C$4:$C$200,"&lt;20190630",$K$4:$K$200,"&lt;=30"))</f>
        <v>-</v>
      </c>
      <c r="BN99" s="21">
        <f>[1]!f_risk_maxdownside(A99,$AM$2,$E$1)</f>
        <v>-4.6528211070505217</v>
      </c>
      <c r="BO99" s="21">
        <f>IF(C99&lt;20190930,[1]!f_return_2y(A99,"0","20210930"),"-")</f>
        <v>13.825187897198674</v>
      </c>
      <c r="BP99" s="19" t="str">
        <f>IFERROR(RANK(BO99,BO:BO)&amp;"/"&amp;COUNT(BO:BO),"-")</f>
        <v>93/197</v>
      </c>
      <c r="BQ99" s="25">
        <f>IFERROR(RANK(BO99,BO:BO)/COUNT(BO:BO),"-")</f>
        <v>0.4720812182741117</v>
      </c>
      <c r="BR99" s="19">
        <f>IF(C99&lt;20190930,[1]!f_absolute_profitmonthper(A99,"20190930","20210930"),"-")</f>
        <v>58.333333333333336</v>
      </c>
      <c r="BS99" s="19" t="str">
        <f>IFERROR(RANK(BR99,BR:BR)&amp;"/"&amp;COUNT(BR:BR),"-")</f>
        <v>165/198</v>
      </c>
      <c r="BT99" s="25">
        <f>IFERROR(RANK(BR99,BR:BR)/COUNT(BR:BR),"-")</f>
        <v>0.83333333333333337</v>
      </c>
      <c r="BV99" s="12">
        <f>X99-3/M99</f>
        <v>0.75835080617514738</v>
      </c>
      <c r="BW99" s="76">
        <f>IFERROR(RANK(BV99,BV:BV)/COUNT(BV:BV),"-")</f>
        <v>0.65482233502538068</v>
      </c>
      <c r="BX99" s="76">
        <f>IFERROR(RANK(L99,L:L)/COUNT(L:L),"-")</f>
        <v>0.50505050505050508</v>
      </c>
      <c r="BY99" s="12">
        <f>AY99-3/AN99</f>
        <v>1.0831148656692295</v>
      </c>
      <c r="BZ99" s="76">
        <f>IFERROR(RANK(BY99,BY:BY)/COUNT(BY:BY),"-")</f>
        <v>0.64974619289340096</v>
      </c>
      <c r="CA99" s="76">
        <f>IFERROR(RANK(AM99,AM:AM)/COUNT(AM:AM),"-")</f>
        <v>0.48989898989898989</v>
      </c>
      <c r="CB99" s="2"/>
      <c r="CC99" s="77">
        <f>AV99+BF99+BZ99+CA99</f>
        <v>1.718325385838076</v>
      </c>
      <c r="CD99" s="77">
        <f>BW99+BX99+AE99+U99</f>
        <v>1.7690098959134493</v>
      </c>
      <c r="CE99" s="77">
        <f>CC99+CD99</f>
        <v>3.4873352817515251</v>
      </c>
    </row>
    <row r="100" spans="1:83" s="17" customFormat="1" x14ac:dyDescent="0.35">
      <c r="A100" s="15" t="s">
        <v>237</v>
      </c>
      <c r="B100" s="15" t="s">
        <v>238</v>
      </c>
      <c r="C100" s="16">
        <v>20160525</v>
      </c>
      <c r="D100" s="16" t="str">
        <f>[1]!f_info_regulopenfundornot(A100)</f>
        <v>否</v>
      </c>
      <c r="E100" s="16" t="str">
        <f>[1]!f_dq_status(A100,$E$1)</f>
        <v>开放申购|开放赎回</v>
      </c>
      <c r="F100" s="17" t="str">
        <f>[1]!f_info_fundmanager(A100)</f>
        <v>李永兴,乔嘉麒</v>
      </c>
      <c r="G100" s="16">
        <v>20171201</v>
      </c>
      <c r="H100" s="18">
        <f>[1]!f_netasset_total(A100,$E$1,100000000)</f>
        <v>37.416196148000004</v>
      </c>
      <c r="I100" s="18">
        <f>[1]!f_prt_convertiblebondtonav(A100,$E$1)</f>
        <v>4.7801867127418518E-2</v>
      </c>
      <c r="J100" s="18">
        <f>[1]!f_prt_stocktonav(A100,$E$1)+0.5*I100</f>
        <v>19.593309350311756</v>
      </c>
      <c r="K100" s="19">
        <v>9.1544046499314931</v>
      </c>
      <c r="L100" s="19">
        <f>[1]!f_return($A100,"1",L$2,$E$1)</f>
        <v>4.0744223954689351</v>
      </c>
      <c r="M100" s="19">
        <f>[1]!f_risk_stdevyearly($A100,L$2,$E$1,1,1)</f>
        <v>4.3127403315774098</v>
      </c>
      <c r="N100" s="19">
        <f>IFERROR(L100/M100,"-")</f>
        <v>0.94474094942291398</v>
      </c>
      <c r="O100" s="19" t="str">
        <f>IFERROR(RANK(N100,N:N)&amp;"/"&amp;COUNT(N:N),"-")</f>
        <v>144/197</v>
      </c>
      <c r="P100" s="26">
        <f>IF(O100="-","-",RANK(N100,N:N)/COUNT(N:N))</f>
        <v>0.73096446700507611</v>
      </c>
      <c r="Q100" s="56">
        <v>0.7258883248730964</v>
      </c>
      <c r="R100" s="33" t="str">
        <f>IF(OR($C100&gt;20190630,$K100&gt;30,N100="-",$D100="是",$E100="封闭期",$H100&lt;10,$BN100&lt;-6,$BR100&lt;70),"-",COUNTIFS(N$4:N$200,"&lt;&gt;-",$D$4:$D$200,"&lt;&gt;是",$E$4:$E$200,"&lt;&gt;封闭期",$H$4:$H$200,"&gt;10",$BN$4:$BN$200,"&gt;-6",$BR$4:$BR$200,"&gt;=70",$K$4:$K$200,"&lt;=30",$C$4:$C$200,"&lt;20190630",N$4:N$200,"&gt;="&amp;N100)/COUNTIFS(N$4:N$200,"&lt;&gt;-",$D$4:$D$200,"&lt;&gt;是",$E$4:$E$200,"&lt;&gt;封闭期",$H$4:$H$200,"&gt;10",$BN$4:$BN$200,"&gt;-6",$BR$4:$BR$200,"&gt;=70",$C$4:$C$200,"&lt;20190630",$K$4:$K$200,"&lt;=30"))</f>
        <v>-</v>
      </c>
      <c r="S100" s="19">
        <f>IFERROR((L100-3)/M100,"-")</f>
        <v>0.24912754139221707</v>
      </c>
      <c r="T100" s="19" t="str">
        <f>IFERROR(RANK(S100,S:S)&amp;"/"&amp;COUNT(S:S),"-")</f>
        <v>145/197</v>
      </c>
      <c r="U100" s="26">
        <f>IFERROR(RANK(S100,S:S)/COUNT(S:S),"-")</f>
        <v>0.73604060913705582</v>
      </c>
      <c r="V100" s="34" t="str">
        <f>IF(OR($C100&gt;20190630,$K100&gt;30,S100="-",$D100="是",$E100="封闭期",$H100&lt;10,$BN100&lt;-6,$BR100&lt;70),"-",COUNTIFS(S$4:S$200,"&lt;&gt;-",$D$4:$D$200,"&lt;&gt;是",$E$4:$E$200,"&lt;&gt;封闭期",$H$4:$H$200,"&gt;10",$BN$4:$BN$200,"&gt;-6",$BR$4:$BR$200,"&gt;=70",$K$4:$K$200,"&lt;=30",$C$4:$C$200,"&lt;20190630",S$4:S$200,"&gt;="&amp;S100)&amp;"/"&amp;COUNTIFS(S$4:S$200,"&lt;&gt;-",$D$4:$D$200,"&lt;&gt;是",$E$4:$E$200,"&lt;&gt;封闭期",$H$4:$H$200,"&gt;10",$BN$4:$BN$200,"&gt;-6",$BR$4:$BR$200,"&gt;=70",$C$4:$C$200,"&lt;20190630",$K$4:$K$200,"&lt;=30"))</f>
        <v>-</v>
      </c>
      <c r="W100" s="33" t="str">
        <f>IF(OR($C100&gt;20190630,$K100&gt;30,S100="-",$D100="是",$E100="封闭期",$H100&lt;10,$BN100&lt;-6,$BR100&lt;70),"-",COUNTIFS(S$4:S$200,"&lt;&gt;-",$D$4:$D$200,"&lt;&gt;是",$E$4:$E$200,"&lt;&gt;封闭期",$H$4:$H$200,"&gt;10",$BN$4:$BN$200,"&gt;-6",$BR$4:$BR$200,"&gt;=70",$K$4:$K$200,"&lt;=30",$C$4:$C$200,"&lt;20190630",S$4:S$200,"&gt;="&amp;S100)/COUNTIFS(S$4:S$200,"&lt;&gt;-",$D$4:$D$200,"&lt;&gt;是",$E$4:$E$200,"&lt;&gt;封闭期",$H$4:$H$200,"&gt;10",$BN$4:$BN$200,"&gt;-6",$BR$4:$BR$200,"&gt;=70",$C$4:$C$200,"&lt;20190630",$K$4:$K$200,"&lt;=30"))</f>
        <v>-</v>
      </c>
      <c r="X100" s="19">
        <f>[1]!f_risk_calmar(A100,$L$2,$E$1)</f>
        <v>1.2489745997105739</v>
      </c>
      <c r="Y100" s="19" t="str">
        <f>IFERROR(RANK(X100,X:X)&amp;"/"&amp;COUNT(X:X),"-")</f>
        <v>143/197</v>
      </c>
      <c r="Z100" s="26">
        <f>IFERROR(RANK(X100,X:X)/COUNT(X:X),"-")</f>
        <v>0.7258883248730964</v>
      </c>
      <c r="AA100" s="34" t="str">
        <f>IF(OR($C100&gt;20190630,$K100&gt;30,X100="-",$D100="是",$E100="封闭期",$H100&lt;10,$BN100&lt;-6,$BR100&lt;70),"-",COUNTIFS(X$4:X$200,"&lt;&gt;-",$D$4:$D$200,"&lt;&gt;是",$E$4:$E$200,"&lt;&gt;封闭期",$H$4:$H$200,"&gt;10",$BN$4:$BN$200,"&gt;-6",$BR$4:$BR$200,"&gt;=70",$K$4:$K$200,"&lt;=30",$C$4:$C$200,"&lt;20190630",X$4:X$200,"&gt;="&amp;X100)&amp;"/"&amp;COUNTIFS(X$4:X$200,"&lt;&gt;-",$D$4:$D$200,"&lt;&gt;是",$E$4:$E$200,"&lt;&gt;封闭期",$H$4:$H$200,"&gt;10",$BN$4:$BN$200,"&gt;-6",$BR$4:$BR$200,"&gt;=70",$C$4:$C$200,"&lt;20190630",$K$4:$K$200,"&lt;=30"))</f>
        <v>-</v>
      </c>
      <c r="AB100" s="33" t="str">
        <f>IF(OR($C100&gt;20190630,$K100&gt;30,X100="-",$D100="是",$E100="封闭期",$H100&lt;10,$BN100&lt;-6,$BR100&lt;70),"-",COUNTIFS(X$4:X$200,"&lt;&gt;-",$D$4:$D$200,"&lt;&gt;是",$E$4:$E$200,"&lt;&gt;封闭期",$H$4:$H$200,"&gt;10",$BN$4:$BN$200,"&gt;-6",$BR$4:$BR$200,"&gt;=70",$K$4:$K$200,"&lt;=30",$C$4:$C$200,"&lt;20190630",X$4:X$200,"&gt;="&amp;X100)/COUNTIFS(X$4:X$200,"&lt;&gt;-",$D$4:$D$200,"&lt;&gt;是",$E$4:$E$200,"&lt;&gt;封闭期",$H$4:$H$200,"&gt;10",$BN$4:$BN$200,"&gt;-6",$BR$4:$BR$200,"&gt;=70",$C$4:$C$200,"&lt;20190630",$K$4:$K$200,"&lt;=30"))</f>
        <v>-</v>
      </c>
      <c r="AC100" s="20">
        <v>0.59663865546218486</v>
      </c>
      <c r="AD100" s="19" t="str">
        <f>IFERROR(RANK(AC100,AC:AC)&amp;"/"&amp;COUNT(AC:AC),"-")</f>
        <v>179/197</v>
      </c>
      <c r="AE100" s="26">
        <f>IFERROR(RANK(AC100,AC:AC)/COUNT(AC:AC),"-")</f>
        <v>0.90862944162436543</v>
      </c>
      <c r="AF100" s="34" t="str">
        <f>IF(OR($C100&gt;20190630,$K100&gt;30,AC100="-",$D100="是",$E100="封闭期",$H100&lt;10,$BN100&lt;-6,$BR100&lt;70),"-",COUNTIFS(AC$4:AC$200,"&lt;&gt;-",$D$4:$D$200,"&lt;&gt;是",$E$4:$E$200,"&lt;&gt;封闭期",$H$4:$H$200,"&gt;10",$BN$4:$BN$200,"&gt;-6",$BR$4:$BR$200,"&gt;=70",$K$4:$K$200,"&lt;=30",$C$4:$C$200,"&lt;20190630",AC$4:AC$200,"&gt;="&amp;AC100)&amp;"/"&amp;COUNTIFS(AC$4:AC$200,"&lt;&gt;-",$D$4:$D$200,"&lt;&gt;是",$E$4:$E$200,"&lt;&gt;封闭期",$H$4:$H$200,"&gt;10",$BN$4:$BN$200,"&gt;-6",$BR$4:$BR$200,"&gt;=70",$C$4:$C$200,"&lt;20190630",$K$4:$K$200,"&lt;=30"))</f>
        <v>-</v>
      </c>
      <c r="AG100" s="33" t="str">
        <f>IF(OR($C100&gt;20190630,$K100&gt;30,AC100="-",$D100="是",$E100="封闭期",$H100&lt;10,$BN100&lt;-6,$BR100&lt;70),"-",COUNTIFS(AC$4:AC$200,"&lt;&gt;-",$D$4:$D$200,"&lt;&gt;是",$E$4:$E$200,"&lt;&gt;封闭期",$H$4:$H$200,"&gt;10",$BN$4:$BN$200,"&gt;-6",$BR$4:$BR$200,"&gt;=70",$K$4:$K$200,"&lt;=30",$C$4:$C$200,"&lt;20190630",AC$4:AC$200,"&gt;="&amp;AC100)/COUNTIFS(AC$4:AC$200,"&lt;&gt;-",$D$4:$D$200,"&lt;&gt;是",$E$4:$E$200,"&lt;&gt;封闭期",$H$4:$H$200,"&gt;10",$BN$4:$BN$200,"&gt;-6",$BR$4:$BR$200,"&gt;=70",$C$4:$C$200,"&lt;20190630",$K$4:$K$200,"&lt;=30"))</f>
        <v>-</v>
      </c>
      <c r="AH100" s="21">
        <f>[1]!f_risk_maxdownside(A100,$L$2,$E$1)</f>
        <v>-3.2622139764996865</v>
      </c>
      <c r="AI100" s="19" t="str">
        <f>IFERROR(RANK(AH100,AH:AH)&amp;"/"&amp;COUNT(AH:AH),"-")</f>
        <v>100/197</v>
      </c>
      <c r="AJ100" s="26">
        <f>IFERROR(RANK(AH100,AH:AH)/COUNT(AH:AH),"-")</f>
        <v>0.50761421319796951</v>
      </c>
      <c r="AK100" s="34" t="str">
        <f>IF(OR($C100&gt;20190630,$K100&gt;30,AH100="-",$D100="是",$E100="封闭期",$H100&lt;10,$BN100&lt;-6,$BR100&lt;70),"-",COUNTIFS(AH$4:AH$200,"&lt;&gt;-",$D$4:$D$200,"&lt;&gt;是",$E$4:$E$200,"&lt;&gt;封闭期",$H$4:$H$200,"&gt;10",$BN$4:$BN$200,"&gt;-6",$BR$4:$BR$200,"&gt;=70",$K$4:$K$200,"&lt;=30",$C$4:$C$200,"&lt;20190630",AH$4:AH$200,"&gt;="&amp;AH100)&amp;"/"&amp;COUNTIFS(AH$4:AH$200,"&lt;&gt;-",$D$4:$D$200,"&lt;&gt;是",$E$4:$E$200,"&lt;&gt;封闭期",$H$4:$H$200,"&gt;10",$BN$4:$BN$200,"&gt;-6",$BR$4:$BR$200,"&gt;=70",$C$4:$C$200,"&lt;20190630",$K$4:$K$200,"&lt;=30"))</f>
        <v>-</v>
      </c>
      <c r="AL100" s="33" t="str">
        <f>IF(OR($C100&gt;20190630,$K100&gt;30,AH100="-",$D100="是",$E100="封闭期",$H100&lt;10,$BN100&lt;-6,$BR100&lt;70),"-",COUNTIFS(AH$4:AH$200,"&lt;&gt;-",$D$4:$D$200,"&lt;&gt;是",$E$4:$E$200,"&lt;&gt;封闭期",$H$4:$H$200,"&gt;10",$BN$4:$BN$200,"&gt;-6",$BR$4:$BR$200,"&gt;=70",$K$4:$K$200,"&lt;=30",$C$4:$C$200,"&lt;20190630",AH$4:AH$200,"&gt;="&amp;AH100)/COUNTIFS(AH$4:AH$200,"&lt;&gt;-",$D$4:$D$200,"&lt;&gt;是",$E$4:$E$200,"&lt;&gt;封闭期",$H$4:$H$200,"&gt;10",$BN$4:$BN$200,"&gt;-6",$BR$4:$BR$200,"&gt;=70",$C$4:$C$200,"&lt;20190630",$K$4:$K$200,"&lt;=30"))</f>
        <v>-</v>
      </c>
      <c r="AM100" s="19">
        <f>[1]!f_return($A100,"1",AM$2,$L$2)</f>
        <v>7.3558606248345981</v>
      </c>
      <c r="AN100" s="19">
        <f>[1]!f_risk_stdevyearly($A100,AM$2,$L$2,1,1)</f>
        <v>5.4277230314184335</v>
      </c>
      <c r="AO100" s="19">
        <f>IFERROR(AM100/AN100,"-")</f>
        <v>1.3552387589151325</v>
      </c>
      <c r="AP100" s="19" t="str">
        <f>IFERROR(RANK(AO100,AO:AO)&amp;"/"&amp;COUNT(AO:AO),"-")</f>
        <v>130/197</v>
      </c>
      <c r="AQ100" s="26">
        <f>IF(AP100="-","-",RANK(AO100,AO:AO)/COUNT(AO:AO))</f>
        <v>0.65989847715736039</v>
      </c>
      <c r="AR100" s="57">
        <v>0.49238578680203043</v>
      </c>
      <c r="AS100" s="33" t="str">
        <f>IF(OR($C100&gt;20190630,$K100&gt;30,AO100="-",$D100="是",$E100="封闭期",$H100&lt;10,$BN100&lt;-6,$BR100&lt;70),"-",COUNTIFS(AO$4:AO$200,"&lt;&gt;-",$D$4:$D$200,"&lt;&gt;是",$E$4:$E$200,"&lt;&gt;封闭期",$H$4:$H$200,"&gt;10",$BN$4:$BN$200,"&gt;-6",$BR$4:$BR$200,"&gt;=70",$K$4:$K$200,"&lt;=30",$C$4:$C$200,"&lt;20190630",AO$4:AO$200,"&gt;="&amp;AO100)/COUNTIFS(AO$4:AO$200,"&lt;&gt;-",$D$4:$D$200,"&lt;&gt;是",$E$4:$E$200,"&lt;&gt;封闭期",$H$4:$H$200,"&gt;10",$BN$4:$BN$200,"&gt;-6",$BR$4:$BR$200,"&gt;=70",$C$4:$C$200,"&lt;20190630",$K$4:$K$200,"&lt;=30"))</f>
        <v>-</v>
      </c>
      <c r="AT100" s="19">
        <f>IFERROR((AM100-3)/AN100,"-")</f>
        <v>0.80252079916765318</v>
      </c>
      <c r="AU100" s="19" t="str">
        <f>IFERROR(RANK(AT100,AT:AT)&amp;"/"&amp;COUNT(AT:AT),"-")</f>
        <v>108/197</v>
      </c>
      <c r="AV100" s="26">
        <f>IFERROR(RANK(AT100,AT:AT)/COUNT(AT:AT),"-")</f>
        <v>0.54822335025380708</v>
      </c>
      <c r="AW100" s="34" t="str">
        <f>IF(OR($C100&gt;20190630,$K100&gt;30,AT100="-",$D100="是",$E100="封闭期",$H100&lt;10,$BN100&lt;-6,$BR100&lt;70),"-",COUNTIFS(AT$4:AT$200,"&lt;&gt;-",$D$4:$D$200,"&lt;&gt;是",$E$4:$E$200,"&lt;&gt;封闭期",$H$4:$H$200,"&gt;10",$BN$4:$BN$200,"&gt;-6",$BR$4:$BR$200,"&gt;=70",$K$4:$K$200,"&lt;=30",$C$4:$C$200,"&lt;20190630",AT$4:AT$200,"&gt;="&amp;AT100)&amp;"/"&amp;COUNTIFS(AT$4:AT$200,"&lt;&gt;-",$D$4:$D$200,"&lt;&gt;是",$E$4:$E$200,"&lt;&gt;封闭期",$H$4:$H$200,"&gt;10",$BN$4:$BN$200,"&gt;-6",$BR$4:$BR$200,"&gt;=70",$C$4:$C$200,"&lt;20190630",$K$4:$K$200,"&lt;=30"))</f>
        <v>-</v>
      </c>
      <c r="AX100" s="33" t="str">
        <f>IF(OR($C100&gt;20190630,$K100&gt;30,AT100="-",$D100="是",$E100="封闭期",$H100&lt;10,$BN100&lt;-6,$BR100&lt;70),"-",COUNTIFS(AT$4:AT$200,"&lt;&gt;-",$D$4:$D$200,"&lt;&gt;是",$E$4:$E$200,"&lt;&gt;封闭期",$H$4:$H$200,"&gt;10",$BN$4:$BN$200,"&gt;-6",$BR$4:$BR$200,"&gt;=70",$K$4:$K$200,"&lt;=30",$C$4:$C$200,"&lt;20190630",AT$4:AT$200,"&gt;="&amp;AT100)/COUNTIFS(AT$4:AT$200,"&lt;&gt;-",$D$4:$D$200,"&lt;&gt;是",$E$4:$E$200,"&lt;&gt;封闭期",$H$4:$H$200,"&gt;10",$BN$4:$BN$200,"&gt;-6",$BR$4:$BR$200,"&gt;=70",$C$4:$C$200,"&lt;20190630",$K$4:$K$200,"&lt;=30"))</f>
        <v>-</v>
      </c>
      <c r="AY100" s="19">
        <f>[1]!f_risk_calmar(A100,$AM$2,$L$2)</f>
        <v>1.9727827099863355</v>
      </c>
      <c r="AZ100" s="19" t="str">
        <f>IFERROR(RANK(AY100,AY:AY)&amp;"/"&amp;COUNT(AY:AY),"-")</f>
        <v>113/197</v>
      </c>
      <c r="BA100" s="26">
        <f>IFERROR(RANK(AY100,AY:AY)/COUNT(AY:AY),"-")</f>
        <v>0.57360406091370564</v>
      </c>
      <c r="BB100" s="34" t="str">
        <f>IF(OR($C100&gt;20190630,$K100&gt;30,AY100="-",$D100="是",$E100="封闭期",$H100&lt;10,$BN100&lt;-6,$BR100&lt;70),"-",COUNTIFS(AY$4:AY$200,"&lt;&gt;-",$D$4:$D$200,"&lt;&gt;是",$E$4:$E$200,"&lt;&gt;封闭期",$H$4:$H$200,"&gt;10",$BN$4:$BN$200,"&gt;-6",$BR$4:$BR$200,"&gt;=70",$K$4:$K$200,"&lt;=30",$C$4:$C$200,"&lt;20190630",AY$4:AY$200,"&gt;="&amp;AY100)&amp;"/"&amp;COUNTIFS(AY$4:AY$200,"&lt;&gt;-",$D$4:$D$200,"&lt;&gt;是",$E$4:$E$200,"&lt;&gt;封闭期",$H$4:$H$200,"&gt;10",$BN$4:$BN$200,"&gt;-6",$BR$4:$BR$200,"&gt;=70",$C$4:$C$200,"&lt;20190630",$K$4:$K$200,"&lt;=30"))</f>
        <v>-</v>
      </c>
      <c r="BC100" s="33" t="str">
        <f>IF(OR($C100&gt;20190630,$K100&gt;30,AY100="-",$D100="是",$E100="封闭期",$H100&lt;10,$BN100&lt;-6,$BR100&lt;70),"-",COUNTIFS(AY$4:AY$200,"&lt;&gt;-",$D$4:$D$200,"&lt;&gt;是",$E$4:$E$200,"&lt;&gt;封闭期",$H$4:$H$200,"&gt;10",$BN$4:$BN$200,"&gt;-6",$BR$4:$BR$200,"&gt;=70",$K$4:$K$200,"&lt;=30",$C$4:$C$200,"&lt;20190630",AY$4:AY$200,"&gt;="&amp;AY100)/COUNTIFS(AY$4:AY$200,"&lt;&gt;-",$D$4:$D$200,"&lt;&gt;是",$E$4:$E$200,"&lt;&gt;封闭期",$H$4:$H$200,"&gt;10",$BN$4:$BN$200,"&gt;-6",$BR$4:$BR$200,"&gt;=70",$C$4:$C$200,"&lt;20190630",$K$4:$K$200,"&lt;=30"))</f>
        <v>-</v>
      </c>
      <c r="BD100" s="20">
        <v>1</v>
      </c>
      <c r="BE100" s="19" t="str">
        <f>IFERROR(RANK(BD100,BD:BD)&amp;"/"&amp;COUNT(BD:BD),"-")</f>
        <v>1/197</v>
      </c>
      <c r="BF100" s="26">
        <f>IFERROR(RANK(BD100,BD:BD)/COUNT(BD:BD),"-")</f>
        <v>5.076142131979695E-3</v>
      </c>
      <c r="BG100" s="34" t="str">
        <f>IF(OR($C100&gt;20190630,$K100&gt;30,BD100="-",$D100="是",$E100="封闭期",$H100&lt;10,$BN100&lt;-6,$BR100&lt;70),"-",COUNTIFS(BD$4:BD$200,"&lt;&gt;-",$D$4:$D$200,"&lt;&gt;是",$E$4:$E$200,"&lt;&gt;封闭期",$H$4:$H$200,"&gt;10",$BN$4:$BN$200,"&gt;-6",$BR$4:$BR$200,"&gt;=70",$K$4:$K$200,"&lt;=30",$C$4:$C$200,"&lt;20190630",BD$4:BD$200,"&gt;="&amp;BD100)&amp;"/"&amp;COUNTIFS(BD$4:BD$200,"&lt;&gt;-",$D$4:$D$200,"&lt;&gt;是",$E$4:$E$200,"&lt;&gt;封闭期",$H$4:$H$200,"&gt;10",$BN$4:$BN$200,"&gt;-6",$BR$4:$BR$200,"&gt;=70",$C$4:$C$200,"&lt;20190630",$K$4:$K$200,"&lt;=30"))</f>
        <v>-</v>
      </c>
      <c r="BH100" s="33" t="str">
        <f>IF(OR($C100&gt;20190630,$K100&gt;30,BD100="-",$D100="是",$E100="封闭期",$H100&lt;10,$BN100&lt;-6,$BR100&lt;70),"-",COUNTIFS(BD$4:BD$200,"&lt;&gt;-",$D$4:$D$200,"&lt;&gt;是",$E$4:$E$200,"&lt;&gt;封闭期",$H$4:$H$200,"&gt;10",$BN$4:$BN$200,"&gt;-6",$BR$4:$BR$200,"&gt;=70",$K$4:$K$200,"&lt;=30",$C$4:$C$200,"&lt;20190630",BD$4:BD$200,"&gt;="&amp;BD100)/COUNTIFS(BD$4:BD$200,"&lt;&gt;-",$D$4:$D$200,"&lt;&gt;是",$E$4:$E$200,"&lt;&gt;封闭期",$H$4:$H$200,"&gt;10",$BN$4:$BN$200,"&gt;-6",$BR$4:$BR$200,"&gt;=70",$C$4:$C$200,"&lt;20190630",$K$4:$K$200,"&lt;=30"))</f>
        <v>-</v>
      </c>
      <c r="BI100" s="21">
        <f>[1]!f_risk_maxdownside(A100,$AM$2,$L$2)</f>
        <v>-3.7286724927174308</v>
      </c>
      <c r="BJ100" s="19" t="str">
        <f>IFERROR(RANK(BI100,BI:BI)&amp;"/"&amp;COUNT(BI:BI),"-")</f>
        <v>122/197</v>
      </c>
      <c r="BK100" s="26">
        <f>IFERROR(RANK(BI100,BI:BI)/COUNT(BI:BI),"-")</f>
        <v>0.61928934010152281</v>
      </c>
      <c r="BL100" s="34" t="str">
        <f>IF(OR($C100&gt;20190630,$K100&gt;30,BI100="-",$D100="是",$E100="封闭期",$H100&lt;10,$BN100&lt;-6,$BR100&lt;70),"-",COUNTIFS(BI$4:BI$200,"&lt;&gt;-",$D$4:$D$200,"&lt;&gt;是",$E$4:$E$200,"&lt;&gt;封闭期",$H$4:$H$200,"&gt;10",$BN$4:$BN$200,"&gt;-6",$BR$4:$BR$200,"&gt;=70",$K$4:$K$200,"&lt;=30",$C$4:$C$200,"&lt;20190630",BI$4:BI$200,"&gt;="&amp;BI100)&amp;"/"&amp;COUNTIFS(BI$4:BI$200,"&lt;&gt;-",$D$4:$D$200,"&lt;&gt;是",$E$4:$E$200,"&lt;&gt;封闭期",$H$4:$H$200,"&gt;10",$BN$4:$BN$200,"&gt;-6",$BR$4:$BR$200,"&gt;=70",$C$4:$C$200,"&lt;20190630",$K$4:$K$200,"&lt;=30"))</f>
        <v>-</v>
      </c>
      <c r="BM100" s="33" t="str">
        <f>IF(OR($C100&gt;20190630,$K100&gt;30,BI100="-",$D100="是",$E100="封闭期",$H100&lt;10,$BN100&lt;-6,$BR100&lt;70),"-",COUNTIFS(BI$4:BI$200,"&lt;&gt;-",$D$4:$D$200,"&lt;&gt;是",$E$4:$E$200,"&lt;&gt;封闭期",$H$4:$H$200,"&gt;10",$BN$4:$BN$200,"&gt;-6",$BR$4:$BR$200,"&gt;=70",$K$4:$K$200,"&lt;=30",$C$4:$C$200,"&lt;20190630",BI$4:BI$200,"&gt;="&amp;BI100)/COUNTIFS(BI$4:BI$200,"&lt;&gt;-",$D$4:$D$200,"&lt;&gt;是",$E$4:$E$200,"&lt;&gt;封闭期",$H$4:$H$200,"&gt;10",$BN$4:$BN$200,"&gt;-6",$BR$4:$BR$200,"&gt;=70",$C$4:$C$200,"&lt;20190630",$K$4:$K$200,"&lt;=30"))</f>
        <v>-</v>
      </c>
      <c r="BN100" s="21">
        <f>[1]!f_risk_maxdownside(A100,$AM$2,$E$1)</f>
        <v>-3.7286724927174308</v>
      </c>
      <c r="BO100" s="21">
        <f>IF(C100&lt;20190930,[1]!f_return_2y(A100,"0","20210930"),"-")</f>
        <v>12.386172752188157</v>
      </c>
      <c r="BP100" s="19" t="str">
        <f>IFERROR(RANK(BO100,BO:BO)&amp;"/"&amp;COUNT(BO:BO),"-")</f>
        <v>111/197</v>
      </c>
      <c r="BQ100" s="25">
        <f>IFERROR(RANK(BO100,BO:BO)/COUNT(BO:BO),"-")</f>
        <v>0.56345177664974622</v>
      </c>
      <c r="BR100" s="19">
        <f>IF(C100&lt;20190930,[1]!f_absolute_profitmonthper(A100,"20190930","20210930"),"-")</f>
        <v>66.666666666666657</v>
      </c>
      <c r="BS100" s="19" t="str">
        <f>IFERROR(RANK(BR100,BR:BR)&amp;"/"&amp;COUNT(BR:BR),"-")</f>
        <v>115/198</v>
      </c>
      <c r="BT100" s="25">
        <f>IFERROR(RANK(BR100,BR:BR)/COUNT(BR:BR),"-")</f>
        <v>0.58080808080808077</v>
      </c>
      <c r="BV100" s="12">
        <f>X100-3/M100</f>
        <v>0.55336119167987696</v>
      </c>
      <c r="BW100" s="76">
        <f>IFERROR(RANK(BV100,BV:BV)/COUNT(BV:BV),"-")</f>
        <v>0.7208121827411168</v>
      </c>
      <c r="BX100" s="76">
        <f>IFERROR(RANK(L100,L:L)/COUNT(L:L),"-")</f>
        <v>0.72727272727272729</v>
      </c>
      <c r="BY100" s="12">
        <f>AY100-3/AN100</f>
        <v>1.4200647502388564</v>
      </c>
      <c r="BZ100" s="76">
        <f>IFERROR(RANK(BY100,BY:BY)/COUNT(BY:BY),"-")</f>
        <v>0.56852791878172593</v>
      </c>
      <c r="CA100" s="76">
        <f>IFERROR(RANK(AM100,AM:AM)/COUNT(AM:AM),"-")</f>
        <v>0.49494949494949497</v>
      </c>
      <c r="CB100" s="2"/>
      <c r="CC100" s="77">
        <f>AV100+BF100+BZ100+CA100</f>
        <v>1.6167769061170076</v>
      </c>
      <c r="CD100" s="77">
        <f>BW100+BX100+AE100+U100</f>
        <v>3.0927549607752653</v>
      </c>
      <c r="CE100" s="77">
        <f>CC100+CD100</f>
        <v>4.7095318668922728</v>
      </c>
    </row>
    <row r="101" spans="1:83" s="17" customFormat="1" x14ac:dyDescent="0.35">
      <c r="A101" s="3" t="s">
        <v>207</v>
      </c>
      <c r="B101" s="3" t="s">
        <v>208</v>
      </c>
      <c r="C101" s="4">
        <v>20170905</v>
      </c>
      <c r="D101" s="4" t="str">
        <f>[1]!f_info_regulopenfundornot(A101)</f>
        <v>否</v>
      </c>
      <c r="E101" s="4" t="str">
        <f>[1]!f_dq_status(A101,$E$1)</f>
        <v>开放申购|开放赎回</v>
      </c>
      <c r="F101" s="17" t="str">
        <f>[1]!f_info_fundmanager(A101)</f>
        <v>陈斯扬</v>
      </c>
      <c r="G101" s="4">
        <v>20180319</v>
      </c>
      <c r="H101" s="11">
        <f>[1]!f_netasset_total(A101,$E$1,100000000)</f>
        <v>13.431332446400001</v>
      </c>
      <c r="I101" s="11">
        <f>[1]!f_prt_convertiblebondtonav(A101,$E$1)</f>
        <v>25.523900985717773</v>
      </c>
      <c r="J101" s="11">
        <f>[1]!f_prt_stocktonav(A101,$E$1)+0.5*I101</f>
        <v>32.308991432189941</v>
      </c>
      <c r="K101" s="12">
        <v>0</v>
      </c>
      <c r="L101" s="19">
        <f>[1]!f_return($A101,"1",L$2,$E$1)</f>
        <v>8.6474659144431421</v>
      </c>
      <c r="M101" s="19">
        <f>[1]!f_risk_stdevyearly($A101,L$2,$E$1,1,1)</f>
        <v>4.6944609840718856</v>
      </c>
      <c r="N101" s="12">
        <f>IFERROR(L101/M101,"-")</f>
        <v>1.8420572550892724</v>
      </c>
      <c r="O101" s="12" t="str">
        <f>IFERROR(RANK(N101,N:N)&amp;"/"&amp;COUNT(N:N),"-")</f>
        <v>59/197</v>
      </c>
      <c r="P101" s="26">
        <f>IF(O101="-","-",RANK(N101,N:N)/COUNT(N:N))</f>
        <v>0.29949238578680204</v>
      </c>
      <c r="Q101" s="58">
        <v>0.233502538071066</v>
      </c>
      <c r="R101" s="33">
        <f>IF(OR($C101&gt;20190630,$K101&gt;30,N101="-",$D101="是",$E101="封闭期",$H101&lt;10,$BN101&lt;-6,$BR101&lt;70),"-",COUNTIFS(N$4:N$200,"&lt;&gt;-",$D$4:$D$200,"&lt;&gt;是",$E$4:$E$200,"&lt;&gt;封闭期",$H$4:$H$200,"&gt;10",$BN$4:$BN$200,"&gt;-6",$BR$4:$BR$200,"&gt;=70",$K$4:$K$200,"&lt;=30",$C$4:$C$200,"&lt;20190630",N$4:N$200,"&gt;="&amp;N101)/COUNTIFS(N$4:N$200,"&lt;&gt;-",$D$4:$D$200,"&lt;&gt;是",$E$4:$E$200,"&lt;&gt;封闭期",$H$4:$H$200,"&gt;10",$BN$4:$BN$200,"&gt;-6",$BR$4:$BR$200,"&gt;=70",$C$4:$C$200,"&lt;20190630",$K$4:$K$200,"&lt;=30"))</f>
        <v>0.51282051282051277</v>
      </c>
      <c r="S101" s="12">
        <f>IFERROR((L101-3)/M101,"-")</f>
        <v>1.2030062521777822</v>
      </c>
      <c r="T101" s="12" t="str">
        <f>IFERROR(RANK(S101,S:S)&amp;"/"&amp;COUNT(S:S),"-")</f>
        <v>56/197</v>
      </c>
      <c r="U101" s="26">
        <f>IFERROR(RANK(S101,S:S)/COUNT(S:S),"-")</f>
        <v>0.28426395939086296</v>
      </c>
      <c r="V101" s="13" t="str">
        <f>IF(OR($C101&gt;20190630,$K101&gt;30,S101="-",$D101="是",$E101="封闭期",$H101&lt;10,$BN101&lt;-6,$BR101&lt;70),"-",COUNTIFS(S$4:S$200,"&lt;&gt;-",$D$4:$D$200,"&lt;&gt;是",$E$4:$E$200,"&lt;&gt;封闭期",$H$4:$H$200,"&gt;10",$BN$4:$BN$200,"&gt;-6",$BR$4:$BR$200,"&gt;=70",$K$4:$K$200,"&lt;=30",$C$4:$C$200,"&lt;20190630",S$4:S$200,"&gt;="&amp;S101)&amp;"/"&amp;COUNTIFS(S$4:S$200,"&lt;&gt;-",$D$4:$D$200,"&lt;&gt;是",$E$4:$E$200,"&lt;&gt;封闭期",$H$4:$H$200,"&gt;10",$BN$4:$BN$200,"&gt;-6",$BR$4:$BR$200,"&gt;=70",$C$4:$C$200,"&lt;20190630",$K$4:$K$200,"&lt;=30"))</f>
        <v>18/39</v>
      </c>
      <c r="W101" s="33">
        <f>IF(OR($C101&gt;20190630,$K101&gt;30,S101="-",$D101="是",$E101="封闭期",$H101&lt;10,$BN101&lt;-6,$BR101&lt;70),"-",COUNTIFS(S$4:S$200,"&lt;&gt;-",$D$4:$D$200,"&lt;&gt;是",$E$4:$E$200,"&lt;&gt;封闭期",$H$4:$H$200,"&gt;10",$BN$4:$BN$200,"&gt;-6",$BR$4:$BR$200,"&gt;=70",$K$4:$K$200,"&lt;=30",$C$4:$C$200,"&lt;20190630",S$4:S$200,"&gt;="&amp;S101)/COUNTIFS(S$4:S$200,"&lt;&gt;-",$D$4:$D$200,"&lt;&gt;是",$E$4:$E$200,"&lt;&gt;封闭期",$H$4:$H$200,"&gt;10",$BN$4:$BN$200,"&gt;-6",$BR$4:$BR$200,"&gt;=70",$C$4:$C$200,"&lt;20190630",$K$4:$K$200,"&lt;=30"))</f>
        <v>0.46153846153846156</v>
      </c>
      <c r="X101" s="19">
        <f>[1]!f_risk_calmar(A101,$L$2,$E$1)</f>
        <v>3.9168713425496846</v>
      </c>
      <c r="Y101" s="12" t="str">
        <f>IFERROR(RANK(X101,X:X)&amp;"/"&amp;COUNT(X:X),"-")</f>
        <v>47/197</v>
      </c>
      <c r="Z101" s="26">
        <f>IFERROR(RANK(X101,X:X)/COUNT(X:X),"-")</f>
        <v>0.23857868020304568</v>
      </c>
      <c r="AA101" s="13" t="str">
        <f>IF(OR($C101&gt;20190630,$K101&gt;30,X101="-",$D101="是",$E101="封闭期",$H101&lt;10,$BN101&lt;-6,$BR101&lt;70),"-",COUNTIFS(X$4:X$200,"&lt;&gt;-",$D$4:$D$200,"&lt;&gt;是",$E$4:$E$200,"&lt;&gt;封闭期",$H$4:$H$200,"&gt;10",$BN$4:$BN$200,"&gt;-6",$BR$4:$BR$200,"&gt;=70",$K$4:$K$200,"&lt;=30",$C$4:$C$200,"&lt;20190630",X$4:X$200,"&gt;="&amp;X101)&amp;"/"&amp;COUNTIFS(X$4:X$200,"&lt;&gt;-",$D$4:$D$200,"&lt;&gt;是",$E$4:$E$200,"&lt;&gt;封闭期",$H$4:$H$200,"&gt;10",$BN$4:$BN$200,"&gt;-6",$BR$4:$BR$200,"&gt;=70",$C$4:$C$200,"&lt;20190630",$K$4:$K$200,"&lt;=30"))</f>
        <v>16/39</v>
      </c>
      <c r="AB101" s="33">
        <f>IF(OR($C101&gt;20190630,$K101&gt;30,X101="-",$D101="是",$E101="封闭期",$H101&lt;10,$BN101&lt;-6,$BR101&lt;70),"-",COUNTIFS(X$4:X$200,"&lt;&gt;-",$D$4:$D$200,"&lt;&gt;是",$E$4:$E$200,"&lt;&gt;封闭期",$H$4:$H$200,"&gt;10",$BN$4:$BN$200,"&gt;-6",$BR$4:$BR$200,"&gt;=70",$K$4:$K$200,"&lt;=30",$C$4:$C$200,"&lt;20190630",X$4:X$200,"&gt;="&amp;X101)/COUNTIFS(X$4:X$200,"&lt;&gt;-",$D$4:$D$200,"&lt;&gt;是",$E$4:$E$200,"&lt;&gt;封闭期",$H$4:$H$200,"&gt;10",$BN$4:$BN$200,"&gt;-6",$BR$4:$BR$200,"&gt;=70",$C$4:$C$200,"&lt;20190630",$K$4:$K$200,"&lt;=30"))</f>
        <v>0.41025641025641024</v>
      </c>
      <c r="AC101" s="20">
        <v>0.98319327731092432</v>
      </c>
      <c r="AD101" s="12" t="str">
        <f>IFERROR(RANK(AC101,AC:AC)&amp;"/"&amp;COUNT(AC:AC),"-")</f>
        <v>95/197</v>
      </c>
      <c r="AE101" s="26">
        <f>IFERROR(RANK(AC101,AC:AC)/COUNT(AC:AC),"-")</f>
        <v>0.48223350253807107</v>
      </c>
      <c r="AF101" s="13" t="str">
        <f>IF(OR($C101&gt;20190630,$K101&gt;30,AC101="-",$D101="是",$E101="封闭期",$H101&lt;10,$BN101&lt;-6,$BR101&lt;70),"-",COUNTIFS(AC$4:AC$200,"&lt;&gt;-",$D$4:$D$200,"&lt;&gt;是",$E$4:$E$200,"&lt;&gt;封闭期",$H$4:$H$200,"&gt;10",$BN$4:$BN$200,"&gt;-6",$BR$4:$BR$200,"&gt;=70",$K$4:$K$200,"&lt;=30",$C$4:$C$200,"&lt;20190630",AC$4:AC$200,"&gt;="&amp;AC101)&amp;"/"&amp;COUNTIFS(AC$4:AC$200,"&lt;&gt;-",$D$4:$D$200,"&lt;&gt;是",$E$4:$E$200,"&lt;&gt;封闭期",$H$4:$H$200,"&gt;10",$BN$4:$BN$200,"&gt;-6",$BR$4:$BR$200,"&gt;=70",$C$4:$C$200,"&lt;20190630",$K$4:$K$200,"&lt;=30"))</f>
        <v>30/39</v>
      </c>
      <c r="AG101" s="33">
        <f>IF(OR($C101&gt;20190630,$K101&gt;30,AC101="-",$D101="是",$E101="封闭期",$H101&lt;10,$BN101&lt;-6,$BR101&lt;70),"-",COUNTIFS(AC$4:AC$200,"&lt;&gt;-",$D$4:$D$200,"&lt;&gt;是",$E$4:$E$200,"&lt;&gt;封闭期",$H$4:$H$200,"&gt;10",$BN$4:$BN$200,"&gt;-6",$BR$4:$BR$200,"&gt;=70",$K$4:$K$200,"&lt;=30",$C$4:$C$200,"&lt;20190630",AC$4:AC$200,"&gt;="&amp;AC101)/COUNTIFS(AC$4:AC$200,"&lt;&gt;-",$D$4:$D$200,"&lt;&gt;是",$E$4:$E$200,"&lt;&gt;封闭期",$H$4:$H$200,"&gt;10",$BN$4:$BN$200,"&gt;-6",$BR$4:$BR$200,"&gt;=70",$C$4:$C$200,"&lt;20190630",$K$4:$K$200,"&lt;=30"))</f>
        <v>0.76923076923076927</v>
      </c>
      <c r="AH101" s="21">
        <f>[1]!f_risk_maxdownside(A101,$L$2,$E$1)</f>
        <v>-2.2077482659448497</v>
      </c>
      <c r="AI101" s="19" t="str">
        <f>IFERROR(RANK(AH101,AH:AH)&amp;"/"&amp;COUNT(AH:AH),"-")</f>
        <v>62/197</v>
      </c>
      <c r="AJ101" s="26">
        <f>IFERROR(RANK(AH101,AH:AH)/COUNT(AH:AH),"-")</f>
        <v>0.31472081218274112</v>
      </c>
      <c r="AK101" s="34" t="str">
        <f>IF(OR($C101&gt;20190630,$K101&gt;30,AH101="-",$D101="是",$E101="封闭期",$H101&lt;10,$BN101&lt;-6,$BR101&lt;70),"-",COUNTIFS(AH$4:AH$200,"&lt;&gt;-",$D$4:$D$200,"&lt;&gt;是",$E$4:$E$200,"&lt;&gt;封闭期",$H$4:$H$200,"&gt;10",$BN$4:$BN$200,"&gt;-6",$BR$4:$BR$200,"&gt;=70",$K$4:$K$200,"&lt;=30",$C$4:$C$200,"&lt;20190630",AH$4:AH$200,"&gt;="&amp;AH101)&amp;"/"&amp;COUNTIFS(AH$4:AH$200,"&lt;&gt;-",$D$4:$D$200,"&lt;&gt;是",$E$4:$E$200,"&lt;&gt;封闭期",$H$4:$H$200,"&gt;10",$BN$4:$BN$200,"&gt;-6",$BR$4:$BR$200,"&gt;=70",$C$4:$C$200,"&lt;20190630",$K$4:$K$200,"&lt;=30"))</f>
        <v>15/39</v>
      </c>
      <c r="AL101" s="33">
        <f>IF(OR($C101&gt;20190630,$K101&gt;30,AH101="-",$D101="是",$E101="封闭期",$H101&lt;10,$BN101&lt;-6,$BR101&lt;70),"-",COUNTIFS(AH$4:AH$200,"&lt;&gt;-",$D$4:$D$200,"&lt;&gt;是",$E$4:$E$200,"&lt;&gt;封闭期",$H$4:$H$200,"&gt;10",$BN$4:$BN$200,"&gt;-6",$BR$4:$BR$200,"&gt;=70",$K$4:$K$200,"&lt;=30",$C$4:$C$200,"&lt;20190630",AH$4:AH$200,"&gt;="&amp;AH101)/COUNTIFS(AH$4:AH$200,"&lt;&gt;-",$D$4:$D$200,"&lt;&gt;是",$E$4:$E$200,"&lt;&gt;封闭期",$H$4:$H$200,"&gt;10",$BN$4:$BN$200,"&gt;-6",$BR$4:$BR$200,"&gt;=70",$C$4:$C$200,"&lt;20190630",$K$4:$K$200,"&lt;=30"))</f>
        <v>0.38461538461538464</v>
      </c>
      <c r="AM101" s="19">
        <f>[1]!f_return($A101,"1",AM$2,$L$2)</f>
        <v>7.3408152306827734</v>
      </c>
      <c r="AN101" s="19">
        <f>[1]!f_risk_stdevyearly($A101,AM$2,$L$2,1,1)</f>
        <v>5.2036551151634391</v>
      </c>
      <c r="AO101" s="12">
        <f>IFERROR(AM101/AN101,"-")</f>
        <v>1.4107036435392604</v>
      </c>
      <c r="AP101" s="12" t="str">
        <f>IFERROR(RANK(AO101,AO:AO)&amp;"/"&amp;COUNT(AO:AO),"-")</f>
        <v>118/197</v>
      </c>
      <c r="AQ101" s="26">
        <f>IF(AP101="-","-",RANK(AO101,AO:AO)/COUNT(AO:AO))</f>
        <v>0.59898477157360408</v>
      </c>
      <c r="AR101" s="60">
        <v>0.49746192893401014</v>
      </c>
      <c r="AS101" s="35">
        <f>IF(OR($C101&gt;20190630,$K101&gt;30,AO101="-",$D101="是",$E101="封闭期",$H101&lt;10,$BN101&lt;-6,$BR101&lt;70),"-",COUNTIFS(AO$4:AO$200,"&lt;&gt;-",$D$4:$D$200,"&lt;&gt;是",$E$4:$E$200,"&lt;&gt;封闭期",$H$4:$H$200,"&gt;10",$BN$4:$BN$200,"&gt;-6",$BR$4:$BR$200,"&gt;=70",$K$4:$K$200,"&lt;=30",$C$4:$C$200,"&lt;20190630",AO$4:AO$200,"&gt;="&amp;AO101)/COUNTIFS(AO$4:AO$200,"&lt;&gt;-",$D$4:$D$200,"&lt;&gt;是",$E$4:$E$200,"&lt;&gt;封闭期",$H$4:$H$200,"&gt;10",$BN$4:$BN$200,"&gt;-6",$BR$4:$BR$200,"&gt;=70",$C$4:$C$200,"&lt;20190630",$K$4:$K$200,"&lt;=30"))</f>
        <v>0.76923076923076927</v>
      </c>
      <c r="AT101" s="12">
        <f>IFERROR((AM101-3)/AN101,"-")</f>
        <v>0.83418580490348937</v>
      </c>
      <c r="AU101" s="12" t="str">
        <f>IFERROR(RANK(AT101,AT:AT)&amp;"/"&amp;COUNT(AT:AT),"-")</f>
        <v>106/197</v>
      </c>
      <c r="AV101" s="26">
        <f>IFERROR(RANK(AT101,AT:AT)/COUNT(AT:AT),"-")</f>
        <v>0.53807106598984766</v>
      </c>
      <c r="AW101" s="13" t="str">
        <f>IF(OR($C101&gt;20190630,$K101&gt;30,AT101="-",$D101="是",$E101="封闭期",$H101&lt;10,$BN101&lt;-6,$BR101&lt;70),"-",COUNTIFS(AT$4:AT$200,"&lt;&gt;-",$D$4:$D$200,"&lt;&gt;是",$E$4:$E$200,"&lt;&gt;封闭期",$H$4:$H$200,"&gt;10",$BN$4:$BN$200,"&gt;-6",$BR$4:$BR$200,"&gt;=70",$K$4:$K$200,"&lt;=30",$C$4:$C$200,"&lt;20190630",AT$4:AT$200,"&gt;="&amp;AT101)&amp;"/"&amp;COUNTIFS(AT$4:AT$200,"&lt;&gt;-",$D$4:$D$200,"&lt;&gt;是",$E$4:$E$200,"&lt;&gt;封闭期",$H$4:$H$200,"&gt;10",$BN$4:$BN$200,"&gt;-6",$BR$4:$BR$200,"&gt;=70",$C$4:$C$200,"&lt;20190630",$K$4:$K$200,"&lt;=30"))</f>
        <v>25/39</v>
      </c>
      <c r="AX101" s="33">
        <f>IF(OR($C101&gt;20190630,$K101&gt;30,AT101="-",$D101="是",$E101="封闭期",$H101&lt;10,$BN101&lt;-6,$BR101&lt;70),"-",COUNTIFS(AT$4:AT$200,"&lt;&gt;-",$D$4:$D$200,"&lt;&gt;是",$E$4:$E$200,"&lt;&gt;封闭期",$H$4:$H$200,"&gt;10",$BN$4:$BN$200,"&gt;-6",$BR$4:$BR$200,"&gt;=70",$K$4:$K$200,"&lt;=30",$C$4:$C$200,"&lt;20190630",AT$4:AT$200,"&gt;="&amp;AT101)/COUNTIFS(AT$4:AT$200,"&lt;&gt;-",$D$4:$D$200,"&lt;&gt;是",$E$4:$E$200,"&lt;&gt;封闭期",$H$4:$H$200,"&gt;10",$BN$4:$BN$200,"&gt;-6",$BR$4:$BR$200,"&gt;=70",$C$4:$C$200,"&lt;20190630",$K$4:$K$200,"&lt;=30"))</f>
        <v>0.64102564102564108</v>
      </c>
      <c r="AY101" s="19">
        <f>[1]!f_risk_calmar(A101,$AM$2,$L$2)</f>
        <v>2.6396830540868566</v>
      </c>
      <c r="AZ101" s="12" t="str">
        <f>IFERROR(RANK(AY101,AY:AY)&amp;"/"&amp;COUNT(AY:AY),"-")</f>
        <v>72/197</v>
      </c>
      <c r="BA101" s="26">
        <f>IFERROR(RANK(AY101,AY:AY)/COUNT(AY:AY),"-")</f>
        <v>0.36548223350253806</v>
      </c>
      <c r="BB101" s="13" t="str">
        <f>IF(OR($C101&gt;20190630,$K101&gt;30,AY101="-",$D101="是",$E101="封闭期",$H101&lt;10,$BN101&lt;-6,$BR101&lt;70),"-",COUNTIFS(AY$4:AY$200,"&lt;&gt;-",$D$4:$D$200,"&lt;&gt;是",$E$4:$E$200,"&lt;&gt;封闭期",$H$4:$H$200,"&gt;10",$BN$4:$BN$200,"&gt;-6",$BR$4:$BR$200,"&gt;=70",$K$4:$K$200,"&lt;=30",$C$4:$C$200,"&lt;20190630",AY$4:AY$200,"&gt;="&amp;AY101)&amp;"/"&amp;COUNTIFS(AY$4:AY$200,"&lt;&gt;-",$D$4:$D$200,"&lt;&gt;是",$E$4:$E$200,"&lt;&gt;封闭期",$H$4:$H$200,"&gt;10",$BN$4:$BN$200,"&gt;-6",$BR$4:$BR$200,"&gt;=70",$C$4:$C$200,"&lt;20190630",$K$4:$K$200,"&lt;=30"))</f>
        <v>24/39</v>
      </c>
      <c r="BC101" s="33">
        <f>IF(OR($C101&gt;20190630,$K101&gt;30,AY101="-",$D101="是",$E101="封闭期",$H101&lt;10,$BN101&lt;-6,$BR101&lt;70),"-",COUNTIFS(AY$4:AY$200,"&lt;&gt;-",$D$4:$D$200,"&lt;&gt;是",$E$4:$E$200,"&lt;&gt;封闭期",$H$4:$H$200,"&gt;10",$BN$4:$BN$200,"&gt;-6",$BR$4:$BR$200,"&gt;=70",$K$4:$K$200,"&lt;=30",$C$4:$C$200,"&lt;20190630",AY$4:AY$200,"&gt;="&amp;AY101)/COUNTIFS(AY$4:AY$200,"&lt;&gt;-",$D$4:$D$200,"&lt;&gt;是",$E$4:$E$200,"&lt;&gt;封闭期",$H$4:$H$200,"&gt;10",$BN$4:$BN$200,"&gt;-6",$BR$4:$BR$200,"&gt;=70",$C$4:$C$200,"&lt;20190630",$K$4:$K$200,"&lt;=30"))</f>
        <v>0.61538461538461542</v>
      </c>
      <c r="BD101" s="20">
        <v>1</v>
      </c>
      <c r="BE101" s="12" t="str">
        <f>IFERROR(RANK(BD101,BD:BD)&amp;"/"&amp;COUNT(BD:BD),"-")</f>
        <v>1/197</v>
      </c>
      <c r="BF101" s="26">
        <f>IFERROR(RANK(BD101,BD:BD)/COUNT(BD:BD),"-")</f>
        <v>5.076142131979695E-3</v>
      </c>
      <c r="BG101" s="13" t="str">
        <f>IF(OR($C101&gt;20190630,$K101&gt;30,BD101="-",$D101="是",$E101="封闭期",$H101&lt;10,$BN101&lt;-6,$BR101&lt;70),"-",COUNTIFS(BD$4:BD$200,"&lt;&gt;-",$D$4:$D$200,"&lt;&gt;是",$E$4:$E$200,"&lt;&gt;封闭期",$H$4:$H$200,"&gt;10",$BN$4:$BN$200,"&gt;-6",$BR$4:$BR$200,"&gt;=70",$K$4:$K$200,"&lt;=30",$C$4:$C$200,"&lt;20190630",BD$4:BD$200,"&gt;="&amp;BD101)&amp;"/"&amp;COUNTIFS(BD$4:BD$200,"&lt;&gt;-",$D$4:$D$200,"&lt;&gt;是",$E$4:$E$200,"&lt;&gt;封闭期",$H$4:$H$200,"&gt;10",$BN$4:$BN$200,"&gt;-6",$BR$4:$BR$200,"&gt;=70",$C$4:$C$200,"&lt;20190630",$K$4:$K$200,"&lt;=30"))</f>
        <v>35/39</v>
      </c>
      <c r="BH101" s="33">
        <f>IF(OR($C101&gt;20190630,$K101&gt;30,BD101="-",$D101="是",$E101="封闭期",$H101&lt;10,$BN101&lt;-6,$BR101&lt;70),"-",COUNTIFS(BD$4:BD$200,"&lt;&gt;-",$D$4:$D$200,"&lt;&gt;是",$E$4:$E$200,"&lt;&gt;封闭期",$H$4:$H$200,"&gt;10",$BN$4:$BN$200,"&gt;-6",$BR$4:$BR$200,"&gt;=70",$K$4:$K$200,"&lt;=30",$C$4:$C$200,"&lt;20190630",BD$4:BD$200,"&gt;="&amp;BD101)/COUNTIFS(BD$4:BD$200,"&lt;&gt;-",$D$4:$D$200,"&lt;&gt;是",$E$4:$E$200,"&lt;&gt;封闭期",$H$4:$H$200,"&gt;10",$BN$4:$BN$200,"&gt;-6",$BR$4:$BR$200,"&gt;=70",$C$4:$C$200,"&lt;20190630",$K$4:$K$200,"&lt;=30"))</f>
        <v>0.89743589743589747</v>
      </c>
      <c r="BI101" s="21">
        <f>[1]!f_risk_maxdownside(A101,$AM$2,$L$2)</f>
        <v>-2.7809456969909503</v>
      </c>
      <c r="BJ101" s="19" t="str">
        <f>IFERROR(RANK(BI101,BI:BI)&amp;"/"&amp;COUNT(BI:BI),"-")</f>
        <v>78/197</v>
      </c>
      <c r="BK101" s="26">
        <f>IFERROR(RANK(BI101,BI:BI)/COUNT(BI:BI),"-")</f>
        <v>0.39593908629441626</v>
      </c>
      <c r="BL101" s="34" t="str">
        <f>IF(OR($C101&gt;20190630,$K101&gt;30,BI101="-",$D101="是",$E101="封闭期",$H101&lt;10,$BN101&lt;-6,$BR101&lt;70),"-",COUNTIFS(BI$4:BI$200,"&lt;&gt;-",$D$4:$D$200,"&lt;&gt;是",$E$4:$E$200,"&lt;&gt;封闭期",$H$4:$H$200,"&gt;10",$BN$4:$BN$200,"&gt;-6",$BR$4:$BR$200,"&gt;=70",$K$4:$K$200,"&lt;=30",$C$4:$C$200,"&lt;20190630",BI$4:BI$200,"&gt;="&amp;BI101)&amp;"/"&amp;COUNTIFS(BI$4:BI$200,"&lt;&gt;-",$D$4:$D$200,"&lt;&gt;是",$E$4:$E$200,"&lt;&gt;封闭期",$H$4:$H$200,"&gt;10",$BN$4:$BN$200,"&gt;-6",$BR$4:$BR$200,"&gt;=70",$C$4:$C$200,"&lt;20190630",$K$4:$K$200,"&lt;=30"))</f>
        <v>15/39</v>
      </c>
      <c r="BM101" s="33">
        <f>IF(OR($C101&gt;20190630,$K101&gt;30,BI101="-",$D101="是",$E101="封闭期",$H101&lt;10,$BN101&lt;-6,$BR101&lt;70),"-",COUNTIFS(BI$4:BI$200,"&lt;&gt;-",$D$4:$D$200,"&lt;&gt;是",$E$4:$E$200,"&lt;&gt;封闭期",$H$4:$H$200,"&gt;10",$BN$4:$BN$200,"&gt;-6",$BR$4:$BR$200,"&gt;=70",$K$4:$K$200,"&lt;=30",$C$4:$C$200,"&lt;20190630",BI$4:BI$200,"&gt;="&amp;BI101)/COUNTIFS(BI$4:BI$200,"&lt;&gt;-",$D$4:$D$200,"&lt;&gt;是",$E$4:$E$200,"&lt;&gt;封闭期",$H$4:$H$200,"&gt;10",$BN$4:$BN$200,"&gt;-6",$BR$4:$BR$200,"&gt;=70",$C$4:$C$200,"&lt;20190630",$K$4:$K$200,"&lt;=30"))</f>
        <v>0.38461538461538464</v>
      </c>
      <c r="BN101" s="21">
        <f>[1]!f_risk_maxdownside(A101,$AM$2,$E$1)</f>
        <v>-3.1904203650979754</v>
      </c>
      <c r="BO101" s="14">
        <f>IF(C101&lt;20190930,[1]!f_return_2y(A101,"0","20210930"),"-")</f>
        <v>16.99141194939514</v>
      </c>
      <c r="BP101" s="12" t="str">
        <f>IFERROR(RANK(BO101,BO:BO)&amp;"/"&amp;COUNT(BO:BO),"-")</f>
        <v>66/197</v>
      </c>
      <c r="BQ101" s="25">
        <f>IFERROR(RANK(BO101,BO:BO)/COUNT(BO:BO),"-")</f>
        <v>0.3350253807106599</v>
      </c>
      <c r="BR101" s="12">
        <f>IF(C101&lt;20190930,[1]!f_absolute_profitmonthper(A101,"20190930","20210930"),"-")</f>
        <v>75</v>
      </c>
      <c r="BS101" s="12" t="str">
        <f>IFERROR(RANK(BR101,BR:BR)&amp;"/"&amp;COUNT(BR:BR),"-")</f>
        <v>26/198</v>
      </c>
      <c r="BT101" s="25">
        <f>IFERROR(RANK(BR101,BR:BR)/COUNT(BR:BR),"-")</f>
        <v>0.13131313131313133</v>
      </c>
      <c r="BV101" s="12">
        <f>X101-3/M101</f>
        <v>3.2778203396381942</v>
      </c>
      <c r="BW101" s="76">
        <f>IFERROR(RANK(BV101,BV:BV)/COUNT(BV:BV),"-")</f>
        <v>0.18274111675126903</v>
      </c>
      <c r="BX101" s="76">
        <f>IFERROR(RANK(L101,L:L)/COUNT(L:L),"-")</f>
        <v>0.23737373737373738</v>
      </c>
      <c r="BY101" s="12">
        <f>AY101-3/AN101</f>
        <v>2.0631652154510856</v>
      </c>
      <c r="BZ101" s="76">
        <f>IFERROR(RANK(BY101,BY:BY)/COUNT(BY:BY),"-")</f>
        <v>0.32487309644670048</v>
      </c>
      <c r="CA101" s="76">
        <f>IFERROR(RANK(AM101,AM:AM)/COUNT(AM:AM),"-")</f>
        <v>0.5</v>
      </c>
      <c r="CB101" s="2"/>
      <c r="CC101" s="77">
        <f>AV101+BF101+BZ101+CA101</f>
        <v>1.3680203045685277</v>
      </c>
      <c r="CD101" s="77">
        <f>BW101+BX101+AE101+U101</f>
        <v>1.1866123160539404</v>
      </c>
      <c r="CE101" s="77">
        <f>CC101+CD101</f>
        <v>2.5546326206224679</v>
      </c>
    </row>
    <row r="102" spans="1:83" s="17" customFormat="1" hidden="1" x14ac:dyDescent="0.35">
      <c r="A102" s="15" t="s">
        <v>281</v>
      </c>
      <c r="B102" s="15" t="s">
        <v>282</v>
      </c>
      <c r="C102" s="16">
        <v>20161018</v>
      </c>
      <c r="D102" s="16" t="str">
        <f>[1]!f_info_regulopenfundornot(A102)</f>
        <v>是</v>
      </c>
      <c r="E102" s="16" t="str">
        <f>[1]!f_dq_status(A102,$E$1)</f>
        <v>暂停申购|暂停赎回</v>
      </c>
      <c r="F102" s="17" t="str">
        <f>[1]!f_info_fundmanager(A102)</f>
        <v>张文</v>
      </c>
      <c r="G102" s="16">
        <v>20210820</v>
      </c>
      <c r="H102" s="18">
        <f>[1]!f_netasset_total(A102,$E$1,100000000)</f>
        <v>0.18617896329999997</v>
      </c>
      <c r="I102" s="18">
        <f>[1]!f_prt_convertiblebondtonav(A102,$E$1)</f>
        <v>19.151346206665039</v>
      </c>
      <c r="J102" s="18">
        <f>[1]!f_prt_stocktonav(A102,$E$1)+0.5*I102</f>
        <v>16.95937967300415</v>
      </c>
      <c r="K102" s="19">
        <v>5.3931979327978139</v>
      </c>
      <c r="L102" s="19">
        <f>[1]!f_return($A102,"1",L$2,$E$1)</f>
        <v>1.8653335245447877</v>
      </c>
      <c r="M102" s="19">
        <f>[1]!f_risk_stdevyearly($A102,L$2,$E$1,1,1)</f>
        <v>6.4982511074022451</v>
      </c>
      <c r="N102" s="19">
        <f>IFERROR(L102/M102,"-")</f>
        <v>0.2870516226158083</v>
      </c>
      <c r="O102" s="19" t="str">
        <f>IFERROR(RANK(N102,N:N)&amp;"/"&amp;COUNT(N:N),"-")</f>
        <v>181/197</v>
      </c>
      <c r="P102" s="26">
        <f>IF(O102="-","-",RANK(N102,N:N)/COUNT(N:N))</f>
        <v>0.91878172588832485</v>
      </c>
      <c r="Q102" s="56">
        <v>0.8883248730964467</v>
      </c>
      <c r="R102" s="33" t="str">
        <f>IF(OR($C102&gt;20190630,$K102&gt;30,N102="-",$D102="是",$E102="封闭期",$H102&lt;10,$BN102&lt;-6,$BR102&lt;70),"-",COUNTIFS(N$4:N$200,"&lt;&gt;-",$D$4:$D$200,"&lt;&gt;是",$E$4:$E$200,"&lt;&gt;封闭期",$H$4:$H$200,"&gt;10",$BN$4:$BN$200,"&gt;-6",$BR$4:$BR$200,"&gt;=70",$K$4:$K$200,"&lt;=30",$C$4:$C$200,"&lt;20190630",N$4:N$200,"&gt;="&amp;N102)/COUNTIFS(N$4:N$200,"&lt;&gt;-",$D$4:$D$200,"&lt;&gt;是",$E$4:$E$200,"&lt;&gt;封闭期",$H$4:$H$200,"&gt;10",$BN$4:$BN$200,"&gt;-6",$BR$4:$BR$200,"&gt;=70",$C$4:$C$200,"&lt;20190630",$K$4:$K$200,"&lt;=30"))</f>
        <v>-</v>
      </c>
      <c r="S102" s="19">
        <f>IFERROR((L102-3)/M102,"-")</f>
        <v>-0.1746110540669471</v>
      </c>
      <c r="T102" s="19" t="str">
        <f>IFERROR(RANK(S102,S:S)&amp;"/"&amp;COUNT(S:S),"-")</f>
        <v>172/197</v>
      </c>
      <c r="U102" s="26">
        <f>IFERROR(RANK(S102,S:S)/COUNT(S:S),"-")</f>
        <v>0.87309644670050757</v>
      </c>
      <c r="V102" s="34" t="str">
        <f>IF(OR($C102&gt;20190630,$K102&gt;30,S102="-",$D102="是",$E102="封闭期",$H102&lt;10,$BN102&lt;-6,$BR102&lt;70),"-",COUNTIFS(S$4:S$200,"&lt;&gt;-",$D$4:$D$200,"&lt;&gt;是",$E$4:$E$200,"&lt;&gt;封闭期",$H$4:$H$200,"&gt;10",$BN$4:$BN$200,"&gt;-6",$BR$4:$BR$200,"&gt;=70",$K$4:$K$200,"&lt;=30",$C$4:$C$200,"&lt;20190630",S$4:S$200,"&gt;="&amp;S102)&amp;"/"&amp;COUNTIFS(S$4:S$200,"&lt;&gt;-",$D$4:$D$200,"&lt;&gt;是",$E$4:$E$200,"&lt;&gt;封闭期",$H$4:$H$200,"&gt;10",$BN$4:$BN$200,"&gt;-6",$BR$4:$BR$200,"&gt;=70",$C$4:$C$200,"&lt;20190630",$K$4:$K$200,"&lt;=30"))</f>
        <v>-</v>
      </c>
      <c r="W102" s="33" t="str">
        <f>IF(OR($C102&gt;20190630,$K102&gt;30,S102="-",$D102="是",$E102="封闭期",$H102&lt;10,$BN102&lt;-6,$BR102&lt;70),"-",COUNTIFS(S$4:S$200,"&lt;&gt;-",$D$4:$D$200,"&lt;&gt;是",$E$4:$E$200,"&lt;&gt;封闭期",$H$4:$H$200,"&gt;10",$BN$4:$BN$200,"&gt;-6",$BR$4:$BR$200,"&gt;=70",$K$4:$K$200,"&lt;=30",$C$4:$C$200,"&lt;20190630",S$4:S$200,"&gt;="&amp;S102)/COUNTIFS(S$4:S$200,"&lt;&gt;-",$D$4:$D$200,"&lt;&gt;是",$E$4:$E$200,"&lt;&gt;封闭期",$H$4:$H$200,"&gt;10",$BN$4:$BN$200,"&gt;-6",$BR$4:$BR$200,"&gt;=70",$C$4:$C$200,"&lt;20190630",$K$4:$K$200,"&lt;=30"))</f>
        <v>-</v>
      </c>
      <c r="X102" s="19">
        <f>[1]!f_risk_calmar(A102,$L$2,$E$1)</f>
        <v>0.54937364062887317</v>
      </c>
      <c r="Y102" s="19" t="str">
        <f>IFERROR(RANK(X102,X:X)&amp;"/"&amp;COUNT(X:X),"-")</f>
        <v>175/197</v>
      </c>
      <c r="Z102" s="26">
        <f>IFERROR(RANK(X102,X:X)/COUNT(X:X),"-")</f>
        <v>0.8883248730964467</v>
      </c>
      <c r="AA102" s="34" t="str">
        <f>IF(OR($C102&gt;20190630,$K102&gt;30,X102="-",$D102="是",$E102="封闭期",$H102&lt;10,$BN102&lt;-6,$BR102&lt;70),"-",COUNTIFS(X$4:X$200,"&lt;&gt;-",$D$4:$D$200,"&lt;&gt;是",$E$4:$E$200,"&lt;&gt;封闭期",$H$4:$H$200,"&gt;10",$BN$4:$BN$200,"&gt;-6",$BR$4:$BR$200,"&gt;=70",$K$4:$K$200,"&lt;=30",$C$4:$C$200,"&lt;20190630",X$4:X$200,"&gt;="&amp;X102)&amp;"/"&amp;COUNTIFS(X$4:X$200,"&lt;&gt;-",$D$4:$D$200,"&lt;&gt;是",$E$4:$E$200,"&lt;&gt;封闭期",$H$4:$H$200,"&gt;10",$BN$4:$BN$200,"&gt;-6",$BR$4:$BR$200,"&gt;=70",$C$4:$C$200,"&lt;20190630",$K$4:$K$200,"&lt;=30"))</f>
        <v>-</v>
      </c>
      <c r="AB102" s="33" t="str">
        <f>IF(OR($C102&gt;20190630,$K102&gt;30,X102="-",$D102="是",$E102="封闭期",$H102&lt;10,$BN102&lt;-6,$BR102&lt;70),"-",COUNTIFS(X$4:X$200,"&lt;&gt;-",$D$4:$D$200,"&lt;&gt;是",$E$4:$E$200,"&lt;&gt;封闭期",$H$4:$H$200,"&gt;10",$BN$4:$BN$200,"&gt;-6",$BR$4:$BR$200,"&gt;=70",$K$4:$K$200,"&lt;=30",$C$4:$C$200,"&lt;20190630",X$4:X$200,"&gt;="&amp;X102)/COUNTIFS(X$4:X$200,"&lt;&gt;-",$D$4:$D$200,"&lt;&gt;是",$E$4:$E$200,"&lt;&gt;封闭期",$H$4:$H$200,"&gt;10",$BN$4:$BN$200,"&gt;-6",$BR$4:$BR$200,"&gt;=70",$C$4:$C$200,"&lt;20190630",$K$4:$K$200,"&lt;=30"))</f>
        <v>-</v>
      </c>
      <c r="AC102" s="20">
        <v>0.61344537815126055</v>
      </c>
      <c r="AD102" s="19" t="str">
        <f>IFERROR(RANK(AC102,AC:AC)&amp;"/"&amp;COUNT(AC:AC),"-")</f>
        <v>177/197</v>
      </c>
      <c r="AE102" s="26">
        <f>IFERROR(RANK(AC102,AC:AC)/COUNT(AC:AC),"-")</f>
        <v>0.89847715736040612</v>
      </c>
      <c r="AF102" s="34" t="str">
        <f>IF(OR($C102&gt;20190630,$K102&gt;30,AC102="-",$D102="是",$E102="封闭期",$H102&lt;10,$BN102&lt;-6,$BR102&lt;70),"-",COUNTIFS(AC$4:AC$200,"&lt;&gt;-",$D$4:$D$200,"&lt;&gt;是",$E$4:$E$200,"&lt;&gt;封闭期",$H$4:$H$200,"&gt;10",$BN$4:$BN$200,"&gt;-6",$BR$4:$BR$200,"&gt;=70",$K$4:$K$200,"&lt;=30",$C$4:$C$200,"&lt;20190630",AC$4:AC$200,"&gt;="&amp;AC102)&amp;"/"&amp;COUNTIFS(AC$4:AC$200,"&lt;&gt;-",$D$4:$D$200,"&lt;&gt;是",$E$4:$E$200,"&lt;&gt;封闭期",$H$4:$H$200,"&gt;10",$BN$4:$BN$200,"&gt;-6",$BR$4:$BR$200,"&gt;=70",$C$4:$C$200,"&lt;20190630",$K$4:$K$200,"&lt;=30"))</f>
        <v>-</v>
      </c>
      <c r="AG102" s="33" t="str">
        <f>IF(OR($C102&gt;20190630,$K102&gt;30,AC102="-",$D102="是",$E102="封闭期",$H102&lt;10,$BN102&lt;-6,$BR102&lt;70),"-",COUNTIFS(AC$4:AC$200,"&lt;&gt;-",$D$4:$D$200,"&lt;&gt;是",$E$4:$E$200,"&lt;&gt;封闭期",$H$4:$H$200,"&gt;10",$BN$4:$BN$200,"&gt;-6",$BR$4:$BR$200,"&gt;=70",$K$4:$K$200,"&lt;=30",$C$4:$C$200,"&lt;20190630",AC$4:AC$200,"&gt;="&amp;AC102)/COUNTIFS(AC$4:AC$200,"&lt;&gt;-",$D$4:$D$200,"&lt;&gt;是",$E$4:$E$200,"&lt;&gt;封闭期",$H$4:$H$200,"&gt;10",$BN$4:$BN$200,"&gt;-6",$BR$4:$BR$200,"&gt;=70",$C$4:$C$200,"&lt;20190630",$K$4:$K$200,"&lt;=30"))</f>
        <v>-</v>
      </c>
      <c r="AH102" s="21">
        <f>[1]!f_risk_maxdownside(A102,$L$2,$E$1)</f>
        <v>-3.395382280099065</v>
      </c>
      <c r="AI102" s="19" t="str">
        <f>IFERROR(RANK(AH102,AH:AH)&amp;"/"&amp;COUNT(AH:AH),"-")</f>
        <v>111/197</v>
      </c>
      <c r="AJ102" s="26">
        <f>IFERROR(RANK(AH102,AH:AH)/COUNT(AH:AH),"-")</f>
        <v>0.56345177664974622</v>
      </c>
      <c r="AK102" s="34" t="str">
        <f>IF(OR($C102&gt;20190630,$K102&gt;30,AH102="-",$D102="是",$E102="封闭期",$H102&lt;10,$BN102&lt;-6,$BR102&lt;70),"-",COUNTIFS(AH$4:AH$200,"&lt;&gt;-",$D$4:$D$200,"&lt;&gt;是",$E$4:$E$200,"&lt;&gt;封闭期",$H$4:$H$200,"&gt;10",$BN$4:$BN$200,"&gt;-6",$BR$4:$BR$200,"&gt;=70",$K$4:$K$200,"&lt;=30",$C$4:$C$200,"&lt;20190630",AH$4:AH$200,"&gt;="&amp;AH102)&amp;"/"&amp;COUNTIFS(AH$4:AH$200,"&lt;&gt;-",$D$4:$D$200,"&lt;&gt;是",$E$4:$E$200,"&lt;&gt;封闭期",$H$4:$H$200,"&gt;10",$BN$4:$BN$200,"&gt;-6",$BR$4:$BR$200,"&gt;=70",$C$4:$C$200,"&lt;20190630",$K$4:$K$200,"&lt;=30"))</f>
        <v>-</v>
      </c>
      <c r="AL102" s="33" t="str">
        <f>IF(OR($C102&gt;20190630,$K102&gt;30,AH102="-",$D102="是",$E102="封闭期",$H102&lt;10,$BN102&lt;-6,$BR102&lt;70),"-",COUNTIFS(AH$4:AH$200,"&lt;&gt;-",$D$4:$D$200,"&lt;&gt;是",$E$4:$E$200,"&lt;&gt;封闭期",$H$4:$H$200,"&gt;10",$BN$4:$BN$200,"&gt;-6",$BR$4:$BR$200,"&gt;=70",$K$4:$K$200,"&lt;=30",$C$4:$C$200,"&lt;20190630",AH$4:AH$200,"&gt;="&amp;AH102)/COUNTIFS(AH$4:AH$200,"&lt;&gt;-",$D$4:$D$200,"&lt;&gt;是",$E$4:$E$200,"&lt;&gt;封闭期",$H$4:$H$200,"&gt;10",$BN$4:$BN$200,"&gt;-6",$BR$4:$BR$200,"&gt;=70",$C$4:$C$200,"&lt;20190630",$K$4:$K$200,"&lt;=30"))</f>
        <v>-</v>
      </c>
      <c r="AM102" s="19">
        <f>[1]!f_return($A102,"1",AM$2,$L$2)</f>
        <v>7.3265477923287081</v>
      </c>
      <c r="AN102" s="19">
        <f>[1]!f_risk_stdevyearly($A102,AM$2,$L$2,1,1)</f>
        <v>7.3335430339665848</v>
      </c>
      <c r="AO102" s="19">
        <f>IFERROR(AM102/AN102,"-")</f>
        <v>0.99904613068942572</v>
      </c>
      <c r="AP102" s="19" t="str">
        <f>IFERROR(RANK(AO102,AO:AO)&amp;"/"&amp;COUNT(AO:AO),"-")</f>
        <v>159/197</v>
      </c>
      <c r="AQ102" s="26">
        <f>IF(AP102="-","-",RANK(AO102,AO:AO)/COUNT(AO:AO))</f>
        <v>0.80710659898477155</v>
      </c>
      <c r="AR102" s="57">
        <v>0.5025380710659898</v>
      </c>
      <c r="AS102" s="33" t="str">
        <f>IF(OR($C102&gt;20190630,$K102&gt;30,AO102="-",$D102="是",$E102="封闭期",$H102&lt;10,$BN102&lt;-6,$BR102&lt;70),"-",COUNTIFS(AO$4:AO$200,"&lt;&gt;-",$D$4:$D$200,"&lt;&gt;是",$E$4:$E$200,"&lt;&gt;封闭期",$H$4:$H$200,"&gt;10",$BN$4:$BN$200,"&gt;-6",$BR$4:$BR$200,"&gt;=70",$K$4:$K$200,"&lt;=30",$C$4:$C$200,"&lt;20190630",AO$4:AO$200,"&gt;="&amp;AO102)/COUNTIFS(AO$4:AO$200,"&lt;&gt;-",$D$4:$D$200,"&lt;&gt;是",$E$4:$E$200,"&lt;&gt;封闭期",$H$4:$H$200,"&gt;10",$BN$4:$BN$200,"&gt;-6",$BR$4:$BR$200,"&gt;=70",$C$4:$C$200,"&lt;20190630",$K$4:$K$200,"&lt;=30"))</f>
        <v>-</v>
      </c>
      <c r="AT102" s="19">
        <f>IFERROR((AM102-3)/AN102,"-")</f>
        <v>0.58996691943983237</v>
      </c>
      <c r="AU102" s="19" t="str">
        <f>IFERROR(RANK(AT102,AT:AT)&amp;"/"&amp;COUNT(AT:AT),"-")</f>
        <v>130/197</v>
      </c>
      <c r="AV102" s="26">
        <f>IFERROR(RANK(AT102,AT:AT)/COUNT(AT:AT),"-")</f>
        <v>0.65989847715736039</v>
      </c>
      <c r="AW102" s="34" t="str">
        <f>IF(OR($C102&gt;20190630,$K102&gt;30,AT102="-",$D102="是",$E102="封闭期",$H102&lt;10,$BN102&lt;-6,$BR102&lt;70),"-",COUNTIFS(AT$4:AT$200,"&lt;&gt;-",$D$4:$D$200,"&lt;&gt;是",$E$4:$E$200,"&lt;&gt;封闭期",$H$4:$H$200,"&gt;10",$BN$4:$BN$200,"&gt;-6",$BR$4:$BR$200,"&gt;=70",$K$4:$K$200,"&lt;=30",$C$4:$C$200,"&lt;20190630",AT$4:AT$200,"&gt;="&amp;AT102)&amp;"/"&amp;COUNTIFS(AT$4:AT$200,"&lt;&gt;-",$D$4:$D$200,"&lt;&gt;是",$E$4:$E$200,"&lt;&gt;封闭期",$H$4:$H$200,"&gt;10",$BN$4:$BN$200,"&gt;-6",$BR$4:$BR$200,"&gt;=70",$C$4:$C$200,"&lt;20190630",$K$4:$K$200,"&lt;=30"))</f>
        <v>-</v>
      </c>
      <c r="AX102" s="33" t="str">
        <f>IF(OR($C102&gt;20190630,$K102&gt;30,AT102="-",$D102="是",$E102="封闭期",$H102&lt;10,$BN102&lt;-6,$BR102&lt;70),"-",COUNTIFS(AT$4:AT$200,"&lt;&gt;-",$D$4:$D$200,"&lt;&gt;是",$E$4:$E$200,"&lt;&gt;封闭期",$H$4:$H$200,"&gt;10",$BN$4:$BN$200,"&gt;-6",$BR$4:$BR$200,"&gt;=70",$K$4:$K$200,"&lt;=30",$C$4:$C$200,"&lt;20190630",AT$4:AT$200,"&gt;="&amp;AT102)/COUNTIFS(AT$4:AT$200,"&lt;&gt;-",$D$4:$D$200,"&lt;&gt;是",$E$4:$E$200,"&lt;&gt;封闭期",$H$4:$H$200,"&gt;10",$BN$4:$BN$200,"&gt;-6",$BR$4:$BR$200,"&gt;=70",$C$4:$C$200,"&lt;20190630",$K$4:$K$200,"&lt;=30"))</f>
        <v>-</v>
      </c>
      <c r="AY102" s="19">
        <f>[1]!f_risk_calmar(A102,$AM$2,$L$2)</f>
        <v>1.9893207284369829</v>
      </c>
      <c r="AZ102" s="19" t="str">
        <f>IFERROR(RANK(AY102,AY:AY)&amp;"/"&amp;COUNT(AY:AY),"-")</f>
        <v>111/197</v>
      </c>
      <c r="BA102" s="26">
        <f>IFERROR(RANK(AY102,AY:AY)/COUNT(AY:AY),"-")</f>
        <v>0.56345177664974622</v>
      </c>
      <c r="BB102" s="34" t="str">
        <f>IF(OR($C102&gt;20190630,$K102&gt;30,AY102="-",$D102="是",$E102="封闭期",$H102&lt;10,$BN102&lt;-6,$BR102&lt;70),"-",COUNTIFS(AY$4:AY$200,"&lt;&gt;-",$D$4:$D$200,"&lt;&gt;是",$E$4:$E$200,"&lt;&gt;封闭期",$H$4:$H$200,"&gt;10",$BN$4:$BN$200,"&gt;-6",$BR$4:$BR$200,"&gt;=70",$K$4:$K$200,"&lt;=30",$C$4:$C$200,"&lt;20190630",AY$4:AY$200,"&gt;="&amp;AY102)&amp;"/"&amp;COUNTIFS(AY$4:AY$200,"&lt;&gt;-",$D$4:$D$200,"&lt;&gt;是",$E$4:$E$200,"&lt;&gt;封闭期",$H$4:$H$200,"&gt;10",$BN$4:$BN$200,"&gt;-6",$BR$4:$BR$200,"&gt;=70",$C$4:$C$200,"&lt;20190630",$K$4:$K$200,"&lt;=30"))</f>
        <v>-</v>
      </c>
      <c r="BC102" s="33" t="str">
        <f>IF(OR($C102&gt;20190630,$K102&gt;30,AY102="-",$D102="是",$E102="封闭期",$H102&lt;10,$BN102&lt;-6,$BR102&lt;70),"-",COUNTIFS(AY$4:AY$200,"&lt;&gt;-",$D$4:$D$200,"&lt;&gt;是",$E$4:$E$200,"&lt;&gt;封闭期",$H$4:$H$200,"&gt;10",$BN$4:$BN$200,"&gt;-6",$BR$4:$BR$200,"&gt;=70",$K$4:$K$200,"&lt;=30",$C$4:$C$200,"&lt;20190630",AY$4:AY$200,"&gt;="&amp;AY102)/COUNTIFS(AY$4:AY$200,"&lt;&gt;-",$D$4:$D$200,"&lt;&gt;是",$E$4:$E$200,"&lt;&gt;封闭期",$H$4:$H$200,"&gt;10",$BN$4:$BN$200,"&gt;-6",$BR$4:$BR$200,"&gt;=70",$C$4:$C$200,"&lt;20190630",$K$4:$K$200,"&lt;=30"))</f>
        <v>-</v>
      </c>
      <c r="BD102" s="20">
        <v>1</v>
      </c>
      <c r="BE102" s="19" t="str">
        <f>IFERROR(RANK(BD102,BD:BD)&amp;"/"&amp;COUNT(BD:BD),"-")</f>
        <v>1/197</v>
      </c>
      <c r="BF102" s="26">
        <f>IFERROR(RANK(BD102,BD:BD)/COUNT(BD:BD),"-")</f>
        <v>5.076142131979695E-3</v>
      </c>
      <c r="BG102" s="34" t="str">
        <f>IF(OR($C102&gt;20190630,$K102&gt;30,BD102="-",$D102="是",$E102="封闭期",$H102&lt;10,$BN102&lt;-6,$BR102&lt;70),"-",COUNTIFS(BD$4:BD$200,"&lt;&gt;-",$D$4:$D$200,"&lt;&gt;是",$E$4:$E$200,"&lt;&gt;封闭期",$H$4:$H$200,"&gt;10",$BN$4:$BN$200,"&gt;-6",$BR$4:$BR$200,"&gt;=70",$K$4:$K$200,"&lt;=30",$C$4:$C$200,"&lt;20190630",BD$4:BD$200,"&gt;="&amp;BD102)&amp;"/"&amp;COUNTIFS(BD$4:BD$200,"&lt;&gt;-",$D$4:$D$200,"&lt;&gt;是",$E$4:$E$200,"&lt;&gt;封闭期",$H$4:$H$200,"&gt;10",$BN$4:$BN$200,"&gt;-6",$BR$4:$BR$200,"&gt;=70",$C$4:$C$200,"&lt;20190630",$K$4:$K$200,"&lt;=30"))</f>
        <v>-</v>
      </c>
      <c r="BH102" s="33" t="str">
        <f>IF(OR($C102&gt;20190630,$K102&gt;30,BD102="-",$D102="是",$E102="封闭期",$H102&lt;10,$BN102&lt;-6,$BR102&lt;70),"-",COUNTIFS(BD$4:BD$200,"&lt;&gt;-",$D$4:$D$200,"&lt;&gt;是",$E$4:$E$200,"&lt;&gt;封闭期",$H$4:$H$200,"&gt;10",$BN$4:$BN$200,"&gt;-6",$BR$4:$BR$200,"&gt;=70",$K$4:$K$200,"&lt;=30",$C$4:$C$200,"&lt;20190630",BD$4:BD$200,"&gt;="&amp;BD102)/COUNTIFS(BD$4:BD$200,"&lt;&gt;-",$D$4:$D$200,"&lt;&gt;是",$E$4:$E$200,"&lt;&gt;封闭期",$H$4:$H$200,"&gt;10",$BN$4:$BN$200,"&gt;-6",$BR$4:$BR$200,"&gt;=70",$C$4:$C$200,"&lt;20190630",$K$4:$K$200,"&lt;=30"))</f>
        <v>-</v>
      </c>
      <c r="BI102" s="21">
        <f>[1]!f_risk_maxdownside(A102,$AM$2,$L$2)</f>
        <v>-3.6829394514403946</v>
      </c>
      <c r="BJ102" s="19" t="str">
        <f>IFERROR(RANK(BI102,BI:BI)&amp;"/"&amp;COUNT(BI:BI),"-")</f>
        <v>118/197</v>
      </c>
      <c r="BK102" s="26">
        <f>IFERROR(RANK(BI102,BI:BI)/COUNT(BI:BI),"-")</f>
        <v>0.59898477157360408</v>
      </c>
      <c r="BL102" s="34" t="str">
        <f>IF(OR($C102&gt;20190630,$K102&gt;30,BI102="-",$D102="是",$E102="封闭期",$H102&lt;10,$BN102&lt;-6,$BR102&lt;70),"-",COUNTIFS(BI$4:BI$200,"&lt;&gt;-",$D$4:$D$200,"&lt;&gt;是",$E$4:$E$200,"&lt;&gt;封闭期",$H$4:$H$200,"&gt;10",$BN$4:$BN$200,"&gt;-6",$BR$4:$BR$200,"&gt;=70",$K$4:$K$200,"&lt;=30",$C$4:$C$200,"&lt;20190630",BI$4:BI$200,"&gt;="&amp;BI102)&amp;"/"&amp;COUNTIFS(BI$4:BI$200,"&lt;&gt;-",$D$4:$D$200,"&lt;&gt;是",$E$4:$E$200,"&lt;&gt;封闭期",$H$4:$H$200,"&gt;10",$BN$4:$BN$200,"&gt;-6",$BR$4:$BR$200,"&gt;=70",$C$4:$C$200,"&lt;20190630",$K$4:$K$200,"&lt;=30"))</f>
        <v>-</v>
      </c>
      <c r="BM102" s="33" t="str">
        <f>IF(OR($C102&gt;20190630,$K102&gt;30,BI102="-",$D102="是",$E102="封闭期",$H102&lt;10,$BN102&lt;-6,$BR102&lt;70),"-",COUNTIFS(BI$4:BI$200,"&lt;&gt;-",$D$4:$D$200,"&lt;&gt;是",$E$4:$E$200,"&lt;&gt;封闭期",$H$4:$H$200,"&gt;10",$BN$4:$BN$200,"&gt;-6",$BR$4:$BR$200,"&gt;=70",$K$4:$K$200,"&lt;=30",$C$4:$C$200,"&lt;20190630",BI$4:BI$200,"&gt;="&amp;BI102)/COUNTIFS(BI$4:BI$200,"&lt;&gt;-",$D$4:$D$200,"&lt;&gt;是",$E$4:$E$200,"&lt;&gt;封闭期",$H$4:$H$200,"&gt;10",$BN$4:$BN$200,"&gt;-6",$BR$4:$BR$200,"&gt;=70",$C$4:$C$200,"&lt;20190630",$K$4:$K$200,"&lt;=30"))</f>
        <v>-</v>
      </c>
      <c r="BN102" s="21">
        <f>[1]!f_risk_maxdownside(A102,$AM$2,$E$1)</f>
        <v>-3.6829394514403946</v>
      </c>
      <c r="BO102" s="21">
        <f>IF(C102&lt;20190930,[1]!f_return_2y(A102,"0","20210930"),"-")</f>
        <v>9.0313313582907071</v>
      </c>
      <c r="BP102" s="19" t="str">
        <f>IFERROR(RANK(BO102,BO:BO)&amp;"/"&amp;COUNT(BO:BO),"-")</f>
        <v>154/197</v>
      </c>
      <c r="BQ102" s="25">
        <f>IFERROR(RANK(BO102,BO:BO)/COUNT(BO:BO),"-")</f>
        <v>0.78172588832487311</v>
      </c>
      <c r="BR102" s="19">
        <f>IF(C102&lt;20190930,[1]!f_absolute_profitmonthper(A102,"20190930","20210930"),"-")</f>
        <v>62.5</v>
      </c>
      <c r="BS102" s="19" t="str">
        <f>IFERROR(RANK(BR102,BR:BR)&amp;"/"&amp;COUNT(BR:BR),"-")</f>
        <v>142/198</v>
      </c>
      <c r="BT102" s="25">
        <f>IFERROR(RANK(BR102,BR:BR)/COUNT(BR:BR),"-")</f>
        <v>0.71717171717171713</v>
      </c>
      <c r="BV102" s="12">
        <f>X102-3/M102</f>
        <v>8.771096394611777E-2</v>
      </c>
      <c r="BW102" s="76">
        <f>IFERROR(RANK(BV102,BV:BV)/COUNT(BV:BV),"-")</f>
        <v>0.86294416243654826</v>
      </c>
      <c r="BX102" s="76">
        <f>IFERROR(RANK(L102,L:L)/COUNT(L:L),"-")</f>
        <v>0.88888888888888884</v>
      </c>
      <c r="BY102" s="12">
        <f>AY102-3/AN102</f>
        <v>1.5802415171873896</v>
      </c>
      <c r="BZ102" s="76">
        <f>IFERROR(RANK(BY102,BY:BY)/COUNT(BY:BY),"-")</f>
        <v>0.51269035532994922</v>
      </c>
      <c r="CA102" s="76">
        <f>IFERROR(RANK(AM102,AM:AM)/COUNT(AM:AM),"-")</f>
        <v>0.50505050505050508</v>
      </c>
      <c r="CB102" s="2"/>
      <c r="CC102" s="77">
        <f>AV102+BF102+BZ102+CA102</f>
        <v>1.6827154796697945</v>
      </c>
      <c r="CD102" s="77">
        <f>BW102+BX102+AE102+U102</f>
        <v>3.523406655386351</v>
      </c>
      <c r="CE102" s="77">
        <f>CC102+CD102</f>
        <v>5.2061221350561455</v>
      </c>
    </row>
    <row r="103" spans="1:83" s="17" customFormat="1" x14ac:dyDescent="0.35">
      <c r="A103" s="3" t="s">
        <v>161</v>
      </c>
      <c r="B103" s="3" t="s">
        <v>162</v>
      </c>
      <c r="C103" s="4">
        <v>20160824</v>
      </c>
      <c r="D103" s="4" t="str">
        <f>[1]!f_info_regulopenfundornot(A103)</f>
        <v>否</v>
      </c>
      <c r="E103" s="4" t="str">
        <f>[1]!f_dq_status(A103,$E$1)</f>
        <v>开放申购|开放赎回</v>
      </c>
      <c r="F103" s="17" t="str">
        <f>[1]!f_info_fundmanager(A103)</f>
        <v>任慧娟,陈怡</v>
      </c>
      <c r="G103" s="4">
        <v>20160824</v>
      </c>
      <c r="H103" s="11">
        <f>[1]!f_netasset_total(A103,$E$1,100000000)</f>
        <v>17.966698532399999</v>
      </c>
      <c r="I103" s="11">
        <f>[1]!f_prt_convertiblebondtonav(A103,$E$1)</f>
        <v>4.823972225189209</v>
      </c>
      <c r="J103" s="11">
        <f>[1]!f_prt_stocktonav(A103,$E$1)+0.5*I103</f>
        <v>16.261102437973022</v>
      </c>
      <c r="K103" s="12">
        <v>0</v>
      </c>
      <c r="L103" s="19">
        <f>[1]!f_return($A103,"1",L$2,$E$1)</f>
        <v>4.7313192630544121</v>
      </c>
      <c r="M103" s="19">
        <f>[1]!f_risk_stdevyearly($A103,L$2,$E$1,1,1)</f>
        <v>3.9311274779074741</v>
      </c>
      <c r="N103" s="12">
        <f>IFERROR(L103/M103,"-")</f>
        <v>1.2035527440012903</v>
      </c>
      <c r="O103" s="12" t="str">
        <f>IFERROR(RANK(N103,N:N)&amp;"/"&amp;COUNT(N:N),"-")</f>
        <v>121/197</v>
      </c>
      <c r="P103" s="26">
        <f>IF(O103="-","-",RANK(N103,N:N)/COUNT(N:N))</f>
        <v>0.6142131979695431</v>
      </c>
      <c r="Q103" s="58">
        <v>0.60406091370558379</v>
      </c>
      <c r="R103" s="33">
        <f>IF(OR($C103&gt;20190630,$K103&gt;30,N103="-",$D103="是",$E103="封闭期",$H103&lt;10,$BN103&lt;-6,$BR103&lt;70),"-",COUNTIFS(N$4:N$200,"&lt;&gt;-",$D$4:$D$200,"&lt;&gt;是",$E$4:$E$200,"&lt;&gt;封闭期",$H$4:$H$200,"&gt;10",$BN$4:$BN$200,"&gt;-6",$BR$4:$BR$200,"&gt;=70",$K$4:$K$200,"&lt;=30",$C$4:$C$200,"&lt;20190630",N$4:N$200,"&gt;="&amp;N103)/COUNTIFS(N$4:N$200,"&lt;&gt;-",$D$4:$D$200,"&lt;&gt;是",$E$4:$E$200,"&lt;&gt;封闭期",$H$4:$H$200,"&gt;10",$BN$4:$BN$200,"&gt;-6",$BR$4:$BR$200,"&gt;=70",$C$4:$C$200,"&lt;20190630",$K$4:$K$200,"&lt;=30"))</f>
        <v>0.87179487179487181</v>
      </c>
      <c r="S103" s="12">
        <f>IFERROR((L103-3)/M103,"-")</f>
        <v>0.44041290260472232</v>
      </c>
      <c r="T103" s="12" t="str">
        <f>IFERROR(RANK(S103,S:S)&amp;"/"&amp;COUNT(S:S),"-")</f>
        <v>124/197</v>
      </c>
      <c r="U103" s="26">
        <f>IFERROR(RANK(S103,S:S)/COUNT(S:S),"-")</f>
        <v>0.62944162436548223</v>
      </c>
      <c r="V103" s="13" t="str">
        <f>IF(OR($C103&gt;20190630,$K103&gt;30,S103="-",$D103="是",$E103="封闭期",$H103&lt;10,$BN103&lt;-6,$BR103&lt;70),"-",COUNTIFS(S$4:S$200,"&lt;&gt;-",$D$4:$D$200,"&lt;&gt;是",$E$4:$E$200,"&lt;&gt;封闭期",$H$4:$H$200,"&gt;10",$BN$4:$BN$200,"&gt;-6",$BR$4:$BR$200,"&gt;=70",$K$4:$K$200,"&lt;=30",$C$4:$C$200,"&lt;20190630",S$4:S$200,"&gt;="&amp;S103)&amp;"/"&amp;COUNTIFS(S$4:S$200,"&lt;&gt;-",$D$4:$D$200,"&lt;&gt;是",$E$4:$E$200,"&lt;&gt;封闭期",$H$4:$H$200,"&gt;10",$BN$4:$BN$200,"&gt;-6",$BR$4:$BR$200,"&gt;=70",$C$4:$C$200,"&lt;20190630",$K$4:$K$200,"&lt;=30"))</f>
        <v>35/39</v>
      </c>
      <c r="W103" s="33">
        <f>IF(OR($C103&gt;20190630,$K103&gt;30,S103="-",$D103="是",$E103="封闭期",$H103&lt;10,$BN103&lt;-6,$BR103&lt;70),"-",COUNTIFS(S$4:S$200,"&lt;&gt;-",$D$4:$D$200,"&lt;&gt;是",$E$4:$E$200,"&lt;&gt;封闭期",$H$4:$H$200,"&gt;10",$BN$4:$BN$200,"&gt;-6",$BR$4:$BR$200,"&gt;=70",$K$4:$K$200,"&lt;=30",$C$4:$C$200,"&lt;20190630",S$4:S$200,"&gt;="&amp;S103)/COUNTIFS(S$4:S$200,"&lt;&gt;-",$D$4:$D$200,"&lt;&gt;是",$E$4:$E$200,"&lt;&gt;封闭期",$H$4:$H$200,"&gt;10",$BN$4:$BN$200,"&gt;-6",$BR$4:$BR$200,"&gt;=70",$C$4:$C$200,"&lt;20190630",$K$4:$K$200,"&lt;=30"))</f>
        <v>0.89743589743589747</v>
      </c>
      <c r="X103" s="19">
        <f>[1]!f_risk_calmar(A103,$L$2,$E$1)</f>
        <v>1.4478276046502265</v>
      </c>
      <c r="Y103" s="12" t="str">
        <f>IFERROR(RANK(X103,X:X)&amp;"/"&amp;COUNT(X:X),"-")</f>
        <v>131/197</v>
      </c>
      <c r="Z103" s="26">
        <f>IFERROR(RANK(X103,X:X)/COUNT(X:X),"-")</f>
        <v>0.6649746192893401</v>
      </c>
      <c r="AA103" s="13" t="str">
        <f>IF(OR($C103&gt;20190630,$K103&gt;30,X103="-",$D103="是",$E103="封闭期",$H103&lt;10,$BN103&lt;-6,$BR103&lt;70),"-",COUNTIFS(X$4:X$200,"&lt;&gt;-",$D$4:$D$200,"&lt;&gt;是",$E$4:$E$200,"&lt;&gt;封闭期",$H$4:$H$200,"&gt;10",$BN$4:$BN$200,"&gt;-6",$BR$4:$BR$200,"&gt;=70",$K$4:$K$200,"&lt;=30",$C$4:$C$200,"&lt;20190630",X$4:X$200,"&gt;="&amp;X103)&amp;"/"&amp;COUNTIFS(X$4:X$200,"&lt;&gt;-",$D$4:$D$200,"&lt;&gt;是",$E$4:$E$200,"&lt;&gt;封闭期",$H$4:$H$200,"&gt;10",$BN$4:$BN$200,"&gt;-6",$BR$4:$BR$200,"&gt;=70",$C$4:$C$200,"&lt;20190630",$K$4:$K$200,"&lt;=30"))</f>
        <v>35/39</v>
      </c>
      <c r="AB103" s="33">
        <f>IF(OR($C103&gt;20190630,$K103&gt;30,X103="-",$D103="是",$E103="封闭期",$H103&lt;10,$BN103&lt;-6,$BR103&lt;70),"-",COUNTIFS(X$4:X$200,"&lt;&gt;-",$D$4:$D$200,"&lt;&gt;是",$E$4:$E$200,"&lt;&gt;封闭期",$H$4:$H$200,"&gt;10",$BN$4:$BN$200,"&gt;-6",$BR$4:$BR$200,"&gt;=70",$K$4:$K$200,"&lt;=30",$C$4:$C$200,"&lt;20190630",X$4:X$200,"&gt;="&amp;X103)/COUNTIFS(X$4:X$200,"&lt;&gt;-",$D$4:$D$200,"&lt;&gt;是",$E$4:$E$200,"&lt;&gt;封闭期",$H$4:$H$200,"&gt;10",$BN$4:$BN$200,"&gt;-6",$BR$4:$BR$200,"&gt;=70",$C$4:$C$200,"&lt;20190630",$K$4:$K$200,"&lt;=30"))</f>
        <v>0.89743589743589747</v>
      </c>
      <c r="AC103" s="20">
        <v>0.89915966386554624</v>
      </c>
      <c r="AD103" s="12" t="str">
        <f>IFERROR(RANK(AC103,AC:AC)&amp;"/"&amp;COUNT(AC:AC),"-")</f>
        <v>130/197</v>
      </c>
      <c r="AE103" s="26">
        <f>IFERROR(RANK(AC103,AC:AC)/COUNT(AC:AC),"-")</f>
        <v>0.65989847715736039</v>
      </c>
      <c r="AF103" s="13" t="str">
        <f>IF(OR($C103&gt;20190630,$K103&gt;30,AC103="-",$D103="是",$E103="封闭期",$H103&lt;10,$BN103&lt;-6,$BR103&lt;70),"-",COUNTIFS(AC$4:AC$200,"&lt;&gt;-",$D$4:$D$200,"&lt;&gt;是",$E$4:$E$200,"&lt;&gt;封闭期",$H$4:$H$200,"&gt;10",$BN$4:$BN$200,"&gt;-6",$BR$4:$BR$200,"&gt;=70",$K$4:$K$200,"&lt;=30",$C$4:$C$200,"&lt;20190630",AC$4:AC$200,"&gt;="&amp;AC103)&amp;"/"&amp;COUNTIFS(AC$4:AC$200,"&lt;&gt;-",$D$4:$D$200,"&lt;&gt;是",$E$4:$E$200,"&lt;&gt;封闭期",$H$4:$H$200,"&gt;10",$BN$4:$BN$200,"&gt;-6",$BR$4:$BR$200,"&gt;=70",$C$4:$C$200,"&lt;20190630",$K$4:$K$200,"&lt;=30"))</f>
        <v>37/39</v>
      </c>
      <c r="AG103" s="33">
        <f>IF(OR($C103&gt;20190630,$K103&gt;30,AC103="-",$D103="是",$E103="封闭期",$H103&lt;10,$BN103&lt;-6,$BR103&lt;70),"-",COUNTIFS(AC$4:AC$200,"&lt;&gt;-",$D$4:$D$200,"&lt;&gt;是",$E$4:$E$200,"&lt;&gt;封闭期",$H$4:$H$200,"&gt;10",$BN$4:$BN$200,"&gt;-6",$BR$4:$BR$200,"&gt;=70",$K$4:$K$200,"&lt;=30",$C$4:$C$200,"&lt;20190630",AC$4:AC$200,"&gt;="&amp;AC103)/COUNTIFS(AC$4:AC$200,"&lt;&gt;-",$D$4:$D$200,"&lt;&gt;是",$E$4:$E$200,"&lt;&gt;封闭期",$H$4:$H$200,"&gt;10",$BN$4:$BN$200,"&gt;-6",$BR$4:$BR$200,"&gt;=70",$C$4:$C$200,"&lt;20190630",$K$4:$K$200,"&lt;=30"))</f>
        <v>0.94871794871794868</v>
      </c>
      <c r="AH103" s="21">
        <f>[1]!f_risk_maxdownside(A103,$L$2,$E$1)</f>
        <v>-3.2678747441049296</v>
      </c>
      <c r="AI103" s="19" t="str">
        <f>IFERROR(RANK(AH103,AH:AH)&amp;"/"&amp;COUNT(AH:AH),"-")</f>
        <v>102/197</v>
      </c>
      <c r="AJ103" s="26">
        <f>IFERROR(RANK(AH103,AH:AH)/COUNT(AH:AH),"-")</f>
        <v>0.51776649746192893</v>
      </c>
      <c r="AK103" s="34" t="str">
        <f>IF(OR($C103&gt;20190630,$K103&gt;30,AH103="-",$D103="是",$E103="封闭期",$H103&lt;10,$BN103&lt;-6,$BR103&lt;70),"-",COUNTIFS(AH$4:AH$200,"&lt;&gt;-",$D$4:$D$200,"&lt;&gt;是",$E$4:$E$200,"&lt;&gt;封闭期",$H$4:$H$200,"&gt;10",$BN$4:$BN$200,"&gt;-6",$BR$4:$BR$200,"&gt;=70",$K$4:$K$200,"&lt;=30",$C$4:$C$200,"&lt;20190630",AH$4:AH$200,"&gt;="&amp;AH103)&amp;"/"&amp;COUNTIFS(AH$4:AH$200,"&lt;&gt;-",$D$4:$D$200,"&lt;&gt;是",$E$4:$E$200,"&lt;&gt;封闭期",$H$4:$H$200,"&gt;10",$BN$4:$BN$200,"&gt;-6",$BR$4:$BR$200,"&gt;=70",$C$4:$C$200,"&lt;20190630",$K$4:$K$200,"&lt;=30"))</f>
        <v>26/39</v>
      </c>
      <c r="AL103" s="33">
        <f>IF(OR($C103&gt;20190630,$K103&gt;30,AH103="-",$D103="是",$E103="封闭期",$H103&lt;10,$BN103&lt;-6,$BR103&lt;70),"-",COUNTIFS(AH$4:AH$200,"&lt;&gt;-",$D$4:$D$200,"&lt;&gt;是",$E$4:$E$200,"&lt;&gt;封闭期",$H$4:$H$200,"&gt;10",$BN$4:$BN$200,"&gt;-6",$BR$4:$BR$200,"&gt;=70",$K$4:$K$200,"&lt;=30",$C$4:$C$200,"&lt;20190630",AH$4:AH$200,"&gt;="&amp;AH103)/COUNTIFS(AH$4:AH$200,"&lt;&gt;-",$D$4:$D$200,"&lt;&gt;是",$E$4:$E$200,"&lt;&gt;封闭期",$H$4:$H$200,"&gt;10",$BN$4:$BN$200,"&gt;-6",$BR$4:$BR$200,"&gt;=70",$C$4:$C$200,"&lt;20190630",$K$4:$K$200,"&lt;=30"))</f>
        <v>0.66666666666666663</v>
      </c>
      <c r="AM103" s="19">
        <f>[1]!f_return($A103,"1",AM$2,$L$2)</f>
        <v>7.3186648199963011</v>
      </c>
      <c r="AN103" s="19">
        <f>[1]!f_risk_stdevyearly($A103,AM$2,$L$2,1,1)</f>
        <v>3.9847590414450726</v>
      </c>
      <c r="AO103" s="12">
        <f>IFERROR(AM103/AN103,"-")</f>
        <v>1.8366643362561235</v>
      </c>
      <c r="AP103" s="12" t="str">
        <f>IFERROR(RANK(AO103,AO:AO)&amp;"/"&amp;COUNT(AO:AO),"-")</f>
        <v>66/197</v>
      </c>
      <c r="AQ103" s="26">
        <f>IF(AP103="-","-",RANK(AO103,AO:AO)/COUNT(AO:AO))</f>
        <v>0.3350253807106599</v>
      </c>
      <c r="AR103" s="60">
        <v>0.50761421319796951</v>
      </c>
      <c r="AS103" s="35">
        <f>IF(OR($C103&gt;20190630,$K103&gt;30,AO103="-",$D103="是",$E103="封闭期",$H103&lt;10,$BN103&lt;-6,$BR103&lt;70),"-",COUNTIFS(AO$4:AO$200,"&lt;&gt;-",$D$4:$D$200,"&lt;&gt;是",$E$4:$E$200,"&lt;&gt;封闭期",$H$4:$H$200,"&gt;10",$BN$4:$BN$200,"&gt;-6",$BR$4:$BR$200,"&gt;=70",$K$4:$K$200,"&lt;=30",$C$4:$C$200,"&lt;20190630",AO$4:AO$200,"&gt;="&amp;AO103)/COUNTIFS(AO$4:AO$200,"&lt;&gt;-",$D$4:$D$200,"&lt;&gt;是",$E$4:$E$200,"&lt;&gt;封闭期",$H$4:$H$200,"&gt;10",$BN$4:$BN$200,"&gt;-6",$BR$4:$BR$200,"&gt;=70",$C$4:$C$200,"&lt;20190630",$K$4:$K$200,"&lt;=30"))</f>
        <v>0.58974358974358976</v>
      </c>
      <c r="AT103" s="12">
        <f>IFERROR((AM103-3)/AN103,"-")</f>
        <v>1.0837957264362308</v>
      </c>
      <c r="AU103" s="12" t="str">
        <f>IFERROR(RANK(AT103,AT:AT)&amp;"/"&amp;COUNT(AT:AT),"-")</f>
        <v>78/197</v>
      </c>
      <c r="AV103" s="26">
        <f>IFERROR(RANK(AT103,AT:AT)/COUNT(AT:AT),"-")</f>
        <v>0.39593908629441626</v>
      </c>
      <c r="AW103" s="13" t="str">
        <f>IF(OR($C103&gt;20190630,$K103&gt;30,AT103="-",$D103="是",$E103="封闭期",$H103&lt;10,$BN103&lt;-6,$BR103&lt;70),"-",COUNTIFS(AT$4:AT$200,"&lt;&gt;-",$D$4:$D$200,"&lt;&gt;是",$E$4:$E$200,"&lt;&gt;封闭期",$H$4:$H$200,"&gt;10",$BN$4:$BN$200,"&gt;-6",$BR$4:$BR$200,"&gt;=70",$K$4:$K$200,"&lt;=30",$C$4:$C$200,"&lt;20190630",AT$4:AT$200,"&gt;="&amp;AT103)&amp;"/"&amp;COUNTIFS(AT$4:AT$200,"&lt;&gt;-",$D$4:$D$200,"&lt;&gt;是",$E$4:$E$200,"&lt;&gt;封闭期",$H$4:$H$200,"&gt;10",$BN$4:$BN$200,"&gt;-6",$BR$4:$BR$200,"&gt;=70",$C$4:$C$200,"&lt;20190630",$K$4:$K$200,"&lt;=30"))</f>
        <v>21/39</v>
      </c>
      <c r="AX103" s="33">
        <f>IF(OR($C103&gt;20190630,$K103&gt;30,AT103="-",$D103="是",$E103="封闭期",$H103&lt;10,$BN103&lt;-6,$BR103&lt;70),"-",COUNTIFS(AT$4:AT$200,"&lt;&gt;-",$D$4:$D$200,"&lt;&gt;是",$E$4:$E$200,"&lt;&gt;封闭期",$H$4:$H$200,"&gt;10",$BN$4:$BN$200,"&gt;-6",$BR$4:$BR$200,"&gt;=70",$K$4:$K$200,"&lt;=30",$C$4:$C$200,"&lt;20190630",AT$4:AT$200,"&gt;="&amp;AT103)/COUNTIFS(AT$4:AT$200,"&lt;&gt;-",$D$4:$D$200,"&lt;&gt;是",$E$4:$E$200,"&lt;&gt;封闭期",$H$4:$H$200,"&gt;10",$BN$4:$BN$200,"&gt;-6",$BR$4:$BR$200,"&gt;=70",$C$4:$C$200,"&lt;20190630",$K$4:$K$200,"&lt;=30"))</f>
        <v>0.53846153846153844</v>
      </c>
      <c r="AY103" s="19">
        <f>[1]!f_risk_calmar(A103,$AM$2,$L$2)</f>
        <v>2.8022354410785963</v>
      </c>
      <c r="AZ103" s="12" t="str">
        <f>IFERROR(RANK(AY103,AY:AY)&amp;"/"&amp;COUNT(AY:AY),"-")</f>
        <v>62/197</v>
      </c>
      <c r="BA103" s="26">
        <f>IFERROR(RANK(AY103,AY:AY)/COUNT(AY:AY),"-")</f>
        <v>0.31472081218274112</v>
      </c>
      <c r="BB103" s="13" t="str">
        <f>IF(OR($C103&gt;20190630,$K103&gt;30,AY103="-",$D103="是",$E103="封闭期",$H103&lt;10,$BN103&lt;-6,$BR103&lt;70),"-",COUNTIFS(AY$4:AY$200,"&lt;&gt;-",$D$4:$D$200,"&lt;&gt;是",$E$4:$E$200,"&lt;&gt;封闭期",$H$4:$H$200,"&gt;10",$BN$4:$BN$200,"&gt;-6",$BR$4:$BR$200,"&gt;=70",$K$4:$K$200,"&lt;=30",$C$4:$C$200,"&lt;20190630",AY$4:AY$200,"&gt;="&amp;AY103)&amp;"/"&amp;COUNTIFS(AY$4:AY$200,"&lt;&gt;-",$D$4:$D$200,"&lt;&gt;是",$E$4:$E$200,"&lt;&gt;封闭期",$H$4:$H$200,"&gt;10",$BN$4:$BN$200,"&gt;-6",$BR$4:$BR$200,"&gt;=70",$C$4:$C$200,"&lt;20190630",$K$4:$K$200,"&lt;=30"))</f>
        <v>21/39</v>
      </c>
      <c r="BC103" s="33">
        <f>IF(OR($C103&gt;20190630,$K103&gt;30,AY103="-",$D103="是",$E103="封闭期",$H103&lt;10,$BN103&lt;-6,$BR103&lt;70),"-",COUNTIFS(AY$4:AY$200,"&lt;&gt;-",$D$4:$D$200,"&lt;&gt;是",$E$4:$E$200,"&lt;&gt;封闭期",$H$4:$H$200,"&gt;10",$BN$4:$BN$200,"&gt;-6",$BR$4:$BR$200,"&gt;=70",$K$4:$K$200,"&lt;=30",$C$4:$C$200,"&lt;20190630",AY$4:AY$200,"&gt;="&amp;AY103)/COUNTIFS(AY$4:AY$200,"&lt;&gt;-",$D$4:$D$200,"&lt;&gt;是",$E$4:$E$200,"&lt;&gt;封闭期",$H$4:$H$200,"&gt;10",$BN$4:$BN$200,"&gt;-6",$BR$4:$BR$200,"&gt;=70",$C$4:$C$200,"&lt;20190630",$K$4:$K$200,"&lt;=30"))</f>
        <v>0.53846153846153844</v>
      </c>
      <c r="BD103" s="20">
        <v>1</v>
      </c>
      <c r="BE103" s="12" t="str">
        <f>IFERROR(RANK(BD103,BD:BD)&amp;"/"&amp;COUNT(BD:BD),"-")</f>
        <v>1/197</v>
      </c>
      <c r="BF103" s="26">
        <f>IFERROR(RANK(BD103,BD:BD)/COUNT(BD:BD),"-")</f>
        <v>5.076142131979695E-3</v>
      </c>
      <c r="BG103" s="13" t="str">
        <f>IF(OR($C103&gt;20190630,$K103&gt;30,BD103="-",$D103="是",$E103="封闭期",$H103&lt;10,$BN103&lt;-6,$BR103&lt;70),"-",COUNTIFS(BD$4:BD$200,"&lt;&gt;-",$D$4:$D$200,"&lt;&gt;是",$E$4:$E$200,"&lt;&gt;封闭期",$H$4:$H$200,"&gt;10",$BN$4:$BN$200,"&gt;-6",$BR$4:$BR$200,"&gt;=70",$K$4:$K$200,"&lt;=30",$C$4:$C$200,"&lt;20190630",BD$4:BD$200,"&gt;="&amp;BD103)&amp;"/"&amp;COUNTIFS(BD$4:BD$200,"&lt;&gt;-",$D$4:$D$200,"&lt;&gt;是",$E$4:$E$200,"&lt;&gt;封闭期",$H$4:$H$200,"&gt;10",$BN$4:$BN$200,"&gt;-6",$BR$4:$BR$200,"&gt;=70",$C$4:$C$200,"&lt;20190630",$K$4:$K$200,"&lt;=30"))</f>
        <v>35/39</v>
      </c>
      <c r="BH103" s="33">
        <f>IF(OR($C103&gt;20190630,$K103&gt;30,BD103="-",$D103="是",$E103="封闭期",$H103&lt;10,$BN103&lt;-6,$BR103&lt;70),"-",COUNTIFS(BD$4:BD$200,"&lt;&gt;-",$D$4:$D$200,"&lt;&gt;是",$E$4:$E$200,"&lt;&gt;封闭期",$H$4:$H$200,"&gt;10",$BN$4:$BN$200,"&gt;-6",$BR$4:$BR$200,"&gt;=70",$K$4:$K$200,"&lt;=30",$C$4:$C$200,"&lt;20190630",BD$4:BD$200,"&gt;="&amp;BD103)/COUNTIFS(BD$4:BD$200,"&lt;&gt;-",$D$4:$D$200,"&lt;&gt;是",$E$4:$E$200,"&lt;&gt;封闭期",$H$4:$H$200,"&gt;10",$BN$4:$BN$200,"&gt;-6",$BR$4:$BR$200,"&gt;=70",$C$4:$C$200,"&lt;20190630",$K$4:$K$200,"&lt;=30"))</f>
        <v>0.89743589743589747</v>
      </c>
      <c r="BI103" s="21">
        <f>[1]!f_risk_maxdownside(A103,$AM$2,$L$2)</f>
        <v>-2.6117237376668485</v>
      </c>
      <c r="BJ103" s="19" t="str">
        <f>IFERROR(RANK(BI103,BI:BI)&amp;"/"&amp;COUNT(BI:BI),"-")</f>
        <v>67/197</v>
      </c>
      <c r="BK103" s="26">
        <f>IFERROR(RANK(BI103,BI:BI)/COUNT(BI:BI),"-")</f>
        <v>0.34010152284263961</v>
      </c>
      <c r="BL103" s="34" t="str">
        <f>IF(OR($C103&gt;20190630,$K103&gt;30,BI103="-",$D103="是",$E103="封闭期",$H103&lt;10,$BN103&lt;-6,$BR103&lt;70),"-",COUNTIFS(BI$4:BI$200,"&lt;&gt;-",$D$4:$D$200,"&lt;&gt;是",$E$4:$E$200,"&lt;&gt;封闭期",$H$4:$H$200,"&gt;10",$BN$4:$BN$200,"&gt;-6",$BR$4:$BR$200,"&gt;=70",$K$4:$K$200,"&lt;=30",$C$4:$C$200,"&lt;20190630",BI$4:BI$200,"&gt;="&amp;BI103)&amp;"/"&amp;COUNTIFS(BI$4:BI$200,"&lt;&gt;-",$D$4:$D$200,"&lt;&gt;是",$E$4:$E$200,"&lt;&gt;封闭期",$H$4:$H$200,"&gt;10",$BN$4:$BN$200,"&gt;-6",$BR$4:$BR$200,"&gt;=70",$C$4:$C$200,"&lt;20190630",$K$4:$K$200,"&lt;=30"))</f>
        <v>11/39</v>
      </c>
      <c r="BM103" s="33">
        <f>IF(OR($C103&gt;20190630,$K103&gt;30,BI103="-",$D103="是",$E103="封闭期",$H103&lt;10,$BN103&lt;-6,$BR103&lt;70),"-",COUNTIFS(BI$4:BI$200,"&lt;&gt;-",$D$4:$D$200,"&lt;&gt;是",$E$4:$E$200,"&lt;&gt;封闭期",$H$4:$H$200,"&gt;10",$BN$4:$BN$200,"&gt;-6",$BR$4:$BR$200,"&gt;=70",$K$4:$K$200,"&lt;=30",$C$4:$C$200,"&lt;20190630",BI$4:BI$200,"&gt;="&amp;BI103)/COUNTIFS(BI$4:BI$200,"&lt;&gt;-",$D$4:$D$200,"&lt;&gt;是",$E$4:$E$200,"&lt;&gt;封闭期",$H$4:$H$200,"&gt;10",$BN$4:$BN$200,"&gt;-6",$BR$4:$BR$200,"&gt;=70",$C$4:$C$200,"&lt;20190630",$K$4:$K$200,"&lt;=30"))</f>
        <v>0.28205128205128205</v>
      </c>
      <c r="BN103" s="21">
        <f>[1]!f_risk_maxdownside(A103,$AM$2,$E$1)</f>
        <v>-3.2678747441049296</v>
      </c>
      <c r="BO103" s="14">
        <f>IF(C103&lt;20190930,[1]!f_return_2y(A103,"0","20210930"),"-")</f>
        <v>12.384008325383752</v>
      </c>
      <c r="BP103" s="12" t="str">
        <f>IFERROR(RANK(BO103,BO:BO)&amp;"/"&amp;COUNT(BO:BO),"-")</f>
        <v>112/197</v>
      </c>
      <c r="BQ103" s="25">
        <f>IFERROR(RANK(BO103,BO:BO)/COUNT(BO:BO),"-")</f>
        <v>0.56852791878172593</v>
      </c>
      <c r="BR103" s="12">
        <f>IF(C103&lt;20190930,[1]!f_absolute_profitmonthper(A103,"20190930","20210930"),"-")</f>
        <v>70.833333333333343</v>
      </c>
      <c r="BS103" s="12" t="str">
        <f>IFERROR(RANK(BR103,BR:BR)&amp;"/"&amp;COUNT(BR:BR),"-")</f>
        <v>55/198</v>
      </c>
      <c r="BT103" s="25">
        <f>IFERROR(RANK(BR103,BR:BR)/COUNT(BR:BR),"-")</f>
        <v>0.27777777777777779</v>
      </c>
      <c r="BV103" s="12">
        <f>X103-3/M103</f>
        <v>0.68468776325365854</v>
      </c>
      <c r="BW103" s="76">
        <f>IFERROR(RANK(BV103,BV:BV)/COUNT(BV:BV),"-")</f>
        <v>0.68020304568527923</v>
      </c>
      <c r="BX103" s="76">
        <f>IFERROR(RANK(L103,L:L)/COUNT(L:L),"-")</f>
        <v>0.60606060606060608</v>
      </c>
      <c r="BY103" s="12">
        <f>AY103-3/AN103</f>
        <v>2.0493668312587037</v>
      </c>
      <c r="BZ103" s="76">
        <f>IFERROR(RANK(BY103,BY:BY)/COUNT(BY:BY),"-")</f>
        <v>0.32994923857868019</v>
      </c>
      <c r="CA103" s="76">
        <f>IFERROR(RANK(AM103,AM:AM)/COUNT(AM:AM),"-")</f>
        <v>0.51010101010101006</v>
      </c>
      <c r="CB103" s="2"/>
      <c r="CC103" s="77">
        <f>AV103+BF103+BZ103+CA103</f>
        <v>1.2410654771060861</v>
      </c>
      <c r="CD103" s="77">
        <f>BW103+BX103+AE103+U103</f>
        <v>2.5756037532687279</v>
      </c>
      <c r="CE103" s="77">
        <f>CC103+CD103</f>
        <v>3.816669230374814</v>
      </c>
    </row>
    <row r="104" spans="1:83" s="2" customFormat="1" x14ac:dyDescent="0.35">
      <c r="A104" s="15" t="s">
        <v>213</v>
      </c>
      <c r="B104" s="15" t="s">
        <v>214</v>
      </c>
      <c r="C104" s="16">
        <v>20151217</v>
      </c>
      <c r="D104" s="16" t="str">
        <f>[1]!f_info_regulopenfundornot(A104)</f>
        <v>否</v>
      </c>
      <c r="E104" s="16" t="str">
        <f>[1]!f_dq_status(A104,$E$1)</f>
        <v>开放申购|开放赎回</v>
      </c>
      <c r="F104" s="17" t="str">
        <f>[1]!f_info_fundmanager(A104)</f>
        <v>赵端端</v>
      </c>
      <c r="G104" s="16">
        <v>20210619</v>
      </c>
      <c r="H104" s="18">
        <f>[1]!f_netasset_total(A104,$E$1,100000000)</f>
        <v>28.813703916399998</v>
      </c>
      <c r="I104" s="18">
        <f>[1]!f_prt_convertiblebondtonav(A104,$E$1)</f>
        <v>0</v>
      </c>
      <c r="J104" s="18">
        <f>[1]!f_prt_stocktonav(A104,$E$1)+0.5*I104</f>
        <v>1.5007185935974121</v>
      </c>
      <c r="K104" s="19">
        <v>11.407168635925441</v>
      </c>
      <c r="L104" s="19">
        <f>[1]!f_return($A104,"1",L$2,$E$1)</f>
        <v>1.1885610744357678</v>
      </c>
      <c r="M104" s="19">
        <f>[1]!f_risk_stdevyearly($A104,L$2,$E$1,1,1)</f>
        <v>3.2882225402993734</v>
      </c>
      <c r="N104" s="19">
        <f>IFERROR(L104/M104,"-")</f>
        <v>0.36146004714375451</v>
      </c>
      <c r="O104" s="19" t="str">
        <f>IFERROR(RANK(N104,N:N)&amp;"/"&amp;COUNT(N:N),"-")</f>
        <v>179/197</v>
      </c>
      <c r="P104" s="26">
        <f>IF(O104="-","-",RANK(N104,N:N)/COUNT(N:N))</f>
        <v>0.90862944162436543</v>
      </c>
      <c r="Q104" s="56">
        <v>0.93401015228426398</v>
      </c>
      <c r="R104" s="33" t="str">
        <f>IF(OR($C104&gt;20190630,$K104&gt;30,N104="-",$D104="是",$E104="封闭期",$H104&lt;10,$BN104&lt;-6,$BR104&lt;70),"-",COUNTIFS(N$4:N$200,"&lt;&gt;-",$D$4:$D$200,"&lt;&gt;是",$E$4:$E$200,"&lt;&gt;封闭期",$H$4:$H$200,"&gt;10",$BN$4:$BN$200,"&gt;-6",$BR$4:$BR$200,"&gt;=70",$K$4:$K$200,"&lt;=30",$C$4:$C$200,"&lt;20190630",N$4:N$200,"&gt;="&amp;N104)/COUNTIFS(N$4:N$200,"&lt;&gt;-",$D$4:$D$200,"&lt;&gt;是",$E$4:$E$200,"&lt;&gt;封闭期",$H$4:$H$200,"&gt;10",$BN$4:$BN$200,"&gt;-6",$BR$4:$BR$200,"&gt;=70",$C$4:$C$200,"&lt;20190630",$K$4:$K$200,"&lt;=30"))</f>
        <v>-</v>
      </c>
      <c r="S104" s="19">
        <f>IFERROR((L104-3)/M104,"-")</f>
        <v>-0.55088696198746678</v>
      </c>
      <c r="T104" s="19" t="str">
        <f>IFERROR(RANK(S104,S:S)&amp;"/"&amp;COUNT(S:S),"-")</f>
        <v>182/197</v>
      </c>
      <c r="U104" s="26">
        <f>IFERROR(RANK(S104,S:S)/COUNT(S:S),"-")</f>
        <v>0.92385786802030456</v>
      </c>
      <c r="V104" s="34" t="str">
        <f>IF(OR($C104&gt;20190630,$K104&gt;30,S104="-",$D104="是",$E104="封闭期",$H104&lt;10,$BN104&lt;-6,$BR104&lt;70),"-",COUNTIFS(S$4:S$200,"&lt;&gt;-",$D$4:$D$200,"&lt;&gt;是",$E$4:$E$200,"&lt;&gt;封闭期",$H$4:$H$200,"&gt;10",$BN$4:$BN$200,"&gt;-6",$BR$4:$BR$200,"&gt;=70",$K$4:$K$200,"&lt;=30",$C$4:$C$200,"&lt;20190630",S$4:S$200,"&gt;="&amp;S104)&amp;"/"&amp;COUNTIFS(S$4:S$200,"&lt;&gt;-",$D$4:$D$200,"&lt;&gt;是",$E$4:$E$200,"&lt;&gt;封闭期",$H$4:$H$200,"&gt;10",$BN$4:$BN$200,"&gt;-6",$BR$4:$BR$200,"&gt;=70",$C$4:$C$200,"&lt;20190630",$K$4:$K$200,"&lt;=30"))</f>
        <v>-</v>
      </c>
      <c r="W104" s="33" t="str">
        <f>IF(OR($C104&gt;20190630,$K104&gt;30,S104="-",$D104="是",$E104="封闭期",$H104&lt;10,$BN104&lt;-6,$BR104&lt;70),"-",COUNTIFS(S$4:S$200,"&lt;&gt;-",$D$4:$D$200,"&lt;&gt;是",$E$4:$E$200,"&lt;&gt;封闭期",$H$4:$H$200,"&gt;10",$BN$4:$BN$200,"&gt;-6",$BR$4:$BR$200,"&gt;=70",$K$4:$K$200,"&lt;=30",$C$4:$C$200,"&lt;20190630",S$4:S$200,"&gt;="&amp;S104)/COUNTIFS(S$4:S$200,"&lt;&gt;-",$D$4:$D$200,"&lt;&gt;是",$E$4:$E$200,"&lt;&gt;封闭期",$H$4:$H$200,"&gt;10",$BN$4:$BN$200,"&gt;-6",$BR$4:$BR$200,"&gt;=70",$C$4:$C$200,"&lt;20190630",$K$4:$K$200,"&lt;=30"))</f>
        <v>-</v>
      </c>
      <c r="X104" s="19">
        <f>[1]!f_risk_calmar(A104,$L$2,$E$1)</f>
        <v>0.1944485917776913</v>
      </c>
      <c r="Y104" s="19" t="str">
        <f>IFERROR(RANK(X104,X:X)&amp;"/"&amp;COUNT(X:X),"-")</f>
        <v>185/197</v>
      </c>
      <c r="Z104" s="26">
        <f>IFERROR(RANK(X104,X:X)/COUNT(X:X),"-")</f>
        <v>0.93908629441624369</v>
      </c>
      <c r="AA104" s="34" t="str">
        <f>IF(OR($C104&gt;20190630,$K104&gt;30,X104="-",$D104="是",$E104="封闭期",$H104&lt;10,$BN104&lt;-6,$BR104&lt;70),"-",COUNTIFS(X$4:X$200,"&lt;&gt;-",$D$4:$D$200,"&lt;&gt;是",$E$4:$E$200,"&lt;&gt;封闭期",$H$4:$H$200,"&gt;10",$BN$4:$BN$200,"&gt;-6",$BR$4:$BR$200,"&gt;=70",$K$4:$K$200,"&lt;=30",$C$4:$C$200,"&lt;20190630",X$4:X$200,"&gt;="&amp;X104)&amp;"/"&amp;COUNTIFS(X$4:X$200,"&lt;&gt;-",$D$4:$D$200,"&lt;&gt;是",$E$4:$E$200,"&lt;&gt;封闭期",$H$4:$H$200,"&gt;10",$BN$4:$BN$200,"&gt;-6",$BR$4:$BR$200,"&gt;=70",$C$4:$C$200,"&lt;20190630",$K$4:$K$200,"&lt;=30"))</f>
        <v>-</v>
      </c>
      <c r="AB104" s="33" t="str">
        <f>IF(OR($C104&gt;20190630,$K104&gt;30,X104="-",$D104="是",$E104="封闭期",$H104&lt;10,$BN104&lt;-6,$BR104&lt;70),"-",COUNTIFS(X$4:X$200,"&lt;&gt;-",$D$4:$D$200,"&lt;&gt;是",$E$4:$E$200,"&lt;&gt;封闭期",$H$4:$H$200,"&gt;10",$BN$4:$BN$200,"&gt;-6",$BR$4:$BR$200,"&gt;=70",$K$4:$K$200,"&lt;=30",$C$4:$C$200,"&lt;20190630",X$4:X$200,"&gt;="&amp;X104)/COUNTIFS(X$4:X$200,"&lt;&gt;-",$D$4:$D$200,"&lt;&gt;是",$E$4:$E$200,"&lt;&gt;封闭期",$H$4:$H$200,"&gt;10",$BN$4:$BN$200,"&gt;-6",$BR$4:$BR$200,"&gt;=70",$C$4:$C$200,"&lt;20190630",$K$4:$K$200,"&lt;=30"))</f>
        <v>-</v>
      </c>
      <c r="AC104" s="20">
        <v>0.76470588235294112</v>
      </c>
      <c r="AD104" s="19" t="str">
        <f>IFERROR(RANK(AC104,AC:AC)&amp;"/"&amp;COUNT(AC:AC),"-")</f>
        <v>155/197</v>
      </c>
      <c r="AE104" s="26">
        <f>IFERROR(RANK(AC104,AC:AC)/COUNT(AC:AC),"-")</f>
        <v>0.78680203045685282</v>
      </c>
      <c r="AF104" s="34" t="str">
        <f>IF(OR($C104&gt;20190630,$K104&gt;30,AC104="-",$D104="是",$E104="封闭期",$H104&lt;10,$BN104&lt;-6,$BR104&lt;70),"-",COUNTIFS(AC$4:AC$200,"&lt;&gt;-",$D$4:$D$200,"&lt;&gt;是",$E$4:$E$200,"&lt;&gt;封闭期",$H$4:$H$200,"&gt;10",$BN$4:$BN$200,"&gt;-6",$BR$4:$BR$200,"&gt;=70",$K$4:$K$200,"&lt;=30",$C$4:$C$200,"&lt;20190630",AC$4:AC$200,"&gt;="&amp;AC104)&amp;"/"&amp;COUNTIFS(AC$4:AC$200,"&lt;&gt;-",$D$4:$D$200,"&lt;&gt;是",$E$4:$E$200,"&lt;&gt;封闭期",$H$4:$H$200,"&gt;10",$BN$4:$BN$200,"&gt;-6",$BR$4:$BR$200,"&gt;=70",$C$4:$C$200,"&lt;20190630",$K$4:$K$200,"&lt;=30"))</f>
        <v>-</v>
      </c>
      <c r="AG104" s="33" t="str">
        <f>IF(OR($C104&gt;20190630,$K104&gt;30,AC104="-",$D104="是",$E104="封闭期",$H104&lt;10,$BN104&lt;-6,$BR104&lt;70),"-",COUNTIFS(AC$4:AC$200,"&lt;&gt;-",$D$4:$D$200,"&lt;&gt;是",$E$4:$E$200,"&lt;&gt;封闭期",$H$4:$H$200,"&gt;10",$BN$4:$BN$200,"&gt;-6",$BR$4:$BR$200,"&gt;=70",$K$4:$K$200,"&lt;=30",$C$4:$C$200,"&lt;20190630",AC$4:AC$200,"&gt;="&amp;AC104)/COUNTIFS(AC$4:AC$200,"&lt;&gt;-",$D$4:$D$200,"&lt;&gt;是",$E$4:$E$200,"&lt;&gt;封闭期",$H$4:$H$200,"&gt;10",$BN$4:$BN$200,"&gt;-6",$BR$4:$BR$200,"&gt;=70",$C$4:$C$200,"&lt;20190630",$K$4:$K$200,"&lt;=30"))</f>
        <v>-</v>
      </c>
      <c r="AH104" s="21">
        <f>[1]!f_risk_maxdownside(A104,$L$2,$E$1)</f>
        <v>-6.1124694376528215</v>
      </c>
      <c r="AI104" s="19" t="str">
        <f>IFERROR(RANK(AH104,AH:AH)&amp;"/"&amp;COUNT(AH:AH),"-")</f>
        <v>178/197</v>
      </c>
      <c r="AJ104" s="26">
        <f>IFERROR(RANK(AH104,AH:AH)/COUNT(AH:AH),"-")</f>
        <v>0.90355329949238583</v>
      </c>
      <c r="AK104" s="34" t="str">
        <f>IF(OR($C104&gt;20190630,$K104&gt;30,AH104="-",$D104="是",$E104="封闭期",$H104&lt;10,$BN104&lt;-6,$BR104&lt;70),"-",COUNTIFS(AH$4:AH$200,"&lt;&gt;-",$D$4:$D$200,"&lt;&gt;是",$E$4:$E$200,"&lt;&gt;封闭期",$H$4:$H$200,"&gt;10",$BN$4:$BN$200,"&gt;-6",$BR$4:$BR$200,"&gt;=70",$K$4:$K$200,"&lt;=30",$C$4:$C$200,"&lt;20190630",AH$4:AH$200,"&gt;="&amp;AH104)&amp;"/"&amp;COUNTIFS(AH$4:AH$200,"&lt;&gt;-",$D$4:$D$200,"&lt;&gt;是",$E$4:$E$200,"&lt;&gt;封闭期",$H$4:$H$200,"&gt;10",$BN$4:$BN$200,"&gt;-6",$BR$4:$BR$200,"&gt;=70",$C$4:$C$200,"&lt;20190630",$K$4:$K$200,"&lt;=30"))</f>
        <v>-</v>
      </c>
      <c r="AL104" s="33" t="str">
        <f>IF(OR($C104&gt;20190630,$K104&gt;30,AH104="-",$D104="是",$E104="封闭期",$H104&lt;10,$BN104&lt;-6,$BR104&lt;70),"-",COUNTIFS(AH$4:AH$200,"&lt;&gt;-",$D$4:$D$200,"&lt;&gt;是",$E$4:$E$200,"&lt;&gt;封闭期",$H$4:$H$200,"&gt;10",$BN$4:$BN$200,"&gt;-6",$BR$4:$BR$200,"&gt;=70",$K$4:$K$200,"&lt;=30",$C$4:$C$200,"&lt;20190630",AH$4:AH$200,"&gt;="&amp;AH104)/COUNTIFS(AH$4:AH$200,"&lt;&gt;-",$D$4:$D$200,"&lt;&gt;是",$E$4:$E$200,"&lt;&gt;封闭期",$H$4:$H$200,"&gt;10",$BN$4:$BN$200,"&gt;-6",$BR$4:$BR$200,"&gt;=70",$C$4:$C$200,"&lt;20190630",$K$4:$K$200,"&lt;=30"))</f>
        <v>-</v>
      </c>
      <c r="AM104" s="19">
        <f>[1]!f_return($A104,"1",AM$2,$L$2)</f>
        <v>7.2332784464301136</v>
      </c>
      <c r="AN104" s="19">
        <f>[1]!f_risk_stdevyearly($A104,AM$2,$L$2,1,1)</f>
        <v>3.6482080846249256</v>
      </c>
      <c r="AO104" s="19">
        <f>IFERROR(AM104/AN104,"-")</f>
        <v>1.9826934973677004</v>
      </c>
      <c r="AP104" s="19" t="str">
        <f>IFERROR(RANK(AO104,AO:AO)&amp;"/"&amp;COUNT(AO:AO),"-")</f>
        <v>50/197</v>
      </c>
      <c r="AQ104" s="26">
        <f>IF(AP104="-","-",RANK(AO104,AO:AO)/COUNT(AO:AO))</f>
        <v>0.25380710659898476</v>
      </c>
      <c r="AR104" s="57">
        <v>0.51269035532994922</v>
      </c>
      <c r="AS104" s="33" t="str">
        <f>IF(OR($C104&gt;20190630,$K104&gt;30,AO104="-",$D104="是",$E104="封闭期",$H104&lt;10,$BN104&lt;-6,$BR104&lt;70),"-",COUNTIFS(AO$4:AO$200,"&lt;&gt;-",$D$4:$D$200,"&lt;&gt;是",$E$4:$E$200,"&lt;&gt;封闭期",$H$4:$H$200,"&gt;10",$BN$4:$BN$200,"&gt;-6",$BR$4:$BR$200,"&gt;=70",$K$4:$K$200,"&lt;=30",$C$4:$C$200,"&lt;20190630",AO$4:AO$200,"&gt;="&amp;AO104)/COUNTIFS(AO$4:AO$200,"&lt;&gt;-",$D$4:$D$200,"&lt;&gt;是",$E$4:$E$200,"&lt;&gt;封闭期",$H$4:$H$200,"&gt;10",$BN$4:$BN$200,"&gt;-6",$BR$4:$BR$200,"&gt;=70",$C$4:$C$200,"&lt;20190630",$K$4:$K$200,"&lt;=30"))</f>
        <v>-</v>
      </c>
      <c r="AT104" s="19">
        <f>IFERROR((AM104-3)/AN104,"-")</f>
        <v>1.1603719821440337</v>
      </c>
      <c r="AU104" s="19" t="str">
        <f>IFERROR(RANK(AT104,AT:AT)&amp;"/"&amp;COUNT(AT:AT),"-")</f>
        <v>57/197</v>
      </c>
      <c r="AV104" s="26">
        <f>IFERROR(RANK(AT104,AT:AT)/COUNT(AT:AT),"-")</f>
        <v>0.28934010152284262</v>
      </c>
      <c r="AW104" s="34" t="str">
        <f>IF(OR($C104&gt;20190630,$K104&gt;30,AT104="-",$D104="是",$E104="封闭期",$H104&lt;10,$BN104&lt;-6,$BR104&lt;70),"-",COUNTIFS(AT$4:AT$200,"&lt;&gt;-",$D$4:$D$200,"&lt;&gt;是",$E$4:$E$200,"&lt;&gt;封闭期",$H$4:$H$200,"&gt;10",$BN$4:$BN$200,"&gt;-6",$BR$4:$BR$200,"&gt;=70",$K$4:$K$200,"&lt;=30",$C$4:$C$200,"&lt;20190630",AT$4:AT$200,"&gt;="&amp;AT104)&amp;"/"&amp;COUNTIFS(AT$4:AT$200,"&lt;&gt;-",$D$4:$D$200,"&lt;&gt;是",$E$4:$E$200,"&lt;&gt;封闭期",$H$4:$H$200,"&gt;10",$BN$4:$BN$200,"&gt;-6",$BR$4:$BR$200,"&gt;=70",$C$4:$C$200,"&lt;20190630",$K$4:$K$200,"&lt;=30"))</f>
        <v>-</v>
      </c>
      <c r="AX104" s="33" t="str">
        <f>IF(OR($C104&gt;20190630,$K104&gt;30,AT104="-",$D104="是",$E104="封闭期",$H104&lt;10,$BN104&lt;-6,$BR104&lt;70),"-",COUNTIFS(AT$4:AT$200,"&lt;&gt;-",$D$4:$D$200,"&lt;&gt;是",$E$4:$E$200,"&lt;&gt;封闭期",$H$4:$H$200,"&gt;10",$BN$4:$BN$200,"&gt;-6",$BR$4:$BR$200,"&gt;=70",$K$4:$K$200,"&lt;=30",$C$4:$C$200,"&lt;20190630",AT$4:AT$200,"&gt;="&amp;AT104)/COUNTIFS(AT$4:AT$200,"&lt;&gt;-",$D$4:$D$200,"&lt;&gt;是",$E$4:$E$200,"&lt;&gt;封闭期",$H$4:$H$200,"&gt;10",$BN$4:$BN$200,"&gt;-6",$BR$4:$BR$200,"&gt;=70",$C$4:$C$200,"&lt;20190630",$K$4:$K$200,"&lt;=30"))</f>
        <v>-</v>
      </c>
      <c r="AY104" s="19">
        <f>[1]!f_risk_calmar(A104,$AM$2,$L$2)</f>
        <v>2.5378474092046304</v>
      </c>
      <c r="AZ104" s="19" t="str">
        <f>IFERROR(RANK(AY104,AY:AY)&amp;"/"&amp;COUNT(AY:AY),"-")</f>
        <v>77/197</v>
      </c>
      <c r="BA104" s="26">
        <f>IFERROR(RANK(AY104,AY:AY)/COUNT(AY:AY),"-")</f>
        <v>0.39086294416243655</v>
      </c>
      <c r="BB104" s="34" t="str">
        <f>IF(OR($C104&gt;20190630,$K104&gt;30,AY104="-",$D104="是",$E104="封闭期",$H104&lt;10,$BN104&lt;-6,$BR104&lt;70),"-",COUNTIFS(AY$4:AY$200,"&lt;&gt;-",$D$4:$D$200,"&lt;&gt;是",$E$4:$E$200,"&lt;&gt;封闭期",$H$4:$H$200,"&gt;10",$BN$4:$BN$200,"&gt;-6",$BR$4:$BR$200,"&gt;=70",$K$4:$K$200,"&lt;=30",$C$4:$C$200,"&lt;20190630",AY$4:AY$200,"&gt;="&amp;AY104)&amp;"/"&amp;COUNTIFS(AY$4:AY$200,"&lt;&gt;-",$D$4:$D$200,"&lt;&gt;是",$E$4:$E$200,"&lt;&gt;封闭期",$H$4:$H$200,"&gt;10",$BN$4:$BN$200,"&gt;-6",$BR$4:$BR$200,"&gt;=70",$C$4:$C$200,"&lt;20190630",$K$4:$K$200,"&lt;=30"))</f>
        <v>-</v>
      </c>
      <c r="BC104" s="33" t="str">
        <f>IF(OR($C104&gt;20190630,$K104&gt;30,AY104="-",$D104="是",$E104="封闭期",$H104&lt;10,$BN104&lt;-6,$BR104&lt;70),"-",COUNTIFS(AY$4:AY$200,"&lt;&gt;-",$D$4:$D$200,"&lt;&gt;是",$E$4:$E$200,"&lt;&gt;封闭期",$H$4:$H$200,"&gt;10",$BN$4:$BN$200,"&gt;-6",$BR$4:$BR$200,"&gt;=70",$K$4:$K$200,"&lt;=30",$C$4:$C$200,"&lt;20190630",AY$4:AY$200,"&gt;="&amp;AY104)/COUNTIFS(AY$4:AY$200,"&lt;&gt;-",$D$4:$D$200,"&lt;&gt;是",$E$4:$E$200,"&lt;&gt;封闭期",$H$4:$H$200,"&gt;10",$BN$4:$BN$200,"&gt;-6",$BR$4:$BR$200,"&gt;=70",$C$4:$C$200,"&lt;20190630",$K$4:$K$200,"&lt;=30"))</f>
        <v>-</v>
      </c>
      <c r="BD104" s="20">
        <v>0.91666666666666663</v>
      </c>
      <c r="BE104" s="19" t="str">
        <f>IFERROR(RANK(BD104,BD:BD)&amp;"/"&amp;COUNT(BD:BD),"-")</f>
        <v>165/197</v>
      </c>
      <c r="BF104" s="26">
        <f>IFERROR(RANK(BD104,BD:BD)/COUNT(BD:BD),"-")</f>
        <v>0.8375634517766497</v>
      </c>
      <c r="BG104" s="34" t="str">
        <f>IF(OR($C104&gt;20190630,$K104&gt;30,BD104="-",$D104="是",$E104="封闭期",$H104&lt;10,$BN104&lt;-6,$BR104&lt;70),"-",COUNTIFS(BD$4:BD$200,"&lt;&gt;-",$D$4:$D$200,"&lt;&gt;是",$E$4:$E$200,"&lt;&gt;封闭期",$H$4:$H$200,"&gt;10",$BN$4:$BN$200,"&gt;-6",$BR$4:$BR$200,"&gt;=70",$K$4:$K$200,"&lt;=30",$C$4:$C$200,"&lt;20190630",BD$4:BD$200,"&gt;="&amp;BD104)&amp;"/"&amp;COUNTIFS(BD$4:BD$200,"&lt;&gt;-",$D$4:$D$200,"&lt;&gt;是",$E$4:$E$200,"&lt;&gt;封闭期",$H$4:$H$200,"&gt;10",$BN$4:$BN$200,"&gt;-6",$BR$4:$BR$200,"&gt;=70",$C$4:$C$200,"&lt;20190630",$K$4:$K$200,"&lt;=30"))</f>
        <v>-</v>
      </c>
      <c r="BH104" s="33" t="str">
        <f>IF(OR($C104&gt;20190630,$K104&gt;30,BD104="-",$D104="是",$E104="封闭期",$H104&lt;10,$BN104&lt;-6,$BR104&lt;70),"-",COUNTIFS(BD$4:BD$200,"&lt;&gt;-",$D$4:$D$200,"&lt;&gt;是",$E$4:$E$200,"&lt;&gt;封闭期",$H$4:$H$200,"&gt;10",$BN$4:$BN$200,"&gt;-6",$BR$4:$BR$200,"&gt;=70",$K$4:$K$200,"&lt;=30",$C$4:$C$200,"&lt;20190630",BD$4:BD$200,"&gt;="&amp;BD104)/COUNTIFS(BD$4:BD$200,"&lt;&gt;-",$D$4:$D$200,"&lt;&gt;是",$E$4:$E$200,"&lt;&gt;封闭期",$H$4:$H$200,"&gt;10",$BN$4:$BN$200,"&gt;-6",$BR$4:$BR$200,"&gt;=70",$C$4:$C$200,"&lt;20190630",$K$4:$K$200,"&lt;=30"))</f>
        <v>-</v>
      </c>
      <c r="BI104" s="21">
        <f>[1]!f_risk_maxdownside(A104,$AM$2,$L$2)</f>
        <v>-2.8501628664495029</v>
      </c>
      <c r="BJ104" s="19" t="str">
        <f>IFERROR(RANK(BI104,BI:BI)&amp;"/"&amp;COUNT(BI:BI),"-")</f>
        <v>83/197</v>
      </c>
      <c r="BK104" s="26">
        <f>IFERROR(RANK(BI104,BI:BI)/COUNT(BI:BI),"-")</f>
        <v>0.42131979695431471</v>
      </c>
      <c r="BL104" s="34" t="str">
        <f>IF(OR($C104&gt;20190630,$K104&gt;30,BI104="-",$D104="是",$E104="封闭期",$H104&lt;10,$BN104&lt;-6,$BR104&lt;70),"-",COUNTIFS(BI$4:BI$200,"&lt;&gt;-",$D$4:$D$200,"&lt;&gt;是",$E$4:$E$200,"&lt;&gt;封闭期",$H$4:$H$200,"&gt;10",$BN$4:$BN$200,"&gt;-6",$BR$4:$BR$200,"&gt;=70",$K$4:$K$200,"&lt;=30",$C$4:$C$200,"&lt;20190630",BI$4:BI$200,"&gt;="&amp;BI104)&amp;"/"&amp;COUNTIFS(BI$4:BI$200,"&lt;&gt;-",$D$4:$D$200,"&lt;&gt;是",$E$4:$E$200,"&lt;&gt;封闭期",$H$4:$H$200,"&gt;10",$BN$4:$BN$200,"&gt;-6",$BR$4:$BR$200,"&gt;=70",$C$4:$C$200,"&lt;20190630",$K$4:$K$200,"&lt;=30"))</f>
        <v>-</v>
      </c>
      <c r="BM104" s="33" t="str">
        <f>IF(OR($C104&gt;20190630,$K104&gt;30,BI104="-",$D104="是",$E104="封闭期",$H104&lt;10,$BN104&lt;-6,$BR104&lt;70),"-",COUNTIFS(BI$4:BI$200,"&lt;&gt;-",$D$4:$D$200,"&lt;&gt;是",$E$4:$E$200,"&lt;&gt;封闭期",$H$4:$H$200,"&gt;10",$BN$4:$BN$200,"&gt;-6",$BR$4:$BR$200,"&gt;=70",$K$4:$K$200,"&lt;=30",$C$4:$C$200,"&lt;20190630",BI$4:BI$200,"&gt;="&amp;BI104)/COUNTIFS(BI$4:BI$200,"&lt;&gt;-",$D$4:$D$200,"&lt;&gt;是",$E$4:$E$200,"&lt;&gt;封闭期",$H$4:$H$200,"&gt;10",$BN$4:$BN$200,"&gt;-6",$BR$4:$BR$200,"&gt;=70",$C$4:$C$200,"&lt;20190630",$K$4:$K$200,"&lt;=30"))</f>
        <v>-</v>
      </c>
      <c r="BN104" s="21">
        <f>[1]!f_risk_maxdownside(A104,$AM$2,$E$1)</f>
        <v>-6.1889250814332168</v>
      </c>
      <c r="BO104" s="21">
        <f>IF(C104&lt;20190930,[1]!f_return_2y(A104,"0","20210930"),"-")</f>
        <v>8.5464098073555235</v>
      </c>
      <c r="BP104" s="19" t="str">
        <f>IFERROR(RANK(BO104,BO:BO)&amp;"/"&amp;COUNT(BO:BO),"-")</f>
        <v>159/197</v>
      </c>
      <c r="BQ104" s="25">
        <f>IFERROR(RANK(BO104,BO:BO)/COUNT(BO:BO),"-")</f>
        <v>0.80710659898477155</v>
      </c>
      <c r="BR104" s="19">
        <f>IF(C104&lt;20190930,[1]!f_absolute_profitmonthper(A104,"20190930","20210930"),"-")</f>
        <v>75</v>
      </c>
      <c r="BS104" s="19" t="str">
        <f>IFERROR(RANK(BR104,BR:BR)&amp;"/"&amp;COUNT(BR:BR),"-")</f>
        <v>26/198</v>
      </c>
      <c r="BT104" s="25">
        <f>IFERROR(RANK(BR104,BR:BR)/COUNT(BR:BR),"-")</f>
        <v>0.13131313131313133</v>
      </c>
      <c r="BU104" s="17"/>
      <c r="BV104" s="12">
        <f>X104-3/M104</f>
        <v>-0.71789841735352988</v>
      </c>
      <c r="BW104" s="76">
        <f>IFERROR(RANK(BV104,BV:BV)/COUNT(BV:BV),"-")</f>
        <v>0.9441624365482234</v>
      </c>
      <c r="BX104" s="76">
        <f>IFERROR(RANK(L104,L:L)/COUNT(L:L),"-")</f>
        <v>0.93434343434343436</v>
      </c>
      <c r="BY104" s="12">
        <f>AY104-3/AN104</f>
        <v>1.7155258939809634</v>
      </c>
      <c r="BZ104" s="76">
        <f>IFERROR(RANK(BY104,BY:BY)/COUNT(BY:BY),"-")</f>
        <v>0.45685279187817257</v>
      </c>
      <c r="CA104" s="76">
        <f>IFERROR(RANK(AM104,AM:AM)/COUNT(AM:AM),"-")</f>
        <v>0.51515151515151514</v>
      </c>
      <c r="CC104" s="77">
        <f>AV104+BF104+BZ104+CA104</f>
        <v>2.09890786032918</v>
      </c>
      <c r="CD104" s="77">
        <f>BW104+BX104+AE104+U104</f>
        <v>3.5891657693688153</v>
      </c>
      <c r="CE104" s="77">
        <f>CC104+CD104</f>
        <v>5.6880736296979952</v>
      </c>
    </row>
    <row r="105" spans="1:83" s="17" customFormat="1" x14ac:dyDescent="0.35">
      <c r="A105" s="3" t="s">
        <v>249</v>
      </c>
      <c r="B105" s="3" t="s">
        <v>250</v>
      </c>
      <c r="C105" s="4">
        <v>20130329</v>
      </c>
      <c r="D105" s="4" t="str">
        <f>[1]!f_info_regulopenfundornot(A105)</f>
        <v>否</v>
      </c>
      <c r="E105" s="4" t="str">
        <f>[1]!f_dq_status(A105,$E$1)</f>
        <v>开放申购|开放赎回</v>
      </c>
      <c r="F105" s="17" t="str">
        <f>[1]!f_info_fundmanager(A105)</f>
        <v>何秀红</v>
      </c>
      <c r="G105" s="4">
        <v>20130329</v>
      </c>
      <c r="H105" s="11">
        <f>[1]!f_netasset_total(A105,$E$1,100000000)</f>
        <v>200.61962545419999</v>
      </c>
      <c r="I105" s="11">
        <f>[1]!f_prt_convertiblebondtonav(A105,$E$1)</f>
        <v>14.964287757873535</v>
      </c>
      <c r="J105" s="11">
        <f>[1]!f_prt_stocktonav(A105,$E$1)+0.5*I105</f>
        <v>21.638584613800049</v>
      </c>
      <c r="K105" s="12">
        <v>0</v>
      </c>
      <c r="L105" s="19">
        <f>[1]!f_return($A105,"1",L$2,$E$1)</f>
        <v>7.7368244667313624</v>
      </c>
      <c r="M105" s="19">
        <f>[1]!f_risk_stdevyearly($A105,L$2,$E$1,1,1)</f>
        <v>4.2666267313170403</v>
      </c>
      <c r="N105" s="12">
        <f>IFERROR(L105/M105,"-")</f>
        <v>1.8133352069312909</v>
      </c>
      <c r="O105" s="12" t="str">
        <f>IFERROR(RANK(N105,N:N)&amp;"/"&amp;COUNT(N:N),"-")</f>
        <v>61/197</v>
      </c>
      <c r="P105" s="26">
        <f>IF(O105="-","-",RANK(N105,N:N)/COUNT(N:N))</f>
        <v>0.30964467005076141</v>
      </c>
      <c r="Q105" s="58">
        <v>0.29949238578680204</v>
      </c>
      <c r="R105" s="33">
        <f>IF(OR($C105&gt;20190630,$K105&gt;30,N105="-",$D105="是",$E105="封闭期",$H105&lt;10,$BN105&lt;-6,$BR105&lt;70),"-",COUNTIFS(N$4:N$200,"&lt;&gt;-",$D$4:$D$200,"&lt;&gt;是",$E$4:$E$200,"&lt;&gt;封闭期",$H$4:$H$200,"&gt;10",$BN$4:$BN$200,"&gt;-6",$BR$4:$BR$200,"&gt;=70",$K$4:$K$200,"&lt;=30",$C$4:$C$200,"&lt;20190630",N$4:N$200,"&gt;="&amp;N105)/COUNTIFS(N$4:N$200,"&lt;&gt;-",$D$4:$D$200,"&lt;&gt;是",$E$4:$E$200,"&lt;&gt;封闭期",$H$4:$H$200,"&gt;10",$BN$4:$BN$200,"&gt;-6",$BR$4:$BR$200,"&gt;=70",$C$4:$C$200,"&lt;20190630",$K$4:$K$200,"&lt;=30"))</f>
        <v>0.53846153846153844</v>
      </c>
      <c r="S105" s="12">
        <f>IFERROR((L105-3)/M105,"-")</f>
        <v>1.1102036257268701</v>
      </c>
      <c r="T105" s="12" t="str">
        <f>IFERROR(RANK(S105,S:S)&amp;"/"&amp;COUNT(S:S),"-")</f>
        <v>66/197</v>
      </c>
      <c r="U105" s="26">
        <f>IFERROR(RANK(S105,S:S)/COUNT(S:S),"-")</f>
        <v>0.3350253807106599</v>
      </c>
      <c r="V105" s="13" t="str">
        <f>IF(OR($C105&gt;20190630,$K105&gt;30,S105="-",$D105="是",$E105="封闭期",$H105&lt;10,$BN105&lt;-6,$BR105&lt;70),"-",COUNTIFS(S$4:S$200,"&lt;&gt;-",$D$4:$D$200,"&lt;&gt;是",$E$4:$E$200,"&lt;&gt;封闭期",$H$4:$H$200,"&gt;10",$BN$4:$BN$200,"&gt;-6",$BR$4:$BR$200,"&gt;=70",$K$4:$K$200,"&lt;=30",$C$4:$C$200,"&lt;20190630",S$4:S$200,"&gt;="&amp;S105)&amp;"/"&amp;COUNTIFS(S$4:S$200,"&lt;&gt;-",$D$4:$D$200,"&lt;&gt;是",$E$4:$E$200,"&lt;&gt;封闭期",$H$4:$H$200,"&gt;10",$BN$4:$BN$200,"&gt;-6",$BR$4:$BR$200,"&gt;=70",$C$4:$C$200,"&lt;20190630",$K$4:$K$200,"&lt;=30"))</f>
        <v>20/39</v>
      </c>
      <c r="W105" s="33">
        <f>IF(OR($C105&gt;20190630,$K105&gt;30,S105="-",$D105="是",$E105="封闭期",$H105&lt;10,$BN105&lt;-6,$BR105&lt;70),"-",COUNTIFS(S$4:S$200,"&lt;&gt;-",$D$4:$D$200,"&lt;&gt;是",$E$4:$E$200,"&lt;&gt;封闭期",$H$4:$H$200,"&gt;10",$BN$4:$BN$200,"&gt;-6",$BR$4:$BR$200,"&gt;=70",$K$4:$K$200,"&lt;=30",$C$4:$C$200,"&lt;20190630",S$4:S$200,"&gt;="&amp;S105)/COUNTIFS(S$4:S$200,"&lt;&gt;-",$D$4:$D$200,"&lt;&gt;是",$E$4:$E$200,"&lt;&gt;封闭期",$H$4:$H$200,"&gt;10",$BN$4:$BN$200,"&gt;-6",$BR$4:$BR$200,"&gt;=70",$C$4:$C$200,"&lt;20190630",$K$4:$K$200,"&lt;=30"))</f>
        <v>0.51282051282051277</v>
      </c>
      <c r="X105" s="19">
        <f>[1]!f_risk_calmar(A105,$L$2,$E$1)</f>
        <v>2.3483537793137512</v>
      </c>
      <c r="Y105" s="12" t="str">
        <f>IFERROR(RANK(X105,X:X)&amp;"/"&amp;COUNT(X:X),"-")</f>
        <v>77/197</v>
      </c>
      <c r="Z105" s="26">
        <f>IFERROR(RANK(X105,X:X)/COUNT(X:X),"-")</f>
        <v>0.39086294416243655</v>
      </c>
      <c r="AA105" s="13" t="str">
        <f>IF(OR($C105&gt;20190630,$K105&gt;30,X105="-",$D105="是",$E105="封闭期",$H105&lt;10,$BN105&lt;-6,$BR105&lt;70),"-",COUNTIFS(X$4:X$200,"&lt;&gt;-",$D$4:$D$200,"&lt;&gt;是",$E$4:$E$200,"&lt;&gt;封闭期",$H$4:$H$200,"&gt;10",$BN$4:$BN$200,"&gt;-6",$BR$4:$BR$200,"&gt;=70",$K$4:$K$200,"&lt;=30",$C$4:$C$200,"&lt;20190630",X$4:X$200,"&gt;="&amp;X105)&amp;"/"&amp;COUNTIFS(X$4:X$200,"&lt;&gt;-",$D$4:$D$200,"&lt;&gt;是",$E$4:$E$200,"&lt;&gt;封闭期",$H$4:$H$200,"&gt;10",$BN$4:$BN$200,"&gt;-6",$BR$4:$BR$200,"&gt;=70",$C$4:$C$200,"&lt;20190630",$K$4:$K$200,"&lt;=30"))</f>
        <v>25/39</v>
      </c>
      <c r="AB105" s="33">
        <f>IF(OR($C105&gt;20190630,$K105&gt;30,X105="-",$D105="是",$E105="封闭期",$H105&lt;10,$BN105&lt;-6,$BR105&lt;70),"-",COUNTIFS(X$4:X$200,"&lt;&gt;-",$D$4:$D$200,"&lt;&gt;是",$E$4:$E$200,"&lt;&gt;封闭期",$H$4:$H$200,"&gt;10",$BN$4:$BN$200,"&gt;-6",$BR$4:$BR$200,"&gt;=70",$K$4:$K$200,"&lt;=30",$C$4:$C$200,"&lt;20190630",X$4:X$200,"&gt;="&amp;X105)/COUNTIFS(X$4:X$200,"&lt;&gt;-",$D$4:$D$200,"&lt;&gt;是",$E$4:$E$200,"&lt;&gt;封闭期",$H$4:$H$200,"&gt;10",$BN$4:$BN$200,"&gt;-6",$BR$4:$BR$200,"&gt;=70",$C$4:$C$200,"&lt;20190630",$K$4:$K$200,"&lt;=30"))</f>
        <v>0.64102564102564108</v>
      </c>
      <c r="AC105" s="20">
        <v>1</v>
      </c>
      <c r="AD105" s="12" t="str">
        <f>IFERROR(RANK(AC105,AC:AC)&amp;"/"&amp;COUNT(AC:AC),"-")</f>
        <v>1/197</v>
      </c>
      <c r="AE105" s="26">
        <f>IFERROR(RANK(AC105,AC:AC)/COUNT(AC:AC),"-")</f>
        <v>5.076142131979695E-3</v>
      </c>
      <c r="AF105" s="13" t="str">
        <f>IF(OR($C105&gt;20190630,$K105&gt;30,AC105="-",$D105="是",$E105="封闭期",$H105&lt;10,$BN105&lt;-6,$BR105&lt;70),"-",COUNTIFS(AC$4:AC$200,"&lt;&gt;-",$D$4:$D$200,"&lt;&gt;是",$E$4:$E$200,"&lt;&gt;封闭期",$H$4:$H$200,"&gt;10",$BN$4:$BN$200,"&gt;-6",$BR$4:$BR$200,"&gt;=70",$K$4:$K$200,"&lt;=30",$C$4:$C$200,"&lt;20190630",AC$4:AC$200,"&gt;="&amp;AC105)&amp;"/"&amp;COUNTIFS(AC$4:AC$200,"&lt;&gt;-",$D$4:$D$200,"&lt;&gt;是",$E$4:$E$200,"&lt;&gt;封闭期",$H$4:$H$200,"&gt;10",$BN$4:$BN$200,"&gt;-6",$BR$4:$BR$200,"&gt;=70",$C$4:$C$200,"&lt;20190630",$K$4:$K$200,"&lt;=30"))</f>
        <v>28/39</v>
      </c>
      <c r="AG105" s="33">
        <f>IF(OR($C105&gt;20190630,$K105&gt;30,AC105="-",$D105="是",$E105="封闭期",$H105&lt;10,$BN105&lt;-6,$BR105&lt;70),"-",COUNTIFS(AC$4:AC$200,"&lt;&gt;-",$D$4:$D$200,"&lt;&gt;是",$E$4:$E$200,"&lt;&gt;封闭期",$H$4:$H$200,"&gt;10",$BN$4:$BN$200,"&gt;-6",$BR$4:$BR$200,"&gt;=70",$K$4:$K$200,"&lt;=30",$C$4:$C$200,"&lt;20190630",AC$4:AC$200,"&gt;="&amp;AC105)/COUNTIFS(AC$4:AC$200,"&lt;&gt;-",$D$4:$D$200,"&lt;&gt;是",$E$4:$E$200,"&lt;&gt;封闭期",$H$4:$H$200,"&gt;10",$BN$4:$BN$200,"&gt;-6",$BR$4:$BR$200,"&gt;=70",$C$4:$C$200,"&lt;20190630",$K$4:$K$200,"&lt;=30"))</f>
        <v>0.71794871794871795</v>
      </c>
      <c r="AH105" s="21">
        <f>[1]!f_risk_maxdownside(A105,$L$2,$E$1)</f>
        <v>-3.2945736434108577</v>
      </c>
      <c r="AI105" s="19" t="str">
        <f>IFERROR(RANK(AH105,AH:AH)&amp;"/"&amp;COUNT(AH:AH),"-")</f>
        <v>105/197</v>
      </c>
      <c r="AJ105" s="26">
        <f>IFERROR(RANK(AH105,AH:AH)/COUNT(AH:AH),"-")</f>
        <v>0.53299492385786806</v>
      </c>
      <c r="AK105" s="34" t="str">
        <f>IF(OR($C105&gt;20190630,$K105&gt;30,AH105="-",$D105="是",$E105="封闭期",$H105&lt;10,$BN105&lt;-6,$BR105&lt;70),"-",COUNTIFS(AH$4:AH$200,"&lt;&gt;-",$D$4:$D$200,"&lt;&gt;是",$E$4:$E$200,"&lt;&gt;封闭期",$H$4:$H$200,"&gt;10",$BN$4:$BN$200,"&gt;-6",$BR$4:$BR$200,"&gt;=70",$K$4:$K$200,"&lt;=30",$C$4:$C$200,"&lt;20190630",AH$4:AH$200,"&gt;="&amp;AH105)&amp;"/"&amp;COUNTIFS(AH$4:AH$200,"&lt;&gt;-",$D$4:$D$200,"&lt;&gt;是",$E$4:$E$200,"&lt;&gt;封闭期",$H$4:$H$200,"&gt;10",$BN$4:$BN$200,"&gt;-6",$BR$4:$BR$200,"&gt;=70",$C$4:$C$200,"&lt;20190630",$K$4:$K$200,"&lt;=30"))</f>
        <v>28/39</v>
      </c>
      <c r="AL105" s="33">
        <f>IF(OR($C105&gt;20190630,$K105&gt;30,AH105="-",$D105="是",$E105="封闭期",$H105&lt;10,$BN105&lt;-6,$BR105&lt;70),"-",COUNTIFS(AH$4:AH$200,"&lt;&gt;-",$D$4:$D$200,"&lt;&gt;是",$E$4:$E$200,"&lt;&gt;封闭期",$H$4:$H$200,"&gt;10",$BN$4:$BN$200,"&gt;-6",$BR$4:$BR$200,"&gt;=70",$K$4:$K$200,"&lt;=30",$C$4:$C$200,"&lt;20190630",AH$4:AH$200,"&gt;="&amp;AH105)/COUNTIFS(AH$4:AH$200,"&lt;&gt;-",$D$4:$D$200,"&lt;&gt;是",$E$4:$E$200,"&lt;&gt;封闭期",$H$4:$H$200,"&gt;10",$BN$4:$BN$200,"&gt;-6",$BR$4:$BR$200,"&gt;=70",$C$4:$C$200,"&lt;20190630",$K$4:$K$200,"&lt;=30"))</f>
        <v>0.71794871794871795</v>
      </c>
      <c r="AM105" s="19">
        <f>[1]!f_return($A105,"1",AM$2,$L$2)</f>
        <v>7.1521705761472099</v>
      </c>
      <c r="AN105" s="19">
        <f>[1]!f_risk_stdevyearly($A105,AM$2,$L$2,1,1)</f>
        <v>3.7491296452406417</v>
      </c>
      <c r="AO105" s="12">
        <f>IFERROR(AM105/AN105,"-")</f>
        <v>1.9076882511189182</v>
      </c>
      <c r="AP105" s="12" t="str">
        <f>IFERROR(RANK(AO105,AO:AO)&amp;"/"&amp;COUNT(AO:AO),"-")</f>
        <v>61/197</v>
      </c>
      <c r="AQ105" s="26">
        <f>IF(AP105="-","-",RANK(AO105,AO:AO)/COUNT(AO:AO))</f>
        <v>0.30964467005076141</v>
      </c>
      <c r="AR105" s="60">
        <v>0.51776649746192893</v>
      </c>
      <c r="AS105" s="35">
        <f>IF(OR($C105&gt;20190630,$K105&gt;30,AO105="-",$D105="是",$E105="封闭期",$H105&lt;10,$BN105&lt;-6,$BR105&lt;70),"-",COUNTIFS(AO$4:AO$200,"&lt;&gt;-",$D$4:$D$200,"&lt;&gt;是",$E$4:$E$200,"&lt;&gt;封闭期",$H$4:$H$200,"&gt;10",$BN$4:$BN$200,"&gt;-6",$BR$4:$BR$200,"&gt;=70",$K$4:$K$200,"&lt;=30",$C$4:$C$200,"&lt;20190630",AO$4:AO$200,"&gt;="&amp;AO105)/COUNTIFS(AO$4:AO$200,"&lt;&gt;-",$D$4:$D$200,"&lt;&gt;是",$E$4:$E$200,"&lt;&gt;封闭期",$H$4:$H$200,"&gt;10",$BN$4:$BN$200,"&gt;-6",$BR$4:$BR$200,"&gt;=70",$C$4:$C$200,"&lt;20190630",$K$4:$K$200,"&lt;=30"))</f>
        <v>0.53846153846153844</v>
      </c>
      <c r="AT105" s="12">
        <f>IFERROR((AM105-3)/AN105,"-")</f>
        <v>1.1075025323325938</v>
      </c>
      <c r="AU105" s="12" t="str">
        <f>IFERROR(RANK(AT105,AT:AT)&amp;"/"&amp;COUNT(AT:AT),"-")</f>
        <v>69/197</v>
      </c>
      <c r="AV105" s="26">
        <f>IFERROR(RANK(AT105,AT:AT)/COUNT(AT:AT),"-")</f>
        <v>0.35025380710659898</v>
      </c>
      <c r="AW105" s="13" t="str">
        <f>IF(OR($C105&gt;20190630,$K105&gt;30,AT105="-",$D105="是",$E105="封闭期",$H105&lt;10,$BN105&lt;-6,$BR105&lt;70),"-",COUNTIFS(AT$4:AT$200,"&lt;&gt;-",$D$4:$D$200,"&lt;&gt;是",$E$4:$E$200,"&lt;&gt;封闭期",$H$4:$H$200,"&gt;10",$BN$4:$BN$200,"&gt;-6",$BR$4:$BR$200,"&gt;=70",$K$4:$K$200,"&lt;=30",$C$4:$C$200,"&lt;20190630",AT$4:AT$200,"&gt;="&amp;AT105)&amp;"/"&amp;COUNTIFS(AT$4:AT$200,"&lt;&gt;-",$D$4:$D$200,"&lt;&gt;是",$E$4:$E$200,"&lt;&gt;封闭期",$H$4:$H$200,"&gt;10",$BN$4:$BN$200,"&gt;-6",$BR$4:$BR$200,"&gt;=70",$C$4:$C$200,"&lt;20190630",$K$4:$K$200,"&lt;=30"))</f>
        <v>20/39</v>
      </c>
      <c r="AX105" s="33">
        <f>IF(OR($C105&gt;20190630,$K105&gt;30,AT105="-",$D105="是",$E105="封闭期",$H105&lt;10,$BN105&lt;-6,$BR105&lt;70),"-",COUNTIFS(AT$4:AT$200,"&lt;&gt;-",$D$4:$D$200,"&lt;&gt;是",$E$4:$E$200,"&lt;&gt;封闭期",$H$4:$H$200,"&gt;10",$BN$4:$BN$200,"&gt;-6",$BR$4:$BR$200,"&gt;=70",$K$4:$K$200,"&lt;=30",$C$4:$C$200,"&lt;20190630",AT$4:AT$200,"&gt;="&amp;AT105)/COUNTIFS(AT$4:AT$200,"&lt;&gt;-",$D$4:$D$200,"&lt;&gt;是",$E$4:$E$200,"&lt;&gt;封闭期",$H$4:$H$200,"&gt;10",$BN$4:$BN$200,"&gt;-6",$BR$4:$BR$200,"&gt;=70",$C$4:$C$200,"&lt;20190630",$K$4:$K$200,"&lt;=30"))</f>
        <v>0.51282051282051277</v>
      </c>
      <c r="AY105" s="19">
        <f>[1]!f_risk_calmar(A105,$AM$2,$L$2)</f>
        <v>2.6096700443698047</v>
      </c>
      <c r="AZ105" s="12" t="str">
        <f>IFERROR(RANK(AY105,AY:AY)&amp;"/"&amp;COUNT(AY:AY),"-")</f>
        <v>74/197</v>
      </c>
      <c r="BA105" s="26">
        <f>IFERROR(RANK(AY105,AY:AY)/COUNT(AY:AY),"-")</f>
        <v>0.37563451776649748</v>
      </c>
      <c r="BB105" s="13" t="str">
        <f>IF(OR($C105&gt;20190630,$K105&gt;30,AY105="-",$D105="是",$E105="封闭期",$H105&lt;10,$BN105&lt;-6,$BR105&lt;70),"-",COUNTIFS(AY$4:AY$200,"&lt;&gt;-",$D$4:$D$200,"&lt;&gt;是",$E$4:$E$200,"&lt;&gt;封闭期",$H$4:$H$200,"&gt;10",$BN$4:$BN$200,"&gt;-6",$BR$4:$BR$200,"&gt;=70",$K$4:$K$200,"&lt;=30",$C$4:$C$200,"&lt;20190630",AY$4:AY$200,"&gt;="&amp;AY105)&amp;"/"&amp;COUNTIFS(AY$4:AY$200,"&lt;&gt;-",$D$4:$D$200,"&lt;&gt;是",$E$4:$E$200,"&lt;&gt;封闭期",$H$4:$H$200,"&gt;10",$BN$4:$BN$200,"&gt;-6",$BR$4:$BR$200,"&gt;=70",$C$4:$C$200,"&lt;20190630",$K$4:$K$200,"&lt;=30"))</f>
        <v>25/39</v>
      </c>
      <c r="BC105" s="33">
        <f>IF(OR($C105&gt;20190630,$K105&gt;30,AY105="-",$D105="是",$E105="封闭期",$H105&lt;10,$BN105&lt;-6,$BR105&lt;70),"-",COUNTIFS(AY$4:AY$200,"&lt;&gt;-",$D$4:$D$200,"&lt;&gt;是",$E$4:$E$200,"&lt;&gt;封闭期",$H$4:$H$200,"&gt;10",$BN$4:$BN$200,"&gt;-6",$BR$4:$BR$200,"&gt;=70",$K$4:$K$200,"&lt;=30",$C$4:$C$200,"&lt;20190630",AY$4:AY$200,"&gt;="&amp;AY105)/COUNTIFS(AY$4:AY$200,"&lt;&gt;-",$D$4:$D$200,"&lt;&gt;是",$E$4:$E$200,"&lt;&gt;封闭期",$H$4:$H$200,"&gt;10",$BN$4:$BN$200,"&gt;-6",$BR$4:$BR$200,"&gt;=70",$C$4:$C$200,"&lt;20190630",$K$4:$K$200,"&lt;=30"))</f>
        <v>0.64102564102564108</v>
      </c>
      <c r="BD105" s="20">
        <v>1</v>
      </c>
      <c r="BE105" s="12" t="str">
        <f>IFERROR(RANK(BD105,BD:BD)&amp;"/"&amp;COUNT(BD:BD),"-")</f>
        <v>1/197</v>
      </c>
      <c r="BF105" s="26">
        <f>IFERROR(RANK(BD105,BD:BD)/COUNT(BD:BD),"-")</f>
        <v>5.076142131979695E-3</v>
      </c>
      <c r="BG105" s="13" t="str">
        <f>IF(OR($C105&gt;20190630,$K105&gt;30,BD105="-",$D105="是",$E105="封闭期",$H105&lt;10,$BN105&lt;-6,$BR105&lt;70),"-",COUNTIFS(BD$4:BD$200,"&lt;&gt;-",$D$4:$D$200,"&lt;&gt;是",$E$4:$E$200,"&lt;&gt;封闭期",$H$4:$H$200,"&gt;10",$BN$4:$BN$200,"&gt;-6",$BR$4:$BR$200,"&gt;=70",$K$4:$K$200,"&lt;=30",$C$4:$C$200,"&lt;20190630",BD$4:BD$200,"&gt;="&amp;BD105)&amp;"/"&amp;COUNTIFS(BD$4:BD$200,"&lt;&gt;-",$D$4:$D$200,"&lt;&gt;是",$E$4:$E$200,"&lt;&gt;封闭期",$H$4:$H$200,"&gt;10",$BN$4:$BN$200,"&gt;-6",$BR$4:$BR$200,"&gt;=70",$C$4:$C$200,"&lt;20190630",$K$4:$K$200,"&lt;=30"))</f>
        <v>35/39</v>
      </c>
      <c r="BH105" s="33">
        <f>IF(OR($C105&gt;20190630,$K105&gt;30,BD105="-",$D105="是",$E105="封闭期",$H105&lt;10,$BN105&lt;-6,$BR105&lt;70),"-",COUNTIFS(BD$4:BD$200,"&lt;&gt;-",$D$4:$D$200,"&lt;&gt;是",$E$4:$E$200,"&lt;&gt;封闭期",$H$4:$H$200,"&gt;10",$BN$4:$BN$200,"&gt;-6",$BR$4:$BR$200,"&gt;=70",$K$4:$K$200,"&lt;=30",$C$4:$C$200,"&lt;20190630",BD$4:BD$200,"&gt;="&amp;BD105)/COUNTIFS(BD$4:BD$200,"&lt;&gt;-",$D$4:$D$200,"&lt;&gt;是",$E$4:$E$200,"&lt;&gt;封闭期",$H$4:$H$200,"&gt;10",$BN$4:$BN$200,"&gt;-6",$BR$4:$BR$200,"&gt;=70",$C$4:$C$200,"&lt;20190630",$K$4:$K$200,"&lt;=30"))</f>
        <v>0.89743589743589747</v>
      </c>
      <c r="BI105" s="21">
        <f>[1]!f_risk_maxdownside(A105,$AM$2,$L$2)</f>
        <v>-2.7406417112299533</v>
      </c>
      <c r="BJ105" s="19" t="str">
        <f>IFERROR(RANK(BI105,BI:BI)&amp;"/"&amp;COUNT(BI:BI),"-")</f>
        <v>74/197</v>
      </c>
      <c r="BK105" s="26">
        <f>IFERROR(RANK(BI105,BI:BI)/COUNT(BI:BI),"-")</f>
        <v>0.37563451776649748</v>
      </c>
      <c r="BL105" s="34" t="str">
        <f>IF(OR($C105&gt;20190630,$K105&gt;30,BI105="-",$D105="是",$E105="封闭期",$H105&lt;10,$BN105&lt;-6,$BR105&lt;70),"-",COUNTIFS(BI$4:BI$200,"&lt;&gt;-",$D$4:$D$200,"&lt;&gt;是",$E$4:$E$200,"&lt;&gt;封闭期",$H$4:$H$200,"&gt;10",$BN$4:$BN$200,"&gt;-6",$BR$4:$BR$200,"&gt;=70",$K$4:$K$200,"&lt;=30",$C$4:$C$200,"&lt;20190630",BI$4:BI$200,"&gt;="&amp;BI105)&amp;"/"&amp;COUNTIFS(BI$4:BI$200,"&lt;&gt;-",$D$4:$D$200,"&lt;&gt;是",$E$4:$E$200,"&lt;&gt;封闭期",$H$4:$H$200,"&gt;10",$BN$4:$BN$200,"&gt;-6",$BR$4:$BR$200,"&gt;=70",$C$4:$C$200,"&lt;20190630",$K$4:$K$200,"&lt;=30"))</f>
        <v>13/39</v>
      </c>
      <c r="BM105" s="33">
        <f>IF(OR($C105&gt;20190630,$K105&gt;30,BI105="-",$D105="是",$E105="封闭期",$H105&lt;10,$BN105&lt;-6,$BR105&lt;70),"-",COUNTIFS(BI$4:BI$200,"&lt;&gt;-",$D$4:$D$200,"&lt;&gt;是",$E$4:$E$200,"&lt;&gt;封闭期",$H$4:$H$200,"&gt;10",$BN$4:$BN$200,"&gt;-6",$BR$4:$BR$200,"&gt;=70",$K$4:$K$200,"&lt;=30",$C$4:$C$200,"&lt;20190630",BI$4:BI$200,"&gt;="&amp;BI105)/COUNTIFS(BI$4:BI$200,"&lt;&gt;-",$D$4:$D$200,"&lt;&gt;是",$E$4:$E$200,"&lt;&gt;封闭期",$H$4:$H$200,"&gt;10",$BN$4:$BN$200,"&gt;-6",$BR$4:$BR$200,"&gt;=70",$C$4:$C$200,"&lt;20190630",$K$4:$K$200,"&lt;=30"))</f>
        <v>0.33333333333333331</v>
      </c>
      <c r="BN105" s="21">
        <f>[1]!f_risk_maxdownside(A105,$AM$2,$E$1)</f>
        <v>-3.2945736434108577</v>
      </c>
      <c r="BO105" s="14">
        <f>IF(C105&lt;20190930,[1]!f_return_2y(A105,"0","20210930"),"-")</f>
        <v>15.595828422458444</v>
      </c>
      <c r="BP105" s="12" t="str">
        <f>IFERROR(RANK(BO105,BO:BO)&amp;"/"&amp;COUNT(BO:BO),"-")</f>
        <v>78/197</v>
      </c>
      <c r="BQ105" s="25">
        <f>IFERROR(RANK(BO105,BO:BO)/COUNT(BO:BO),"-")</f>
        <v>0.39593908629441626</v>
      </c>
      <c r="BR105" s="12">
        <f>IF(C105&lt;20190930,[1]!f_absolute_profitmonthper(A105,"20190930","20210930"),"-")</f>
        <v>75</v>
      </c>
      <c r="BS105" s="12" t="str">
        <f>IFERROR(RANK(BR105,BR:BR)&amp;"/"&amp;COUNT(BR:BR),"-")</f>
        <v>26/198</v>
      </c>
      <c r="BT105" s="25">
        <f>IFERROR(RANK(BR105,BR:BR)/COUNT(BR:BR),"-")</f>
        <v>0.13131313131313133</v>
      </c>
      <c r="BV105" s="12">
        <f>X105-3/M105</f>
        <v>1.6452221981093305</v>
      </c>
      <c r="BW105" s="76">
        <f>IFERROR(RANK(BV105,BV:BV)/COUNT(BV:BV),"-")</f>
        <v>0.39593908629441626</v>
      </c>
      <c r="BX105" s="76">
        <f>IFERROR(RANK(L105,L:L)/COUNT(L:L),"-")</f>
        <v>0.30303030303030304</v>
      </c>
      <c r="BY105" s="12">
        <f>AY105-3/AN105</f>
        <v>1.8094843255834805</v>
      </c>
      <c r="BZ105" s="76">
        <f>IFERROR(RANK(BY105,BY:BY)/COUNT(BY:BY),"-")</f>
        <v>0.38578680203045684</v>
      </c>
      <c r="CA105" s="76">
        <f>IFERROR(RANK(AM105,AM:AM)/COUNT(AM:AM),"-")</f>
        <v>0.52020202020202022</v>
      </c>
      <c r="CB105" s="2"/>
      <c r="CC105" s="77">
        <f>AV105+BF105+BZ105+CA105</f>
        <v>1.2613187714710556</v>
      </c>
      <c r="CD105" s="77">
        <f>BW105+BX105+AE105+U105</f>
        <v>1.0390709121673589</v>
      </c>
      <c r="CE105" s="77">
        <f>CC105+CD105</f>
        <v>2.3003896836384143</v>
      </c>
    </row>
    <row r="106" spans="1:83" s="2" customFormat="1" hidden="1" x14ac:dyDescent="0.35">
      <c r="A106" s="15" t="s">
        <v>31</v>
      </c>
      <c r="B106" s="15" t="s">
        <v>32</v>
      </c>
      <c r="C106" s="16">
        <v>20080515</v>
      </c>
      <c r="D106" s="16" t="str">
        <f>[1]!f_info_regulopenfundornot(A106)</f>
        <v>否</v>
      </c>
      <c r="E106" s="16" t="str">
        <f>[1]!f_dq_status(A106,$E$1)</f>
        <v>开放申购|开放赎回</v>
      </c>
      <c r="F106" s="17" t="str">
        <f>[1]!f_info_fundmanager(A106)</f>
        <v>高宇,邓栋,张仲维</v>
      </c>
      <c r="G106" s="16">
        <v>20171111</v>
      </c>
      <c r="H106" s="18">
        <f>[1]!f_netasset_total(A106,$E$1,100000000)</f>
        <v>3.8846884742000003</v>
      </c>
      <c r="I106" s="18">
        <f>[1]!f_prt_convertiblebondtonav(A106,$E$1)</f>
        <v>0</v>
      </c>
      <c r="J106" s="18">
        <f>[1]!f_prt_stocktonav(A106,$E$1)+0.5*I106</f>
        <v>10.818902969360352</v>
      </c>
      <c r="K106" s="19">
        <v>8.0400269435844578</v>
      </c>
      <c r="L106" s="19">
        <f>[1]!f_return($A106,"1",L$2,$E$1)</f>
        <v>10.180337238882009</v>
      </c>
      <c r="M106" s="19">
        <f>[1]!f_risk_stdevyearly($A106,L$2,$E$1,1,1)</f>
        <v>6.2407999811219872</v>
      </c>
      <c r="N106" s="19">
        <f>IFERROR(L106/M106,"-")</f>
        <v>1.6312551707596565</v>
      </c>
      <c r="O106" s="19" t="str">
        <f>IFERROR(RANK(N106,N:N)&amp;"/"&amp;COUNT(N:N),"-")</f>
        <v>76/197</v>
      </c>
      <c r="P106" s="26">
        <f>IF(O106="-","-",RANK(N106,N:N)/COUNT(N:N))</f>
        <v>0.38578680203045684</v>
      </c>
      <c r="Q106" s="56">
        <v>0.15228426395939088</v>
      </c>
      <c r="R106" s="33" t="str">
        <f>IF(OR($C106&gt;20190630,$K106&gt;30,N106="-",$D106="是",$E106="封闭期",$H106&lt;10,$BN106&lt;-6,$BR106&lt;70),"-",COUNTIFS(N$4:N$200,"&lt;&gt;-",$D$4:$D$200,"&lt;&gt;是",$E$4:$E$200,"&lt;&gt;封闭期",$H$4:$H$200,"&gt;10",$BN$4:$BN$200,"&gt;-6",$BR$4:$BR$200,"&gt;=70",$K$4:$K$200,"&lt;=30",$C$4:$C$200,"&lt;20190630",N$4:N$200,"&gt;="&amp;N106)/COUNTIFS(N$4:N$200,"&lt;&gt;-",$D$4:$D$200,"&lt;&gt;是",$E$4:$E$200,"&lt;&gt;封闭期",$H$4:$H$200,"&gt;10",$BN$4:$BN$200,"&gt;-6",$BR$4:$BR$200,"&gt;=70",$C$4:$C$200,"&lt;20190630",$K$4:$K$200,"&lt;=30"))</f>
        <v>-</v>
      </c>
      <c r="S106" s="19">
        <f>IFERROR((L106-3)/M106,"-")</f>
        <v>1.1505475677160077</v>
      </c>
      <c r="T106" s="19" t="str">
        <f>IFERROR(RANK(S106,S:S)&amp;"/"&amp;COUNT(S:S),"-")</f>
        <v>63/197</v>
      </c>
      <c r="U106" s="26">
        <f>IFERROR(RANK(S106,S:S)/COUNT(S:S),"-")</f>
        <v>0.31979695431472083</v>
      </c>
      <c r="V106" s="34" t="str">
        <f>IF(OR($C106&gt;20190630,$K106&gt;30,S106="-",$D106="是",$E106="封闭期",$H106&lt;10,$BN106&lt;-6,$BR106&lt;70),"-",COUNTIFS(S$4:S$200,"&lt;&gt;-",$D$4:$D$200,"&lt;&gt;是",$E$4:$E$200,"&lt;&gt;封闭期",$H$4:$H$200,"&gt;10",$BN$4:$BN$200,"&gt;-6",$BR$4:$BR$200,"&gt;=70",$K$4:$K$200,"&lt;=30",$C$4:$C$200,"&lt;20190630",S$4:S$200,"&gt;="&amp;S106)&amp;"/"&amp;COUNTIFS(S$4:S$200,"&lt;&gt;-",$D$4:$D$200,"&lt;&gt;是",$E$4:$E$200,"&lt;&gt;封闭期",$H$4:$H$200,"&gt;10",$BN$4:$BN$200,"&gt;-6",$BR$4:$BR$200,"&gt;=70",$C$4:$C$200,"&lt;20190630",$K$4:$K$200,"&lt;=30"))</f>
        <v>-</v>
      </c>
      <c r="W106" s="33" t="str">
        <f>IF(OR($C106&gt;20190630,$K106&gt;30,S106="-",$D106="是",$E106="封闭期",$H106&lt;10,$BN106&lt;-6,$BR106&lt;70),"-",COUNTIFS(S$4:S$200,"&lt;&gt;-",$D$4:$D$200,"&lt;&gt;是",$E$4:$E$200,"&lt;&gt;封闭期",$H$4:$H$200,"&gt;10",$BN$4:$BN$200,"&gt;-6",$BR$4:$BR$200,"&gt;=70",$K$4:$K$200,"&lt;=30",$C$4:$C$200,"&lt;20190630",S$4:S$200,"&gt;="&amp;S106)/COUNTIFS(S$4:S$200,"&lt;&gt;-",$D$4:$D$200,"&lt;&gt;是",$E$4:$E$200,"&lt;&gt;封闭期",$H$4:$H$200,"&gt;10",$BN$4:$BN$200,"&gt;-6",$BR$4:$BR$200,"&gt;=70",$C$4:$C$200,"&lt;20190630",$K$4:$K$200,"&lt;=30"))</f>
        <v>-</v>
      </c>
      <c r="X106" s="19">
        <f>[1]!f_risk_calmar(A106,$L$2,$E$1)</f>
        <v>1.7553994160512751</v>
      </c>
      <c r="Y106" s="19" t="str">
        <f>IFERROR(RANK(X106,X:X)&amp;"/"&amp;COUNT(X:X),"-")</f>
        <v>112/197</v>
      </c>
      <c r="Z106" s="26">
        <f>IFERROR(RANK(X106,X:X)/COUNT(X:X),"-")</f>
        <v>0.56852791878172593</v>
      </c>
      <c r="AA106" s="34" t="str">
        <f>IF(OR($C106&gt;20190630,$K106&gt;30,X106="-",$D106="是",$E106="封闭期",$H106&lt;10,$BN106&lt;-6,$BR106&lt;70),"-",COUNTIFS(X$4:X$200,"&lt;&gt;-",$D$4:$D$200,"&lt;&gt;是",$E$4:$E$200,"&lt;&gt;封闭期",$H$4:$H$200,"&gt;10",$BN$4:$BN$200,"&gt;-6",$BR$4:$BR$200,"&gt;=70",$K$4:$K$200,"&lt;=30",$C$4:$C$200,"&lt;20190630",X$4:X$200,"&gt;="&amp;X106)&amp;"/"&amp;COUNTIFS(X$4:X$200,"&lt;&gt;-",$D$4:$D$200,"&lt;&gt;是",$E$4:$E$200,"&lt;&gt;封闭期",$H$4:$H$200,"&gt;10",$BN$4:$BN$200,"&gt;-6",$BR$4:$BR$200,"&gt;=70",$C$4:$C$200,"&lt;20190630",$K$4:$K$200,"&lt;=30"))</f>
        <v>-</v>
      </c>
      <c r="AB106" s="33" t="str">
        <f>IF(OR($C106&gt;20190630,$K106&gt;30,X106="-",$D106="是",$E106="封闭期",$H106&lt;10,$BN106&lt;-6,$BR106&lt;70),"-",COUNTIFS(X$4:X$200,"&lt;&gt;-",$D$4:$D$200,"&lt;&gt;是",$E$4:$E$200,"&lt;&gt;封闭期",$H$4:$H$200,"&gt;10",$BN$4:$BN$200,"&gt;-6",$BR$4:$BR$200,"&gt;=70",$K$4:$K$200,"&lt;=30",$C$4:$C$200,"&lt;20190630",X$4:X$200,"&gt;="&amp;X106)/COUNTIFS(X$4:X$200,"&lt;&gt;-",$D$4:$D$200,"&lt;&gt;是",$E$4:$E$200,"&lt;&gt;封闭期",$H$4:$H$200,"&gt;10",$BN$4:$BN$200,"&gt;-6",$BR$4:$BR$200,"&gt;=70",$C$4:$C$200,"&lt;20190630",$K$4:$K$200,"&lt;=30"))</f>
        <v>-</v>
      </c>
      <c r="AC106" s="20">
        <v>0.96638655462184875</v>
      </c>
      <c r="AD106" s="19" t="str">
        <f>IFERROR(RANK(AC106,AC:AC)&amp;"/"&amp;COUNT(AC:AC),"-")</f>
        <v>101/197</v>
      </c>
      <c r="AE106" s="26">
        <f>IFERROR(RANK(AC106,AC:AC)/COUNT(AC:AC),"-")</f>
        <v>0.51269035532994922</v>
      </c>
      <c r="AF106" s="34" t="str">
        <f>IF(OR($C106&gt;20190630,$K106&gt;30,AC106="-",$D106="是",$E106="封闭期",$H106&lt;10,$BN106&lt;-6,$BR106&lt;70),"-",COUNTIFS(AC$4:AC$200,"&lt;&gt;-",$D$4:$D$200,"&lt;&gt;是",$E$4:$E$200,"&lt;&gt;封闭期",$H$4:$H$200,"&gt;10",$BN$4:$BN$200,"&gt;-6",$BR$4:$BR$200,"&gt;=70",$K$4:$K$200,"&lt;=30",$C$4:$C$200,"&lt;20190630",AC$4:AC$200,"&gt;="&amp;AC106)&amp;"/"&amp;COUNTIFS(AC$4:AC$200,"&lt;&gt;-",$D$4:$D$200,"&lt;&gt;是",$E$4:$E$200,"&lt;&gt;封闭期",$H$4:$H$200,"&gt;10",$BN$4:$BN$200,"&gt;-6",$BR$4:$BR$200,"&gt;=70",$C$4:$C$200,"&lt;20190630",$K$4:$K$200,"&lt;=30"))</f>
        <v>-</v>
      </c>
      <c r="AG106" s="33" t="str">
        <f>IF(OR($C106&gt;20190630,$K106&gt;30,AC106="-",$D106="是",$E106="封闭期",$H106&lt;10,$BN106&lt;-6,$BR106&lt;70),"-",COUNTIFS(AC$4:AC$200,"&lt;&gt;-",$D$4:$D$200,"&lt;&gt;是",$E$4:$E$200,"&lt;&gt;封闭期",$H$4:$H$200,"&gt;10",$BN$4:$BN$200,"&gt;-6",$BR$4:$BR$200,"&gt;=70",$K$4:$K$200,"&lt;=30",$C$4:$C$200,"&lt;20190630",AC$4:AC$200,"&gt;="&amp;AC106)/COUNTIFS(AC$4:AC$200,"&lt;&gt;-",$D$4:$D$200,"&lt;&gt;是",$E$4:$E$200,"&lt;&gt;封闭期",$H$4:$H$200,"&gt;10",$BN$4:$BN$200,"&gt;-6",$BR$4:$BR$200,"&gt;=70",$C$4:$C$200,"&lt;20190630",$K$4:$K$200,"&lt;=30"))</f>
        <v>-</v>
      </c>
      <c r="AH106" s="21">
        <f>[1]!f_risk_maxdownside(A106,$L$2,$E$1)</f>
        <v>-5.7994420789898689</v>
      </c>
      <c r="AI106" s="19" t="str">
        <f>IFERROR(RANK(AH106,AH:AH)&amp;"/"&amp;COUNT(AH:AH),"-")</f>
        <v>173/197</v>
      </c>
      <c r="AJ106" s="26">
        <f>IFERROR(RANK(AH106,AH:AH)/COUNT(AH:AH),"-")</f>
        <v>0.87817258883248728</v>
      </c>
      <c r="AK106" s="34" t="str">
        <f>IF(OR($C106&gt;20190630,$K106&gt;30,AH106="-",$D106="是",$E106="封闭期",$H106&lt;10,$BN106&lt;-6,$BR106&lt;70),"-",COUNTIFS(AH$4:AH$200,"&lt;&gt;-",$D$4:$D$200,"&lt;&gt;是",$E$4:$E$200,"&lt;&gt;封闭期",$H$4:$H$200,"&gt;10",$BN$4:$BN$200,"&gt;-6",$BR$4:$BR$200,"&gt;=70",$K$4:$K$200,"&lt;=30",$C$4:$C$200,"&lt;20190630",AH$4:AH$200,"&gt;="&amp;AH106)&amp;"/"&amp;COUNTIFS(AH$4:AH$200,"&lt;&gt;-",$D$4:$D$200,"&lt;&gt;是",$E$4:$E$200,"&lt;&gt;封闭期",$H$4:$H$200,"&gt;10",$BN$4:$BN$200,"&gt;-6",$BR$4:$BR$200,"&gt;=70",$C$4:$C$200,"&lt;20190630",$K$4:$K$200,"&lt;=30"))</f>
        <v>-</v>
      </c>
      <c r="AL106" s="33" t="str">
        <f>IF(OR($C106&gt;20190630,$K106&gt;30,AH106="-",$D106="是",$E106="封闭期",$H106&lt;10,$BN106&lt;-6,$BR106&lt;70),"-",COUNTIFS(AH$4:AH$200,"&lt;&gt;-",$D$4:$D$200,"&lt;&gt;是",$E$4:$E$200,"&lt;&gt;封闭期",$H$4:$H$200,"&gt;10",$BN$4:$BN$200,"&gt;-6",$BR$4:$BR$200,"&gt;=70",$K$4:$K$200,"&lt;=30",$C$4:$C$200,"&lt;20190630",AH$4:AH$200,"&gt;="&amp;AH106)/COUNTIFS(AH$4:AH$200,"&lt;&gt;-",$D$4:$D$200,"&lt;&gt;是",$E$4:$E$200,"&lt;&gt;封闭期",$H$4:$H$200,"&gt;10",$BN$4:$BN$200,"&gt;-6",$BR$4:$BR$200,"&gt;=70",$C$4:$C$200,"&lt;20190630",$K$4:$K$200,"&lt;=30"))</f>
        <v>-</v>
      </c>
      <c r="AM106" s="19">
        <f>[1]!f_return($A106,"1",AM$2,$L$2)</f>
        <v>7.1513604293125477</v>
      </c>
      <c r="AN106" s="19">
        <f>[1]!f_risk_stdevyearly($A106,AM$2,$L$2,1,1)</f>
        <v>8.0015828564324973</v>
      </c>
      <c r="AO106" s="19">
        <f>IFERROR(AM106/AN106,"-")</f>
        <v>0.89374322026341912</v>
      </c>
      <c r="AP106" s="19" t="str">
        <f>IFERROR(RANK(AO106,AO:AO)&amp;"/"&amp;COUNT(AO:AO),"-")</f>
        <v>170/197</v>
      </c>
      <c r="AQ106" s="26">
        <f>IF(AP106="-","-",RANK(AO106,AO:AO)/COUNT(AO:AO))</f>
        <v>0.86294416243654826</v>
      </c>
      <c r="AR106" s="57">
        <v>0.52284263959390864</v>
      </c>
      <c r="AS106" s="33" t="str">
        <f>IF(OR($C106&gt;20190630,$K106&gt;30,AO106="-",$D106="是",$E106="封闭期",$H106&lt;10,$BN106&lt;-6,$BR106&lt;70),"-",COUNTIFS(AO$4:AO$200,"&lt;&gt;-",$D$4:$D$200,"&lt;&gt;是",$E$4:$E$200,"&lt;&gt;封闭期",$H$4:$H$200,"&gt;10",$BN$4:$BN$200,"&gt;-6",$BR$4:$BR$200,"&gt;=70",$K$4:$K$200,"&lt;=30",$C$4:$C$200,"&lt;20190630",AO$4:AO$200,"&gt;="&amp;AO106)/COUNTIFS(AO$4:AO$200,"&lt;&gt;-",$D$4:$D$200,"&lt;&gt;是",$E$4:$E$200,"&lt;&gt;封闭期",$H$4:$H$200,"&gt;10",$BN$4:$BN$200,"&gt;-6",$BR$4:$BR$200,"&gt;=70",$C$4:$C$200,"&lt;20190630",$K$4:$K$200,"&lt;=30"))</f>
        <v>-</v>
      </c>
      <c r="AT106" s="19">
        <f>IFERROR((AM106-3)/AN106,"-")</f>
        <v>0.51881740198131621</v>
      </c>
      <c r="AU106" s="19" t="str">
        <f>IFERROR(RANK(AT106,AT:AT)&amp;"/"&amp;COUNT(AT:AT),"-")</f>
        <v>137/197</v>
      </c>
      <c r="AV106" s="26">
        <f>IFERROR(RANK(AT106,AT:AT)/COUNT(AT:AT),"-")</f>
        <v>0.69543147208121825</v>
      </c>
      <c r="AW106" s="34" t="str">
        <f>IF(OR($C106&gt;20190630,$K106&gt;30,AT106="-",$D106="是",$E106="封闭期",$H106&lt;10,$BN106&lt;-6,$BR106&lt;70),"-",COUNTIFS(AT$4:AT$200,"&lt;&gt;-",$D$4:$D$200,"&lt;&gt;是",$E$4:$E$200,"&lt;&gt;封闭期",$H$4:$H$200,"&gt;10",$BN$4:$BN$200,"&gt;-6",$BR$4:$BR$200,"&gt;=70",$K$4:$K$200,"&lt;=30",$C$4:$C$200,"&lt;20190630",AT$4:AT$200,"&gt;="&amp;AT106)&amp;"/"&amp;COUNTIFS(AT$4:AT$200,"&lt;&gt;-",$D$4:$D$200,"&lt;&gt;是",$E$4:$E$200,"&lt;&gt;封闭期",$H$4:$H$200,"&gt;10",$BN$4:$BN$200,"&gt;-6",$BR$4:$BR$200,"&gt;=70",$C$4:$C$200,"&lt;20190630",$K$4:$K$200,"&lt;=30"))</f>
        <v>-</v>
      </c>
      <c r="AX106" s="33" t="str">
        <f>IF(OR($C106&gt;20190630,$K106&gt;30,AT106="-",$D106="是",$E106="封闭期",$H106&lt;10,$BN106&lt;-6,$BR106&lt;70),"-",COUNTIFS(AT$4:AT$200,"&lt;&gt;-",$D$4:$D$200,"&lt;&gt;是",$E$4:$E$200,"&lt;&gt;封闭期",$H$4:$H$200,"&gt;10",$BN$4:$BN$200,"&gt;-6",$BR$4:$BR$200,"&gt;=70",$K$4:$K$200,"&lt;=30",$C$4:$C$200,"&lt;20190630",AT$4:AT$200,"&gt;="&amp;AT106)/COUNTIFS(AT$4:AT$200,"&lt;&gt;-",$D$4:$D$200,"&lt;&gt;是",$E$4:$E$200,"&lt;&gt;封闭期",$H$4:$H$200,"&gt;10",$BN$4:$BN$200,"&gt;-6",$BR$4:$BR$200,"&gt;=70",$C$4:$C$200,"&lt;20190630",$K$4:$K$200,"&lt;=30"))</f>
        <v>-</v>
      </c>
      <c r="AY106" s="19">
        <f>[1]!f_risk_calmar(A106,$AM$2,$L$2)</f>
        <v>1.0842872538246413</v>
      </c>
      <c r="AZ106" s="19" t="str">
        <f>IFERROR(RANK(AY106,AY:AY)&amp;"/"&amp;COUNT(AY:AY),"-")</f>
        <v>163/197</v>
      </c>
      <c r="BA106" s="26">
        <f>IFERROR(RANK(AY106,AY:AY)/COUNT(AY:AY),"-")</f>
        <v>0.82741116751269039</v>
      </c>
      <c r="BB106" s="34" t="str">
        <f>IF(OR($C106&gt;20190630,$K106&gt;30,AY106="-",$D106="是",$E106="封闭期",$H106&lt;10,$BN106&lt;-6,$BR106&lt;70),"-",COUNTIFS(AY$4:AY$200,"&lt;&gt;-",$D$4:$D$200,"&lt;&gt;是",$E$4:$E$200,"&lt;&gt;封闭期",$H$4:$H$200,"&gt;10",$BN$4:$BN$200,"&gt;-6",$BR$4:$BR$200,"&gt;=70",$K$4:$K$200,"&lt;=30",$C$4:$C$200,"&lt;20190630",AY$4:AY$200,"&gt;="&amp;AY106)&amp;"/"&amp;COUNTIFS(AY$4:AY$200,"&lt;&gt;-",$D$4:$D$200,"&lt;&gt;是",$E$4:$E$200,"&lt;&gt;封闭期",$H$4:$H$200,"&gt;10",$BN$4:$BN$200,"&gt;-6",$BR$4:$BR$200,"&gt;=70",$C$4:$C$200,"&lt;20190630",$K$4:$K$200,"&lt;=30"))</f>
        <v>-</v>
      </c>
      <c r="BC106" s="33" t="str">
        <f>IF(OR($C106&gt;20190630,$K106&gt;30,AY106="-",$D106="是",$E106="封闭期",$H106&lt;10,$BN106&lt;-6,$BR106&lt;70),"-",COUNTIFS(AY$4:AY$200,"&lt;&gt;-",$D$4:$D$200,"&lt;&gt;是",$E$4:$E$200,"&lt;&gt;封闭期",$H$4:$H$200,"&gt;10",$BN$4:$BN$200,"&gt;-6",$BR$4:$BR$200,"&gt;=70",$K$4:$K$200,"&lt;=30",$C$4:$C$200,"&lt;20190630",AY$4:AY$200,"&gt;="&amp;AY106)/COUNTIFS(AY$4:AY$200,"&lt;&gt;-",$D$4:$D$200,"&lt;&gt;是",$E$4:$E$200,"&lt;&gt;封闭期",$H$4:$H$200,"&gt;10",$BN$4:$BN$200,"&gt;-6",$BR$4:$BR$200,"&gt;=70",$C$4:$C$200,"&lt;20190630",$K$4:$K$200,"&lt;=30"))</f>
        <v>-</v>
      </c>
      <c r="BD106" s="20">
        <v>0.96666666666666667</v>
      </c>
      <c r="BE106" s="19" t="str">
        <f>IFERROR(RANK(BD106,BD:BD)&amp;"/"&amp;COUNT(BD:BD),"-")</f>
        <v>158/197</v>
      </c>
      <c r="BF106" s="26">
        <f>IFERROR(RANK(BD106,BD:BD)/COUNT(BD:BD),"-")</f>
        <v>0.80203045685279184</v>
      </c>
      <c r="BG106" s="34" t="str">
        <f>IF(OR($C106&gt;20190630,$K106&gt;30,BD106="-",$D106="是",$E106="封闭期",$H106&lt;10,$BN106&lt;-6,$BR106&lt;70),"-",COUNTIFS(BD$4:BD$200,"&lt;&gt;-",$D$4:$D$200,"&lt;&gt;是",$E$4:$E$200,"&lt;&gt;封闭期",$H$4:$H$200,"&gt;10",$BN$4:$BN$200,"&gt;-6",$BR$4:$BR$200,"&gt;=70",$K$4:$K$200,"&lt;=30",$C$4:$C$200,"&lt;20190630",BD$4:BD$200,"&gt;="&amp;BD106)&amp;"/"&amp;COUNTIFS(BD$4:BD$200,"&lt;&gt;-",$D$4:$D$200,"&lt;&gt;是",$E$4:$E$200,"&lt;&gt;封闭期",$H$4:$H$200,"&gt;10",$BN$4:$BN$200,"&gt;-6",$BR$4:$BR$200,"&gt;=70",$C$4:$C$200,"&lt;20190630",$K$4:$K$200,"&lt;=30"))</f>
        <v>-</v>
      </c>
      <c r="BH106" s="33" t="str">
        <f>IF(OR($C106&gt;20190630,$K106&gt;30,BD106="-",$D106="是",$E106="封闭期",$H106&lt;10,$BN106&lt;-6,$BR106&lt;70),"-",COUNTIFS(BD$4:BD$200,"&lt;&gt;-",$D$4:$D$200,"&lt;&gt;是",$E$4:$E$200,"&lt;&gt;封闭期",$H$4:$H$200,"&gt;10",$BN$4:$BN$200,"&gt;-6",$BR$4:$BR$200,"&gt;=70",$K$4:$K$200,"&lt;=30",$C$4:$C$200,"&lt;20190630",BD$4:BD$200,"&gt;="&amp;BD106)/COUNTIFS(BD$4:BD$200,"&lt;&gt;-",$D$4:$D$200,"&lt;&gt;是",$E$4:$E$200,"&lt;&gt;封闭期",$H$4:$H$200,"&gt;10",$BN$4:$BN$200,"&gt;-6",$BR$4:$BR$200,"&gt;=70",$C$4:$C$200,"&lt;20190630",$K$4:$K$200,"&lt;=30"))</f>
        <v>-</v>
      </c>
      <c r="BI106" s="21">
        <f>[1]!f_risk_maxdownside(A106,$AM$2,$L$2)</f>
        <v>-6.5954482117974962</v>
      </c>
      <c r="BJ106" s="19" t="str">
        <f>IFERROR(RANK(BI106,BI:BI)&amp;"/"&amp;COUNT(BI:BI),"-")</f>
        <v>176/197</v>
      </c>
      <c r="BK106" s="26">
        <f>IFERROR(RANK(BI106,BI:BI)/COUNT(BI:BI),"-")</f>
        <v>0.89340101522842641</v>
      </c>
      <c r="BL106" s="34" t="str">
        <f>IF(OR($C106&gt;20190630,$K106&gt;30,BI106="-",$D106="是",$E106="封闭期",$H106&lt;10,$BN106&lt;-6,$BR106&lt;70),"-",COUNTIFS(BI$4:BI$200,"&lt;&gt;-",$D$4:$D$200,"&lt;&gt;是",$E$4:$E$200,"&lt;&gt;封闭期",$H$4:$H$200,"&gt;10",$BN$4:$BN$200,"&gt;-6",$BR$4:$BR$200,"&gt;=70",$K$4:$K$200,"&lt;=30",$C$4:$C$200,"&lt;20190630",BI$4:BI$200,"&gt;="&amp;BI106)&amp;"/"&amp;COUNTIFS(BI$4:BI$200,"&lt;&gt;-",$D$4:$D$200,"&lt;&gt;是",$E$4:$E$200,"&lt;&gt;封闭期",$H$4:$H$200,"&gt;10",$BN$4:$BN$200,"&gt;-6",$BR$4:$BR$200,"&gt;=70",$C$4:$C$200,"&lt;20190630",$K$4:$K$200,"&lt;=30"))</f>
        <v>-</v>
      </c>
      <c r="BM106" s="33" t="str">
        <f>IF(OR($C106&gt;20190630,$K106&gt;30,BI106="-",$D106="是",$E106="封闭期",$H106&lt;10,$BN106&lt;-6,$BR106&lt;70),"-",COUNTIFS(BI$4:BI$200,"&lt;&gt;-",$D$4:$D$200,"&lt;&gt;是",$E$4:$E$200,"&lt;&gt;封闭期",$H$4:$H$200,"&gt;10",$BN$4:$BN$200,"&gt;-6",$BR$4:$BR$200,"&gt;=70",$K$4:$K$200,"&lt;=30",$C$4:$C$200,"&lt;20190630",BI$4:BI$200,"&gt;="&amp;BI106)/COUNTIFS(BI$4:BI$200,"&lt;&gt;-",$D$4:$D$200,"&lt;&gt;是",$E$4:$E$200,"&lt;&gt;封闭期",$H$4:$H$200,"&gt;10",$BN$4:$BN$200,"&gt;-6",$BR$4:$BR$200,"&gt;=70",$C$4:$C$200,"&lt;20190630",$K$4:$K$200,"&lt;=30"))</f>
        <v>-</v>
      </c>
      <c r="BN106" s="21">
        <f>[1]!f_risk_maxdownside(A106,$AM$2,$E$1)</f>
        <v>-6.5954482117974962</v>
      </c>
      <c r="BO106" s="21">
        <f>IF(C106&lt;20190930,[1]!f_return_2y(A106,"0","20210930"),"-")</f>
        <v>18.18031019324874</v>
      </c>
      <c r="BP106" s="19" t="str">
        <f>IFERROR(RANK(BO106,BO:BO)&amp;"/"&amp;COUNT(BO:BO),"-")</f>
        <v>53/197</v>
      </c>
      <c r="BQ106" s="25">
        <f>IFERROR(RANK(BO106,BO:BO)/COUNT(BO:BO),"-")</f>
        <v>0.26903553299492383</v>
      </c>
      <c r="BR106" s="19">
        <f>IF(C106&lt;20190930,[1]!f_absolute_profitmonthper(A106,"20190930","20210930"),"-")</f>
        <v>50</v>
      </c>
      <c r="BS106" s="19" t="str">
        <f>IFERROR(RANK(BR106,BR:BR)&amp;"/"&amp;COUNT(BR:BR),"-")</f>
        <v>193/198</v>
      </c>
      <c r="BT106" s="25">
        <f>IFERROR(RANK(BR106,BR:BR)/COUNT(BR:BR),"-")</f>
        <v>0.9747474747474747</v>
      </c>
      <c r="BU106" s="17"/>
      <c r="BV106" s="12">
        <f>X106-3/M106</f>
        <v>1.2746918130076261</v>
      </c>
      <c r="BW106" s="76">
        <f>IFERROR(RANK(BV106,BV:BV)/COUNT(BV:BV),"-")</f>
        <v>0.52791878172588835</v>
      </c>
      <c r="BX106" s="76">
        <f>IFERROR(RANK(L106,L:L)/COUNT(L:L),"-")</f>
        <v>0.15656565656565657</v>
      </c>
      <c r="BY106" s="12">
        <f>AY106-3/AN106</f>
        <v>0.70936143554253839</v>
      </c>
      <c r="BZ106" s="76">
        <f>IFERROR(RANK(BY106,BY:BY)/COUNT(BY:BY),"-")</f>
        <v>0.75634517766497467</v>
      </c>
      <c r="CA106" s="76">
        <f>IFERROR(RANK(AM106,AM:AM)/COUNT(AM:AM),"-")</f>
        <v>0.5252525252525253</v>
      </c>
      <c r="CC106" s="77">
        <f>AV106+BF106+BZ106+CA106</f>
        <v>2.7790596318515099</v>
      </c>
      <c r="CD106" s="77">
        <f>BW106+BX106+AE106+U106</f>
        <v>1.516971747936215</v>
      </c>
      <c r="CE106" s="77">
        <f>CC106+CD106</f>
        <v>4.296031379787725</v>
      </c>
    </row>
    <row r="107" spans="1:83" s="17" customFormat="1" hidden="1" x14ac:dyDescent="0.35">
      <c r="A107" s="15" t="s">
        <v>359</v>
      </c>
      <c r="B107" s="15" t="s">
        <v>360</v>
      </c>
      <c r="C107" s="16">
        <v>20180124</v>
      </c>
      <c r="D107" s="16" t="str">
        <f>[1]!f_info_regulopenfundornot(A107)</f>
        <v>是</v>
      </c>
      <c r="E107" s="16" t="str">
        <f>[1]!f_dq_status(A107,$E$1)</f>
        <v>暂停申购|暂停赎回</v>
      </c>
      <c r="F107" s="17" t="str">
        <f>[1]!f_info_fundmanager(A107)</f>
        <v>刘波</v>
      </c>
      <c r="G107" s="16">
        <v>20210209</v>
      </c>
      <c r="H107" s="18">
        <f>[1]!f_netasset_total(A107,$E$1,100000000)</f>
        <v>0.58892150409999999</v>
      </c>
      <c r="I107" s="18">
        <f>[1]!f_prt_convertiblebondtonav(A107,$E$1)</f>
        <v>18.323768615722656</v>
      </c>
      <c r="J107" s="18">
        <f>[1]!f_prt_stocktonav(A107,$E$1)+0.5*I107</f>
        <v>22.903568267822266</v>
      </c>
      <c r="K107" s="19">
        <v>42.825741332952632</v>
      </c>
      <c r="L107" s="19">
        <f>[1]!f_return($A107,"1",L$2,$E$1)</f>
        <v>4.4142864282311844</v>
      </c>
      <c r="M107" s="19">
        <f>[1]!f_risk_stdevyearly($A107,L$2,$E$1,1,1)</f>
        <v>8.4328752913066207</v>
      </c>
      <c r="N107" s="19">
        <f>IFERROR(L107/M107,"-")</f>
        <v>0.52346160422671428</v>
      </c>
      <c r="O107" s="19" t="str">
        <f>IFERROR(RANK(N107,N:N)&amp;"/"&amp;COUNT(N:N),"-")</f>
        <v>173/197</v>
      </c>
      <c r="P107" s="26">
        <f>IF(O107="-","-",RANK(N107,N:N)/COUNT(N:N))</f>
        <v>0.87817258883248728</v>
      </c>
      <c r="Q107" s="56">
        <v>0.65989847715736039</v>
      </c>
      <c r="R107" s="33" t="str">
        <f>IF(OR($C107&gt;20190630,$K107&gt;30,N107="-",$D107="是",$E107="封闭期",$H107&lt;10,$BN107&lt;-6,$BR107&lt;70),"-",COUNTIFS(N$4:N$200,"&lt;&gt;-",$D$4:$D$200,"&lt;&gt;是",$E$4:$E$200,"&lt;&gt;封闭期",$H$4:$H$200,"&gt;10",$BN$4:$BN$200,"&gt;-6",$BR$4:$BR$200,"&gt;=70",$K$4:$K$200,"&lt;=30",$C$4:$C$200,"&lt;20190630",N$4:N$200,"&gt;="&amp;N107)/COUNTIFS(N$4:N$200,"&lt;&gt;-",$D$4:$D$200,"&lt;&gt;是",$E$4:$E$200,"&lt;&gt;封闭期",$H$4:$H$200,"&gt;10",$BN$4:$BN$200,"&gt;-6",$BR$4:$BR$200,"&gt;=70",$C$4:$C$200,"&lt;20190630",$K$4:$K$200,"&lt;=30"))</f>
        <v>-</v>
      </c>
      <c r="S107" s="19">
        <f>IFERROR((L107-3)/M107,"-")</f>
        <v>0.1677110569498354</v>
      </c>
      <c r="T107" s="19" t="str">
        <f>IFERROR(RANK(S107,S:S)&amp;"/"&amp;COUNT(S:S),"-")</f>
        <v>154/197</v>
      </c>
      <c r="U107" s="26">
        <f>IFERROR(RANK(S107,S:S)/COUNT(S:S),"-")</f>
        <v>0.78172588832487311</v>
      </c>
      <c r="V107" s="34" t="str">
        <f>IF(OR($C107&gt;20190630,$K107&gt;30,S107="-",$D107="是",$E107="封闭期",$H107&lt;10,$BN107&lt;-6,$BR107&lt;70),"-",COUNTIFS(S$4:S$200,"&lt;&gt;-",$D$4:$D$200,"&lt;&gt;是",$E$4:$E$200,"&lt;&gt;封闭期",$H$4:$H$200,"&gt;10",$BN$4:$BN$200,"&gt;-6",$BR$4:$BR$200,"&gt;=70",$K$4:$K$200,"&lt;=30",$C$4:$C$200,"&lt;20190630",S$4:S$200,"&gt;="&amp;S107)&amp;"/"&amp;COUNTIFS(S$4:S$200,"&lt;&gt;-",$D$4:$D$200,"&lt;&gt;是",$E$4:$E$200,"&lt;&gt;封闭期",$H$4:$H$200,"&gt;10",$BN$4:$BN$200,"&gt;-6",$BR$4:$BR$200,"&gt;=70",$C$4:$C$200,"&lt;20190630",$K$4:$K$200,"&lt;=30"))</f>
        <v>-</v>
      </c>
      <c r="W107" s="33" t="str">
        <f>IF(OR($C107&gt;20190630,$K107&gt;30,S107="-",$D107="是",$E107="封闭期",$H107&lt;10,$BN107&lt;-6,$BR107&lt;70),"-",COUNTIFS(S$4:S$200,"&lt;&gt;-",$D$4:$D$200,"&lt;&gt;是",$E$4:$E$200,"&lt;&gt;封闭期",$H$4:$H$200,"&gt;10",$BN$4:$BN$200,"&gt;-6",$BR$4:$BR$200,"&gt;=70",$K$4:$K$200,"&lt;=30",$C$4:$C$200,"&lt;20190630",S$4:S$200,"&gt;="&amp;S107)/COUNTIFS(S$4:S$200,"&lt;&gt;-",$D$4:$D$200,"&lt;&gt;是",$E$4:$E$200,"&lt;&gt;封闭期",$H$4:$H$200,"&gt;10",$BN$4:$BN$200,"&gt;-6",$BR$4:$BR$200,"&gt;=70",$C$4:$C$200,"&lt;20190630",$K$4:$K$200,"&lt;=30"))</f>
        <v>-</v>
      </c>
      <c r="X107" s="19">
        <f>[1]!f_risk_calmar(A107,$L$2,$E$1)</f>
        <v>1.9896276509853552</v>
      </c>
      <c r="Y107" s="19" t="str">
        <f>IFERROR(RANK(X107,X:X)&amp;"/"&amp;COUNT(X:X),"-")</f>
        <v>99/197</v>
      </c>
      <c r="Z107" s="26">
        <f>IFERROR(RANK(X107,X:X)/COUNT(X:X),"-")</f>
        <v>0.5025380710659898</v>
      </c>
      <c r="AA107" s="34" t="str">
        <f>IF(OR($C107&gt;20190630,$K107&gt;30,X107="-",$D107="是",$E107="封闭期",$H107&lt;10,$BN107&lt;-6,$BR107&lt;70),"-",COUNTIFS(X$4:X$200,"&lt;&gt;-",$D$4:$D$200,"&lt;&gt;是",$E$4:$E$200,"&lt;&gt;封闭期",$H$4:$H$200,"&gt;10",$BN$4:$BN$200,"&gt;-6",$BR$4:$BR$200,"&gt;=70",$K$4:$K$200,"&lt;=30",$C$4:$C$200,"&lt;20190630",X$4:X$200,"&gt;="&amp;X107)&amp;"/"&amp;COUNTIFS(X$4:X$200,"&lt;&gt;-",$D$4:$D$200,"&lt;&gt;是",$E$4:$E$200,"&lt;&gt;封闭期",$H$4:$H$200,"&gt;10",$BN$4:$BN$200,"&gt;-6",$BR$4:$BR$200,"&gt;=70",$C$4:$C$200,"&lt;20190630",$K$4:$K$200,"&lt;=30"))</f>
        <v>-</v>
      </c>
      <c r="AB107" s="33" t="str">
        <f>IF(OR($C107&gt;20190630,$K107&gt;30,X107="-",$D107="是",$E107="封闭期",$H107&lt;10,$BN107&lt;-6,$BR107&lt;70),"-",COUNTIFS(X$4:X$200,"&lt;&gt;-",$D$4:$D$200,"&lt;&gt;是",$E$4:$E$200,"&lt;&gt;封闭期",$H$4:$H$200,"&gt;10",$BN$4:$BN$200,"&gt;-6",$BR$4:$BR$200,"&gt;=70",$K$4:$K$200,"&lt;=30",$C$4:$C$200,"&lt;20190630",X$4:X$200,"&gt;="&amp;X107)/COUNTIFS(X$4:X$200,"&lt;&gt;-",$D$4:$D$200,"&lt;&gt;是",$E$4:$E$200,"&lt;&gt;封闭期",$H$4:$H$200,"&gt;10",$BN$4:$BN$200,"&gt;-6",$BR$4:$BR$200,"&gt;=70",$C$4:$C$200,"&lt;20190630",$K$4:$K$200,"&lt;=30"))</f>
        <v>-</v>
      </c>
      <c r="AC107" s="20">
        <v>0.99159663865546221</v>
      </c>
      <c r="AD107" s="19" t="str">
        <f>IFERROR(RANK(AC107,AC:AC)&amp;"/"&amp;COUNT(AC:AC),"-")</f>
        <v>91/197</v>
      </c>
      <c r="AE107" s="26">
        <f>IFERROR(RANK(AC107,AC:AC)/COUNT(AC:AC),"-")</f>
        <v>0.46192893401015228</v>
      </c>
      <c r="AF107" s="34" t="str">
        <f>IF(OR($C107&gt;20190630,$K107&gt;30,AC107="-",$D107="是",$E107="封闭期",$H107&lt;10,$BN107&lt;-6,$BR107&lt;70),"-",COUNTIFS(AC$4:AC$200,"&lt;&gt;-",$D$4:$D$200,"&lt;&gt;是",$E$4:$E$200,"&lt;&gt;封闭期",$H$4:$H$200,"&gt;10",$BN$4:$BN$200,"&gt;-6",$BR$4:$BR$200,"&gt;=70",$K$4:$K$200,"&lt;=30",$C$4:$C$200,"&lt;20190630",AC$4:AC$200,"&gt;="&amp;AC107)&amp;"/"&amp;COUNTIFS(AC$4:AC$200,"&lt;&gt;-",$D$4:$D$200,"&lt;&gt;是",$E$4:$E$200,"&lt;&gt;封闭期",$H$4:$H$200,"&gt;10",$BN$4:$BN$200,"&gt;-6",$BR$4:$BR$200,"&gt;=70",$C$4:$C$200,"&lt;20190630",$K$4:$K$200,"&lt;=30"))</f>
        <v>-</v>
      </c>
      <c r="AG107" s="33" t="str">
        <f>IF(OR($C107&gt;20190630,$K107&gt;30,AC107="-",$D107="是",$E107="封闭期",$H107&lt;10,$BN107&lt;-6,$BR107&lt;70),"-",COUNTIFS(AC$4:AC$200,"&lt;&gt;-",$D$4:$D$200,"&lt;&gt;是",$E$4:$E$200,"&lt;&gt;封闭期",$H$4:$H$200,"&gt;10",$BN$4:$BN$200,"&gt;-6",$BR$4:$BR$200,"&gt;=70",$K$4:$K$200,"&lt;=30",$C$4:$C$200,"&lt;20190630",AC$4:AC$200,"&gt;="&amp;AC107)/COUNTIFS(AC$4:AC$200,"&lt;&gt;-",$D$4:$D$200,"&lt;&gt;是",$E$4:$E$200,"&lt;&gt;封闭期",$H$4:$H$200,"&gt;10",$BN$4:$BN$200,"&gt;-6",$BR$4:$BR$200,"&gt;=70",$C$4:$C$200,"&lt;20190630",$K$4:$K$200,"&lt;=30"))</f>
        <v>-</v>
      </c>
      <c r="AH107" s="21">
        <f>[1]!f_risk_maxdownside(A107,$L$2,$E$1)</f>
        <v>-2.2186495176848928</v>
      </c>
      <c r="AI107" s="19" t="str">
        <f>IFERROR(RANK(AH107,AH:AH)&amp;"/"&amp;COUNT(AH:AH),"-")</f>
        <v>63/197</v>
      </c>
      <c r="AJ107" s="26">
        <f>IFERROR(RANK(AH107,AH:AH)/COUNT(AH:AH),"-")</f>
        <v>0.31979695431472083</v>
      </c>
      <c r="AK107" s="34" t="str">
        <f>IF(OR($C107&gt;20190630,$K107&gt;30,AH107="-",$D107="是",$E107="封闭期",$H107&lt;10,$BN107&lt;-6,$BR107&lt;70),"-",COUNTIFS(AH$4:AH$200,"&lt;&gt;-",$D$4:$D$200,"&lt;&gt;是",$E$4:$E$200,"&lt;&gt;封闭期",$H$4:$H$200,"&gt;10",$BN$4:$BN$200,"&gt;-6",$BR$4:$BR$200,"&gt;=70",$K$4:$K$200,"&lt;=30",$C$4:$C$200,"&lt;20190630",AH$4:AH$200,"&gt;="&amp;AH107)&amp;"/"&amp;COUNTIFS(AH$4:AH$200,"&lt;&gt;-",$D$4:$D$200,"&lt;&gt;是",$E$4:$E$200,"&lt;&gt;封闭期",$H$4:$H$200,"&gt;10",$BN$4:$BN$200,"&gt;-6",$BR$4:$BR$200,"&gt;=70",$C$4:$C$200,"&lt;20190630",$K$4:$K$200,"&lt;=30"))</f>
        <v>-</v>
      </c>
      <c r="AL107" s="33" t="str">
        <f>IF(OR($C107&gt;20190630,$K107&gt;30,AH107="-",$D107="是",$E107="封闭期",$H107&lt;10,$BN107&lt;-6,$BR107&lt;70),"-",COUNTIFS(AH$4:AH$200,"&lt;&gt;-",$D$4:$D$200,"&lt;&gt;是",$E$4:$E$200,"&lt;&gt;封闭期",$H$4:$H$200,"&gt;10",$BN$4:$BN$200,"&gt;-6",$BR$4:$BR$200,"&gt;=70",$K$4:$K$200,"&lt;=30",$C$4:$C$200,"&lt;20190630",AH$4:AH$200,"&gt;="&amp;AH107)/COUNTIFS(AH$4:AH$200,"&lt;&gt;-",$D$4:$D$200,"&lt;&gt;是",$E$4:$E$200,"&lt;&gt;封闭期",$H$4:$H$200,"&gt;10",$BN$4:$BN$200,"&gt;-6",$BR$4:$BR$200,"&gt;=70",$C$4:$C$200,"&lt;20190630",$K$4:$K$200,"&lt;=30"))</f>
        <v>-</v>
      </c>
      <c r="AM107" s="19">
        <f>[1]!f_return($A107,"1",AM$2,$L$2)</f>
        <v>7.0456785898067364</v>
      </c>
      <c r="AN107" s="19">
        <f>[1]!f_risk_stdevyearly($A107,AM$2,$L$2,1,1)</f>
        <v>5.8278930252855812</v>
      </c>
      <c r="AO107" s="19">
        <f>IFERROR(AM107/AN107,"-")</f>
        <v>1.2089581190384806</v>
      </c>
      <c r="AP107" s="19" t="str">
        <f>IFERROR(RANK(AO107,AO:AO)&amp;"/"&amp;COUNT(AO:AO),"-")</f>
        <v>142/197</v>
      </c>
      <c r="AQ107" s="26">
        <f>IF(AP107="-","-",RANK(AO107,AO:AO)/COUNT(AO:AO))</f>
        <v>0.7208121827411168</v>
      </c>
      <c r="AR107" s="57">
        <v>0.52791878172588835</v>
      </c>
      <c r="AS107" s="33" t="str">
        <f>IF(OR($C107&gt;20190630,$K107&gt;30,AO107="-",$D107="是",$E107="封闭期",$H107&lt;10,$BN107&lt;-6,$BR107&lt;70),"-",COUNTIFS(AO$4:AO$200,"&lt;&gt;-",$D$4:$D$200,"&lt;&gt;是",$E$4:$E$200,"&lt;&gt;封闭期",$H$4:$H$200,"&gt;10",$BN$4:$BN$200,"&gt;-6",$BR$4:$BR$200,"&gt;=70",$K$4:$K$200,"&lt;=30",$C$4:$C$200,"&lt;20190630",AO$4:AO$200,"&gt;="&amp;AO107)/COUNTIFS(AO$4:AO$200,"&lt;&gt;-",$D$4:$D$200,"&lt;&gt;是",$E$4:$E$200,"&lt;&gt;封闭期",$H$4:$H$200,"&gt;10",$BN$4:$BN$200,"&gt;-6",$BR$4:$BR$200,"&gt;=70",$C$4:$C$200,"&lt;20190630",$K$4:$K$200,"&lt;=30"))</f>
        <v>-</v>
      </c>
      <c r="AT107" s="19">
        <f>IFERROR((AM107-3)/AN107,"-")</f>
        <v>0.69419232169390899</v>
      </c>
      <c r="AU107" s="19" t="str">
        <f>IFERROR(RANK(AT107,AT:AT)&amp;"/"&amp;COUNT(AT:AT),"-")</f>
        <v>119/197</v>
      </c>
      <c r="AV107" s="26">
        <f>IFERROR(RANK(AT107,AT:AT)/COUNT(AT:AT),"-")</f>
        <v>0.60406091370558379</v>
      </c>
      <c r="AW107" s="34" t="str">
        <f>IF(OR($C107&gt;20190630,$K107&gt;30,AT107="-",$D107="是",$E107="封闭期",$H107&lt;10,$BN107&lt;-6,$BR107&lt;70),"-",COUNTIFS(AT$4:AT$200,"&lt;&gt;-",$D$4:$D$200,"&lt;&gt;是",$E$4:$E$200,"&lt;&gt;封闭期",$H$4:$H$200,"&gt;10",$BN$4:$BN$200,"&gt;-6",$BR$4:$BR$200,"&gt;=70",$K$4:$K$200,"&lt;=30",$C$4:$C$200,"&lt;20190630",AT$4:AT$200,"&gt;="&amp;AT107)&amp;"/"&amp;COUNTIFS(AT$4:AT$200,"&lt;&gt;-",$D$4:$D$200,"&lt;&gt;是",$E$4:$E$200,"&lt;&gt;封闭期",$H$4:$H$200,"&gt;10",$BN$4:$BN$200,"&gt;-6",$BR$4:$BR$200,"&gt;=70",$C$4:$C$200,"&lt;20190630",$K$4:$K$200,"&lt;=30"))</f>
        <v>-</v>
      </c>
      <c r="AX107" s="33" t="str">
        <f>IF(OR($C107&gt;20190630,$K107&gt;30,AT107="-",$D107="是",$E107="封闭期",$H107&lt;10,$BN107&lt;-6,$BR107&lt;70),"-",COUNTIFS(AT$4:AT$200,"&lt;&gt;-",$D$4:$D$200,"&lt;&gt;是",$E$4:$E$200,"&lt;&gt;封闭期",$H$4:$H$200,"&gt;10",$BN$4:$BN$200,"&gt;-6",$BR$4:$BR$200,"&gt;=70",$K$4:$K$200,"&lt;=30",$C$4:$C$200,"&lt;20190630",AT$4:AT$200,"&gt;="&amp;AT107)/COUNTIFS(AT$4:AT$200,"&lt;&gt;-",$D$4:$D$200,"&lt;&gt;是",$E$4:$E$200,"&lt;&gt;封闭期",$H$4:$H$200,"&gt;10",$BN$4:$BN$200,"&gt;-6",$BR$4:$BR$200,"&gt;=70",$C$4:$C$200,"&lt;20190630",$K$4:$K$200,"&lt;=30"))</f>
        <v>-</v>
      </c>
      <c r="AY107" s="19">
        <f>[1]!f_risk_calmar(A107,$AM$2,$L$2)</f>
        <v>6.3486983846920575</v>
      </c>
      <c r="AZ107" s="19" t="str">
        <f>IFERROR(RANK(AY107,AY:AY)&amp;"/"&amp;COUNT(AY:AY),"-")</f>
        <v>4/197</v>
      </c>
      <c r="BA107" s="26">
        <f>IFERROR(RANK(AY107,AY:AY)/COUNT(AY:AY),"-")</f>
        <v>2.030456852791878E-2</v>
      </c>
      <c r="BB107" s="34" t="str">
        <f>IF(OR($C107&gt;20190630,$K107&gt;30,AY107="-",$D107="是",$E107="封闭期",$H107&lt;10,$BN107&lt;-6,$BR107&lt;70),"-",COUNTIFS(AY$4:AY$200,"&lt;&gt;-",$D$4:$D$200,"&lt;&gt;是",$E$4:$E$200,"&lt;&gt;封闭期",$H$4:$H$200,"&gt;10",$BN$4:$BN$200,"&gt;-6",$BR$4:$BR$200,"&gt;=70",$K$4:$K$200,"&lt;=30",$C$4:$C$200,"&lt;20190630",AY$4:AY$200,"&gt;="&amp;AY107)&amp;"/"&amp;COUNTIFS(AY$4:AY$200,"&lt;&gt;-",$D$4:$D$200,"&lt;&gt;是",$E$4:$E$200,"&lt;&gt;封闭期",$H$4:$H$200,"&gt;10",$BN$4:$BN$200,"&gt;-6",$BR$4:$BR$200,"&gt;=70",$C$4:$C$200,"&lt;20190630",$K$4:$K$200,"&lt;=30"))</f>
        <v>-</v>
      </c>
      <c r="BC107" s="33" t="str">
        <f>IF(OR($C107&gt;20190630,$K107&gt;30,AY107="-",$D107="是",$E107="封闭期",$H107&lt;10,$BN107&lt;-6,$BR107&lt;70),"-",COUNTIFS(AY$4:AY$200,"&lt;&gt;-",$D$4:$D$200,"&lt;&gt;是",$E$4:$E$200,"&lt;&gt;封闭期",$H$4:$H$200,"&gt;10",$BN$4:$BN$200,"&gt;-6",$BR$4:$BR$200,"&gt;=70",$K$4:$K$200,"&lt;=30",$C$4:$C$200,"&lt;20190630",AY$4:AY$200,"&gt;="&amp;AY107)/COUNTIFS(AY$4:AY$200,"&lt;&gt;-",$D$4:$D$200,"&lt;&gt;是",$E$4:$E$200,"&lt;&gt;封闭期",$H$4:$H$200,"&gt;10",$BN$4:$BN$200,"&gt;-6",$BR$4:$BR$200,"&gt;=70",$C$4:$C$200,"&lt;20190630",$K$4:$K$200,"&lt;=30"))</f>
        <v>-</v>
      </c>
      <c r="BD107" s="20">
        <v>1</v>
      </c>
      <c r="BE107" s="19" t="str">
        <f>IFERROR(RANK(BD107,BD:BD)&amp;"/"&amp;COUNT(BD:BD),"-")</f>
        <v>1/197</v>
      </c>
      <c r="BF107" s="26">
        <f>IFERROR(RANK(BD107,BD:BD)/COUNT(BD:BD),"-")</f>
        <v>5.076142131979695E-3</v>
      </c>
      <c r="BG107" s="34" t="str">
        <f>IF(OR($C107&gt;20190630,$K107&gt;30,BD107="-",$D107="是",$E107="封闭期",$H107&lt;10,$BN107&lt;-6,$BR107&lt;70),"-",COUNTIFS(BD$4:BD$200,"&lt;&gt;-",$D$4:$D$200,"&lt;&gt;是",$E$4:$E$200,"&lt;&gt;封闭期",$H$4:$H$200,"&gt;10",$BN$4:$BN$200,"&gt;-6",$BR$4:$BR$200,"&gt;=70",$K$4:$K$200,"&lt;=30",$C$4:$C$200,"&lt;20190630",BD$4:BD$200,"&gt;="&amp;BD107)&amp;"/"&amp;COUNTIFS(BD$4:BD$200,"&lt;&gt;-",$D$4:$D$200,"&lt;&gt;是",$E$4:$E$200,"&lt;&gt;封闭期",$H$4:$H$200,"&gt;10",$BN$4:$BN$200,"&gt;-6",$BR$4:$BR$200,"&gt;=70",$C$4:$C$200,"&lt;20190630",$K$4:$K$200,"&lt;=30"))</f>
        <v>-</v>
      </c>
      <c r="BH107" s="33" t="str">
        <f>IF(OR($C107&gt;20190630,$K107&gt;30,BD107="-",$D107="是",$E107="封闭期",$H107&lt;10,$BN107&lt;-6,$BR107&lt;70),"-",COUNTIFS(BD$4:BD$200,"&lt;&gt;-",$D$4:$D$200,"&lt;&gt;是",$E$4:$E$200,"&lt;&gt;封闭期",$H$4:$H$200,"&gt;10",$BN$4:$BN$200,"&gt;-6",$BR$4:$BR$200,"&gt;=70",$K$4:$K$200,"&lt;=30",$C$4:$C$200,"&lt;20190630",BD$4:BD$200,"&gt;="&amp;BD107)/COUNTIFS(BD$4:BD$200,"&lt;&gt;-",$D$4:$D$200,"&lt;&gt;是",$E$4:$E$200,"&lt;&gt;封闭期",$H$4:$H$200,"&gt;10",$BN$4:$BN$200,"&gt;-6",$BR$4:$BR$200,"&gt;=70",$C$4:$C$200,"&lt;20190630",$K$4:$K$200,"&lt;=30"))</f>
        <v>-</v>
      </c>
      <c r="BI107" s="21">
        <f>[1]!f_risk_maxdownside(A107,$AM$2,$L$2)</f>
        <v>-1.109783165443051</v>
      </c>
      <c r="BJ107" s="19" t="str">
        <f>IFERROR(RANK(BI107,BI:BI)&amp;"/"&amp;COUNT(BI:BI),"-")</f>
        <v>5/197</v>
      </c>
      <c r="BK107" s="26">
        <f>IFERROR(RANK(BI107,BI:BI)/COUNT(BI:BI),"-")</f>
        <v>2.5380710659898477E-2</v>
      </c>
      <c r="BL107" s="34" t="str">
        <f>IF(OR($C107&gt;20190630,$K107&gt;30,BI107="-",$D107="是",$E107="封闭期",$H107&lt;10,$BN107&lt;-6,$BR107&lt;70),"-",COUNTIFS(BI$4:BI$200,"&lt;&gt;-",$D$4:$D$200,"&lt;&gt;是",$E$4:$E$200,"&lt;&gt;封闭期",$H$4:$H$200,"&gt;10",$BN$4:$BN$200,"&gt;-6",$BR$4:$BR$200,"&gt;=70",$K$4:$K$200,"&lt;=30",$C$4:$C$200,"&lt;20190630",BI$4:BI$200,"&gt;="&amp;BI107)&amp;"/"&amp;COUNTIFS(BI$4:BI$200,"&lt;&gt;-",$D$4:$D$200,"&lt;&gt;是",$E$4:$E$200,"&lt;&gt;封闭期",$H$4:$H$200,"&gt;10",$BN$4:$BN$200,"&gt;-6",$BR$4:$BR$200,"&gt;=70",$C$4:$C$200,"&lt;20190630",$K$4:$K$200,"&lt;=30"))</f>
        <v>-</v>
      </c>
      <c r="BM107" s="33" t="str">
        <f>IF(OR($C107&gt;20190630,$K107&gt;30,BI107="-",$D107="是",$E107="封闭期",$H107&lt;10,$BN107&lt;-6,$BR107&lt;70),"-",COUNTIFS(BI$4:BI$200,"&lt;&gt;-",$D$4:$D$200,"&lt;&gt;是",$E$4:$E$200,"&lt;&gt;封闭期",$H$4:$H$200,"&gt;10",$BN$4:$BN$200,"&gt;-6",$BR$4:$BR$200,"&gt;=70",$K$4:$K$200,"&lt;=30",$C$4:$C$200,"&lt;20190630",BI$4:BI$200,"&gt;="&amp;BI107)/COUNTIFS(BI$4:BI$200,"&lt;&gt;-",$D$4:$D$200,"&lt;&gt;是",$E$4:$E$200,"&lt;&gt;封闭期",$H$4:$H$200,"&gt;10",$BN$4:$BN$200,"&gt;-6",$BR$4:$BR$200,"&gt;=70",$C$4:$C$200,"&lt;20190630",$K$4:$K$200,"&lt;=30"))</f>
        <v>-</v>
      </c>
      <c r="BN107" s="21">
        <f>[1]!f_risk_maxdownside(A107,$AM$2,$E$1)</f>
        <v>-2.2186495176848928</v>
      </c>
      <c r="BO107" s="21">
        <f>IF(C107&lt;20190930,[1]!f_return_2y(A107,"0","20210930"),"-")</f>
        <v>11.586629426074404</v>
      </c>
      <c r="BP107" s="19" t="str">
        <f>IFERROR(RANK(BO107,BO:BO)&amp;"/"&amp;COUNT(BO:BO),"-")</f>
        <v>122/197</v>
      </c>
      <c r="BQ107" s="25">
        <f>IFERROR(RANK(BO107,BO:BO)/COUNT(BO:BO),"-")</f>
        <v>0.61928934010152281</v>
      </c>
      <c r="BR107" s="19">
        <f>IF(C107&lt;20190930,[1]!f_absolute_profitmonthper(A107,"20190930","20210930"),"-")</f>
        <v>75</v>
      </c>
      <c r="BS107" s="19" t="str">
        <f>IFERROR(RANK(BR107,BR:BR)&amp;"/"&amp;COUNT(BR:BR),"-")</f>
        <v>26/198</v>
      </c>
      <c r="BT107" s="25">
        <f>IFERROR(RANK(BR107,BR:BR)/COUNT(BR:BR),"-")</f>
        <v>0.13131313131313133</v>
      </c>
      <c r="BV107" s="12">
        <f>X107-3/M107</f>
        <v>1.6338771037084763</v>
      </c>
      <c r="BW107" s="76">
        <f>IFERROR(RANK(BV107,BV:BV)/COUNT(BV:BV),"-")</f>
        <v>0.40101522842639592</v>
      </c>
      <c r="BX107" s="76">
        <f>IFERROR(RANK(L107,L:L)/COUNT(L:L),"-")</f>
        <v>0.66161616161616166</v>
      </c>
      <c r="BY107" s="12">
        <f>AY107-3/AN107</f>
        <v>5.8339325873474861</v>
      </c>
      <c r="BZ107" s="76">
        <f>IFERROR(RANK(BY107,BY:BY)/COUNT(BY:BY),"-")</f>
        <v>2.030456852791878E-2</v>
      </c>
      <c r="CA107" s="76">
        <f>IFERROR(RANK(AM107,AM:AM)/COUNT(AM:AM),"-")</f>
        <v>0.53030303030303028</v>
      </c>
      <c r="CB107" s="2"/>
      <c r="CC107" s="77">
        <f>AV107+BF107+BZ107+CA107</f>
        <v>1.1597446546685126</v>
      </c>
      <c r="CD107" s="77">
        <f>BW107+BX107+AE107+U107</f>
        <v>2.3062862123775827</v>
      </c>
      <c r="CE107" s="77">
        <f>CC107+CD107</f>
        <v>3.4660308670460953</v>
      </c>
    </row>
    <row r="108" spans="1:83" s="17" customFormat="1" hidden="1" x14ac:dyDescent="0.35">
      <c r="A108" s="15" t="s">
        <v>105</v>
      </c>
      <c r="B108" s="15" t="s">
        <v>106</v>
      </c>
      <c r="C108" s="16">
        <v>20110926</v>
      </c>
      <c r="D108" s="16" t="str">
        <f>[1]!f_info_regulopenfundornot(A108)</f>
        <v>否</v>
      </c>
      <c r="E108" s="16" t="str">
        <f>[1]!f_dq_status(A108,$E$1)</f>
        <v>开放申购|开放赎回</v>
      </c>
      <c r="F108" s="17" t="str">
        <f>[1]!f_info_fundmanager(A108)</f>
        <v>唐赟</v>
      </c>
      <c r="G108" s="16">
        <v>20151107</v>
      </c>
      <c r="H108" s="18">
        <f>[1]!f_netasset_total(A108,$E$1,100000000)</f>
        <v>0.47259792850000004</v>
      </c>
      <c r="I108" s="18">
        <f>[1]!f_prt_convertiblebondtonav(A108,$E$1)</f>
        <v>16.622848510742188</v>
      </c>
      <c r="J108" s="18">
        <f>[1]!f_prt_stocktonav(A108,$E$1)+0.5*I108</f>
        <v>9.9978978633880615</v>
      </c>
      <c r="K108" s="19">
        <v>0</v>
      </c>
      <c r="L108" s="19">
        <f>[1]!f_return($A108,"1",L$2,$E$1)</f>
        <v>4.5882290806567472</v>
      </c>
      <c r="M108" s="19">
        <f>[1]!f_risk_stdevyearly($A108,L$2,$E$1,1,1)</f>
        <v>4.2265134573734864</v>
      </c>
      <c r="N108" s="19">
        <f>IFERROR(L108/M108,"-")</f>
        <v>1.0855825083562005</v>
      </c>
      <c r="O108" s="19" t="str">
        <f>IFERROR(RANK(N108,N:N)&amp;"/"&amp;COUNT(N:N),"-")</f>
        <v>135/197</v>
      </c>
      <c r="P108" s="26">
        <f>IF(O108="-","-",RANK(N108,N:N)/COUNT(N:N))</f>
        <v>0.68527918781725883</v>
      </c>
      <c r="Q108" s="56">
        <v>0.64467005076142136</v>
      </c>
      <c r="R108" s="33" t="str">
        <f>IF(OR($C108&gt;20190630,$K108&gt;30,N108="-",$D108="是",$E108="封闭期",$H108&lt;10,$BN108&lt;-6,$BR108&lt;70),"-",COUNTIFS(N$4:N$200,"&lt;&gt;-",$D$4:$D$200,"&lt;&gt;是",$E$4:$E$200,"&lt;&gt;封闭期",$H$4:$H$200,"&gt;10",$BN$4:$BN$200,"&gt;-6",$BR$4:$BR$200,"&gt;=70",$K$4:$K$200,"&lt;=30",$C$4:$C$200,"&lt;20190630",N$4:N$200,"&gt;="&amp;N108)/COUNTIFS(N$4:N$200,"&lt;&gt;-",$D$4:$D$200,"&lt;&gt;是",$E$4:$E$200,"&lt;&gt;封闭期",$H$4:$H$200,"&gt;10",$BN$4:$BN$200,"&gt;-6",$BR$4:$BR$200,"&gt;=70",$C$4:$C$200,"&lt;20190630",$K$4:$K$200,"&lt;=30"))</f>
        <v>-</v>
      </c>
      <c r="S108" s="19">
        <f>IFERROR((L108-3)/M108,"-")</f>
        <v>0.37577759935578964</v>
      </c>
      <c r="T108" s="19" t="str">
        <f>IFERROR(RANK(S108,S:S)&amp;"/"&amp;COUNT(S:S),"-")</f>
        <v>131/197</v>
      </c>
      <c r="U108" s="26">
        <f>IFERROR(RANK(S108,S:S)/COUNT(S:S),"-")</f>
        <v>0.6649746192893401</v>
      </c>
      <c r="V108" s="34" t="str">
        <f>IF(OR($C108&gt;20190630,$K108&gt;30,S108="-",$D108="是",$E108="封闭期",$H108&lt;10,$BN108&lt;-6,$BR108&lt;70),"-",COUNTIFS(S$4:S$200,"&lt;&gt;-",$D$4:$D$200,"&lt;&gt;是",$E$4:$E$200,"&lt;&gt;封闭期",$H$4:$H$200,"&gt;10",$BN$4:$BN$200,"&gt;-6",$BR$4:$BR$200,"&gt;=70",$K$4:$K$200,"&lt;=30",$C$4:$C$200,"&lt;20190630",S$4:S$200,"&gt;="&amp;S108)&amp;"/"&amp;COUNTIFS(S$4:S$200,"&lt;&gt;-",$D$4:$D$200,"&lt;&gt;是",$E$4:$E$200,"&lt;&gt;封闭期",$H$4:$H$200,"&gt;10",$BN$4:$BN$200,"&gt;-6",$BR$4:$BR$200,"&gt;=70",$C$4:$C$200,"&lt;20190630",$K$4:$K$200,"&lt;=30"))</f>
        <v>-</v>
      </c>
      <c r="W108" s="33" t="str">
        <f>IF(OR($C108&gt;20190630,$K108&gt;30,S108="-",$D108="是",$E108="封闭期",$H108&lt;10,$BN108&lt;-6,$BR108&lt;70),"-",COUNTIFS(S$4:S$200,"&lt;&gt;-",$D$4:$D$200,"&lt;&gt;是",$E$4:$E$200,"&lt;&gt;封闭期",$H$4:$H$200,"&gt;10",$BN$4:$BN$200,"&gt;-6",$BR$4:$BR$200,"&gt;=70",$K$4:$K$200,"&lt;=30",$C$4:$C$200,"&lt;20190630",S$4:S$200,"&gt;="&amp;S108)/COUNTIFS(S$4:S$200,"&lt;&gt;-",$D$4:$D$200,"&lt;&gt;是",$E$4:$E$200,"&lt;&gt;封闭期",$H$4:$H$200,"&gt;10",$BN$4:$BN$200,"&gt;-6",$BR$4:$BR$200,"&gt;=70",$C$4:$C$200,"&lt;20190630",$K$4:$K$200,"&lt;=30"))</f>
        <v>-</v>
      </c>
      <c r="X108" s="19">
        <f>[1]!f_risk_calmar(A108,$L$2,$E$1)</f>
        <v>1.3643172499194827</v>
      </c>
      <c r="Y108" s="19" t="str">
        <f>IFERROR(RANK(X108,X:X)&amp;"/"&amp;COUNT(X:X),"-")</f>
        <v>138/197</v>
      </c>
      <c r="Z108" s="26">
        <f>IFERROR(RANK(X108,X:X)/COUNT(X:X),"-")</f>
        <v>0.70050761421319796</v>
      </c>
      <c r="AA108" s="34" t="str">
        <f>IF(OR($C108&gt;20190630,$K108&gt;30,X108="-",$D108="是",$E108="封闭期",$H108&lt;10,$BN108&lt;-6,$BR108&lt;70),"-",COUNTIFS(X$4:X$200,"&lt;&gt;-",$D$4:$D$200,"&lt;&gt;是",$E$4:$E$200,"&lt;&gt;封闭期",$H$4:$H$200,"&gt;10",$BN$4:$BN$200,"&gt;-6",$BR$4:$BR$200,"&gt;=70",$K$4:$K$200,"&lt;=30",$C$4:$C$200,"&lt;20190630",X$4:X$200,"&gt;="&amp;X108)&amp;"/"&amp;COUNTIFS(X$4:X$200,"&lt;&gt;-",$D$4:$D$200,"&lt;&gt;是",$E$4:$E$200,"&lt;&gt;封闭期",$H$4:$H$200,"&gt;10",$BN$4:$BN$200,"&gt;-6",$BR$4:$BR$200,"&gt;=70",$C$4:$C$200,"&lt;20190630",$K$4:$K$200,"&lt;=30"))</f>
        <v>-</v>
      </c>
      <c r="AB108" s="33" t="str">
        <f>IF(OR($C108&gt;20190630,$K108&gt;30,X108="-",$D108="是",$E108="封闭期",$H108&lt;10,$BN108&lt;-6,$BR108&lt;70),"-",COUNTIFS(X$4:X$200,"&lt;&gt;-",$D$4:$D$200,"&lt;&gt;是",$E$4:$E$200,"&lt;&gt;封闭期",$H$4:$H$200,"&gt;10",$BN$4:$BN$200,"&gt;-6",$BR$4:$BR$200,"&gt;=70",$K$4:$K$200,"&lt;=30",$C$4:$C$200,"&lt;20190630",X$4:X$200,"&gt;="&amp;X108)/COUNTIFS(X$4:X$200,"&lt;&gt;-",$D$4:$D$200,"&lt;&gt;是",$E$4:$E$200,"&lt;&gt;封闭期",$H$4:$H$200,"&gt;10",$BN$4:$BN$200,"&gt;-6",$BR$4:$BR$200,"&gt;=70",$C$4:$C$200,"&lt;20190630",$K$4:$K$200,"&lt;=30"))</f>
        <v>-</v>
      </c>
      <c r="AC108" s="20">
        <v>0.76470588235294112</v>
      </c>
      <c r="AD108" s="19" t="str">
        <f>IFERROR(RANK(AC108,AC:AC)&amp;"/"&amp;COUNT(AC:AC),"-")</f>
        <v>155/197</v>
      </c>
      <c r="AE108" s="26">
        <f>IFERROR(RANK(AC108,AC:AC)/COUNT(AC:AC),"-")</f>
        <v>0.78680203045685282</v>
      </c>
      <c r="AF108" s="34" t="str">
        <f>IF(OR($C108&gt;20190630,$K108&gt;30,AC108="-",$D108="是",$E108="封闭期",$H108&lt;10,$BN108&lt;-6,$BR108&lt;70),"-",COUNTIFS(AC$4:AC$200,"&lt;&gt;-",$D$4:$D$200,"&lt;&gt;是",$E$4:$E$200,"&lt;&gt;封闭期",$H$4:$H$200,"&gt;10",$BN$4:$BN$200,"&gt;-6",$BR$4:$BR$200,"&gt;=70",$K$4:$K$200,"&lt;=30",$C$4:$C$200,"&lt;20190630",AC$4:AC$200,"&gt;="&amp;AC108)&amp;"/"&amp;COUNTIFS(AC$4:AC$200,"&lt;&gt;-",$D$4:$D$200,"&lt;&gt;是",$E$4:$E$200,"&lt;&gt;封闭期",$H$4:$H$200,"&gt;10",$BN$4:$BN$200,"&gt;-6",$BR$4:$BR$200,"&gt;=70",$C$4:$C$200,"&lt;20190630",$K$4:$K$200,"&lt;=30"))</f>
        <v>-</v>
      </c>
      <c r="AG108" s="33" t="str">
        <f>IF(OR($C108&gt;20190630,$K108&gt;30,AC108="-",$D108="是",$E108="封闭期",$H108&lt;10,$BN108&lt;-6,$BR108&lt;70),"-",COUNTIFS(AC$4:AC$200,"&lt;&gt;-",$D$4:$D$200,"&lt;&gt;是",$E$4:$E$200,"&lt;&gt;封闭期",$H$4:$H$200,"&gt;10",$BN$4:$BN$200,"&gt;-6",$BR$4:$BR$200,"&gt;=70",$K$4:$K$200,"&lt;=30",$C$4:$C$200,"&lt;20190630",AC$4:AC$200,"&gt;="&amp;AC108)/COUNTIFS(AC$4:AC$200,"&lt;&gt;-",$D$4:$D$200,"&lt;&gt;是",$E$4:$E$200,"&lt;&gt;封闭期",$H$4:$H$200,"&gt;10",$BN$4:$BN$200,"&gt;-6",$BR$4:$BR$200,"&gt;=70",$C$4:$C$200,"&lt;20190630",$K$4:$K$200,"&lt;=30"))</f>
        <v>-</v>
      </c>
      <c r="AH108" s="21">
        <f>[1]!f_risk_maxdownside(A108,$L$2,$E$1)</f>
        <v>-3.3630221130221205</v>
      </c>
      <c r="AI108" s="19" t="str">
        <f>IFERROR(RANK(AH108,AH:AH)&amp;"/"&amp;COUNT(AH:AH),"-")</f>
        <v>109/197</v>
      </c>
      <c r="AJ108" s="26">
        <f>IFERROR(RANK(AH108,AH:AH)/COUNT(AH:AH),"-")</f>
        <v>0.5532994923857868</v>
      </c>
      <c r="AK108" s="34" t="str">
        <f>IF(OR($C108&gt;20190630,$K108&gt;30,AH108="-",$D108="是",$E108="封闭期",$H108&lt;10,$BN108&lt;-6,$BR108&lt;70),"-",COUNTIFS(AH$4:AH$200,"&lt;&gt;-",$D$4:$D$200,"&lt;&gt;是",$E$4:$E$200,"&lt;&gt;封闭期",$H$4:$H$200,"&gt;10",$BN$4:$BN$200,"&gt;-6",$BR$4:$BR$200,"&gt;=70",$K$4:$K$200,"&lt;=30",$C$4:$C$200,"&lt;20190630",AH$4:AH$200,"&gt;="&amp;AH108)&amp;"/"&amp;COUNTIFS(AH$4:AH$200,"&lt;&gt;-",$D$4:$D$200,"&lt;&gt;是",$E$4:$E$200,"&lt;&gt;封闭期",$H$4:$H$200,"&gt;10",$BN$4:$BN$200,"&gt;-6",$BR$4:$BR$200,"&gt;=70",$C$4:$C$200,"&lt;20190630",$K$4:$K$200,"&lt;=30"))</f>
        <v>-</v>
      </c>
      <c r="AL108" s="33" t="str">
        <f>IF(OR($C108&gt;20190630,$K108&gt;30,AH108="-",$D108="是",$E108="封闭期",$H108&lt;10,$BN108&lt;-6,$BR108&lt;70),"-",COUNTIFS(AH$4:AH$200,"&lt;&gt;-",$D$4:$D$200,"&lt;&gt;是",$E$4:$E$200,"&lt;&gt;封闭期",$H$4:$H$200,"&gt;10",$BN$4:$BN$200,"&gt;-6",$BR$4:$BR$200,"&gt;=70",$K$4:$K$200,"&lt;=30",$C$4:$C$200,"&lt;20190630",AH$4:AH$200,"&gt;="&amp;AH108)/COUNTIFS(AH$4:AH$200,"&lt;&gt;-",$D$4:$D$200,"&lt;&gt;是",$E$4:$E$200,"&lt;&gt;封闭期",$H$4:$H$200,"&gt;10",$BN$4:$BN$200,"&gt;-6",$BR$4:$BR$200,"&gt;=70",$C$4:$C$200,"&lt;20190630",$K$4:$K$200,"&lt;=30"))</f>
        <v>-</v>
      </c>
      <c r="AM108" s="19">
        <f>[1]!f_return($A108,"1",AM$2,$L$2)</f>
        <v>6.8980070044185604</v>
      </c>
      <c r="AN108" s="19">
        <f>[1]!f_risk_stdevyearly($A108,AM$2,$L$2,1,1)</f>
        <v>4.5131976692053328</v>
      </c>
      <c r="AO108" s="19">
        <f>IFERROR(AM108/AN108,"-")</f>
        <v>1.5284079072107506</v>
      </c>
      <c r="AP108" s="19" t="str">
        <f>IFERROR(RANK(AO108,AO:AO)&amp;"/"&amp;COUNT(AO:AO),"-")</f>
        <v>105/197</v>
      </c>
      <c r="AQ108" s="26">
        <f>IF(AP108="-","-",RANK(AO108,AO:AO)/COUNT(AO:AO))</f>
        <v>0.53299492385786806</v>
      </c>
      <c r="AR108" s="57">
        <v>0.53299492385786806</v>
      </c>
      <c r="AS108" s="33" t="str">
        <f>IF(OR($C108&gt;20190630,$K108&gt;30,AO108="-",$D108="是",$E108="封闭期",$H108&lt;10,$BN108&lt;-6,$BR108&lt;70),"-",COUNTIFS(AO$4:AO$200,"&lt;&gt;-",$D$4:$D$200,"&lt;&gt;是",$E$4:$E$200,"&lt;&gt;封闭期",$H$4:$H$200,"&gt;10",$BN$4:$BN$200,"&gt;-6",$BR$4:$BR$200,"&gt;=70",$K$4:$K$200,"&lt;=30",$C$4:$C$200,"&lt;20190630",AO$4:AO$200,"&gt;="&amp;AO108)/COUNTIFS(AO$4:AO$200,"&lt;&gt;-",$D$4:$D$200,"&lt;&gt;是",$E$4:$E$200,"&lt;&gt;封闭期",$H$4:$H$200,"&gt;10",$BN$4:$BN$200,"&gt;-6",$BR$4:$BR$200,"&gt;=70",$C$4:$C$200,"&lt;20190630",$K$4:$K$200,"&lt;=30"))</f>
        <v>-</v>
      </c>
      <c r="AT108" s="19">
        <f>IFERROR((AM108-3)/AN108,"-")</f>
        <v>0.8636907332944066</v>
      </c>
      <c r="AU108" s="19" t="str">
        <f>IFERROR(RANK(AT108,AT:AT)&amp;"/"&amp;COUNT(AT:AT),"-")</f>
        <v>99/197</v>
      </c>
      <c r="AV108" s="26">
        <f>IFERROR(RANK(AT108,AT:AT)/COUNT(AT:AT),"-")</f>
        <v>0.5025380710659898</v>
      </c>
      <c r="AW108" s="34" t="str">
        <f>IF(OR($C108&gt;20190630,$K108&gt;30,AT108="-",$D108="是",$E108="封闭期",$H108&lt;10,$BN108&lt;-6,$BR108&lt;70),"-",COUNTIFS(AT$4:AT$200,"&lt;&gt;-",$D$4:$D$200,"&lt;&gt;是",$E$4:$E$200,"&lt;&gt;封闭期",$H$4:$H$200,"&gt;10",$BN$4:$BN$200,"&gt;-6",$BR$4:$BR$200,"&gt;=70",$K$4:$K$200,"&lt;=30",$C$4:$C$200,"&lt;20190630",AT$4:AT$200,"&gt;="&amp;AT108)&amp;"/"&amp;COUNTIFS(AT$4:AT$200,"&lt;&gt;-",$D$4:$D$200,"&lt;&gt;是",$E$4:$E$200,"&lt;&gt;封闭期",$H$4:$H$200,"&gt;10",$BN$4:$BN$200,"&gt;-6",$BR$4:$BR$200,"&gt;=70",$C$4:$C$200,"&lt;20190630",$K$4:$K$200,"&lt;=30"))</f>
        <v>-</v>
      </c>
      <c r="AX108" s="33" t="str">
        <f>IF(OR($C108&gt;20190630,$K108&gt;30,AT108="-",$D108="是",$E108="封闭期",$H108&lt;10,$BN108&lt;-6,$BR108&lt;70),"-",COUNTIFS(AT$4:AT$200,"&lt;&gt;-",$D$4:$D$200,"&lt;&gt;是",$E$4:$E$200,"&lt;&gt;封闭期",$H$4:$H$200,"&gt;10",$BN$4:$BN$200,"&gt;-6",$BR$4:$BR$200,"&gt;=70",$K$4:$K$200,"&lt;=30",$C$4:$C$200,"&lt;20190630",AT$4:AT$200,"&gt;="&amp;AT108)/COUNTIFS(AT$4:AT$200,"&lt;&gt;-",$D$4:$D$200,"&lt;&gt;是",$E$4:$E$200,"&lt;&gt;封闭期",$H$4:$H$200,"&gt;10",$BN$4:$BN$200,"&gt;-6",$BR$4:$BR$200,"&gt;=70",$C$4:$C$200,"&lt;20190630",$K$4:$K$200,"&lt;=30"))</f>
        <v>-</v>
      </c>
      <c r="AY108" s="19">
        <f>[1]!f_risk_calmar(A108,$AM$2,$L$2)</f>
        <v>1.8195530287245751</v>
      </c>
      <c r="AZ108" s="19" t="str">
        <f>IFERROR(RANK(AY108,AY:AY)&amp;"/"&amp;COUNT(AY:AY),"-")</f>
        <v>127/197</v>
      </c>
      <c r="BA108" s="26">
        <f>IFERROR(RANK(AY108,AY:AY)/COUNT(AY:AY),"-")</f>
        <v>0.64467005076142136</v>
      </c>
      <c r="BB108" s="34" t="str">
        <f>IF(OR($C108&gt;20190630,$K108&gt;30,AY108="-",$D108="是",$E108="封闭期",$H108&lt;10,$BN108&lt;-6,$BR108&lt;70),"-",COUNTIFS(AY$4:AY$200,"&lt;&gt;-",$D$4:$D$200,"&lt;&gt;是",$E$4:$E$200,"&lt;&gt;封闭期",$H$4:$H$200,"&gt;10",$BN$4:$BN$200,"&gt;-6",$BR$4:$BR$200,"&gt;=70",$K$4:$K$200,"&lt;=30",$C$4:$C$200,"&lt;20190630",AY$4:AY$200,"&gt;="&amp;AY108)&amp;"/"&amp;COUNTIFS(AY$4:AY$200,"&lt;&gt;-",$D$4:$D$200,"&lt;&gt;是",$E$4:$E$200,"&lt;&gt;封闭期",$H$4:$H$200,"&gt;10",$BN$4:$BN$200,"&gt;-6",$BR$4:$BR$200,"&gt;=70",$C$4:$C$200,"&lt;20190630",$K$4:$K$200,"&lt;=30"))</f>
        <v>-</v>
      </c>
      <c r="BC108" s="33" t="str">
        <f>IF(OR($C108&gt;20190630,$K108&gt;30,AY108="-",$D108="是",$E108="封闭期",$H108&lt;10,$BN108&lt;-6,$BR108&lt;70),"-",COUNTIFS(AY$4:AY$200,"&lt;&gt;-",$D$4:$D$200,"&lt;&gt;是",$E$4:$E$200,"&lt;&gt;封闭期",$H$4:$H$200,"&gt;10",$BN$4:$BN$200,"&gt;-6",$BR$4:$BR$200,"&gt;=70",$K$4:$K$200,"&lt;=30",$C$4:$C$200,"&lt;20190630",AY$4:AY$200,"&gt;="&amp;AY108)/COUNTIFS(AY$4:AY$200,"&lt;&gt;-",$D$4:$D$200,"&lt;&gt;是",$E$4:$E$200,"&lt;&gt;封闭期",$H$4:$H$200,"&gt;10",$BN$4:$BN$200,"&gt;-6",$BR$4:$BR$200,"&gt;=70",$C$4:$C$200,"&lt;20190630",$K$4:$K$200,"&lt;=30"))</f>
        <v>-</v>
      </c>
      <c r="BD108" s="20">
        <v>1</v>
      </c>
      <c r="BE108" s="19" t="str">
        <f>IFERROR(RANK(BD108,BD:BD)&amp;"/"&amp;COUNT(BD:BD),"-")</f>
        <v>1/197</v>
      </c>
      <c r="BF108" s="26">
        <f>IFERROR(RANK(BD108,BD:BD)/COUNT(BD:BD),"-")</f>
        <v>5.076142131979695E-3</v>
      </c>
      <c r="BG108" s="34" t="str">
        <f>IF(OR($C108&gt;20190630,$K108&gt;30,BD108="-",$D108="是",$E108="封闭期",$H108&lt;10,$BN108&lt;-6,$BR108&lt;70),"-",COUNTIFS(BD$4:BD$200,"&lt;&gt;-",$D$4:$D$200,"&lt;&gt;是",$E$4:$E$200,"&lt;&gt;封闭期",$H$4:$H$200,"&gt;10",$BN$4:$BN$200,"&gt;-6",$BR$4:$BR$200,"&gt;=70",$K$4:$K$200,"&lt;=30",$C$4:$C$200,"&lt;20190630",BD$4:BD$200,"&gt;="&amp;BD108)&amp;"/"&amp;COUNTIFS(BD$4:BD$200,"&lt;&gt;-",$D$4:$D$200,"&lt;&gt;是",$E$4:$E$200,"&lt;&gt;封闭期",$H$4:$H$200,"&gt;10",$BN$4:$BN$200,"&gt;-6",$BR$4:$BR$200,"&gt;=70",$C$4:$C$200,"&lt;20190630",$K$4:$K$200,"&lt;=30"))</f>
        <v>-</v>
      </c>
      <c r="BH108" s="33" t="str">
        <f>IF(OR($C108&gt;20190630,$K108&gt;30,BD108="-",$D108="是",$E108="封闭期",$H108&lt;10,$BN108&lt;-6,$BR108&lt;70),"-",COUNTIFS(BD$4:BD$200,"&lt;&gt;-",$D$4:$D$200,"&lt;&gt;是",$E$4:$E$200,"&lt;&gt;封闭期",$H$4:$H$200,"&gt;10",$BN$4:$BN$200,"&gt;-6",$BR$4:$BR$200,"&gt;=70",$K$4:$K$200,"&lt;=30",$C$4:$C$200,"&lt;20190630",BD$4:BD$200,"&gt;="&amp;BD108)/COUNTIFS(BD$4:BD$200,"&lt;&gt;-",$D$4:$D$200,"&lt;&gt;是",$E$4:$E$200,"&lt;&gt;封闭期",$H$4:$H$200,"&gt;10",$BN$4:$BN$200,"&gt;-6",$BR$4:$BR$200,"&gt;=70",$C$4:$C$200,"&lt;20190630",$K$4:$K$200,"&lt;=30"))</f>
        <v>-</v>
      </c>
      <c r="BI108" s="21">
        <f>[1]!f_risk_maxdownside(A108,$AM$2,$L$2)</f>
        <v>-3.7910447761194148</v>
      </c>
      <c r="BJ108" s="19" t="str">
        <f>IFERROR(RANK(BI108,BI:BI)&amp;"/"&amp;COUNT(BI:BI),"-")</f>
        <v>124/197</v>
      </c>
      <c r="BK108" s="26">
        <f>IFERROR(RANK(BI108,BI:BI)/COUNT(BI:BI),"-")</f>
        <v>0.62944162436548223</v>
      </c>
      <c r="BL108" s="34" t="str">
        <f>IF(OR($C108&gt;20190630,$K108&gt;30,BI108="-",$D108="是",$E108="封闭期",$H108&lt;10,$BN108&lt;-6,$BR108&lt;70),"-",COUNTIFS(BI$4:BI$200,"&lt;&gt;-",$D$4:$D$200,"&lt;&gt;是",$E$4:$E$200,"&lt;&gt;封闭期",$H$4:$H$200,"&gt;10",$BN$4:$BN$200,"&gt;-6",$BR$4:$BR$200,"&gt;=70",$K$4:$K$200,"&lt;=30",$C$4:$C$200,"&lt;20190630",BI$4:BI$200,"&gt;="&amp;BI108)&amp;"/"&amp;COUNTIFS(BI$4:BI$200,"&lt;&gt;-",$D$4:$D$200,"&lt;&gt;是",$E$4:$E$200,"&lt;&gt;封闭期",$H$4:$H$200,"&gt;10",$BN$4:$BN$200,"&gt;-6",$BR$4:$BR$200,"&gt;=70",$C$4:$C$200,"&lt;20190630",$K$4:$K$200,"&lt;=30"))</f>
        <v>-</v>
      </c>
      <c r="BM108" s="33" t="str">
        <f>IF(OR($C108&gt;20190630,$K108&gt;30,BI108="-",$D108="是",$E108="封闭期",$H108&lt;10,$BN108&lt;-6,$BR108&lt;70),"-",COUNTIFS(BI$4:BI$200,"&lt;&gt;-",$D$4:$D$200,"&lt;&gt;是",$E$4:$E$200,"&lt;&gt;封闭期",$H$4:$H$200,"&gt;10",$BN$4:$BN$200,"&gt;-6",$BR$4:$BR$200,"&gt;=70",$K$4:$K$200,"&lt;=30",$C$4:$C$200,"&lt;20190630",BI$4:BI$200,"&gt;="&amp;BI108)/COUNTIFS(BI$4:BI$200,"&lt;&gt;-",$D$4:$D$200,"&lt;&gt;是",$E$4:$E$200,"&lt;&gt;封闭期",$H$4:$H$200,"&gt;10",$BN$4:$BN$200,"&gt;-6",$BR$4:$BR$200,"&gt;=70",$C$4:$C$200,"&lt;20190630",$K$4:$K$200,"&lt;=30"))</f>
        <v>-</v>
      </c>
      <c r="BN108" s="21">
        <f>[1]!f_risk_maxdownside(A108,$AM$2,$E$1)</f>
        <v>-6.0746268656716591</v>
      </c>
      <c r="BO108" s="21">
        <f>IF(C108&lt;20190930,[1]!f_return_2y(A108,"0","20210930"),"-")</f>
        <v>11.69561621174525</v>
      </c>
      <c r="BP108" s="19" t="str">
        <f>IFERROR(RANK(BO108,BO:BO)&amp;"/"&amp;COUNT(BO:BO),"-")</f>
        <v>120/197</v>
      </c>
      <c r="BQ108" s="25">
        <f>IFERROR(RANK(BO108,BO:BO)/COUNT(BO:BO),"-")</f>
        <v>0.6091370558375635</v>
      </c>
      <c r="BR108" s="19">
        <f>IF(C108&lt;20190930,[1]!f_absolute_profitmonthper(A108,"20190930","20210930"),"-")</f>
        <v>54.166666666666664</v>
      </c>
      <c r="BS108" s="19" t="str">
        <f>IFERROR(RANK(BR108,BR:BR)&amp;"/"&amp;COUNT(BR:BR),"-")</f>
        <v>184/198</v>
      </c>
      <c r="BT108" s="25">
        <f>IFERROR(RANK(BR108,BR:BR)/COUNT(BR:BR),"-")</f>
        <v>0.92929292929292928</v>
      </c>
      <c r="BV108" s="12">
        <f>X108-3/M108</f>
        <v>0.65451234091907162</v>
      </c>
      <c r="BW108" s="76">
        <f>IFERROR(RANK(BV108,BV:BV)/COUNT(BV:BV),"-")</f>
        <v>0.70050761421319796</v>
      </c>
      <c r="BX108" s="76">
        <f>IFERROR(RANK(L108,L:L)/COUNT(L:L),"-")</f>
        <v>0.64646464646464652</v>
      </c>
      <c r="BY108" s="12">
        <f>AY108-3/AN108</f>
        <v>1.1548358548082311</v>
      </c>
      <c r="BZ108" s="76">
        <f>IFERROR(RANK(BY108,BY:BY)/COUNT(BY:BY),"-")</f>
        <v>0.63959390862944165</v>
      </c>
      <c r="CA108" s="76">
        <f>IFERROR(RANK(AM108,AM:AM)/COUNT(AM:AM),"-")</f>
        <v>0.53535353535353536</v>
      </c>
      <c r="CB108" s="2"/>
      <c r="CC108" s="77">
        <f>AV108+BF108+BZ108+CA108</f>
        <v>1.6825616571809467</v>
      </c>
      <c r="CD108" s="77">
        <f>BW108+BX108+AE108+U108</f>
        <v>2.7987489104240377</v>
      </c>
      <c r="CE108" s="77">
        <f>CC108+CD108</f>
        <v>4.481310567604984</v>
      </c>
    </row>
    <row r="109" spans="1:83" s="17" customFormat="1" hidden="1" x14ac:dyDescent="0.35">
      <c r="A109" s="15" t="s">
        <v>61</v>
      </c>
      <c r="B109" s="15" t="s">
        <v>62</v>
      </c>
      <c r="C109" s="16">
        <v>20090602</v>
      </c>
      <c r="D109" s="16" t="str">
        <f>[1]!f_info_regulopenfundornot(A109)</f>
        <v>否</v>
      </c>
      <c r="E109" s="16" t="str">
        <f>[1]!f_dq_status(A109,$E$1)</f>
        <v>暂停大额申购|开放赎回</v>
      </c>
      <c r="F109" s="17" t="str">
        <f>[1]!f_info_fundmanager(A109)</f>
        <v>牛兴华</v>
      </c>
      <c r="G109" s="16">
        <v>20210930</v>
      </c>
      <c r="H109" s="18">
        <f>[1]!f_netasset_total(A109,$E$1,100000000)</f>
        <v>1.0534751023</v>
      </c>
      <c r="I109" s="18">
        <f>[1]!f_prt_convertiblebondtonav(A109,$E$1)</f>
        <v>1.8687236309051514</v>
      </c>
      <c r="J109" s="18">
        <f>[1]!f_prt_stocktonav(A109,$E$1)+0.5*I109</f>
        <v>10.585990309715271</v>
      </c>
      <c r="K109" s="19">
        <v>0</v>
      </c>
      <c r="L109" s="19">
        <f>[1]!f_return($A109,"1",L$2,$E$1)</f>
        <v>2.8905178179472468</v>
      </c>
      <c r="M109" s="19">
        <f>[1]!f_risk_stdevyearly($A109,L$2,$E$1,1,1)</f>
        <v>5.6605918780835456</v>
      </c>
      <c r="N109" s="19">
        <f>IFERROR(L109/M109,"-")</f>
        <v>0.51063879541265622</v>
      </c>
      <c r="O109" s="19" t="str">
        <f>IFERROR(RANK(N109,N:N)&amp;"/"&amp;COUNT(N:N),"-")</f>
        <v>174/197</v>
      </c>
      <c r="P109" s="26">
        <f>IF(O109="-","-",RANK(N109,N:N)/COUNT(N:N))</f>
        <v>0.88324873096446699</v>
      </c>
      <c r="Q109" s="56">
        <v>0.8375634517766497</v>
      </c>
      <c r="R109" s="33" t="str">
        <f>IF(OR($C109&gt;20190630,$K109&gt;30,N109="-",$D109="是",$E109="封闭期",$H109&lt;10,$BN109&lt;-6,$BR109&lt;70),"-",COUNTIFS(N$4:N$200,"&lt;&gt;-",$D$4:$D$200,"&lt;&gt;是",$E$4:$E$200,"&lt;&gt;封闭期",$H$4:$H$200,"&gt;10",$BN$4:$BN$200,"&gt;-6",$BR$4:$BR$200,"&gt;=70",$K$4:$K$200,"&lt;=30",$C$4:$C$200,"&lt;20190630",N$4:N$200,"&gt;="&amp;N109)/COUNTIFS(N$4:N$200,"&lt;&gt;-",$D$4:$D$200,"&lt;&gt;是",$E$4:$E$200,"&lt;&gt;封闭期",$H$4:$H$200,"&gt;10",$BN$4:$BN$200,"&gt;-6",$BR$4:$BR$200,"&gt;=70",$C$4:$C$200,"&lt;20190630",$K$4:$K$200,"&lt;=30"))</f>
        <v>-</v>
      </c>
      <c r="S109" s="19">
        <f>IFERROR((L109-3)/M109,"-")</f>
        <v>-1.9341119163994482E-2</v>
      </c>
      <c r="T109" s="19" t="str">
        <f>IFERROR(RANK(S109,S:S)&amp;"/"&amp;COUNT(S:S),"-")</f>
        <v>164/197</v>
      </c>
      <c r="U109" s="26">
        <f>IFERROR(RANK(S109,S:S)/COUNT(S:S),"-")</f>
        <v>0.8324873096446701</v>
      </c>
      <c r="V109" s="34" t="str">
        <f>IF(OR($C109&gt;20190630,$K109&gt;30,S109="-",$D109="是",$E109="封闭期",$H109&lt;10,$BN109&lt;-6,$BR109&lt;70),"-",COUNTIFS(S$4:S$200,"&lt;&gt;-",$D$4:$D$200,"&lt;&gt;是",$E$4:$E$200,"&lt;&gt;封闭期",$H$4:$H$200,"&gt;10",$BN$4:$BN$200,"&gt;-6",$BR$4:$BR$200,"&gt;=70",$K$4:$K$200,"&lt;=30",$C$4:$C$200,"&lt;20190630",S$4:S$200,"&gt;="&amp;S109)&amp;"/"&amp;COUNTIFS(S$4:S$200,"&lt;&gt;-",$D$4:$D$200,"&lt;&gt;是",$E$4:$E$200,"&lt;&gt;封闭期",$H$4:$H$200,"&gt;10",$BN$4:$BN$200,"&gt;-6",$BR$4:$BR$200,"&gt;=70",$C$4:$C$200,"&lt;20190630",$K$4:$K$200,"&lt;=30"))</f>
        <v>-</v>
      </c>
      <c r="W109" s="33" t="str">
        <f>IF(OR($C109&gt;20190630,$K109&gt;30,S109="-",$D109="是",$E109="封闭期",$H109&lt;10,$BN109&lt;-6,$BR109&lt;70),"-",COUNTIFS(S$4:S$200,"&lt;&gt;-",$D$4:$D$200,"&lt;&gt;是",$E$4:$E$200,"&lt;&gt;封闭期",$H$4:$H$200,"&gt;10",$BN$4:$BN$200,"&gt;-6",$BR$4:$BR$200,"&gt;=70",$K$4:$K$200,"&lt;=30",$C$4:$C$200,"&lt;20190630",S$4:S$200,"&gt;="&amp;S109)/COUNTIFS(S$4:S$200,"&lt;&gt;-",$D$4:$D$200,"&lt;&gt;是",$E$4:$E$200,"&lt;&gt;封闭期",$H$4:$H$200,"&gt;10",$BN$4:$BN$200,"&gt;-6",$BR$4:$BR$200,"&gt;=70",$C$4:$C$200,"&lt;20190630",$K$4:$K$200,"&lt;=30"))</f>
        <v>-</v>
      </c>
      <c r="X109" s="19">
        <f>[1]!f_risk_calmar(A109,$L$2,$E$1)</f>
        <v>0.48608432663278006</v>
      </c>
      <c r="Y109" s="19" t="str">
        <f>IFERROR(RANK(X109,X:X)&amp;"/"&amp;COUNT(X:X),"-")</f>
        <v>178/197</v>
      </c>
      <c r="Z109" s="26">
        <f>IFERROR(RANK(X109,X:X)/COUNT(X:X),"-")</f>
        <v>0.90355329949238583</v>
      </c>
      <c r="AA109" s="34" t="str">
        <f>IF(OR($C109&gt;20190630,$K109&gt;30,X109="-",$D109="是",$E109="封闭期",$H109&lt;10,$BN109&lt;-6,$BR109&lt;70),"-",COUNTIFS(X$4:X$200,"&lt;&gt;-",$D$4:$D$200,"&lt;&gt;是",$E$4:$E$200,"&lt;&gt;封闭期",$H$4:$H$200,"&gt;10",$BN$4:$BN$200,"&gt;-6",$BR$4:$BR$200,"&gt;=70",$K$4:$K$200,"&lt;=30",$C$4:$C$200,"&lt;20190630",X$4:X$200,"&gt;="&amp;X109)&amp;"/"&amp;COUNTIFS(X$4:X$200,"&lt;&gt;-",$D$4:$D$200,"&lt;&gt;是",$E$4:$E$200,"&lt;&gt;封闭期",$H$4:$H$200,"&gt;10",$BN$4:$BN$200,"&gt;-6",$BR$4:$BR$200,"&gt;=70",$C$4:$C$200,"&lt;20190630",$K$4:$K$200,"&lt;=30"))</f>
        <v>-</v>
      </c>
      <c r="AB109" s="33" t="str">
        <f>IF(OR($C109&gt;20190630,$K109&gt;30,X109="-",$D109="是",$E109="封闭期",$H109&lt;10,$BN109&lt;-6,$BR109&lt;70),"-",COUNTIFS(X$4:X$200,"&lt;&gt;-",$D$4:$D$200,"&lt;&gt;是",$E$4:$E$200,"&lt;&gt;封闭期",$H$4:$H$200,"&gt;10",$BN$4:$BN$200,"&gt;-6",$BR$4:$BR$200,"&gt;=70",$K$4:$K$200,"&lt;=30",$C$4:$C$200,"&lt;20190630",X$4:X$200,"&gt;="&amp;X109)/COUNTIFS(X$4:X$200,"&lt;&gt;-",$D$4:$D$200,"&lt;&gt;是",$E$4:$E$200,"&lt;&gt;封闭期",$H$4:$H$200,"&gt;10",$BN$4:$BN$200,"&gt;-6",$BR$4:$BR$200,"&gt;=70",$C$4:$C$200,"&lt;20190630",$K$4:$K$200,"&lt;=30"))</f>
        <v>-</v>
      </c>
      <c r="AC109" s="20">
        <v>0.6470588235294118</v>
      </c>
      <c r="AD109" s="19" t="str">
        <f>IFERROR(RANK(AC109,AC:AC)&amp;"/"&amp;COUNT(AC:AC),"-")</f>
        <v>174/197</v>
      </c>
      <c r="AE109" s="26">
        <f>IFERROR(RANK(AC109,AC:AC)/COUNT(AC:AC),"-")</f>
        <v>0.88324873096446699</v>
      </c>
      <c r="AF109" s="34" t="str">
        <f>IF(OR($C109&gt;20190630,$K109&gt;30,AC109="-",$D109="是",$E109="封闭期",$H109&lt;10,$BN109&lt;-6,$BR109&lt;70),"-",COUNTIFS(AC$4:AC$200,"&lt;&gt;-",$D$4:$D$200,"&lt;&gt;是",$E$4:$E$200,"&lt;&gt;封闭期",$H$4:$H$200,"&gt;10",$BN$4:$BN$200,"&gt;-6",$BR$4:$BR$200,"&gt;=70",$K$4:$K$200,"&lt;=30",$C$4:$C$200,"&lt;20190630",AC$4:AC$200,"&gt;="&amp;AC109)&amp;"/"&amp;COUNTIFS(AC$4:AC$200,"&lt;&gt;-",$D$4:$D$200,"&lt;&gt;是",$E$4:$E$200,"&lt;&gt;封闭期",$H$4:$H$200,"&gt;10",$BN$4:$BN$200,"&gt;-6",$BR$4:$BR$200,"&gt;=70",$C$4:$C$200,"&lt;20190630",$K$4:$K$200,"&lt;=30"))</f>
        <v>-</v>
      </c>
      <c r="AG109" s="33" t="str">
        <f>IF(OR($C109&gt;20190630,$K109&gt;30,AC109="-",$D109="是",$E109="封闭期",$H109&lt;10,$BN109&lt;-6,$BR109&lt;70),"-",COUNTIFS(AC$4:AC$200,"&lt;&gt;-",$D$4:$D$200,"&lt;&gt;是",$E$4:$E$200,"&lt;&gt;封闭期",$H$4:$H$200,"&gt;10",$BN$4:$BN$200,"&gt;-6",$BR$4:$BR$200,"&gt;=70",$K$4:$K$200,"&lt;=30",$C$4:$C$200,"&lt;20190630",AC$4:AC$200,"&gt;="&amp;AC109)/COUNTIFS(AC$4:AC$200,"&lt;&gt;-",$D$4:$D$200,"&lt;&gt;是",$E$4:$E$200,"&lt;&gt;封闭期",$H$4:$H$200,"&gt;10",$BN$4:$BN$200,"&gt;-6",$BR$4:$BR$200,"&gt;=70",$C$4:$C$200,"&lt;20190630",$K$4:$K$200,"&lt;=30"))</f>
        <v>-</v>
      </c>
      <c r="AH109" s="21">
        <f>[1]!f_risk_maxdownside(A109,$L$2,$E$1)</f>
        <v>-5.9465357337697773</v>
      </c>
      <c r="AI109" s="19" t="str">
        <f>IFERROR(RANK(AH109,AH:AH)&amp;"/"&amp;COUNT(AH:AH),"-")</f>
        <v>174/197</v>
      </c>
      <c r="AJ109" s="26">
        <f>IFERROR(RANK(AH109,AH:AH)/COUNT(AH:AH),"-")</f>
        <v>0.88324873096446699</v>
      </c>
      <c r="AK109" s="34" t="str">
        <f>IF(OR($C109&gt;20190630,$K109&gt;30,AH109="-",$D109="是",$E109="封闭期",$H109&lt;10,$BN109&lt;-6,$BR109&lt;70),"-",COUNTIFS(AH$4:AH$200,"&lt;&gt;-",$D$4:$D$200,"&lt;&gt;是",$E$4:$E$200,"&lt;&gt;封闭期",$H$4:$H$200,"&gt;10",$BN$4:$BN$200,"&gt;-6",$BR$4:$BR$200,"&gt;=70",$K$4:$K$200,"&lt;=30",$C$4:$C$200,"&lt;20190630",AH$4:AH$200,"&gt;="&amp;AH109)&amp;"/"&amp;COUNTIFS(AH$4:AH$200,"&lt;&gt;-",$D$4:$D$200,"&lt;&gt;是",$E$4:$E$200,"&lt;&gt;封闭期",$H$4:$H$200,"&gt;10",$BN$4:$BN$200,"&gt;-6",$BR$4:$BR$200,"&gt;=70",$C$4:$C$200,"&lt;20190630",$K$4:$K$200,"&lt;=30"))</f>
        <v>-</v>
      </c>
      <c r="AL109" s="33" t="str">
        <f>IF(OR($C109&gt;20190630,$K109&gt;30,AH109="-",$D109="是",$E109="封闭期",$H109&lt;10,$BN109&lt;-6,$BR109&lt;70),"-",COUNTIFS(AH$4:AH$200,"&lt;&gt;-",$D$4:$D$200,"&lt;&gt;是",$E$4:$E$200,"&lt;&gt;封闭期",$H$4:$H$200,"&gt;10",$BN$4:$BN$200,"&gt;-6",$BR$4:$BR$200,"&gt;=70",$K$4:$K$200,"&lt;=30",$C$4:$C$200,"&lt;20190630",AH$4:AH$200,"&gt;="&amp;AH109)/COUNTIFS(AH$4:AH$200,"&lt;&gt;-",$D$4:$D$200,"&lt;&gt;是",$E$4:$E$200,"&lt;&gt;封闭期",$H$4:$H$200,"&gt;10",$BN$4:$BN$200,"&gt;-6",$BR$4:$BR$200,"&gt;=70",$C$4:$C$200,"&lt;20190630",$K$4:$K$200,"&lt;=30"))</f>
        <v>-</v>
      </c>
      <c r="AM109" s="19">
        <f>[1]!f_return($A109,"1",AM$2,$L$2)</f>
        <v>6.8959176482403572</v>
      </c>
      <c r="AN109" s="19">
        <f>[1]!f_risk_stdevyearly($A109,AM$2,$L$2,1,1)</f>
        <v>6.4110111474221467</v>
      </c>
      <c r="AO109" s="19">
        <f>IFERROR(AM109/AN109,"-")</f>
        <v>1.0756365087608981</v>
      </c>
      <c r="AP109" s="19" t="str">
        <f>IFERROR(RANK(AO109,AO:AO)&amp;"/"&amp;COUNT(AO:AO),"-")</f>
        <v>154/197</v>
      </c>
      <c r="AQ109" s="26">
        <f>IF(AP109="-","-",RANK(AO109,AO:AO)/COUNT(AO:AO))</f>
        <v>0.78172588832487311</v>
      </c>
      <c r="AR109" s="57">
        <v>0.53807106598984766</v>
      </c>
      <c r="AS109" s="33" t="str">
        <f>IF(OR($C109&gt;20190630,$K109&gt;30,AO109="-",$D109="是",$E109="封闭期",$H109&lt;10,$BN109&lt;-6,$BR109&lt;70),"-",COUNTIFS(AO$4:AO$200,"&lt;&gt;-",$D$4:$D$200,"&lt;&gt;是",$E$4:$E$200,"&lt;&gt;封闭期",$H$4:$H$200,"&gt;10",$BN$4:$BN$200,"&gt;-6",$BR$4:$BR$200,"&gt;=70",$K$4:$K$200,"&lt;=30",$C$4:$C$200,"&lt;20190630",AO$4:AO$200,"&gt;="&amp;AO109)/COUNTIFS(AO$4:AO$200,"&lt;&gt;-",$D$4:$D$200,"&lt;&gt;是",$E$4:$E$200,"&lt;&gt;封闭期",$H$4:$H$200,"&gt;10",$BN$4:$BN$200,"&gt;-6",$BR$4:$BR$200,"&gt;=70",$C$4:$C$200,"&lt;20190630",$K$4:$K$200,"&lt;=30"))</f>
        <v>-</v>
      </c>
      <c r="AT109" s="19">
        <f>IFERROR((AM109-3)/AN109,"-")</f>
        <v>0.60769160412502121</v>
      </c>
      <c r="AU109" s="19" t="str">
        <f>IFERROR(RANK(AT109,AT:AT)&amp;"/"&amp;COUNT(AT:AT),"-")</f>
        <v>129/197</v>
      </c>
      <c r="AV109" s="26">
        <f>IFERROR(RANK(AT109,AT:AT)/COUNT(AT:AT),"-")</f>
        <v>0.65482233502538068</v>
      </c>
      <c r="AW109" s="34" t="str">
        <f>IF(OR($C109&gt;20190630,$K109&gt;30,AT109="-",$D109="是",$E109="封闭期",$H109&lt;10,$BN109&lt;-6,$BR109&lt;70),"-",COUNTIFS(AT$4:AT$200,"&lt;&gt;-",$D$4:$D$200,"&lt;&gt;是",$E$4:$E$200,"&lt;&gt;封闭期",$H$4:$H$200,"&gt;10",$BN$4:$BN$200,"&gt;-6",$BR$4:$BR$200,"&gt;=70",$K$4:$K$200,"&lt;=30",$C$4:$C$200,"&lt;20190630",AT$4:AT$200,"&gt;="&amp;AT109)&amp;"/"&amp;COUNTIFS(AT$4:AT$200,"&lt;&gt;-",$D$4:$D$200,"&lt;&gt;是",$E$4:$E$200,"&lt;&gt;封闭期",$H$4:$H$200,"&gt;10",$BN$4:$BN$200,"&gt;-6",$BR$4:$BR$200,"&gt;=70",$C$4:$C$200,"&lt;20190630",$K$4:$K$200,"&lt;=30"))</f>
        <v>-</v>
      </c>
      <c r="AX109" s="33" t="str">
        <f>IF(OR($C109&gt;20190630,$K109&gt;30,AT109="-",$D109="是",$E109="封闭期",$H109&lt;10,$BN109&lt;-6,$BR109&lt;70),"-",COUNTIFS(AT$4:AT$200,"&lt;&gt;-",$D$4:$D$200,"&lt;&gt;是",$E$4:$E$200,"&lt;&gt;封闭期",$H$4:$H$200,"&gt;10",$BN$4:$BN$200,"&gt;-6",$BR$4:$BR$200,"&gt;=70",$K$4:$K$200,"&lt;=30",$C$4:$C$200,"&lt;20190630",AT$4:AT$200,"&gt;="&amp;AT109)/COUNTIFS(AT$4:AT$200,"&lt;&gt;-",$D$4:$D$200,"&lt;&gt;是",$E$4:$E$200,"&lt;&gt;封闭期",$H$4:$H$200,"&gt;10",$BN$4:$BN$200,"&gt;-6",$BR$4:$BR$200,"&gt;=70",$C$4:$C$200,"&lt;20190630",$K$4:$K$200,"&lt;=30"))</f>
        <v>-</v>
      </c>
      <c r="AY109" s="19">
        <f>[1]!f_risk_calmar(A109,$AM$2,$L$2)</f>
        <v>1.5973968141334867</v>
      </c>
      <c r="AZ109" s="19" t="str">
        <f>IFERROR(RANK(AY109,AY:AY)&amp;"/"&amp;COUNT(AY:AY),"-")</f>
        <v>139/197</v>
      </c>
      <c r="BA109" s="26">
        <f>IFERROR(RANK(AY109,AY:AY)/COUNT(AY:AY),"-")</f>
        <v>0.70558375634517767</v>
      </c>
      <c r="BB109" s="34" t="str">
        <f>IF(OR($C109&gt;20190630,$K109&gt;30,AY109="-",$D109="是",$E109="封闭期",$H109&lt;10,$BN109&lt;-6,$BR109&lt;70),"-",COUNTIFS(AY$4:AY$200,"&lt;&gt;-",$D$4:$D$200,"&lt;&gt;是",$E$4:$E$200,"&lt;&gt;封闭期",$H$4:$H$200,"&gt;10",$BN$4:$BN$200,"&gt;-6",$BR$4:$BR$200,"&gt;=70",$K$4:$K$200,"&lt;=30",$C$4:$C$200,"&lt;20190630",AY$4:AY$200,"&gt;="&amp;AY109)&amp;"/"&amp;COUNTIFS(AY$4:AY$200,"&lt;&gt;-",$D$4:$D$200,"&lt;&gt;是",$E$4:$E$200,"&lt;&gt;封闭期",$H$4:$H$200,"&gt;10",$BN$4:$BN$200,"&gt;-6",$BR$4:$BR$200,"&gt;=70",$C$4:$C$200,"&lt;20190630",$K$4:$K$200,"&lt;=30"))</f>
        <v>-</v>
      </c>
      <c r="BC109" s="33" t="str">
        <f>IF(OR($C109&gt;20190630,$K109&gt;30,AY109="-",$D109="是",$E109="封闭期",$H109&lt;10,$BN109&lt;-6,$BR109&lt;70),"-",COUNTIFS(AY$4:AY$200,"&lt;&gt;-",$D$4:$D$200,"&lt;&gt;是",$E$4:$E$200,"&lt;&gt;封闭期",$H$4:$H$200,"&gt;10",$BN$4:$BN$200,"&gt;-6",$BR$4:$BR$200,"&gt;=70",$K$4:$K$200,"&lt;=30",$C$4:$C$200,"&lt;20190630",AY$4:AY$200,"&gt;="&amp;AY109)/COUNTIFS(AY$4:AY$200,"&lt;&gt;-",$D$4:$D$200,"&lt;&gt;是",$E$4:$E$200,"&lt;&gt;封闭期",$H$4:$H$200,"&gt;10",$BN$4:$BN$200,"&gt;-6",$BR$4:$BR$200,"&gt;=70",$C$4:$C$200,"&lt;20190630",$K$4:$K$200,"&lt;=30"))</f>
        <v>-</v>
      </c>
      <c r="BD109" s="20">
        <v>1</v>
      </c>
      <c r="BE109" s="19" t="str">
        <f>IFERROR(RANK(BD109,BD:BD)&amp;"/"&amp;COUNT(BD:BD),"-")</f>
        <v>1/197</v>
      </c>
      <c r="BF109" s="26">
        <f>IFERROR(RANK(BD109,BD:BD)/COUNT(BD:BD),"-")</f>
        <v>5.076142131979695E-3</v>
      </c>
      <c r="BG109" s="34" t="str">
        <f>IF(OR($C109&gt;20190630,$K109&gt;30,BD109="-",$D109="是",$E109="封闭期",$H109&lt;10,$BN109&lt;-6,$BR109&lt;70),"-",COUNTIFS(BD$4:BD$200,"&lt;&gt;-",$D$4:$D$200,"&lt;&gt;是",$E$4:$E$200,"&lt;&gt;封闭期",$H$4:$H$200,"&gt;10",$BN$4:$BN$200,"&gt;-6",$BR$4:$BR$200,"&gt;=70",$K$4:$K$200,"&lt;=30",$C$4:$C$200,"&lt;20190630",BD$4:BD$200,"&gt;="&amp;BD109)&amp;"/"&amp;COUNTIFS(BD$4:BD$200,"&lt;&gt;-",$D$4:$D$200,"&lt;&gt;是",$E$4:$E$200,"&lt;&gt;封闭期",$H$4:$H$200,"&gt;10",$BN$4:$BN$200,"&gt;-6",$BR$4:$BR$200,"&gt;=70",$C$4:$C$200,"&lt;20190630",$K$4:$K$200,"&lt;=30"))</f>
        <v>-</v>
      </c>
      <c r="BH109" s="33" t="str">
        <f>IF(OR($C109&gt;20190630,$K109&gt;30,BD109="-",$D109="是",$E109="封闭期",$H109&lt;10,$BN109&lt;-6,$BR109&lt;70),"-",COUNTIFS(BD$4:BD$200,"&lt;&gt;-",$D$4:$D$200,"&lt;&gt;是",$E$4:$E$200,"&lt;&gt;封闭期",$H$4:$H$200,"&gt;10",$BN$4:$BN$200,"&gt;-6",$BR$4:$BR$200,"&gt;=70",$K$4:$K$200,"&lt;=30",$C$4:$C$200,"&lt;20190630",BD$4:BD$200,"&gt;="&amp;BD109)/COUNTIFS(BD$4:BD$200,"&lt;&gt;-",$D$4:$D$200,"&lt;&gt;是",$E$4:$E$200,"&lt;&gt;封闭期",$H$4:$H$200,"&gt;10",$BN$4:$BN$200,"&gt;-6",$BR$4:$BR$200,"&gt;=70",$C$4:$C$200,"&lt;20190630",$K$4:$K$200,"&lt;=30"))</f>
        <v>-</v>
      </c>
      <c r="BI109" s="21">
        <f>[1]!f_risk_maxdownside(A109,$AM$2,$L$2)</f>
        <v>-4.3169722057953841</v>
      </c>
      <c r="BJ109" s="19" t="str">
        <f>IFERROR(RANK(BI109,BI:BI)&amp;"/"&amp;COUNT(BI:BI),"-")</f>
        <v>142/197</v>
      </c>
      <c r="BK109" s="26">
        <f>IFERROR(RANK(BI109,BI:BI)/COUNT(BI:BI),"-")</f>
        <v>0.7208121827411168</v>
      </c>
      <c r="BL109" s="34" t="str">
        <f>IF(OR($C109&gt;20190630,$K109&gt;30,BI109="-",$D109="是",$E109="封闭期",$H109&lt;10,$BN109&lt;-6,$BR109&lt;70),"-",COUNTIFS(BI$4:BI$200,"&lt;&gt;-",$D$4:$D$200,"&lt;&gt;是",$E$4:$E$200,"&lt;&gt;封闭期",$H$4:$H$200,"&gt;10",$BN$4:$BN$200,"&gt;-6",$BR$4:$BR$200,"&gt;=70",$K$4:$K$200,"&lt;=30",$C$4:$C$200,"&lt;20190630",BI$4:BI$200,"&gt;="&amp;BI109)&amp;"/"&amp;COUNTIFS(BI$4:BI$200,"&lt;&gt;-",$D$4:$D$200,"&lt;&gt;是",$E$4:$E$200,"&lt;&gt;封闭期",$H$4:$H$200,"&gt;10",$BN$4:$BN$200,"&gt;-6",$BR$4:$BR$200,"&gt;=70",$C$4:$C$200,"&lt;20190630",$K$4:$K$200,"&lt;=30"))</f>
        <v>-</v>
      </c>
      <c r="BM109" s="33" t="str">
        <f>IF(OR($C109&gt;20190630,$K109&gt;30,BI109="-",$D109="是",$E109="封闭期",$H109&lt;10,$BN109&lt;-6,$BR109&lt;70),"-",COUNTIFS(BI$4:BI$200,"&lt;&gt;-",$D$4:$D$200,"&lt;&gt;是",$E$4:$E$200,"&lt;&gt;封闭期",$H$4:$H$200,"&gt;10",$BN$4:$BN$200,"&gt;-6",$BR$4:$BR$200,"&gt;=70",$K$4:$K$200,"&lt;=30",$C$4:$C$200,"&lt;20190630",BI$4:BI$200,"&gt;="&amp;BI109)/COUNTIFS(BI$4:BI$200,"&lt;&gt;-",$D$4:$D$200,"&lt;&gt;是",$E$4:$E$200,"&lt;&gt;封闭期",$H$4:$H$200,"&gt;10",$BN$4:$BN$200,"&gt;-6",$BR$4:$BR$200,"&gt;=70",$C$4:$C$200,"&lt;20190630",$K$4:$K$200,"&lt;=30"))</f>
        <v>-</v>
      </c>
      <c r="BN109" s="21">
        <f>[1]!f_risk_maxdownside(A109,$AM$2,$E$1)</f>
        <v>-5.9465357337697773</v>
      </c>
      <c r="BO109" s="21">
        <f>IF(C109&lt;20190930,[1]!f_return_2y(A109,"0","20210930"),"-")</f>
        <v>10.248447204968928</v>
      </c>
      <c r="BP109" s="19" t="str">
        <f>IFERROR(RANK(BO109,BO:BO)&amp;"/"&amp;COUNT(BO:BO),"-")</f>
        <v>136/197</v>
      </c>
      <c r="BQ109" s="25">
        <f>IFERROR(RANK(BO109,BO:BO)/COUNT(BO:BO),"-")</f>
        <v>0.69035532994923854</v>
      </c>
      <c r="BR109" s="19">
        <f>IF(C109&lt;20190930,[1]!f_absolute_profitmonthper(A109,"20190930","20210930"),"-")</f>
        <v>50</v>
      </c>
      <c r="BS109" s="19" t="str">
        <f>IFERROR(RANK(BR109,BR:BR)&amp;"/"&amp;COUNT(BR:BR),"-")</f>
        <v>193/198</v>
      </c>
      <c r="BT109" s="25">
        <f>IFERROR(RANK(BR109,BR:BR)/COUNT(BR:BR),"-")</f>
        <v>0.9747474747474747</v>
      </c>
      <c r="BV109" s="12">
        <f>X109-3/M109</f>
        <v>-4.3895587943870551E-2</v>
      </c>
      <c r="BW109" s="76">
        <f>IFERROR(RANK(BV109,BV:BV)/COUNT(BV:BV),"-")</f>
        <v>0.86802030456852797</v>
      </c>
      <c r="BX109" s="76">
        <f>IFERROR(RANK(L109,L:L)/COUNT(L:L),"-")</f>
        <v>0.83838383838383834</v>
      </c>
      <c r="BY109" s="12">
        <f>AY109-3/AN109</f>
        <v>1.1294519094976099</v>
      </c>
      <c r="BZ109" s="76">
        <f>IFERROR(RANK(BY109,BY:BY)/COUNT(BY:BY),"-")</f>
        <v>0.64467005076142136</v>
      </c>
      <c r="CA109" s="76">
        <f>IFERROR(RANK(AM109,AM:AM)/COUNT(AM:AM),"-")</f>
        <v>0.54040404040404044</v>
      </c>
      <c r="CB109" s="2"/>
      <c r="CC109" s="77">
        <f>AV109+BF109+BZ109+CA109</f>
        <v>1.8449725683228222</v>
      </c>
      <c r="CD109" s="77">
        <f>BW109+BX109+AE109+U109</f>
        <v>3.4221401835615035</v>
      </c>
      <c r="CE109" s="77">
        <f>CC109+CD109</f>
        <v>5.2671127518843255</v>
      </c>
    </row>
    <row r="110" spans="1:83" s="17" customFormat="1" hidden="1" x14ac:dyDescent="0.35">
      <c r="A110" s="15" t="s">
        <v>369</v>
      </c>
      <c r="B110" s="15" t="s">
        <v>370</v>
      </c>
      <c r="C110" s="16">
        <v>20180327</v>
      </c>
      <c r="D110" s="16" t="str">
        <f>[1]!f_info_regulopenfundornot(A110)</f>
        <v>否</v>
      </c>
      <c r="E110" s="16" t="str">
        <f>[1]!f_dq_status(A110,$E$1)</f>
        <v>开放申购|开放赎回</v>
      </c>
      <c r="F110" s="17" t="str">
        <f>[1]!f_info_fundmanager(A110)</f>
        <v>史延</v>
      </c>
      <c r="G110" s="16">
        <v>20200720</v>
      </c>
      <c r="H110" s="18">
        <f>[1]!f_netasset_total(A110,$E$1,100000000)</f>
        <v>0.1072423218</v>
      </c>
      <c r="I110" s="18">
        <f>[1]!f_prt_convertiblebondtonav(A110,$E$1)</f>
        <v>27.524221420288086</v>
      </c>
      <c r="J110" s="18">
        <f>[1]!f_prt_stocktonav(A110,$E$1)+0.5*I110</f>
        <v>31.859709739685059</v>
      </c>
      <c r="K110" s="19">
        <v>0</v>
      </c>
      <c r="L110" s="19">
        <f>[1]!f_return($A110,"1",L$2,$E$1)</f>
        <v>-1.8572948280249801</v>
      </c>
      <c r="M110" s="19">
        <f>[1]!f_risk_stdevyearly($A110,L$2,$E$1,1,1)</f>
        <v>4.7637113036296004</v>
      </c>
      <c r="N110" s="19">
        <f>IFERROR(L110/M110,"-")</f>
        <v>-0.389884002124532</v>
      </c>
      <c r="O110" s="19" t="str">
        <f>IFERROR(RANK(N110,N:N)&amp;"/"&amp;COUNT(N:N),"-")</f>
        <v>192/197</v>
      </c>
      <c r="P110" s="26">
        <f>IF(O110="-","-",RANK(N110,N:N)/COUNT(N:N))</f>
        <v>0.97461928934010156</v>
      </c>
      <c r="Q110" s="56">
        <v>0.97969543147208127</v>
      </c>
      <c r="R110" s="33" t="str">
        <f>IF(OR($C110&gt;20190630,$K110&gt;30,N110="-",$D110="是",$E110="封闭期",$H110&lt;10,$BN110&lt;-6,$BR110&lt;70),"-",COUNTIFS(N$4:N$200,"&lt;&gt;-",$D$4:$D$200,"&lt;&gt;是",$E$4:$E$200,"&lt;&gt;封闭期",$H$4:$H$200,"&gt;10",$BN$4:$BN$200,"&gt;-6",$BR$4:$BR$200,"&gt;=70",$K$4:$K$200,"&lt;=30",$C$4:$C$200,"&lt;20190630",N$4:N$200,"&gt;="&amp;N110)/COUNTIFS(N$4:N$200,"&lt;&gt;-",$D$4:$D$200,"&lt;&gt;是",$E$4:$E$200,"&lt;&gt;封闭期",$H$4:$H$200,"&gt;10",$BN$4:$BN$200,"&gt;-6",$BR$4:$BR$200,"&gt;=70",$C$4:$C$200,"&lt;20190630",$K$4:$K$200,"&lt;=30"))</f>
        <v>-</v>
      </c>
      <c r="S110" s="19">
        <f>IFERROR((L110-3)/M110,"-")</f>
        <v>-1.0196450872923546</v>
      </c>
      <c r="T110" s="19" t="str">
        <f>IFERROR(RANK(S110,S:S)&amp;"/"&amp;COUNT(S:S),"-")</f>
        <v>191/197</v>
      </c>
      <c r="U110" s="26">
        <f>IFERROR(RANK(S110,S:S)/COUNT(S:S),"-")</f>
        <v>0.96954314720812185</v>
      </c>
      <c r="V110" s="34" t="str">
        <f>IF(OR($C110&gt;20190630,$K110&gt;30,S110="-",$D110="是",$E110="封闭期",$H110&lt;10,$BN110&lt;-6,$BR110&lt;70),"-",COUNTIFS(S$4:S$200,"&lt;&gt;-",$D$4:$D$200,"&lt;&gt;是",$E$4:$E$200,"&lt;&gt;封闭期",$H$4:$H$200,"&gt;10",$BN$4:$BN$200,"&gt;-6",$BR$4:$BR$200,"&gt;=70",$K$4:$K$200,"&lt;=30",$C$4:$C$200,"&lt;20190630",S$4:S$200,"&gt;="&amp;S110)&amp;"/"&amp;COUNTIFS(S$4:S$200,"&lt;&gt;-",$D$4:$D$200,"&lt;&gt;是",$E$4:$E$200,"&lt;&gt;封闭期",$H$4:$H$200,"&gt;10",$BN$4:$BN$200,"&gt;-6",$BR$4:$BR$200,"&gt;=70",$C$4:$C$200,"&lt;20190630",$K$4:$K$200,"&lt;=30"))</f>
        <v>-</v>
      </c>
      <c r="W110" s="33" t="str">
        <f>IF(OR($C110&gt;20190630,$K110&gt;30,S110="-",$D110="是",$E110="封闭期",$H110&lt;10,$BN110&lt;-6,$BR110&lt;70),"-",COUNTIFS(S$4:S$200,"&lt;&gt;-",$D$4:$D$200,"&lt;&gt;是",$E$4:$E$200,"&lt;&gt;封闭期",$H$4:$H$200,"&gt;10",$BN$4:$BN$200,"&gt;-6",$BR$4:$BR$200,"&gt;=70",$K$4:$K$200,"&lt;=30",$C$4:$C$200,"&lt;20190630",S$4:S$200,"&gt;="&amp;S110)/COUNTIFS(S$4:S$200,"&lt;&gt;-",$D$4:$D$200,"&lt;&gt;是",$E$4:$E$200,"&lt;&gt;封闭期",$H$4:$H$200,"&gt;10",$BN$4:$BN$200,"&gt;-6",$BR$4:$BR$200,"&gt;=70",$C$4:$C$200,"&lt;20190630",$K$4:$K$200,"&lt;=30"))</f>
        <v>-</v>
      </c>
      <c r="X110" s="19">
        <f>[1]!f_risk_calmar(A110,$L$2,$E$1)</f>
        <v>-0.35895065349788863</v>
      </c>
      <c r="Y110" s="19" t="str">
        <f>IFERROR(RANK(X110,X:X)&amp;"/"&amp;COUNT(X:X),"-")</f>
        <v>193/197</v>
      </c>
      <c r="Z110" s="26">
        <f>IFERROR(RANK(X110,X:X)/COUNT(X:X),"-")</f>
        <v>0.97969543147208127</v>
      </c>
      <c r="AA110" s="34" t="str">
        <f>IF(OR($C110&gt;20190630,$K110&gt;30,X110="-",$D110="是",$E110="封闭期",$H110&lt;10,$BN110&lt;-6,$BR110&lt;70),"-",COUNTIFS(X$4:X$200,"&lt;&gt;-",$D$4:$D$200,"&lt;&gt;是",$E$4:$E$200,"&lt;&gt;封闭期",$H$4:$H$200,"&gt;10",$BN$4:$BN$200,"&gt;-6",$BR$4:$BR$200,"&gt;=70",$K$4:$K$200,"&lt;=30",$C$4:$C$200,"&lt;20190630",X$4:X$200,"&gt;="&amp;X110)&amp;"/"&amp;COUNTIFS(X$4:X$200,"&lt;&gt;-",$D$4:$D$200,"&lt;&gt;是",$E$4:$E$200,"&lt;&gt;封闭期",$H$4:$H$200,"&gt;10",$BN$4:$BN$200,"&gt;-6",$BR$4:$BR$200,"&gt;=70",$C$4:$C$200,"&lt;20190630",$K$4:$K$200,"&lt;=30"))</f>
        <v>-</v>
      </c>
      <c r="AB110" s="33" t="str">
        <f>IF(OR($C110&gt;20190630,$K110&gt;30,X110="-",$D110="是",$E110="封闭期",$H110&lt;10,$BN110&lt;-6,$BR110&lt;70),"-",COUNTIFS(X$4:X$200,"&lt;&gt;-",$D$4:$D$200,"&lt;&gt;是",$E$4:$E$200,"&lt;&gt;封闭期",$H$4:$H$200,"&gt;10",$BN$4:$BN$200,"&gt;-6",$BR$4:$BR$200,"&gt;=70",$K$4:$K$200,"&lt;=30",$C$4:$C$200,"&lt;20190630",X$4:X$200,"&gt;="&amp;X110)/COUNTIFS(X$4:X$200,"&lt;&gt;-",$D$4:$D$200,"&lt;&gt;是",$E$4:$E$200,"&lt;&gt;封闭期",$H$4:$H$200,"&gt;10",$BN$4:$BN$200,"&gt;-6",$BR$4:$BR$200,"&gt;=70",$C$4:$C$200,"&lt;20190630",$K$4:$K$200,"&lt;=30"))</f>
        <v>-</v>
      </c>
      <c r="AC110" s="20">
        <v>0.30252100840336132</v>
      </c>
      <c r="AD110" s="19" t="str">
        <f>IFERROR(RANK(AC110,AC:AC)&amp;"/"&amp;COUNT(AC:AC),"-")</f>
        <v>190/197</v>
      </c>
      <c r="AE110" s="26">
        <f>IFERROR(RANK(AC110,AC:AC)/COUNT(AC:AC),"-")</f>
        <v>0.96446700507614214</v>
      </c>
      <c r="AF110" s="34" t="str">
        <f>IF(OR($C110&gt;20190630,$K110&gt;30,AC110="-",$D110="是",$E110="封闭期",$H110&lt;10,$BN110&lt;-6,$BR110&lt;70),"-",COUNTIFS(AC$4:AC$200,"&lt;&gt;-",$D$4:$D$200,"&lt;&gt;是",$E$4:$E$200,"&lt;&gt;封闭期",$H$4:$H$200,"&gt;10",$BN$4:$BN$200,"&gt;-6",$BR$4:$BR$200,"&gt;=70",$K$4:$K$200,"&lt;=30",$C$4:$C$200,"&lt;20190630",AC$4:AC$200,"&gt;="&amp;AC110)&amp;"/"&amp;COUNTIFS(AC$4:AC$200,"&lt;&gt;-",$D$4:$D$200,"&lt;&gt;是",$E$4:$E$200,"&lt;&gt;封闭期",$H$4:$H$200,"&gt;10",$BN$4:$BN$200,"&gt;-6",$BR$4:$BR$200,"&gt;=70",$C$4:$C$200,"&lt;20190630",$K$4:$K$200,"&lt;=30"))</f>
        <v>-</v>
      </c>
      <c r="AG110" s="33" t="str">
        <f>IF(OR($C110&gt;20190630,$K110&gt;30,AC110="-",$D110="是",$E110="封闭期",$H110&lt;10,$BN110&lt;-6,$BR110&lt;70),"-",COUNTIFS(AC$4:AC$200,"&lt;&gt;-",$D$4:$D$200,"&lt;&gt;是",$E$4:$E$200,"&lt;&gt;封闭期",$H$4:$H$200,"&gt;10",$BN$4:$BN$200,"&gt;-6",$BR$4:$BR$200,"&gt;=70",$K$4:$K$200,"&lt;=30",$C$4:$C$200,"&lt;20190630",AC$4:AC$200,"&gt;="&amp;AC110)/COUNTIFS(AC$4:AC$200,"&lt;&gt;-",$D$4:$D$200,"&lt;&gt;是",$E$4:$E$200,"&lt;&gt;封闭期",$H$4:$H$200,"&gt;10",$BN$4:$BN$200,"&gt;-6",$BR$4:$BR$200,"&gt;=70",$C$4:$C$200,"&lt;20190630",$K$4:$K$200,"&lt;=30"))</f>
        <v>-</v>
      </c>
      <c r="AH110" s="21">
        <f>[1]!f_risk_maxdownside(A110,$L$2,$E$1)</f>
        <v>-5.1742344244984215</v>
      </c>
      <c r="AI110" s="19" t="str">
        <f>IFERROR(RANK(AH110,AH:AH)&amp;"/"&amp;COUNT(AH:AH),"-")</f>
        <v>159/197</v>
      </c>
      <c r="AJ110" s="26">
        <f>IFERROR(RANK(AH110,AH:AH)/COUNT(AH:AH),"-")</f>
        <v>0.80710659898477155</v>
      </c>
      <c r="AK110" s="34" t="str">
        <f>IF(OR($C110&gt;20190630,$K110&gt;30,AH110="-",$D110="是",$E110="封闭期",$H110&lt;10,$BN110&lt;-6,$BR110&lt;70),"-",COUNTIFS(AH$4:AH$200,"&lt;&gt;-",$D$4:$D$200,"&lt;&gt;是",$E$4:$E$200,"&lt;&gt;封闭期",$H$4:$H$200,"&gt;10",$BN$4:$BN$200,"&gt;-6",$BR$4:$BR$200,"&gt;=70",$K$4:$K$200,"&lt;=30",$C$4:$C$200,"&lt;20190630",AH$4:AH$200,"&gt;="&amp;AH110)&amp;"/"&amp;COUNTIFS(AH$4:AH$200,"&lt;&gt;-",$D$4:$D$200,"&lt;&gt;是",$E$4:$E$200,"&lt;&gt;封闭期",$H$4:$H$200,"&gt;10",$BN$4:$BN$200,"&gt;-6",$BR$4:$BR$200,"&gt;=70",$C$4:$C$200,"&lt;20190630",$K$4:$K$200,"&lt;=30"))</f>
        <v>-</v>
      </c>
      <c r="AL110" s="33" t="str">
        <f>IF(OR($C110&gt;20190630,$K110&gt;30,AH110="-",$D110="是",$E110="封闭期",$H110&lt;10,$BN110&lt;-6,$BR110&lt;70),"-",COUNTIFS(AH$4:AH$200,"&lt;&gt;-",$D$4:$D$200,"&lt;&gt;是",$E$4:$E$200,"&lt;&gt;封闭期",$H$4:$H$200,"&gt;10",$BN$4:$BN$200,"&gt;-6",$BR$4:$BR$200,"&gt;=70",$K$4:$K$200,"&lt;=30",$C$4:$C$200,"&lt;20190630",AH$4:AH$200,"&gt;="&amp;AH110)/COUNTIFS(AH$4:AH$200,"&lt;&gt;-",$D$4:$D$200,"&lt;&gt;是",$E$4:$E$200,"&lt;&gt;封闭期",$H$4:$H$200,"&gt;10",$BN$4:$BN$200,"&gt;-6",$BR$4:$BR$200,"&gt;=70",$C$4:$C$200,"&lt;20190630",$K$4:$K$200,"&lt;=30"))</f>
        <v>-</v>
      </c>
      <c r="AM110" s="19">
        <f>[1]!f_return($A110,"1",AM$2,$L$2)</f>
        <v>6.8662323441343931</v>
      </c>
      <c r="AN110" s="19">
        <f>[1]!f_risk_stdevyearly($A110,AM$2,$L$2,1,1)</f>
        <v>15.695297155825209</v>
      </c>
      <c r="AO110" s="19">
        <f>IFERROR(AM110/AN110,"-")</f>
        <v>0.43747068156565833</v>
      </c>
      <c r="AP110" s="19" t="str">
        <f>IFERROR(RANK(AO110,AO:AO)&amp;"/"&amp;COUNT(AO:AO),"-")</f>
        <v>187/197</v>
      </c>
      <c r="AQ110" s="26">
        <f>IF(AP110="-","-",RANK(AO110,AO:AO)/COUNT(AO:AO))</f>
        <v>0.949238578680203</v>
      </c>
      <c r="AR110" s="57">
        <v>0.54314720812182737</v>
      </c>
      <c r="AS110" s="33" t="str">
        <f>IF(OR($C110&gt;20190630,$K110&gt;30,AO110="-",$D110="是",$E110="封闭期",$H110&lt;10,$BN110&lt;-6,$BR110&lt;70),"-",COUNTIFS(AO$4:AO$200,"&lt;&gt;-",$D$4:$D$200,"&lt;&gt;是",$E$4:$E$200,"&lt;&gt;封闭期",$H$4:$H$200,"&gt;10",$BN$4:$BN$200,"&gt;-6",$BR$4:$BR$200,"&gt;=70",$K$4:$K$200,"&lt;=30",$C$4:$C$200,"&lt;20190630",AO$4:AO$200,"&gt;="&amp;AO110)/COUNTIFS(AO$4:AO$200,"&lt;&gt;-",$D$4:$D$200,"&lt;&gt;是",$E$4:$E$200,"&lt;&gt;封闭期",$H$4:$H$200,"&gt;10",$BN$4:$BN$200,"&gt;-6",$BR$4:$BR$200,"&gt;=70",$C$4:$C$200,"&lt;20190630",$K$4:$K$200,"&lt;=30"))</f>
        <v>-</v>
      </c>
      <c r="AT110" s="19">
        <f>IFERROR((AM110-3)/AN110,"-")</f>
        <v>0.24633062411943349</v>
      </c>
      <c r="AU110" s="19" t="str">
        <f>IFERROR(RANK(AT110,AT:AT)&amp;"/"&amp;COUNT(AT:AT),"-")</f>
        <v>156/197</v>
      </c>
      <c r="AV110" s="26">
        <f>IFERROR(RANK(AT110,AT:AT)/COUNT(AT:AT),"-")</f>
        <v>0.79187817258883253</v>
      </c>
      <c r="AW110" s="34" t="str">
        <f>IF(OR($C110&gt;20190630,$K110&gt;30,AT110="-",$D110="是",$E110="封闭期",$H110&lt;10,$BN110&lt;-6,$BR110&lt;70),"-",COUNTIFS(AT$4:AT$200,"&lt;&gt;-",$D$4:$D$200,"&lt;&gt;是",$E$4:$E$200,"&lt;&gt;封闭期",$H$4:$H$200,"&gt;10",$BN$4:$BN$200,"&gt;-6",$BR$4:$BR$200,"&gt;=70",$K$4:$K$200,"&lt;=30",$C$4:$C$200,"&lt;20190630",AT$4:AT$200,"&gt;="&amp;AT110)&amp;"/"&amp;COUNTIFS(AT$4:AT$200,"&lt;&gt;-",$D$4:$D$200,"&lt;&gt;是",$E$4:$E$200,"&lt;&gt;封闭期",$H$4:$H$200,"&gt;10",$BN$4:$BN$200,"&gt;-6",$BR$4:$BR$200,"&gt;=70",$C$4:$C$200,"&lt;20190630",$K$4:$K$200,"&lt;=30"))</f>
        <v>-</v>
      </c>
      <c r="AX110" s="33" t="str">
        <f>IF(OR($C110&gt;20190630,$K110&gt;30,AT110="-",$D110="是",$E110="封闭期",$H110&lt;10,$BN110&lt;-6,$BR110&lt;70),"-",COUNTIFS(AT$4:AT$200,"&lt;&gt;-",$D$4:$D$200,"&lt;&gt;是",$E$4:$E$200,"&lt;&gt;封闭期",$H$4:$H$200,"&gt;10",$BN$4:$BN$200,"&gt;-6",$BR$4:$BR$200,"&gt;=70",$K$4:$K$200,"&lt;=30",$C$4:$C$200,"&lt;20190630",AT$4:AT$200,"&gt;="&amp;AT110)/COUNTIFS(AT$4:AT$200,"&lt;&gt;-",$D$4:$D$200,"&lt;&gt;是",$E$4:$E$200,"&lt;&gt;封闭期",$H$4:$H$200,"&gt;10",$BN$4:$BN$200,"&gt;-6",$BR$4:$BR$200,"&gt;=70",$C$4:$C$200,"&lt;20190630",$K$4:$K$200,"&lt;=30"))</f>
        <v>-</v>
      </c>
      <c r="AY110" s="19">
        <f>[1]!f_risk_calmar(A110,$AM$2,$L$2)</f>
        <v>0.48739046000834646</v>
      </c>
      <c r="AZ110" s="19" t="str">
        <f>IFERROR(RANK(AY110,AY:AY)&amp;"/"&amp;COUNT(AY:AY),"-")</f>
        <v>187/197</v>
      </c>
      <c r="BA110" s="26">
        <f>IFERROR(RANK(AY110,AY:AY)/COUNT(AY:AY),"-")</f>
        <v>0.949238578680203</v>
      </c>
      <c r="BB110" s="34" t="str">
        <f>IF(OR($C110&gt;20190630,$K110&gt;30,AY110="-",$D110="是",$E110="封闭期",$H110&lt;10,$BN110&lt;-6,$BR110&lt;70),"-",COUNTIFS(AY$4:AY$200,"&lt;&gt;-",$D$4:$D$200,"&lt;&gt;是",$E$4:$E$200,"&lt;&gt;封闭期",$H$4:$H$200,"&gt;10",$BN$4:$BN$200,"&gt;-6",$BR$4:$BR$200,"&gt;=70",$K$4:$K$200,"&lt;=30",$C$4:$C$200,"&lt;20190630",AY$4:AY$200,"&gt;="&amp;AY110)&amp;"/"&amp;COUNTIFS(AY$4:AY$200,"&lt;&gt;-",$D$4:$D$200,"&lt;&gt;是",$E$4:$E$200,"&lt;&gt;封闭期",$H$4:$H$200,"&gt;10",$BN$4:$BN$200,"&gt;-6",$BR$4:$BR$200,"&gt;=70",$C$4:$C$200,"&lt;20190630",$K$4:$K$200,"&lt;=30"))</f>
        <v>-</v>
      </c>
      <c r="BC110" s="33" t="str">
        <f>IF(OR($C110&gt;20190630,$K110&gt;30,AY110="-",$D110="是",$E110="封闭期",$H110&lt;10,$BN110&lt;-6,$BR110&lt;70),"-",COUNTIFS(AY$4:AY$200,"&lt;&gt;-",$D$4:$D$200,"&lt;&gt;是",$E$4:$E$200,"&lt;&gt;封闭期",$H$4:$H$200,"&gt;10",$BN$4:$BN$200,"&gt;-6",$BR$4:$BR$200,"&gt;=70",$K$4:$K$200,"&lt;=30",$C$4:$C$200,"&lt;20190630",AY$4:AY$200,"&gt;="&amp;AY110)/COUNTIFS(AY$4:AY$200,"&lt;&gt;-",$D$4:$D$200,"&lt;&gt;是",$E$4:$E$200,"&lt;&gt;封闭期",$H$4:$H$200,"&gt;10",$BN$4:$BN$200,"&gt;-6",$BR$4:$BR$200,"&gt;=70",$C$4:$C$200,"&lt;20190630",$K$4:$K$200,"&lt;=30"))</f>
        <v>-</v>
      </c>
      <c r="BD110" s="20">
        <v>0.875</v>
      </c>
      <c r="BE110" s="19" t="str">
        <f>IFERROR(RANK(BD110,BD:BD)&amp;"/"&amp;COUNT(BD:BD),"-")</f>
        <v>168/197</v>
      </c>
      <c r="BF110" s="26">
        <f>IFERROR(RANK(BD110,BD:BD)/COUNT(BD:BD),"-")</f>
        <v>0.85279187817258884</v>
      </c>
      <c r="BG110" s="34" t="str">
        <f>IF(OR($C110&gt;20190630,$K110&gt;30,BD110="-",$D110="是",$E110="封闭期",$H110&lt;10,$BN110&lt;-6,$BR110&lt;70),"-",COUNTIFS(BD$4:BD$200,"&lt;&gt;-",$D$4:$D$200,"&lt;&gt;是",$E$4:$E$200,"&lt;&gt;封闭期",$H$4:$H$200,"&gt;10",$BN$4:$BN$200,"&gt;-6",$BR$4:$BR$200,"&gt;=70",$K$4:$K$200,"&lt;=30",$C$4:$C$200,"&lt;20190630",BD$4:BD$200,"&gt;="&amp;BD110)&amp;"/"&amp;COUNTIFS(BD$4:BD$200,"&lt;&gt;-",$D$4:$D$200,"&lt;&gt;是",$E$4:$E$200,"&lt;&gt;封闭期",$H$4:$H$200,"&gt;10",$BN$4:$BN$200,"&gt;-6",$BR$4:$BR$200,"&gt;=70",$C$4:$C$200,"&lt;20190630",$K$4:$K$200,"&lt;=30"))</f>
        <v>-</v>
      </c>
      <c r="BH110" s="33" t="str">
        <f>IF(OR($C110&gt;20190630,$K110&gt;30,BD110="-",$D110="是",$E110="封闭期",$H110&lt;10,$BN110&lt;-6,$BR110&lt;70),"-",COUNTIFS(BD$4:BD$200,"&lt;&gt;-",$D$4:$D$200,"&lt;&gt;是",$E$4:$E$200,"&lt;&gt;封闭期",$H$4:$H$200,"&gt;10",$BN$4:$BN$200,"&gt;-6",$BR$4:$BR$200,"&gt;=70",$K$4:$K$200,"&lt;=30",$C$4:$C$200,"&lt;20190630",BD$4:BD$200,"&gt;="&amp;BD110)/COUNTIFS(BD$4:BD$200,"&lt;&gt;-",$D$4:$D$200,"&lt;&gt;是",$E$4:$E$200,"&lt;&gt;封闭期",$H$4:$H$200,"&gt;10",$BN$4:$BN$200,"&gt;-6",$BR$4:$BR$200,"&gt;=70",$C$4:$C$200,"&lt;20190630",$K$4:$K$200,"&lt;=30"))</f>
        <v>-</v>
      </c>
      <c r="BI110" s="21">
        <f>[1]!f_risk_maxdownside(A110,$AM$2,$L$2)</f>
        <v>-14.0877446473138</v>
      </c>
      <c r="BJ110" s="19" t="str">
        <f>IFERROR(RANK(BI110,BI:BI)&amp;"/"&amp;COUNT(BI:BI),"-")</f>
        <v>196/197</v>
      </c>
      <c r="BK110" s="26">
        <f>IFERROR(RANK(BI110,BI:BI)/COUNT(BI:BI),"-")</f>
        <v>0.99492385786802029</v>
      </c>
      <c r="BL110" s="34" t="str">
        <f>IF(OR($C110&gt;20190630,$K110&gt;30,BI110="-",$D110="是",$E110="封闭期",$H110&lt;10,$BN110&lt;-6,$BR110&lt;70),"-",COUNTIFS(BI$4:BI$200,"&lt;&gt;-",$D$4:$D$200,"&lt;&gt;是",$E$4:$E$200,"&lt;&gt;封闭期",$H$4:$H$200,"&gt;10",$BN$4:$BN$200,"&gt;-6",$BR$4:$BR$200,"&gt;=70",$K$4:$K$200,"&lt;=30",$C$4:$C$200,"&lt;20190630",BI$4:BI$200,"&gt;="&amp;BI110)&amp;"/"&amp;COUNTIFS(BI$4:BI$200,"&lt;&gt;-",$D$4:$D$200,"&lt;&gt;是",$E$4:$E$200,"&lt;&gt;封闭期",$H$4:$H$200,"&gt;10",$BN$4:$BN$200,"&gt;-6",$BR$4:$BR$200,"&gt;=70",$C$4:$C$200,"&lt;20190630",$K$4:$K$200,"&lt;=30"))</f>
        <v>-</v>
      </c>
      <c r="BM110" s="33" t="str">
        <f>IF(OR($C110&gt;20190630,$K110&gt;30,BI110="-",$D110="是",$E110="封闭期",$H110&lt;10,$BN110&lt;-6,$BR110&lt;70),"-",COUNTIFS(BI$4:BI$200,"&lt;&gt;-",$D$4:$D$200,"&lt;&gt;是",$E$4:$E$200,"&lt;&gt;封闭期",$H$4:$H$200,"&gt;10",$BN$4:$BN$200,"&gt;-6",$BR$4:$BR$200,"&gt;=70",$K$4:$K$200,"&lt;=30",$C$4:$C$200,"&lt;20190630",BI$4:BI$200,"&gt;="&amp;BI110)/COUNTIFS(BI$4:BI$200,"&lt;&gt;-",$D$4:$D$200,"&lt;&gt;是",$E$4:$E$200,"&lt;&gt;封闭期",$H$4:$H$200,"&gt;10",$BN$4:$BN$200,"&gt;-6",$BR$4:$BR$200,"&gt;=70",$C$4:$C$200,"&lt;20190630",$K$4:$K$200,"&lt;=30"))</f>
        <v>-</v>
      </c>
      <c r="BN110" s="21">
        <f>[1]!f_risk_maxdownside(A110,$AM$2,$E$1)</f>
        <v>-14.0877446473138</v>
      </c>
      <c r="BO110" s="21">
        <f>IF(C110&lt;20190930,[1]!f_return_2y(A110,"0","20210930"),"-")</f>
        <v>6.8593565467407913</v>
      </c>
      <c r="BP110" s="19" t="str">
        <f>IFERROR(RANK(BO110,BO:BO)&amp;"/"&amp;COUNT(BO:BO),"-")</f>
        <v>170/197</v>
      </c>
      <c r="BQ110" s="25">
        <f>IFERROR(RANK(BO110,BO:BO)/COUNT(BO:BO),"-")</f>
        <v>0.86294416243654826</v>
      </c>
      <c r="BR110" s="19">
        <f>IF(C110&lt;20190930,[1]!f_absolute_profitmonthper(A110,"20190930","20210930"),"-")</f>
        <v>54.166666666666664</v>
      </c>
      <c r="BS110" s="19" t="str">
        <f>IFERROR(RANK(BR110,BR:BR)&amp;"/"&amp;COUNT(BR:BR),"-")</f>
        <v>184/198</v>
      </c>
      <c r="BT110" s="25">
        <f>IFERROR(RANK(BR110,BR:BR)/COUNT(BR:BR),"-")</f>
        <v>0.92929292929292928</v>
      </c>
      <c r="BV110" s="12">
        <f>X110-3/M110</f>
        <v>-0.98871173866571116</v>
      </c>
      <c r="BW110" s="76">
        <f>IFERROR(RANK(BV110,BV:BV)/COUNT(BV:BV),"-")</f>
        <v>0.96954314720812185</v>
      </c>
      <c r="BX110" s="76">
        <f>IFERROR(RANK(L110,L:L)/COUNT(L:L),"-")</f>
        <v>0.97979797979797978</v>
      </c>
      <c r="BY110" s="12">
        <f>AY110-3/AN110</f>
        <v>0.2962504025621216</v>
      </c>
      <c r="BZ110" s="76">
        <f>IFERROR(RANK(BY110,BY:BY)/COUNT(BY:BY),"-")</f>
        <v>0.81725888324873097</v>
      </c>
      <c r="CA110" s="76">
        <f>IFERROR(RANK(AM110,AM:AM)/COUNT(AM:AM),"-")</f>
        <v>0.54545454545454541</v>
      </c>
      <c r="CB110" s="2"/>
      <c r="CC110" s="77">
        <f>AV110+BF110+BZ110+CA110</f>
        <v>3.0073834794646976</v>
      </c>
      <c r="CD110" s="77">
        <f>BW110+BX110+AE110+U110</f>
        <v>3.8833512792903657</v>
      </c>
      <c r="CE110" s="77">
        <f>CC110+CD110</f>
        <v>6.8907347587550634</v>
      </c>
    </row>
    <row r="111" spans="1:83" s="17" customFormat="1" x14ac:dyDescent="0.35">
      <c r="A111" s="3" t="s">
        <v>217</v>
      </c>
      <c r="B111" s="3" t="s">
        <v>218</v>
      </c>
      <c r="C111" s="4">
        <v>20050919</v>
      </c>
      <c r="D111" s="4" t="str">
        <f>[1]!f_info_regulopenfundornot(A111)</f>
        <v>否</v>
      </c>
      <c r="E111" s="4" t="str">
        <f>[1]!f_dq_status(A111,$E$1)</f>
        <v>开放申购|开放赎回</v>
      </c>
      <c r="F111" s="17" t="str">
        <f>[1]!f_info_fundmanager(A111)</f>
        <v>胡剑</v>
      </c>
      <c r="G111" s="4">
        <v>20120229</v>
      </c>
      <c r="H111" s="11">
        <f>[1]!f_netasset_total(A111,$E$1,100000000)</f>
        <v>432.01732996319998</v>
      </c>
      <c r="I111" s="11">
        <f>[1]!f_prt_convertiblebondtonav(A111,$E$1)</f>
        <v>6.5069394111633301</v>
      </c>
      <c r="J111" s="11">
        <f>[1]!f_prt_stocktonav(A111,$E$1)+0.5*I111</f>
        <v>14.902575731277466</v>
      </c>
      <c r="K111" s="12">
        <v>2.7553454860280642</v>
      </c>
      <c r="L111" s="19">
        <f>[1]!f_return($A111,"1",L$2,$E$1)</f>
        <v>9.706983481226894</v>
      </c>
      <c r="M111" s="19">
        <f>[1]!f_risk_stdevyearly($A111,L$2,$E$1,1,1)</f>
        <v>3.4709695972847037</v>
      </c>
      <c r="N111" s="12">
        <f>IFERROR(L111/M111,"-")</f>
        <v>2.7966201400382609</v>
      </c>
      <c r="O111" s="12" t="str">
        <f>IFERROR(RANK(N111,N:N)&amp;"/"&amp;COUNT(N:N),"-")</f>
        <v>24/197</v>
      </c>
      <c r="P111" s="26">
        <f>IF(O111="-","-",RANK(N111,N:N)/COUNT(N:N))</f>
        <v>0.12182741116751269</v>
      </c>
      <c r="Q111" s="58">
        <v>0.17258883248730963</v>
      </c>
      <c r="R111" s="33">
        <f>IF(OR($C111&gt;20190630,$K111&gt;30,N111="-",$D111="是",$E111="封闭期",$H111&lt;10,$BN111&lt;-6,$BR111&lt;70),"-",COUNTIFS(N$4:N$200,"&lt;&gt;-",$D$4:$D$200,"&lt;&gt;是",$E$4:$E$200,"&lt;&gt;封闭期",$H$4:$H$200,"&gt;10",$BN$4:$BN$200,"&gt;-6",$BR$4:$BR$200,"&gt;=70",$K$4:$K$200,"&lt;=30",$C$4:$C$200,"&lt;20190630",N$4:N$200,"&gt;="&amp;N111)/COUNTIFS(N$4:N$200,"&lt;&gt;-",$D$4:$D$200,"&lt;&gt;是",$E$4:$E$200,"&lt;&gt;封闭期",$H$4:$H$200,"&gt;10",$BN$4:$BN$200,"&gt;-6",$BR$4:$BR$200,"&gt;=70",$C$4:$C$200,"&lt;20190630",$K$4:$K$200,"&lt;=30"))</f>
        <v>0.15384615384615385</v>
      </c>
      <c r="S111" s="12">
        <f>IFERROR((L111-3)/M111,"-")</f>
        <v>1.9323083343840532</v>
      </c>
      <c r="T111" s="12" t="str">
        <f>IFERROR(RANK(S111,S:S)&amp;"/"&amp;COUNT(S:S),"-")</f>
        <v>16/197</v>
      </c>
      <c r="U111" s="26">
        <f>IFERROR(RANK(S111,S:S)/COUNT(S:S),"-")</f>
        <v>8.1218274111675121E-2</v>
      </c>
      <c r="V111" s="13" t="str">
        <f>IF(OR($C111&gt;20190630,$K111&gt;30,S111="-",$D111="是",$E111="封闭期",$H111&lt;10,$BN111&lt;-6,$BR111&lt;70),"-",COUNTIFS(S$4:S$200,"&lt;&gt;-",$D$4:$D$200,"&lt;&gt;是",$E$4:$E$200,"&lt;&gt;封闭期",$H$4:$H$200,"&gt;10",$BN$4:$BN$200,"&gt;-6",$BR$4:$BR$200,"&gt;=70",$K$4:$K$200,"&lt;=30",$C$4:$C$200,"&lt;20190630",S$4:S$200,"&gt;="&amp;S111)&amp;"/"&amp;COUNTIFS(S$4:S$200,"&lt;&gt;-",$D$4:$D$200,"&lt;&gt;是",$E$4:$E$200,"&lt;&gt;封闭期",$H$4:$H$200,"&gt;10",$BN$4:$BN$200,"&gt;-6",$BR$4:$BR$200,"&gt;=70",$C$4:$C$200,"&lt;20190630",$K$4:$K$200,"&lt;=30"))</f>
        <v>4/39</v>
      </c>
      <c r="W111" s="33">
        <f>IF(OR($C111&gt;20190630,$K111&gt;30,S111="-",$D111="是",$E111="封闭期",$H111&lt;10,$BN111&lt;-6,$BR111&lt;70),"-",COUNTIFS(S$4:S$200,"&lt;&gt;-",$D$4:$D$200,"&lt;&gt;是",$E$4:$E$200,"&lt;&gt;封闭期",$H$4:$H$200,"&gt;10",$BN$4:$BN$200,"&gt;-6",$BR$4:$BR$200,"&gt;=70",$K$4:$K$200,"&lt;=30",$C$4:$C$200,"&lt;20190630",S$4:S$200,"&gt;="&amp;S111)/COUNTIFS(S$4:S$200,"&lt;&gt;-",$D$4:$D$200,"&lt;&gt;是",$E$4:$E$200,"&lt;&gt;封闭期",$H$4:$H$200,"&gt;10",$BN$4:$BN$200,"&gt;-6",$BR$4:$BR$200,"&gt;=70",$C$4:$C$200,"&lt;20190630",$K$4:$K$200,"&lt;=30"))</f>
        <v>0.10256410256410256</v>
      </c>
      <c r="X111" s="19">
        <f>[1]!f_risk_calmar(A111,$L$2,$E$1)</f>
        <v>6.7848812373935958</v>
      </c>
      <c r="Y111" s="12" t="str">
        <f>IFERROR(RANK(X111,X:X)&amp;"/"&amp;COUNT(X:X),"-")</f>
        <v>19/197</v>
      </c>
      <c r="Z111" s="26">
        <f>IFERROR(RANK(X111,X:X)/COUNT(X:X),"-")</f>
        <v>9.6446700507614211E-2</v>
      </c>
      <c r="AA111" s="13" t="str">
        <f>IF(OR($C111&gt;20190630,$K111&gt;30,X111="-",$D111="是",$E111="封闭期",$H111&lt;10,$BN111&lt;-6,$BR111&lt;70),"-",COUNTIFS(X$4:X$200,"&lt;&gt;-",$D$4:$D$200,"&lt;&gt;是",$E$4:$E$200,"&lt;&gt;封闭期",$H$4:$H$200,"&gt;10",$BN$4:$BN$200,"&gt;-6",$BR$4:$BR$200,"&gt;=70",$K$4:$K$200,"&lt;=30",$C$4:$C$200,"&lt;20190630",X$4:X$200,"&gt;="&amp;X111)&amp;"/"&amp;COUNTIFS(X$4:X$200,"&lt;&gt;-",$D$4:$D$200,"&lt;&gt;是",$E$4:$E$200,"&lt;&gt;封闭期",$H$4:$H$200,"&gt;10",$BN$4:$BN$200,"&gt;-6",$BR$4:$BR$200,"&gt;=70",$C$4:$C$200,"&lt;20190630",$K$4:$K$200,"&lt;=30"))</f>
        <v>6/39</v>
      </c>
      <c r="AB111" s="33">
        <f>IF(OR($C111&gt;20190630,$K111&gt;30,X111="-",$D111="是",$E111="封闭期",$H111&lt;10,$BN111&lt;-6,$BR111&lt;70),"-",COUNTIFS(X$4:X$200,"&lt;&gt;-",$D$4:$D$200,"&lt;&gt;是",$E$4:$E$200,"&lt;&gt;封闭期",$H$4:$H$200,"&gt;10",$BN$4:$BN$200,"&gt;-6",$BR$4:$BR$200,"&gt;=70",$K$4:$K$200,"&lt;=30",$C$4:$C$200,"&lt;20190630",X$4:X$200,"&gt;="&amp;X111)/COUNTIFS(X$4:X$200,"&lt;&gt;-",$D$4:$D$200,"&lt;&gt;是",$E$4:$E$200,"&lt;&gt;封闭期",$H$4:$H$200,"&gt;10",$BN$4:$BN$200,"&gt;-6",$BR$4:$BR$200,"&gt;=70",$C$4:$C$200,"&lt;20190630",$K$4:$K$200,"&lt;=30"))</f>
        <v>0.15384615384615385</v>
      </c>
      <c r="AC111" s="20">
        <v>1</v>
      </c>
      <c r="AD111" s="12" t="str">
        <f>IFERROR(RANK(AC111,AC:AC)&amp;"/"&amp;COUNT(AC:AC),"-")</f>
        <v>1/197</v>
      </c>
      <c r="AE111" s="26">
        <f>IFERROR(RANK(AC111,AC:AC)/COUNT(AC:AC),"-")</f>
        <v>5.076142131979695E-3</v>
      </c>
      <c r="AF111" s="13" t="str">
        <f>IF(OR($C111&gt;20190630,$K111&gt;30,AC111="-",$D111="是",$E111="封闭期",$H111&lt;10,$BN111&lt;-6,$BR111&lt;70),"-",COUNTIFS(AC$4:AC$200,"&lt;&gt;-",$D$4:$D$200,"&lt;&gt;是",$E$4:$E$200,"&lt;&gt;封闭期",$H$4:$H$200,"&gt;10",$BN$4:$BN$200,"&gt;-6",$BR$4:$BR$200,"&gt;=70",$K$4:$K$200,"&lt;=30",$C$4:$C$200,"&lt;20190630",AC$4:AC$200,"&gt;="&amp;AC111)&amp;"/"&amp;COUNTIFS(AC$4:AC$200,"&lt;&gt;-",$D$4:$D$200,"&lt;&gt;是",$E$4:$E$200,"&lt;&gt;封闭期",$H$4:$H$200,"&gt;10",$BN$4:$BN$200,"&gt;-6",$BR$4:$BR$200,"&gt;=70",$C$4:$C$200,"&lt;20190630",$K$4:$K$200,"&lt;=30"))</f>
        <v>28/39</v>
      </c>
      <c r="AG111" s="33">
        <f>IF(OR($C111&gt;20190630,$K111&gt;30,AC111="-",$D111="是",$E111="封闭期",$H111&lt;10,$BN111&lt;-6,$BR111&lt;70),"-",COUNTIFS(AC$4:AC$200,"&lt;&gt;-",$D$4:$D$200,"&lt;&gt;是",$E$4:$E$200,"&lt;&gt;封闭期",$H$4:$H$200,"&gt;10",$BN$4:$BN$200,"&gt;-6",$BR$4:$BR$200,"&gt;=70",$K$4:$K$200,"&lt;=30",$C$4:$C$200,"&lt;20190630",AC$4:AC$200,"&gt;="&amp;AC111)/COUNTIFS(AC$4:AC$200,"&lt;&gt;-",$D$4:$D$200,"&lt;&gt;是",$E$4:$E$200,"&lt;&gt;封闭期",$H$4:$H$200,"&gt;10",$BN$4:$BN$200,"&gt;-6",$BR$4:$BR$200,"&gt;=70",$C$4:$C$200,"&lt;20190630",$K$4:$K$200,"&lt;=30"))</f>
        <v>0.71794871794871795</v>
      </c>
      <c r="AH111" s="21">
        <f>[1]!f_risk_maxdownside(A111,$L$2,$E$1)</f>
        <v>-1.4306784660767062</v>
      </c>
      <c r="AI111" s="19" t="str">
        <f>IFERROR(RANK(AH111,AH:AH)&amp;"/"&amp;COUNT(AH:AH),"-")</f>
        <v>40/197</v>
      </c>
      <c r="AJ111" s="26">
        <f>IFERROR(RANK(AH111,AH:AH)/COUNT(AH:AH),"-")</f>
        <v>0.20304568527918782</v>
      </c>
      <c r="AK111" s="34" t="str">
        <f>IF(OR($C111&gt;20190630,$K111&gt;30,AH111="-",$D111="是",$E111="封闭期",$H111&lt;10,$BN111&lt;-6,$BR111&lt;70),"-",COUNTIFS(AH$4:AH$200,"&lt;&gt;-",$D$4:$D$200,"&lt;&gt;是",$E$4:$E$200,"&lt;&gt;封闭期",$H$4:$H$200,"&gt;10",$BN$4:$BN$200,"&gt;-6",$BR$4:$BR$200,"&gt;=70",$K$4:$K$200,"&lt;=30",$C$4:$C$200,"&lt;20190630",AH$4:AH$200,"&gt;="&amp;AH111)&amp;"/"&amp;COUNTIFS(AH$4:AH$200,"&lt;&gt;-",$D$4:$D$200,"&lt;&gt;是",$E$4:$E$200,"&lt;&gt;封闭期",$H$4:$H$200,"&gt;10",$BN$4:$BN$200,"&gt;-6",$BR$4:$BR$200,"&gt;=70",$C$4:$C$200,"&lt;20190630",$K$4:$K$200,"&lt;=30"))</f>
        <v>6/39</v>
      </c>
      <c r="AL111" s="33">
        <f>IF(OR($C111&gt;20190630,$K111&gt;30,AH111="-",$D111="是",$E111="封闭期",$H111&lt;10,$BN111&lt;-6,$BR111&lt;70),"-",COUNTIFS(AH$4:AH$200,"&lt;&gt;-",$D$4:$D$200,"&lt;&gt;是",$E$4:$E$200,"&lt;&gt;封闭期",$H$4:$H$200,"&gt;10",$BN$4:$BN$200,"&gt;-6",$BR$4:$BR$200,"&gt;=70",$K$4:$K$200,"&lt;=30",$C$4:$C$200,"&lt;20190630",AH$4:AH$200,"&gt;="&amp;AH111)/COUNTIFS(AH$4:AH$200,"&lt;&gt;-",$D$4:$D$200,"&lt;&gt;是",$E$4:$E$200,"&lt;&gt;封闭期",$H$4:$H$200,"&gt;10",$BN$4:$BN$200,"&gt;-6",$BR$4:$BR$200,"&gt;=70",$C$4:$C$200,"&lt;20190630",$K$4:$K$200,"&lt;=30"))</f>
        <v>0.15384615384615385</v>
      </c>
      <c r="AM111" s="19">
        <f>[1]!f_return($A111,"1",AM$2,$L$2)</f>
        <v>6.8423408579925349</v>
      </c>
      <c r="AN111" s="19">
        <f>[1]!f_risk_stdevyearly($A111,AM$2,$L$2,1,1)</f>
        <v>4.7998235877592741</v>
      </c>
      <c r="AO111" s="12">
        <f>IFERROR(AM111/AN111,"-")</f>
        <v>1.4255400709813961</v>
      </c>
      <c r="AP111" s="12" t="str">
        <f>IFERROR(RANK(AO111,AO:AO)&amp;"/"&amp;COUNT(AO:AO),"-")</f>
        <v>114/197</v>
      </c>
      <c r="AQ111" s="26">
        <f>IF(AP111="-","-",RANK(AO111,AO:AO)/COUNT(AO:AO))</f>
        <v>0.57868020304568524</v>
      </c>
      <c r="AR111" s="60">
        <v>0.54822335025380708</v>
      </c>
      <c r="AS111" s="35">
        <f>IF(OR($C111&gt;20190630,$K111&gt;30,AO111="-",$D111="是",$E111="封闭期",$H111&lt;10,$BN111&lt;-6,$BR111&lt;70),"-",COUNTIFS(AO$4:AO$200,"&lt;&gt;-",$D$4:$D$200,"&lt;&gt;是",$E$4:$E$200,"&lt;&gt;封闭期",$H$4:$H$200,"&gt;10",$BN$4:$BN$200,"&gt;-6",$BR$4:$BR$200,"&gt;=70",$K$4:$K$200,"&lt;=30",$C$4:$C$200,"&lt;20190630",AO$4:AO$200,"&gt;="&amp;AO111)/COUNTIFS(AO$4:AO$200,"&lt;&gt;-",$D$4:$D$200,"&lt;&gt;是",$E$4:$E$200,"&lt;&gt;封闭期",$H$4:$H$200,"&gt;10",$BN$4:$BN$200,"&gt;-6",$BR$4:$BR$200,"&gt;=70",$C$4:$C$200,"&lt;20190630",$K$4:$K$200,"&lt;=30"))</f>
        <v>0.71794871794871795</v>
      </c>
      <c r="AT111" s="12">
        <f>IFERROR((AM111-3)/AN111,"-")</f>
        <v>0.80051709979330188</v>
      </c>
      <c r="AU111" s="12" t="str">
        <f>IFERROR(RANK(AT111,AT:AT)&amp;"/"&amp;COUNT(AT:AT),"-")</f>
        <v>110/197</v>
      </c>
      <c r="AV111" s="26">
        <f>IFERROR(RANK(AT111,AT:AT)/COUNT(AT:AT),"-")</f>
        <v>0.55837563451776651</v>
      </c>
      <c r="AW111" s="13" t="str">
        <f>IF(OR($C111&gt;20190630,$K111&gt;30,AT111="-",$D111="是",$E111="封闭期",$H111&lt;10,$BN111&lt;-6,$BR111&lt;70),"-",COUNTIFS(AT$4:AT$200,"&lt;&gt;-",$D$4:$D$200,"&lt;&gt;是",$E$4:$E$200,"&lt;&gt;封闭期",$H$4:$H$200,"&gt;10",$BN$4:$BN$200,"&gt;-6",$BR$4:$BR$200,"&gt;=70",$K$4:$K$200,"&lt;=30",$C$4:$C$200,"&lt;20190630",AT$4:AT$200,"&gt;="&amp;AT111)&amp;"/"&amp;COUNTIFS(AT$4:AT$200,"&lt;&gt;-",$D$4:$D$200,"&lt;&gt;是",$E$4:$E$200,"&lt;&gt;封闭期",$H$4:$H$200,"&gt;10",$BN$4:$BN$200,"&gt;-6",$BR$4:$BR$200,"&gt;=70",$C$4:$C$200,"&lt;20190630",$K$4:$K$200,"&lt;=30"))</f>
        <v>26/39</v>
      </c>
      <c r="AX111" s="33">
        <f>IF(OR($C111&gt;20190630,$K111&gt;30,AT111="-",$D111="是",$E111="封闭期",$H111&lt;10,$BN111&lt;-6,$BR111&lt;70),"-",COUNTIFS(AT$4:AT$200,"&lt;&gt;-",$D$4:$D$200,"&lt;&gt;是",$E$4:$E$200,"&lt;&gt;封闭期",$H$4:$H$200,"&gt;10",$BN$4:$BN$200,"&gt;-6",$BR$4:$BR$200,"&gt;=70",$K$4:$K$200,"&lt;=30",$C$4:$C$200,"&lt;20190630",AT$4:AT$200,"&gt;="&amp;AT111)/COUNTIFS(AT$4:AT$200,"&lt;&gt;-",$D$4:$D$200,"&lt;&gt;是",$E$4:$E$200,"&lt;&gt;封闭期",$H$4:$H$200,"&gt;10",$BN$4:$BN$200,"&gt;-6",$BR$4:$BR$200,"&gt;=70",$C$4:$C$200,"&lt;20190630",$K$4:$K$200,"&lt;=30"))</f>
        <v>0.66666666666666663</v>
      </c>
      <c r="AY111" s="19">
        <f>[1]!f_risk_calmar(A111,$AM$2,$L$2)</f>
        <v>2.3206504146611415</v>
      </c>
      <c r="AZ111" s="12" t="str">
        <f>IFERROR(RANK(AY111,AY:AY)&amp;"/"&amp;COUNT(AY:AY),"-")</f>
        <v>88/197</v>
      </c>
      <c r="BA111" s="26">
        <f>IFERROR(RANK(AY111,AY:AY)/COUNT(AY:AY),"-")</f>
        <v>0.4467005076142132</v>
      </c>
      <c r="BB111" s="13" t="str">
        <f>IF(OR($C111&gt;20190630,$K111&gt;30,AY111="-",$D111="是",$E111="封闭期",$H111&lt;10,$BN111&lt;-6,$BR111&lt;70),"-",COUNTIFS(AY$4:AY$200,"&lt;&gt;-",$D$4:$D$200,"&lt;&gt;是",$E$4:$E$200,"&lt;&gt;封闭期",$H$4:$H$200,"&gt;10",$BN$4:$BN$200,"&gt;-6",$BR$4:$BR$200,"&gt;=70",$K$4:$K$200,"&lt;=30",$C$4:$C$200,"&lt;20190630",AY$4:AY$200,"&gt;="&amp;AY111)&amp;"/"&amp;COUNTIFS(AY$4:AY$200,"&lt;&gt;-",$D$4:$D$200,"&lt;&gt;是",$E$4:$E$200,"&lt;&gt;封闭期",$H$4:$H$200,"&gt;10",$BN$4:$BN$200,"&gt;-6",$BR$4:$BR$200,"&gt;=70",$C$4:$C$200,"&lt;20190630",$K$4:$K$200,"&lt;=30"))</f>
        <v>27/39</v>
      </c>
      <c r="BC111" s="33">
        <f>IF(OR($C111&gt;20190630,$K111&gt;30,AY111="-",$D111="是",$E111="封闭期",$H111&lt;10,$BN111&lt;-6,$BR111&lt;70),"-",COUNTIFS(AY$4:AY$200,"&lt;&gt;-",$D$4:$D$200,"&lt;&gt;是",$E$4:$E$200,"&lt;&gt;封闭期",$H$4:$H$200,"&gt;10",$BN$4:$BN$200,"&gt;-6",$BR$4:$BR$200,"&gt;=70",$K$4:$K$200,"&lt;=30",$C$4:$C$200,"&lt;20190630",AY$4:AY$200,"&gt;="&amp;AY111)/COUNTIFS(AY$4:AY$200,"&lt;&gt;-",$D$4:$D$200,"&lt;&gt;是",$E$4:$E$200,"&lt;&gt;封闭期",$H$4:$H$200,"&gt;10",$BN$4:$BN$200,"&gt;-6",$BR$4:$BR$200,"&gt;=70",$C$4:$C$200,"&lt;20190630",$K$4:$K$200,"&lt;=30"))</f>
        <v>0.69230769230769229</v>
      </c>
      <c r="BD111" s="20">
        <v>1</v>
      </c>
      <c r="BE111" s="12" t="str">
        <f>IFERROR(RANK(BD111,BD:BD)&amp;"/"&amp;COUNT(BD:BD),"-")</f>
        <v>1/197</v>
      </c>
      <c r="BF111" s="26">
        <f>IFERROR(RANK(BD111,BD:BD)/COUNT(BD:BD),"-")</f>
        <v>5.076142131979695E-3</v>
      </c>
      <c r="BG111" s="13" t="str">
        <f>IF(OR($C111&gt;20190630,$K111&gt;30,BD111="-",$D111="是",$E111="封闭期",$H111&lt;10,$BN111&lt;-6,$BR111&lt;70),"-",COUNTIFS(BD$4:BD$200,"&lt;&gt;-",$D$4:$D$200,"&lt;&gt;是",$E$4:$E$200,"&lt;&gt;封闭期",$H$4:$H$200,"&gt;10",$BN$4:$BN$200,"&gt;-6",$BR$4:$BR$200,"&gt;=70",$K$4:$K$200,"&lt;=30",$C$4:$C$200,"&lt;20190630",BD$4:BD$200,"&gt;="&amp;BD111)&amp;"/"&amp;COUNTIFS(BD$4:BD$200,"&lt;&gt;-",$D$4:$D$200,"&lt;&gt;是",$E$4:$E$200,"&lt;&gt;封闭期",$H$4:$H$200,"&gt;10",$BN$4:$BN$200,"&gt;-6",$BR$4:$BR$200,"&gt;=70",$C$4:$C$200,"&lt;20190630",$K$4:$K$200,"&lt;=30"))</f>
        <v>35/39</v>
      </c>
      <c r="BH111" s="33">
        <f>IF(OR($C111&gt;20190630,$K111&gt;30,BD111="-",$D111="是",$E111="封闭期",$H111&lt;10,$BN111&lt;-6,$BR111&lt;70),"-",COUNTIFS(BD$4:BD$200,"&lt;&gt;-",$D$4:$D$200,"&lt;&gt;是",$E$4:$E$200,"&lt;&gt;封闭期",$H$4:$H$200,"&gt;10",$BN$4:$BN$200,"&gt;-6",$BR$4:$BR$200,"&gt;=70",$K$4:$K$200,"&lt;=30",$C$4:$C$200,"&lt;20190630",BD$4:BD$200,"&gt;="&amp;BD111)/COUNTIFS(BD$4:BD$200,"&lt;&gt;-",$D$4:$D$200,"&lt;&gt;是",$E$4:$E$200,"&lt;&gt;封闭期",$H$4:$H$200,"&gt;10",$BN$4:$BN$200,"&gt;-6",$BR$4:$BR$200,"&gt;=70",$C$4:$C$200,"&lt;20190630",$K$4:$K$200,"&lt;=30"))</f>
        <v>0.89743589743589747</v>
      </c>
      <c r="BI111" s="21">
        <f>[1]!f_risk_maxdownside(A111,$AM$2,$L$2)</f>
        <v>-2.9484582489308906</v>
      </c>
      <c r="BJ111" s="19" t="str">
        <f>IFERROR(RANK(BI111,BI:BI)&amp;"/"&amp;COUNT(BI:BI),"-")</f>
        <v>85/197</v>
      </c>
      <c r="BK111" s="26">
        <f>IFERROR(RANK(BI111,BI:BI)/COUNT(BI:BI),"-")</f>
        <v>0.43147208121827413</v>
      </c>
      <c r="BL111" s="34" t="str">
        <f>IF(OR($C111&gt;20190630,$K111&gt;30,BI111="-",$D111="是",$E111="封闭期",$H111&lt;10,$BN111&lt;-6,$BR111&lt;70),"-",COUNTIFS(BI$4:BI$200,"&lt;&gt;-",$D$4:$D$200,"&lt;&gt;是",$E$4:$E$200,"&lt;&gt;封闭期",$H$4:$H$200,"&gt;10",$BN$4:$BN$200,"&gt;-6",$BR$4:$BR$200,"&gt;=70",$K$4:$K$200,"&lt;=30",$C$4:$C$200,"&lt;20190630",BI$4:BI$200,"&gt;="&amp;BI111)&amp;"/"&amp;COUNTIFS(BI$4:BI$200,"&lt;&gt;-",$D$4:$D$200,"&lt;&gt;是",$E$4:$E$200,"&lt;&gt;封闭期",$H$4:$H$200,"&gt;10",$BN$4:$BN$200,"&gt;-6",$BR$4:$BR$200,"&gt;=70",$C$4:$C$200,"&lt;20190630",$K$4:$K$200,"&lt;=30"))</f>
        <v>18/39</v>
      </c>
      <c r="BM111" s="33">
        <f>IF(OR($C111&gt;20190630,$K111&gt;30,BI111="-",$D111="是",$E111="封闭期",$H111&lt;10,$BN111&lt;-6,$BR111&lt;70),"-",COUNTIFS(BI$4:BI$200,"&lt;&gt;-",$D$4:$D$200,"&lt;&gt;是",$E$4:$E$200,"&lt;&gt;封闭期",$H$4:$H$200,"&gt;10",$BN$4:$BN$200,"&gt;-6",$BR$4:$BR$200,"&gt;=70",$K$4:$K$200,"&lt;=30",$C$4:$C$200,"&lt;20190630",BI$4:BI$200,"&gt;="&amp;BI111)/COUNTIFS(BI$4:BI$200,"&lt;&gt;-",$D$4:$D$200,"&lt;&gt;是",$E$4:$E$200,"&lt;&gt;封闭期",$H$4:$H$200,"&gt;10",$BN$4:$BN$200,"&gt;-6",$BR$4:$BR$200,"&gt;=70",$C$4:$C$200,"&lt;20190630",$K$4:$K$200,"&lt;=30"))</f>
        <v>0.46153846153846156</v>
      </c>
      <c r="BN111" s="21">
        <f>[1]!f_risk_maxdownside(A111,$AM$2,$E$1)</f>
        <v>-2.9484582489308906</v>
      </c>
      <c r="BO111" s="14">
        <f>IF(C111&lt;20190930,[1]!f_return_2y(A111,"0","20210930"),"-")</f>
        <v>17.39090873014818</v>
      </c>
      <c r="BP111" s="12" t="str">
        <f>IFERROR(RANK(BO111,BO:BO)&amp;"/"&amp;COUNT(BO:BO),"-")</f>
        <v>59/197</v>
      </c>
      <c r="BQ111" s="25">
        <f>IFERROR(RANK(BO111,BO:BO)/COUNT(BO:BO),"-")</f>
        <v>0.29949238578680204</v>
      </c>
      <c r="BR111" s="12">
        <f>IF(C111&lt;20190930,[1]!f_absolute_profitmonthper(A111,"20190930","20210930"),"-")</f>
        <v>83.333333333333343</v>
      </c>
      <c r="BS111" s="12" t="str">
        <f>IFERROR(RANK(BR111,BR:BR)&amp;"/"&amp;COUNT(BR:BR),"-")</f>
        <v>4/198</v>
      </c>
      <c r="BT111" s="25">
        <f>IFERROR(RANK(BR111,BR:BR)/COUNT(BR:BR),"-")</f>
        <v>2.0202020202020204E-2</v>
      </c>
      <c r="BV111" s="12">
        <f>X111-3/M111</f>
        <v>5.9205694317393878</v>
      </c>
      <c r="BW111" s="76">
        <f>IFERROR(RANK(BV111,BV:BV)/COUNT(BV:BV),"-")</f>
        <v>6.0913705583756347E-2</v>
      </c>
      <c r="BX111" s="76">
        <f>IFERROR(RANK(L111,L:L)/COUNT(L:L),"-")</f>
        <v>0.17676767676767677</v>
      </c>
      <c r="BY111" s="12">
        <f>AY111-3/AN111</f>
        <v>1.6956274434730472</v>
      </c>
      <c r="BZ111" s="76">
        <f>IFERROR(RANK(BY111,BY:BY)/COUNT(BY:BY),"-")</f>
        <v>0.46192893401015228</v>
      </c>
      <c r="CA111" s="76">
        <f>IFERROR(RANK(AM111,AM:AM)/COUNT(AM:AM),"-")</f>
        <v>0.5505050505050505</v>
      </c>
      <c r="CB111" s="2"/>
      <c r="CC111" s="77">
        <f>AV111+BF111+BZ111+CA111</f>
        <v>1.5758857611649488</v>
      </c>
      <c r="CD111" s="77">
        <f>BW111+BX111+AE111+U111</f>
        <v>0.3239757985950879</v>
      </c>
      <c r="CE111" s="77">
        <f>CC111+CD111</f>
        <v>1.8998615597600368</v>
      </c>
    </row>
    <row r="112" spans="1:83" s="17" customFormat="1" hidden="1" x14ac:dyDescent="0.35">
      <c r="A112" s="15" t="s">
        <v>147</v>
      </c>
      <c r="B112" s="15" t="s">
        <v>148</v>
      </c>
      <c r="C112" s="16">
        <v>20130717</v>
      </c>
      <c r="D112" s="16" t="str">
        <f>[1]!f_info_regulopenfundornot(A112)</f>
        <v>否</v>
      </c>
      <c r="E112" s="16" t="str">
        <f>[1]!f_dq_status(A112,$E$1)</f>
        <v>开放申购|开放赎回</v>
      </c>
      <c r="F112" s="17" t="str">
        <f>[1]!f_info_fundmanager(A112)</f>
        <v>蒋磊,韩晶</v>
      </c>
      <c r="G112" s="16">
        <v>20170429</v>
      </c>
      <c r="H112" s="18">
        <f>[1]!f_netasset_total(A112,$E$1,100000000)</f>
        <v>6.7356142499999994E-2</v>
      </c>
      <c r="I112" s="18">
        <f>[1]!f_prt_convertiblebondtonav(A112,$E$1)</f>
        <v>27.104406356811523</v>
      </c>
      <c r="J112" s="18">
        <f>[1]!f_prt_stocktonav(A112,$E$1)+0.5*I112</f>
        <v>25.325814247131348</v>
      </c>
      <c r="K112" s="19">
        <v>0</v>
      </c>
      <c r="L112" s="19">
        <f>[1]!f_return($A112,"1",L$2,$E$1)</f>
        <v>1.2959715804123029</v>
      </c>
      <c r="M112" s="19">
        <f>[1]!f_risk_stdevyearly($A112,L$2,$E$1,1,1)</f>
        <v>6.4905170921010242</v>
      </c>
      <c r="N112" s="19">
        <f>IFERROR(L112/M112,"-")</f>
        <v>0.19967154573701124</v>
      </c>
      <c r="O112" s="19" t="str">
        <f>IFERROR(RANK(N112,N:N)&amp;"/"&amp;COUNT(N:N),"-")</f>
        <v>185/197</v>
      </c>
      <c r="P112" s="26">
        <f>IF(O112="-","-",RANK(N112,N:N)/COUNT(N:N))</f>
        <v>0.93908629441624369</v>
      </c>
      <c r="Q112" s="56">
        <v>0.91370558375634514</v>
      </c>
      <c r="R112" s="33" t="str">
        <f>IF(OR($C112&gt;20190630,$K112&gt;30,N112="-",$D112="是",$E112="封闭期",$H112&lt;10,$BN112&lt;-6,$BR112&lt;70),"-",COUNTIFS(N$4:N$200,"&lt;&gt;-",$D$4:$D$200,"&lt;&gt;是",$E$4:$E$200,"&lt;&gt;封闭期",$H$4:$H$200,"&gt;10",$BN$4:$BN$200,"&gt;-6",$BR$4:$BR$200,"&gt;=70",$K$4:$K$200,"&lt;=30",$C$4:$C$200,"&lt;20190630",N$4:N$200,"&gt;="&amp;N112)/COUNTIFS(N$4:N$200,"&lt;&gt;-",$D$4:$D$200,"&lt;&gt;是",$E$4:$E$200,"&lt;&gt;封闭期",$H$4:$H$200,"&gt;10",$BN$4:$BN$200,"&gt;-6",$BR$4:$BR$200,"&gt;=70",$C$4:$C$200,"&lt;20190630",$K$4:$K$200,"&lt;=30"))</f>
        <v>-</v>
      </c>
      <c r="S112" s="19">
        <f>IFERROR((L112-3)/M112,"-")</f>
        <v>-0.26254124215488223</v>
      </c>
      <c r="T112" s="19" t="str">
        <f>IFERROR(RANK(S112,S:S)&amp;"/"&amp;COUNT(S:S),"-")</f>
        <v>175/197</v>
      </c>
      <c r="U112" s="26">
        <f>IFERROR(RANK(S112,S:S)/COUNT(S:S),"-")</f>
        <v>0.8883248730964467</v>
      </c>
      <c r="V112" s="34" t="str">
        <f>IF(OR($C112&gt;20190630,$K112&gt;30,S112="-",$D112="是",$E112="封闭期",$H112&lt;10,$BN112&lt;-6,$BR112&lt;70),"-",COUNTIFS(S$4:S$200,"&lt;&gt;-",$D$4:$D$200,"&lt;&gt;是",$E$4:$E$200,"&lt;&gt;封闭期",$H$4:$H$200,"&gt;10",$BN$4:$BN$200,"&gt;-6",$BR$4:$BR$200,"&gt;=70",$K$4:$K$200,"&lt;=30",$C$4:$C$200,"&lt;20190630",S$4:S$200,"&gt;="&amp;S112)&amp;"/"&amp;COUNTIFS(S$4:S$200,"&lt;&gt;-",$D$4:$D$200,"&lt;&gt;是",$E$4:$E$200,"&lt;&gt;封闭期",$H$4:$H$200,"&gt;10",$BN$4:$BN$200,"&gt;-6",$BR$4:$BR$200,"&gt;=70",$C$4:$C$200,"&lt;20190630",$K$4:$K$200,"&lt;=30"))</f>
        <v>-</v>
      </c>
      <c r="W112" s="33" t="str">
        <f>IF(OR($C112&gt;20190630,$K112&gt;30,S112="-",$D112="是",$E112="封闭期",$H112&lt;10,$BN112&lt;-6,$BR112&lt;70),"-",COUNTIFS(S$4:S$200,"&lt;&gt;-",$D$4:$D$200,"&lt;&gt;是",$E$4:$E$200,"&lt;&gt;封闭期",$H$4:$H$200,"&gt;10",$BN$4:$BN$200,"&gt;-6",$BR$4:$BR$200,"&gt;=70",$K$4:$K$200,"&lt;=30",$C$4:$C$200,"&lt;20190630",S$4:S$200,"&gt;="&amp;S112)/COUNTIFS(S$4:S$200,"&lt;&gt;-",$D$4:$D$200,"&lt;&gt;是",$E$4:$E$200,"&lt;&gt;封闭期",$H$4:$H$200,"&gt;10",$BN$4:$BN$200,"&gt;-6",$BR$4:$BR$200,"&gt;=70",$C$4:$C$200,"&lt;20190630",$K$4:$K$200,"&lt;=30"))</f>
        <v>-</v>
      </c>
      <c r="X112" s="19">
        <f>[1]!f_risk_calmar(A112,$L$2,$E$1)</f>
        <v>0.27215403188658355</v>
      </c>
      <c r="Y112" s="19" t="str">
        <f>IFERROR(RANK(X112,X:X)&amp;"/"&amp;COUNT(X:X),"-")</f>
        <v>183/197</v>
      </c>
      <c r="Z112" s="26">
        <f>IFERROR(RANK(X112,X:X)/COUNT(X:X),"-")</f>
        <v>0.92893401015228427</v>
      </c>
      <c r="AA112" s="34" t="str">
        <f>IF(OR($C112&gt;20190630,$K112&gt;30,X112="-",$D112="是",$E112="封闭期",$H112&lt;10,$BN112&lt;-6,$BR112&lt;70),"-",COUNTIFS(X$4:X$200,"&lt;&gt;-",$D$4:$D$200,"&lt;&gt;是",$E$4:$E$200,"&lt;&gt;封闭期",$H$4:$H$200,"&gt;10",$BN$4:$BN$200,"&gt;-6",$BR$4:$BR$200,"&gt;=70",$K$4:$K$200,"&lt;=30",$C$4:$C$200,"&lt;20190630",X$4:X$200,"&gt;="&amp;X112)&amp;"/"&amp;COUNTIFS(X$4:X$200,"&lt;&gt;-",$D$4:$D$200,"&lt;&gt;是",$E$4:$E$200,"&lt;&gt;封闭期",$H$4:$H$200,"&gt;10",$BN$4:$BN$200,"&gt;-6",$BR$4:$BR$200,"&gt;=70",$C$4:$C$200,"&lt;20190630",$K$4:$K$200,"&lt;=30"))</f>
        <v>-</v>
      </c>
      <c r="AB112" s="33" t="str">
        <f>IF(OR($C112&gt;20190630,$K112&gt;30,X112="-",$D112="是",$E112="封闭期",$H112&lt;10,$BN112&lt;-6,$BR112&lt;70),"-",COUNTIFS(X$4:X$200,"&lt;&gt;-",$D$4:$D$200,"&lt;&gt;是",$E$4:$E$200,"&lt;&gt;封闭期",$H$4:$H$200,"&gt;10",$BN$4:$BN$200,"&gt;-6",$BR$4:$BR$200,"&gt;=70",$K$4:$K$200,"&lt;=30",$C$4:$C$200,"&lt;20190630",X$4:X$200,"&gt;="&amp;X112)/COUNTIFS(X$4:X$200,"&lt;&gt;-",$D$4:$D$200,"&lt;&gt;是",$E$4:$E$200,"&lt;&gt;封闭期",$H$4:$H$200,"&gt;10",$BN$4:$BN$200,"&gt;-6",$BR$4:$BR$200,"&gt;=70",$C$4:$C$200,"&lt;20190630",$K$4:$K$200,"&lt;=30"))</f>
        <v>-</v>
      </c>
      <c r="AC112" s="20">
        <v>0.81512605042016806</v>
      </c>
      <c r="AD112" s="19" t="str">
        <f>IFERROR(RANK(AC112,AC:AC)&amp;"/"&amp;COUNT(AC:AC),"-")</f>
        <v>145/197</v>
      </c>
      <c r="AE112" s="26">
        <f>IFERROR(RANK(AC112,AC:AC)/COUNT(AC:AC),"-")</f>
        <v>0.73604060913705582</v>
      </c>
      <c r="AF112" s="34" t="str">
        <f>IF(OR($C112&gt;20190630,$K112&gt;30,AC112="-",$D112="是",$E112="封闭期",$H112&lt;10,$BN112&lt;-6,$BR112&lt;70),"-",COUNTIFS(AC$4:AC$200,"&lt;&gt;-",$D$4:$D$200,"&lt;&gt;是",$E$4:$E$200,"&lt;&gt;封闭期",$H$4:$H$200,"&gt;10",$BN$4:$BN$200,"&gt;-6",$BR$4:$BR$200,"&gt;=70",$K$4:$K$200,"&lt;=30",$C$4:$C$200,"&lt;20190630",AC$4:AC$200,"&gt;="&amp;AC112)&amp;"/"&amp;COUNTIFS(AC$4:AC$200,"&lt;&gt;-",$D$4:$D$200,"&lt;&gt;是",$E$4:$E$200,"&lt;&gt;封闭期",$H$4:$H$200,"&gt;10",$BN$4:$BN$200,"&gt;-6",$BR$4:$BR$200,"&gt;=70",$C$4:$C$200,"&lt;20190630",$K$4:$K$200,"&lt;=30"))</f>
        <v>-</v>
      </c>
      <c r="AG112" s="33" t="str">
        <f>IF(OR($C112&gt;20190630,$K112&gt;30,AC112="-",$D112="是",$E112="封闭期",$H112&lt;10,$BN112&lt;-6,$BR112&lt;70),"-",COUNTIFS(AC$4:AC$200,"&lt;&gt;-",$D$4:$D$200,"&lt;&gt;是",$E$4:$E$200,"&lt;&gt;封闭期",$H$4:$H$200,"&gt;10",$BN$4:$BN$200,"&gt;-6",$BR$4:$BR$200,"&gt;=70",$K$4:$K$200,"&lt;=30",$C$4:$C$200,"&lt;20190630",AC$4:AC$200,"&gt;="&amp;AC112)/COUNTIFS(AC$4:AC$200,"&lt;&gt;-",$D$4:$D$200,"&lt;&gt;是",$E$4:$E$200,"&lt;&gt;封闭期",$H$4:$H$200,"&gt;10",$BN$4:$BN$200,"&gt;-6",$BR$4:$BR$200,"&gt;=70",$C$4:$C$200,"&lt;20190630",$K$4:$K$200,"&lt;=30"))</f>
        <v>-</v>
      </c>
      <c r="AH112" s="21">
        <f>[1]!f_risk_maxdownside(A112,$L$2,$E$1)</f>
        <v>-4.7619047619047628</v>
      </c>
      <c r="AI112" s="19" t="str">
        <f>IFERROR(RANK(AH112,AH:AH)&amp;"/"&amp;COUNT(AH:AH),"-")</f>
        <v>150/197</v>
      </c>
      <c r="AJ112" s="26">
        <f>IFERROR(RANK(AH112,AH:AH)/COUNT(AH:AH),"-")</f>
        <v>0.76142131979695427</v>
      </c>
      <c r="AK112" s="34" t="str">
        <f>IF(OR($C112&gt;20190630,$K112&gt;30,AH112="-",$D112="是",$E112="封闭期",$H112&lt;10,$BN112&lt;-6,$BR112&lt;70),"-",COUNTIFS(AH$4:AH$200,"&lt;&gt;-",$D$4:$D$200,"&lt;&gt;是",$E$4:$E$200,"&lt;&gt;封闭期",$H$4:$H$200,"&gt;10",$BN$4:$BN$200,"&gt;-6",$BR$4:$BR$200,"&gt;=70",$K$4:$K$200,"&lt;=30",$C$4:$C$200,"&lt;20190630",AH$4:AH$200,"&gt;="&amp;AH112)&amp;"/"&amp;COUNTIFS(AH$4:AH$200,"&lt;&gt;-",$D$4:$D$200,"&lt;&gt;是",$E$4:$E$200,"&lt;&gt;封闭期",$H$4:$H$200,"&gt;10",$BN$4:$BN$200,"&gt;-6",$BR$4:$BR$200,"&gt;=70",$C$4:$C$200,"&lt;20190630",$K$4:$K$200,"&lt;=30"))</f>
        <v>-</v>
      </c>
      <c r="AL112" s="33" t="str">
        <f>IF(OR($C112&gt;20190630,$K112&gt;30,AH112="-",$D112="是",$E112="封闭期",$H112&lt;10,$BN112&lt;-6,$BR112&lt;70),"-",COUNTIFS(AH$4:AH$200,"&lt;&gt;-",$D$4:$D$200,"&lt;&gt;是",$E$4:$E$200,"&lt;&gt;封闭期",$H$4:$H$200,"&gt;10",$BN$4:$BN$200,"&gt;-6",$BR$4:$BR$200,"&gt;=70",$K$4:$K$200,"&lt;=30",$C$4:$C$200,"&lt;20190630",AH$4:AH$200,"&gt;="&amp;AH112)/COUNTIFS(AH$4:AH$200,"&lt;&gt;-",$D$4:$D$200,"&lt;&gt;是",$E$4:$E$200,"&lt;&gt;封闭期",$H$4:$H$200,"&gt;10",$BN$4:$BN$200,"&gt;-6",$BR$4:$BR$200,"&gt;=70",$C$4:$C$200,"&lt;20190630",$K$4:$K$200,"&lt;=30"))</f>
        <v>-</v>
      </c>
      <c r="AM112" s="19">
        <f>[1]!f_return($A112,"1",AM$2,$L$2)</f>
        <v>6.7578563747437315</v>
      </c>
      <c r="AN112" s="19">
        <f>[1]!f_risk_stdevyearly($A112,AM$2,$L$2,1,1)</f>
        <v>5.4683095755978437</v>
      </c>
      <c r="AO112" s="19">
        <f>IFERROR(AM112/AN112,"-")</f>
        <v>1.2358218351244137</v>
      </c>
      <c r="AP112" s="19" t="str">
        <f>IFERROR(RANK(AO112,AO:AO)&amp;"/"&amp;COUNT(AO:AO),"-")</f>
        <v>141/197</v>
      </c>
      <c r="AQ112" s="26">
        <f>IF(AP112="-","-",RANK(AO112,AO:AO)/COUNT(AO:AO))</f>
        <v>0.71573604060913709</v>
      </c>
      <c r="AR112" s="57">
        <v>0.5532994923857868</v>
      </c>
      <c r="AS112" s="33" t="str">
        <f>IF(OR($C112&gt;20190630,$K112&gt;30,AO112="-",$D112="是",$E112="封闭期",$H112&lt;10,$BN112&lt;-6,$BR112&lt;70),"-",COUNTIFS(AO$4:AO$200,"&lt;&gt;-",$D$4:$D$200,"&lt;&gt;是",$E$4:$E$200,"&lt;&gt;封闭期",$H$4:$H$200,"&gt;10",$BN$4:$BN$200,"&gt;-6",$BR$4:$BR$200,"&gt;=70",$K$4:$K$200,"&lt;=30",$C$4:$C$200,"&lt;20190630",AO$4:AO$200,"&gt;="&amp;AO112)/COUNTIFS(AO$4:AO$200,"&lt;&gt;-",$D$4:$D$200,"&lt;&gt;是",$E$4:$E$200,"&lt;&gt;封闭期",$H$4:$H$200,"&gt;10",$BN$4:$BN$200,"&gt;-6",$BR$4:$BR$200,"&gt;=70",$C$4:$C$200,"&lt;20190630",$K$4:$K$200,"&lt;=30"))</f>
        <v>-</v>
      </c>
      <c r="AT112" s="19">
        <f>IFERROR((AM112-3)/AN112,"-")</f>
        <v>0.68720622393308617</v>
      </c>
      <c r="AU112" s="19" t="str">
        <f>IFERROR(RANK(AT112,AT:AT)&amp;"/"&amp;COUNT(AT:AT),"-")</f>
        <v>120/197</v>
      </c>
      <c r="AV112" s="26">
        <f>IFERROR(RANK(AT112,AT:AT)/COUNT(AT:AT),"-")</f>
        <v>0.6091370558375635</v>
      </c>
      <c r="AW112" s="34" t="str">
        <f>IF(OR($C112&gt;20190630,$K112&gt;30,AT112="-",$D112="是",$E112="封闭期",$H112&lt;10,$BN112&lt;-6,$BR112&lt;70),"-",COUNTIFS(AT$4:AT$200,"&lt;&gt;-",$D$4:$D$200,"&lt;&gt;是",$E$4:$E$200,"&lt;&gt;封闭期",$H$4:$H$200,"&gt;10",$BN$4:$BN$200,"&gt;-6",$BR$4:$BR$200,"&gt;=70",$K$4:$K$200,"&lt;=30",$C$4:$C$200,"&lt;20190630",AT$4:AT$200,"&gt;="&amp;AT112)&amp;"/"&amp;COUNTIFS(AT$4:AT$200,"&lt;&gt;-",$D$4:$D$200,"&lt;&gt;是",$E$4:$E$200,"&lt;&gt;封闭期",$H$4:$H$200,"&gt;10",$BN$4:$BN$200,"&gt;-6",$BR$4:$BR$200,"&gt;=70",$C$4:$C$200,"&lt;20190630",$K$4:$K$200,"&lt;=30"))</f>
        <v>-</v>
      </c>
      <c r="AX112" s="33" t="str">
        <f>IF(OR($C112&gt;20190630,$K112&gt;30,AT112="-",$D112="是",$E112="封闭期",$H112&lt;10,$BN112&lt;-6,$BR112&lt;70),"-",COUNTIFS(AT$4:AT$200,"&lt;&gt;-",$D$4:$D$200,"&lt;&gt;是",$E$4:$E$200,"&lt;&gt;封闭期",$H$4:$H$200,"&gt;10",$BN$4:$BN$200,"&gt;-6",$BR$4:$BR$200,"&gt;=70",$K$4:$K$200,"&lt;=30",$C$4:$C$200,"&lt;20190630",AT$4:AT$200,"&gt;="&amp;AT112)/COUNTIFS(AT$4:AT$200,"&lt;&gt;-",$D$4:$D$200,"&lt;&gt;是",$E$4:$E$200,"&lt;&gt;封闭期",$H$4:$H$200,"&gt;10",$BN$4:$BN$200,"&gt;-6",$BR$4:$BR$200,"&gt;=70",$C$4:$C$200,"&lt;20190630",$K$4:$K$200,"&lt;=30"))</f>
        <v>-</v>
      </c>
      <c r="AY112" s="19">
        <f>[1]!f_risk_calmar(A112,$AM$2,$L$2)</f>
        <v>2.224461056686482</v>
      </c>
      <c r="AZ112" s="19" t="str">
        <f>IFERROR(RANK(AY112,AY:AY)&amp;"/"&amp;COUNT(AY:AY),"-")</f>
        <v>94/197</v>
      </c>
      <c r="BA112" s="26">
        <f>IFERROR(RANK(AY112,AY:AY)/COUNT(AY:AY),"-")</f>
        <v>0.47715736040609136</v>
      </c>
      <c r="BB112" s="34" t="str">
        <f>IF(OR($C112&gt;20190630,$K112&gt;30,AY112="-",$D112="是",$E112="封闭期",$H112&lt;10,$BN112&lt;-6,$BR112&lt;70),"-",COUNTIFS(AY$4:AY$200,"&lt;&gt;-",$D$4:$D$200,"&lt;&gt;是",$E$4:$E$200,"&lt;&gt;封闭期",$H$4:$H$200,"&gt;10",$BN$4:$BN$200,"&gt;-6",$BR$4:$BR$200,"&gt;=70",$K$4:$K$200,"&lt;=30",$C$4:$C$200,"&lt;20190630",AY$4:AY$200,"&gt;="&amp;AY112)&amp;"/"&amp;COUNTIFS(AY$4:AY$200,"&lt;&gt;-",$D$4:$D$200,"&lt;&gt;是",$E$4:$E$200,"&lt;&gt;封闭期",$H$4:$H$200,"&gt;10",$BN$4:$BN$200,"&gt;-6",$BR$4:$BR$200,"&gt;=70",$C$4:$C$200,"&lt;20190630",$K$4:$K$200,"&lt;=30"))</f>
        <v>-</v>
      </c>
      <c r="BC112" s="33" t="str">
        <f>IF(OR($C112&gt;20190630,$K112&gt;30,AY112="-",$D112="是",$E112="封闭期",$H112&lt;10,$BN112&lt;-6,$BR112&lt;70),"-",COUNTIFS(AY$4:AY$200,"&lt;&gt;-",$D$4:$D$200,"&lt;&gt;是",$E$4:$E$200,"&lt;&gt;封闭期",$H$4:$H$200,"&gt;10",$BN$4:$BN$200,"&gt;-6",$BR$4:$BR$200,"&gt;=70",$K$4:$K$200,"&lt;=30",$C$4:$C$200,"&lt;20190630",AY$4:AY$200,"&gt;="&amp;AY112)/COUNTIFS(AY$4:AY$200,"&lt;&gt;-",$D$4:$D$200,"&lt;&gt;是",$E$4:$E$200,"&lt;&gt;封闭期",$H$4:$H$200,"&gt;10",$BN$4:$BN$200,"&gt;-6",$BR$4:$BR$200,"&gt;=70",$C$4:$C$200,"&lt;20190630",$K$4:$K$200,"&lt;=30"))</f>
        <v>-</v>
      </c>
      <c r="BD112" s="20">
        <v>1</v>
      </c>
      <c r="BE112" s="19" t="str">
        <f>IFERROR(RANK(BD112,BD:BD)&amp;"/"&amp;COUNT(BD:BD),"-")</f>
        <v>1/197</v>
      </c>
      <c r="BF112" s="26">
        <f>IFERROR(RANK(BD112,BD:BD)/COUNT(BD:BD),"-")</f>
        <v>5.076142131979695E-3</v>
      </c>
      <c r="BG112" s="34" t="str">
        <f>IF(OR($C112&gt;20190630,$K112&gt;30,BD112="-",$D112="是",$E112="封闭期",$H112&lt;10,$BN112&lt;-6,$BR112&lt;70),"-",COUNTIFS(BD$4:BD$200,"&lt;&gt;-",$D$4:$D$200,"&lt;&gt;是",$E$4:$E$200,"&lt;&gt;封闭期",$H$4:$H$200,"&gt;10",$BN$4:$BN$200,"&gt;-6",$BR$4:$BR$200,"&gt;=70",$K$4:$K$200,"&lt;=30",$C$4:$C$200,"&lt;20190630",BD$4:BD$200,"&gt;="&amp;BD112)&amp;"/"&amp;COUNTIFS(BD$4:BD$200,"&lt;&gt;-",$D$4:$D$200,"&lt;&gt;是",$E$4:$E$200,"&lt;&gt;封闭期",$H$4:$H$200,"&gt;10",$BN$4:$BN$200,"&gt;-6",$BR$4:$BR$200,"&gt;=70",$C$4:$C$200,"&lt;20190630",$K$4:$K$200,"&lt;=30"))</f>
        <v>-</v>
      </c>
      <c r="BH112" s="33" t="str">
        <f>IF(OR($C112&gt;20190630,$K112&gt;30,BD112="-",$D112="是",$E112="封闭期",$H112&lt;10,$BN112&lt;-6,$BR112&lt;70),"-",COUNTIFS(BD$4:BD$200,"&lt;&gt;-",$D$4:$D$200,"&lt;&gt;是",$E$4:$E$200,"&lt;&gt;封闭期",$H$4:$H$200,"&gt;10",$BN$4:$BN$200,"&gt;-6",$BR$4:$BR$200,"&gt;=70",$K$4:$K$200,"&lt;=30",$C$4:$C$200,"&lt;20190630",BD$4:BD$200,"&gt;="&amp;BD112)/COUNTIFS(BD$4:BD$200,"&lt;&gt;-",$D$4:$D$200,"&lt;&gt;是",$E$4:$E$200,"&lt;&gt;封闭期",$H$4:$H$200,"&gt;10",$BN$4:$BN$200,"&gt;-6",$BR$4:$BR$200,"&gt;=70",$C$4:$C$200,"&lt;20190630",$K$4:$K$200,"&lt;=30"))</f>
        <v>-</v>
      </c>
      <c r="BI112" s="21">
        <f>[1]!f_risk_maxdownside(A112,$AM$2,$L$2)</f>
        <v>-3.0379746835442987</v>
      </c>
      <c r="BJ112" s="19" t="str">
        <f>IFERROR(RANK(BI112,BI:BI)&amp;"/"&amp;COUNT(BI:BI),"-")</f>
        <v>88/197</v>
      </c>
      <c r="BK112" s="26">
        <f>IFERROR(RANK(BI112,BI:BI)/COUNT(BI:BI),"-")</f>
        <v>0.4467005076142132</v>
      </c>
      <c r="BL112" s="34" t="str">
        <f>IF(OR($C112&gt;20190630,$K112&gt;30,BI112="-",$D112="是",$E112="封闭期",$H112&lt;10,$BN112&lt;-6,$BR112&lt;70),"-",COUNTIFS(BI$4:BI$200,"&lt;&gt;-",$D$4:$D$200,"&lt;&gt;是",$E$4:$E$200,"&lt;&gt;封闭期",$H$4:$H$200,"&gt;10",$BN$4:$BN$200,"&gt;-6",$BR$4:$BR$200,"&gt;=70",$K$4:$K$200,"&lt;=30",$C$4:$C$200,"&lt;20190630",BI$4:BI$200,"&gt;="&amp;BI112)&amp;"/"&amp;COUNTIFS(BI$4:BI$200,"&lt;&gt;-",$D$4:$D$200,"&lt;&gt;是",$E$4:$E$200,"&lt;&gt;封闭期",$H$4:$H$200,"&gt;10",$BN$4:$BN$200,"&gt;-6",$BR$4:$BR$200,"&gt;=70",$C$4:$C$200,"&lt;20190630",$K$4:$K$200,"&lt;=30"))</f>
        <v>-</v>
      </c>
      <c r="BM112" s="33" t="str">
        <f>IF(OR($C112&gt;20190630,$K112&gt;30,BI112="-",$D112="是",$E112="封闭期",$H112&lt;10,$BN112&lt;-6,$BR112&lt;70),"-",COUNTIFS(BI$4:BI$200,"&lt;&gt;-",$D$4:$D$200,"&lt;&gt;是",$E$4:$E$200,"&lt;&gt;封闭期",$H$4:$H$200,"&gt;10",$BN$4:$BN$200,"&gt;-6",$BR$4:$BR$200,"&gt;=70",$K$4:$K$200,"&lt;=30",$C$4:$C$200,"&lt;20190630",BI$4:BI$200,"&gt;="&amp;BI112)/COUNTIFS(BI$4:BI$200,"&lt;&gt;-",$D$4:$D$200,"&lt;&gt;是",$E$4:$E$200,"&lt;&gt;封闭期",$H$4:$H$200,"&gt;10",$BN$4:$BN$200,"&gt;-6",$BR$4:$BR$200,"&gt;=70",$C$4:$C$200,"&lt;20190630",$K$4:$K$200,"&lt;=30"))</f>
        <v>-</v>
      </c>
      <c r="BN112" s="21">
        <f>[1]!f_risk_maxdownside(A112,$AM$2,$E$1)</f>
        <v>-4.7619047619047628</v>
      </c>
      <c r="BO112" s="21">
        <f>IF(C112&lt;20190930,[1]!f_return_2y(A112,"0","20210930"),"-")</f>
        <v>8.263888888888884</v>
      </c>
      <c r="BP112" s="19" t="str">
        <f>IFERROR(RANK(BO112,BO:BO)&amp;"/"&amp;COUNT(BO:BO),"-")</f>
        <v>161/197</v>
      </c>
      <c r="BQ112" s="25">
        <f>IFERROR(RANK(BO112,BO:BO)/COUNT(BO:BO),"-")</f>
        <v>0.81725888324873097</v>
      </c>
      <c r="BR112" s="19">
        <f>IF(C112&lt;20190930,[1]!f_absolute_profitmonthper(A112,"20190930","20210930"),"-")</f>
        <v>62.5</v>
      </c>
      <c r="BS112" s="19" t="str">
        <f>IFERROR(RANK(BR112,BR:BR)&amp;"/"&amp;COUNT(BR:BR),"-")</f>
        <v>142/198</v>
      </c>
      <c r="BT112" s="25">
        <f>IFERROR(RANK(BR112,BR:BR)/COUNT(BR:BR),"-")</f>
        <v>0.71717171717171713</v>
      </c>
      <c r="BV112" s="12">
        <f>X112-3/M112</f>
        <v>-0.19005875600530991</v>
      </c>
      <c r="BW112" s="76">
        <f>IFERROR(RANK(BV112,BV:BV)/COUNT(BV:BV),"-")</f>
        <v>0.87817258883248728</v>
      </c>
      <c r="BX112" s="76">
        <f>IFERROR(RANK(L112,L:L)/COUNT(L:L),"-")</f>
        <v>0.91414141414141414</v>
      </c>
      <c r="BY112" s="12">
        <f>AY112-3/AN112</f>
        <v>1.6758454454951544</v>
      </c>
      <c r="BZ112" s="76">
        <f>IFERROR(RANK(BY112,BY:BY)/COUNT(BY:BY),"-")</f>
        <v>0.46700507614213199</v>
      </c>
      <c r="CA112" s="76">
        <f>IFERROR(RANK(AM112,AM:AM)/COUNT(AM:AM),"-")</f>
        <v>0.55555555555555558</v>
      </c>
      <c r="CB112" s="2"/>
      <c r="CC112" s="77">
        <f>AV112+BF112+BZ112+CA112</f>
        <v>1.6367738296672307</v>
      </c>
      <c r="CD112" s="77">
        <f>BW112+BX112+AE112+U112</f>
        <v>3.4166794852074038</v>
      </c>
      <c r="CE112" s="77">
        <f>CC112+CD112</f>
        <v>5.0534533148746341</v>
      </c>
    </row>
    <row r="113" spans="1:83" s="2" customFormat="1" hidden="1" x14ac:dyDescent="0.35">
      <c r="A113" s="15" t="s">
        <v>167</v>
      </c>
      <c r="B113" s="15" t="s">
        <v>168</v>
      </c>
      <c r="C113" s="16">
        <v>20131211</v>
      </c>
      <c r="D113" s="16" t="str">
        <f>[1]!f_info_regulopenfundornot(A113)</f>
        <v>否</v>
      </c>
      <c r="E113" s="16" t="str">
        <f>[1]!f_dq_status(A113,$E$1)</f>
        <v>开放申购|开放赎回</v>
      </c>
      <c r="F113" s="17" t="str">
        <f>[1]!f_info_fundmanager(A113)</f>
        <v>陈圆明,唐瑭</v>
      </c>
      <c r="G113" s="16">
        <v>20210924</v>
      </c>
      <c r="H113" s="18">
        <f>[1]!f_netasset_total(A113,$E$1,100000000)</f>
        <v>0.12479120619999999</v>
      </c>
      <c r="I113" s="18">
        <f>[1]!f_prt_convertiblebondtonav(A113,$E$1)</f>
        <v>23.733152389526367</v>
      </c>
      <c r="J113" s="18">
        <f>[1]!f_prt_stocktonav(A113,$E$1)+0.5*I113</f>
        <v>17.488871574401855</v>
      </c>
      <c r="K113" s="19">
        <v>40.815912876399473</v>
      </c>
      <c r="L113" s="19">
        <f>[1]!f_return($A113,"1",L$2,$E$1)</f>
        <v>-2.5251022484421126</v>
      </c>
      <c r="M113" s="19">
        <f>[1]!f_risk_stdevyearly($A113,L$2,$E$1,1,1)</f>
        <v>5.4057113179927718</v>
      </c>
      <c r="N113" s="19">
        <f>IFERROR(L113/M113,"-")</f>
        <v>-0.46711747999516262</v>
      </c>
      <c r="O113" s="19" t="str">
        <f>IFERROR(RANK(N113,N:N)&amp;"/"&amp;COUNT(N:N),"-")</f>
        <v>193/197</v>
      </c>
      <c r="P113" s="26">
        <f>IF(O113="-","-",RANK(N113,N:N)/COUNT(N:N))</f>
        <v>0.97969543147208127</v>
      </c>
      <c r="Q113" s="56">
        <v>0.98477157360406087</v>
      </c>
      <c r="R113" s="33" t="str">
        <f>IF(OR($C113&gt;20190630,$K113&gt;30,N113="-",$D113="是",$E113="封闭期",$H113&lt;10,$BN113&lt;-6,$BR113&lt;70),"-",COUNTIFS(N$4:N$200,"&lt;&gt;-",$D$4:$D$200,"&lt;&gt;是",$E$4:$E$200,"&lt;&gt;封闭期",$H$4:$H$200,"&gt;10",$BN$4:$BN$200,"&gt;-6",$BR$4:$BR$200,"&gt;=70",$K$4:$K$200,"&lt;=30",$C$4:$C$200,"&lt;20190630",N$4:N$200,"&gt;="&amp;N113)/COUNTIFS(N$4:N$200,"&lt;&gt;-",$D$4:$D$200,"&lt;&gt;是",$E$4:$E$200,"&lt;&gt;封闭期",$H$4:$H$200,"&gt;10",$BN$4:$BN$200,"&gt;-6",$BR$4:$BR$200,"&gt;=70",$C$4:$C$200,"&lt;20190630",$K$4:$K$200,"&lt;=30"))</f>
        <v>-</v>
      </c>
      <c r="S113" s="19">
        <f>IFERROR((L113-3)/M113,"-")</f>
        <v>-1.0220860721977423</v>
      </c>
      <c r="T113" s="19" t="str">
        <f>IFERROR(RANK(S113,S:S)&amp;"/"&amp;COUNT(S:S),"-")</f>
        <v>192/197</v>
      </c>
      <c r="U113" s="26">
        <f>IFERROR(RANK(S113,S:S)/COUNT(S:S),"-")</f>
        <v>0.97461928934010156</v>
      </c>
      <c r="V113" s="34" t="str">
        <f>IF(OR($C113&gt;20190630,$K113&gt;30,S113="-",$D113="是",$E113="封闭期",$H113&lt;10,$BN113&lt;-6,$BR113&lt;70),"-",COUNTIFS(S$4:S$200,"&lt;&gt;-",$D$4:$D$200,"&lt;&gt;是",$E$4:$E$200,"&lt;&gt;封闭期",$H$4:$H$200,"&gt;10",$BN$4:$BN$200,"&gt;-6",$BR$4:$BR$200,"&gt;=70",$K$4:$K$200,"&lt;=30",$C$4:$C$200,"&lt;20190630",S$4:S$200,"&gt;="&amp;S113)&amp;"/"&amp;COUNTIFS(S$4:S$200,"&lt;&gt;-",$D$4:$D$200,"&lt;&gt;是",$E$4:$E$200,"&lt;&gt;封闭期",$H$4:$H$200,"&gt;10",$BN$4:$BN$200,"&gt;-6",$BR$4:$BR$200,"&gt;=70",$C$4:$C$200,"&lt;20190630",$K$4:$K$200,"&lt;=30"))</f>
        <v>-</v>
      </c>
      <c r="W113" s="33" t="str">
        <f>IF(OR($C113&gt;20190630,$K113&gt;30,S113="-",$D113="是",$E113="封闭期",$H113&lt;10,$BN113&lt;-6,$BR113&lt;70),"-",COUNTIFS(S$4:S$200,"&lt;&gt;-",$D$4:$D$200,"&lt;&gt;是",$E$4:$E$200,"&lt;&gt;封闭期",$H$4:$H$200,"&gt;10",$BN$4:$BN$200,"&gt;-6",$BR$4:$BR$200,"&gt;=70",$K$4:$K$200,"&lt;=30",$C$4:$C$200,"&lt;20190630",S$4:S$200,"&gt;="&amp;S113)/COUNTIFS(S$4:S$200,"&lt;&gt;-",$D$4:$D$200,"&lt;&gt;是",$E$4:$E$200,"&lt;&gt;封闭期",$H$4:$H$200,"&gt;10",$BN$4:$BN$200,"&gt;-6",$BR$4:$BR$200,"&gt;=70",$C$4:$C$200,"&lt;20190630",$K$4:$K$200,"&lt;=30"))</f>
        <v>-</v>
      </c>
      <c r="X113" s="19">
        <f>[1]!f_risk_calmar(A113,$L$2,$E$1)</f>
        <v>-0.44419389790344554</v>
      </c>
      <c r="Y113" s="19" t="str">
        <f>IFERROR(RANK(X113,X:X)&amp;"/"&amp;COUNT(X:X),"-")</f>
        <v>194/197</v>
      </c>
      <c r="Z113" s="26">
        <f>IFERROR(RANK(X113,X:X)/COUNT(X:X),"-")</f>
        <v>0.98477157360406087</v>
      </c>
      <c r="AA113" s="34" t="str">
        <f>IF(OR($C113&gt;20190630,$K113&gt;30,X113="-",$D113="是",$E113="封闭期",$H113&lt;10,$BN113&lt;-6,$BR113&lt;70),"-",COUNTIFS(X$4:X$200,"&lt;&gt;-",$D$4:$D$200,"&lt;&gt;是",$E$4:$E$200,"&lt;&gt;封闭期",$H$4:$H$200,"&gt;10",$BN$4:$BN$200,"&gt;-6",$BR$4:$BR$200,"&gt;=70",$K$4:$K$200,"&lt;=30",$C$4:$C$200,"&lt;20190630",X$4:X$200,"&gt;="&amp;X113)&amp;"/"&amp;COUNTIFS(X$4:X$200,"&lt;&gt;-",$D$4:$D$200,"&lt;&gt;是",$E$4:$E$200,"&lt;&gt;封闭期",$H$4:$H$200,"&gt;10",$BN$4:$BN$200,"&gt;-6",$BR$4:$BR$200,"&gt;=70",$C$4:$C$200,"&lt;20190630",$K$4:$K$200,"&lt;=30"))</f>
        <v>-</v>
      </c>
      <c r="AB113" s="33" t="str">
        <f>IF(OR($C113&gt;20190630,$K113&gt;30,X113="-",$D113="是",$E113="封闭期",$H113&lt;10,$BN113&lt;-6,$BR113&lt;70),"-",COUNTIFS(X$4:X$200,"&lt;&gt;-",$D$4:$D$200,"&lt;&gt;是",$E$4:$E$200,"&lt;&gt;封闭期",$H$4:$H$200,"&gt;10",$BN$4:$BN$200,"&gt;-6",$BR$4:$BR$200,"&gt;=70",$K$4:$K$200,"&lt;=30",$C$4:$C$200,"&lt;20190630",X$4:X$200,"&gt;="&amp;X113)/COUNTIFS(X$4:X$200,"&lt;&gt;-",$D$4:$D$200,"&lt;&gt;是",$E$4:$E$200,"&lt;&gt;封闭期",$H$4:$H$200,"&gt;10",$BN$4:$BN$200,"&gt;-6",$BR$4:$BR$200,"&gt;=70",$C$4:$C$200,"&lt;20190630",$K$4:$K$200,"&lt;=30"))</f>
        <v>-</v>
      </c>
      <c r="AC113" s="20">
        <v>0.1260504201680672</v>
      </c>
      <c r="AD113" s="19" t="str">
        <f>IFERROR(RANK(AC113,AC:AC)&amp;"/"&amp;COUNT(AC:AC),"-")</f>
        <v>194/197</v>
      </c>
      <c r="AE113" s="26">
        <f>IFERROR(RANK(AC113,AC:AC)/COUNT(AC:AC),"-")</f>
        <v>0.98477157360406087</v>
      </c>
      <c r="AF113" s="34" t="str">
        <f>IF(OR($C113&gt;20190630,$K113&gt;30,AC113="-",$D113="是",$E113="封闭期",$H113&lt;10,$BN113&lt;-6,$BR113&lt;70),"-",COUNTIFS(AC$4:AC$200,"&lt;&gt;-",$D$4:$D$200,"&lt;&gt;是",$E$4:$E$200,"&lt;&gt;封闭期",$H$4:$H$200,"&gt;10",$BN$4:$BN$200,"&gt;-6",$BR$4:$BR$200,"&gt;=70",$K$4:$K$200,"&lt;=30",$C$4:$C$200,"&lt;20190630",AC$4:AC$200,"&gt;="&amp;AC113)&amp;"/"&amp;COUNTIFS(AC$4:AC$200,"&lt;&gt;-",$D$4:$D$200,"&lt;&gt;是",$E$4:$E$200,"&lt;&gt;封闭期",$H$4:$H$200,"&gt;10",$BN$4:$BN$200,"&gt;-6",$BR$4:$BR$200,"&gt;=70",$C$4:$C$200,"&lt;20190630",$K$4:$K$200,"&lt;=30"))</f>
        <v>-</v>
      </c>
      <c r="AG113" s="33" t="str">
        <f>IF(OR($C113&gt;20190630,$K113&gt;30,AC113="-",$D113="是",$E113="封闭期",$H113&lt;10,$BN113&lt;-6,$BR113&lt;70),"-",COUNTIFS(AC$4:AC$200,"&lt;&gt;-",$D$4:$D$200,"&lt;&gt;是",$E$4:$E$200,"&lt;&gt;封闭期",$H$4:$H$200,"&gt;10",$BN$4:$BN$200,"&gt;-6",$BR$4:$BR$200,"&gt;=70",$K$4:$K$200,"&lt;=30",$C$4:$C$200,"&lt;20190630",AC$4:AC$200,"&gt;="&amp;AC113)/COUNTIFS(AC$4:AC$200,"&lt;&gt;-",$D$4:$D$200,"&lt;&gt;是",$E$4:$E$200,"&lt;&gt;封闭期",$H$4:$H$200,"&gt;10",$BN$4:$BN$200,"&gt;-6",$BR$4:$BR$200,"&gt;=70",$C$4:$C$200,"&lt;20190630",$K$4:$K$200,"&lt;=30"))</f>
        <v>-</v>
      </c>
      <c r="AH113" s="21">
        <f>[1]!f_risk_maxdownside(A113,$L$2,$E$1)</f>
        <v>-5.6846846846846919</v>
      </c>
      <c r="AI113" s="19" t="str">
        <f>IFERROR(RANK(AH113,AH:AH)&amp;"/"&amp;COUNT(AH:AH),"-")</f>
        <v>167/197</v>
      </c>
      <c r="AJ113" s="26">
        <f>IFERROR(RANK(AH113,AH:AH)/COUNT(AH:AH),"-")</f>
        <v>0.84771573604060912</v>
      </c>
      <c r="AK113" s="34" t="str">
        <f>IF(OR($C113&gt;20190630,$K113&gt;30,AH113="-",$D113="是",$E113="封闭期",$H113&lt;10,$BN113&lt;-6,$BR113&lt;70),"-",COUNTIFS(AH$4:AH$200,"&lt;&gt;-",$D$4:$D$200,"&lt;&gt;是",$E$4:$E$200,"&lt;&gt;封闭期",$H$4:$H$200,"&gt;10",$BN$4:$BN$200,"&gt;-6",$BR$4:$BR$200,"&gt;=70",$K$4:$K$200,"&lt;=30",$C$4:$C$200,"&lt;20190630",AH$4:AH$200,"&gt;="&amp;AH113)&amp;"/"&amp;COUNTIFS(AH$4:AH$200,"&lt;&gt;-",$D$4:$D$200,"&lt;&gt;是",$E$4:$E$200,"&lt;&gt;封闭期",$H$4:$H$200,"&gt;10",$BN$4:$BN$200,"&gt;-6",$BR$4:$BR$200,"&gt;=70",$C$4:$C$200,"&lt;20190630",$K$4:$K$200,"&lt;=30"))</f>
        <v>-</v>
      </c>
      <c r="AL113" s="33" t="str">
        <f>IF(OR($C113&gt;20190630,$K113&gt;30,AH113="-",$D113="是",$E113="封闭期",$H113&lt;10,$BN113&lt;-6,$BR113&lt;70),"-",COUNTIFS(AH$4:AH$200,"&lt;&gt;-",$D$4:$D$200,"&lt;&gt;是",$E$4:$E$200,"&lt;&gt;封闭期",$H$4:$H$200,"&gt;10",$BN$4:$BN$200,"&gt;-6",$BR$4:$BR$200,"&gt;=70",$K$4:$K$200,"&lt;=30",$C$4:$C$200,"&lt;20190630",AH$4:AH$200,"&gt;="&amp;AH113)/COUNTIFS(AH$4:AH$200,"&lt;&gt;-",$D$4:$D$200,"&lt;&gt;是",$E$4:$E$200,"&lt;&gt;封闭期",$H$4:$H$200,"&gt;10",$BN$4:$BN$200,"&gt;-6",$BR$4:$BR$200,"&gt;=70",$C$4:$C$200,"&lt;20190630",$K$4:$K$200,"&lt;=30"))</f>
        <v>-</v>
      </c>
      <c r="AM113" s="19">
        <f>[1]!f_return($A113,"1",AM$2,$L$2)</f>
        <v>6.7135818105821699</v>
      </c>
      <c r="AN113" s="19">
        <f>[1]!f_risk_stdevyearly($A113,AM$2,$L$2,1,1)</f>
        <v>4.1364478486063341</v>
      </c>
      <c r="AO113" s="19">
        <f>IFERROR(AM113/AN113,"-")</f>
        <v>1.6230306911385652</v>
      </c>
      <c r="AP113" s="19" t="str">
        <f>IFERROR(RANK(AO113,AO:AO)&amp;"/"&amp;COUNT(AO:AO),"-")</f>
        <v>96/197</v>
      </c>
      <c r="AQ113" s="26">
        <f>IF(AP113="-","-",RANK(AO113,AO:AO)/COUNT(AO:AO))</f>
        <v>0.48730964467005078</v>
      </c>
      <c r="AR113" s="57">
        <v>0.55837563451776651</v>
      </c>
      <c r="AS113" s="33" t="str">
        <f>IF(OR($C113&gt;20190630,$K113&gt;30,AO113="-",$D113="是",$E113="封闭期",$H113&lt;10,$BN113&lt;-6,$BR113&lt;70),"-",COUNTIFS(AO$4:AO$200,"&lt;&gt;-",$D$4:$D$200,"&lt;&gt;是",$E$4:$E$200,"&lt;&gt;封闭期",$H$4:$H$200,"&gt;10",$BN$4:$BN$200,"&gt;-6",$BR$4:$BR$200,"&gt;=70",$K$4:$K$200,"&lt;=30",$C$4:$C$200,"&lt;20190630",AO$4:AO$200,"&gt;="&amp;AO113)/COUNTIFS(AO$4:AO$200,"&lt;&gt;-",$D$4:$D$200,"&lt;&gt;是",$E$4:$E$200,"&lt;&gt;封闭期",$H$4:$H$200,"&gt;10",$BN$4:$BN$200,"&gt;-6",$BR$4:$BR$200,"&gt;=70",$C$4:$C$200,"&lt;20190630",$K$4:$K$200,"&lt;=30"))</f>
        <v>-</v>
      </c>
      <c r="AT113" s="19">
        <f>IFERROR((AM113-3)/AN113,"-")</f>
        <v>0.89777073143406416</v>
      </c>
      <c r="AU113" s="19" t="str">
        <f>IFERROR(RANK(AT113,AT:AT)&amp;"/"&amp;COUNT(AT:AT),"-")</f>
        <v>95/197</v>
      </c>
      <c r="AV113" s="26">
        <f>IFERROR(RANK(AT113,AT:AT)/COUNT(AT:AT),"-")</f>
        <v>0.48223350253807107</v>
      </c>
      <c r="AW113" s="34" t="str">
        <f>IF(OR($C113&gt;20190630,$K113&gt;30,AT113="-",$D113="是",$E113="封闭期",$H113&lt;10,$BN113&lt;-6,$BR113&lt;70),"-",COUNTIFS(AT$4:AT$200,"&lt;&gt;-",$D$4:$D$200,"&lt;&gt;是",$E$4:$E$200,"&lt;&gt;封闭期",$H$4:$H$200,"&gt;10",$BN$4:$BN$200,"&gt;-6",$BR$4:$BR$200,"&gt;=70",$K$4:$K$200,"&lt;=30",$C$4:$C$200,"&lt;20190630",AT$4:AT$200,"&gt;="&amp;AT113)&amp;"/"&amp;COUNTIFS(AT$4:AT$200,"&lt;&gt;-",$D$4:$D$200,"&lt;&gt;是",$E$4:$E$200,"&lt;&gt;封闭期",$H$4:$H$200,"&gt;10",$BN$4:$BN$200,"&gt;-6",$BR$4:$BR$200,"&gt;=70",$C$4:$C$200,"&lt;20190630",$K$4:$K$200,"&lt;=30"))</f>
        <v>-</v>
      </c>
      <c r="AX113" s="33" t="str">
        <f>IF(OR($C113&gt;20190630,$K113&gt;30,AT113="-",$D113="是",$E113="封闭期",$H113&lt;10,$BN113&lt;-6,$BR113&lt;70),"-",COUNTIFS(AT$4:AT$200,"&lt;&gt;-",$D$4:$D$200,"&lt;&gt;是",$E$4:$E$200,"&lt;&gt;封闭期",$H$4:$H$200,"&gt;10",$BN$4:$BN$200,"&gt;-6",$BR$4:$BR$200,"&gt;=70",$K$4:$K$200,"&lt;=30",$C$4:$C$200,"&lt;20190630",AT$4:AT$200,"&gt;="&amp;AT113)/COUNTIFS(AT$4:AT$200,"&lt;&gt;-",$D$4:$D$200,"&lt;&gt;是",$E$4:$E$200,"&lt;&gt;封闭期",$H$4:$H$200,"&gt;10",$BN$4:$BN$200,"&gt;-6",$BR$4:$BR$200,"&gt;=70",$C$4:$C$200,"&lt;20190630",$K$4:$K$200,"&lt;=30"))</f>
        <v>-</v>
      </c>
      <c r="AY113" s="19">
        <f>[1]!f_risk_calmar(A113,$AM$2,$L$2)</f>
        <v>2.8122448250994223</v>
      </c>
      <c r="AZ113" s="19" t="str">
        <f>IFERROR(RANK(AY113,AY:AY)&amp;"/"&amp;COUNT(AY:AY),"-")</f>
        <v>60/197</v>
      </c>
      <c r="BA113" s="26">
        <f>IFERROR(RANK(AY113,AY:AY)/COUNT(AY:AY),"-")</f>
        <v>0.30456852791878175</v>
      </c>
      <c r="BB113" s="34" t="str">
        <f>IF(OR($C113&gt;20190630,$K113&gt;30,AY113="-",$D113="是",$E113="封闭期",$H113&lt;10,$BN113&lt;-6,$BR113&lt;70),"-",COUNTIFS(AY$4:AY$200,"&lt;&gt;-",$D$4:$D$200,"&lt;&gt;是",$E$4:$E$200,"&lt;&gt;封闭期",$H$4:$H$200,"&gt;10",$BN$4:$BN$200,"&gt;-6",$BR$4:$BR$200,"&gt;=70",$K$4:$K$200,"&lt;=30",$C$4:$C$200,"&lt;20190630",AY$4:AY$200,"&gt;="&amp;AY113)&amp;"/"&amp;COUNTIFS(AY$4:AY$200,"&lt;&gt;-",$D$4:$D$200,"&lt;&gt;是",$E$4:$E$200,"&lt;&gt;封闭期",$H$4:$H$200,"&gt;10",$BN$4:$BN$200,"&gt;-6",$BR$4:$BR$200,"&gt;=70",$C$4:$C$200,"&lt;20190630",$K$4:$K$200,"&lt;=30"))</f>
        <v>-</v>
      </c>
      <c r="BC113" s="33" t="str">
        <f>IF(OR($C113&gt;20190630,$K113&gt;30,AY113="-",$D113="是",$E113="封闭期",$H113&lt;10,$BN113&lt;-6,$BR113&lt;70),"-",COUNTIFS(AY$4:AY$200,"&lt;&gt;-",$D$4:$D$200,"&lt;&gt;是",$E$4:$E$200,"&lt;&gt;封闭期",$H$4:$H$200,"&gt;10",$BN$4:$BN$200,"&gt;-6",$BR$4:$BR$200,"&gt;=70",$K$4:$K$200,"&lt;=30",$C$4:$C$200,"&lt;20190630",AY$4:AY$200,"&gt;="&amp;AY113)/COUNTIFS(AY$4:AY$200,"&lt;&gt;-",$D$4:$D$200,"&lt;&gt;是",$E$4:$E$200,"&lt;&gt;封闭期",$H$4:$H$200,"&gt;10",$BN$4:$BN$200,"&gt;-6",$BR$4:$BR$200,"&gt;=70",$C$4:$C$200,"&lt;20190630",$K$4:$K$200,"&lt;=30"))</f>
        <v>-</v>
      </c>
      <c r="BD113" s="20">
        <v>1</v>
      </c>
      <c r="BE113" s="19" t="str">
        <f>IFERROR(RANK(BD113,BD:BD)&amp;"/"&amp;COUNT(BD:BD),"-")</f>
        <v>1/197</v>
      </c>
      <c r="BF113" s="26">
        <f>IFERROR(RANK(BD113,BD:BD)/COUNT(BD:BD),"-")</f>
        <v>5.076142131979695E-3</v>
      </c>
      <c r="BG113" s="34" t="str">
        <f>IF(OR($C113&gt;20190630,$K113&gt;30,BD113="-",$D113="是",$E113="封闭期",$H113&lt;10,$BN113&lt;-6,$BR113&lt;70),"-",COUNTIFS(BD$4:BD$200,"&lt;&gt;-",$D$4:$D$200,"&lt;&gt;是",$E$4:$E$200,"&lt;&gt;封闭期",$H$4:$H$200,"&gt;10",$BN$4:$BN$200,"&gt;-6",$BR$4:$BR$200,"&gt;=70",$K$4:$K$200,"&lt;=30",$C$4:$C$200,"&lt;20190630",BD$4:BD$200,"&gt;="&amp;BD113)&amp;"/"&amp;COUNTIFS(BD$4:BD$200,"&lt;&gt;-",$D$4:$D$200,"&lt;&gt;是",$E$4:$E$200,"&lt;&gt;封闭期",$H$4:$H$200,"&gt;10",$BN$4:$BN$200,"&gt;-6",$BR$4:$BR$200,"&gt;=70",$C$4:$C$200,"&lt;20190630",$K$4:$K$200,"&lt;=30"))</f>
        <v>-</v>
      </c>
      <c r="BH113" s="33" t="str">
        <f>IF(OR($C113&gt;20190630,$K113&gt;30,BD113="-",$D113="是",$E113="封闭期",$H113&lt;10,$BN113&lt;-6,$BR113&lt;70),"-",COUNTIFS(BD$4:BD$200,"&lt;&gt;-",$D$4:$D$200,"&lt;&gt;是",$E$4:$E$200,"&lt;&gt;封闭期",$H$4:$H$200,"&gt;10",$BN$4:$BN$200,"&gt;-6",$BR$4:$BR$200,"&gt;=70",$K$4:$K$200,"&lt;=30",$C$4:$C$200,"&lt;20190630",BD$4:BD$200,"&gt;="&amp;BD113)/COUNTIFS(BD$4:BD$200,"&lt;&gt;-",$D$4:$D$200,"&lt;&gt;是",$E$4:$E$200,"&lt;&gt;封闭期",$H$4:$H$200,"&gt;10",$BN$4:$BN$200,"&gt;-6",$BR$4:$BR$200,"&gt;=70",$C$4:$C$200,"&lt;20190630",$K$4:$K$200,"&lt;=30"))</f>
        <v>-</v>
      </c>
      <c r="BI113" s="21">
        <f>[1]!f_risk_maxdownside(A113,$AM$2,$L$2)</f>
        <v>-2.3872679045092817</v>
      </c>
      <c r="BJ113" s="19" t="str">
        <f>IFERROR(RANK(BI113,BI:BI)&amp;"/"&amp;COUNT(BI:BI),"-")</f>
        <v>53/197</v>
      </c>
      <c r="BK113" s="26">
        <f>IFERROR(RANK(BI113,BI:BI)/COUNT(BI:BI),"-")</f>
        <v>0.26903553299492383</v>
      </c>
      <c r="BL113" s="34" t="str">
        <f>IF(OR($C113&gt;20190630,$K113&gt;30,BI113="-",$D113="是",$E113="封闭期",$H113&lt;10,$BN113&lt;-6,$BR113&lt;70),"-",COUNTIFS(BI$4:BI$200,"&lt;&gt;-",$D$4:$D$200,"&lt;&gt;是",$E$4:$E$200,"&lt;&gt;封闭期",$H$4:$H$200,"&gt;10",$BN$4:$BN$200,"&gt;-6",$BR$4:$BR$200,"&gt;=70",$K$4:$K$200,"&lt;=30",$C$4:$C$200,"&lt;20190630",BI$4:BI$200,"&gt;="&amp;BI113)&amp;"/"&amp;COUNTIFS(BI$4:BI$200,"&lt;&gt;-",$D$4:$D$200,"&lt;&gt;是",$E$4:$E$200,"&lt;&gt;封闭期",$H$4:$H$200,"&gt;10",$BN$4:$BN$200,"&gt;-6",$BR$4:$BR$200,"&gt;=70",$C$4:$C$200,"&lt;20190630",$K$4:$K$200,"&lt;=30"))</f>
        <v>-</v>
      </c>
      <c r="BM113" s="33" t="str">
        <f>IF(OR($C113&gt;20190630,$K113&gt;30,BI113="-",$D113="是",$E113="封闭期",$H113&lt;10,$BN113&lt;-6,$BR113&lt;70),"-",COUNTIFS(BI$4:BI$200,"&lt;&gt;-",$D$4:$D$200,"&lt;&gt;是",$E$4:$E$200,"&lt;&gt;封闭期",$H$4:$H$200,"&gt;10",$BN$4:$BN$200,"&gt;-6",$BR$4:$BR$200,"&gt;=70",$K$4:$K$200,"&lt;=30",$C$4:$C$200,"&lt;20190630",BI$4:BI$200,"&gt;="&amp;BI113)/COUNTIFS(BI$4:BI$200,"&lt;&gt;-",$D$4:$D$200,"&lt;&gt;是",$E$4:$E$200,"&lt;&gt;封闭期",$H$4:$H$200,"&gt;10",$BN$4:$BN$200,"&gt;-6",$BR$4:$BR$200,"&gt;=70",$C$4:$C$200,"&lt;20190630",$K$4:$K$200,"&lt;=30"))</f>
        <v>-</v>
      </c>
      <c r="BN113" s="21">
        <f>[1]!f_risk_maxdownside(A113,$AM$2,$E$1)</f>
        <v>-5.6846846846846919</v>
      </c>
      <c r="BO113" s="21">
        <f>IF(C113&lt;20190930,[1]!f_return_2y(A113,"0","20210930"),"-")</f>
        <v>4.0523889171948992</v>
      </c>
      <c r="BP113" s="19" t="str">
        <f>IFERROR(RANK(BO113,BO:BO)&amp;"/"&amp;COUNT(BO:BO),"-")</f>
        <v>189/197</v>
      </c>
      <c r="BQ113" s="25">
        <f>IFERROR(RANK(BO113,BO:BO)/COUNT(BO:BO),"-")</f>
        <v>0.95939086294416243</v>
      </c>
      <c r="BR113" s="19">
        <f>IF(C113&lt;20190930,[1]!f_absolute_profitmonthper(A113,"20190930","20210930"),"-")</f>
        <v>62.5</v>
      </c>
      <c r="BS113" s="19" t="str">
        <f>IFERROR(RANK(BR113,BR:BR)&amp;"/"&amp;COUNT(BR:BR),"-")</f>
        <v>142/198</v>
      </c>
      <c r="BT113" s="25">
        <f>IFERROR(RANK(BR113,BR:BR)/COUNT(BR:BR),"-")</f>
        <v>0.71717171717171713</v>
      </c>
      <c r="BU113" s="17"/>
      <c r="BV113" s="12">
        <f>X113-3/M113</f>
        <v>-0.9991624901060252</v>
      </c>
      <c r="BW113" s="76">
        <f>IFERROR(RANK(BV113,BV:BV)/COUNT(BV:BV),"-")</f>
        <v>0.97461928934010156</v>
      </c>
      <c r="BX113" s="76">
        <f>IFERROR(RANK(L113,L:L)/COUNT(L:L),"-")</f>
        <v>0.98484848484848486</v>
      </c>
      <c r="BY113" s="12">
        <f>AY113-3/AN113</f>
        <v>2.0869848653949212</v>
      </c>
      <c r="BZ113" s="76">
        <f>IFERROR(RANK(BY113,BY:BY)/COUNT(BY:BY),"-")</f>
        <v>0.31472081218274112</v>
      </c>
      <c r="CA113" s="76">
        <f>IFERROR(RANK(AM113,AM:AM)/COUNT(AM:AM),"-")</f>
        <v>0.56060606060606055</v>
      </c>
      <c r="CC113" s="77">
        <f>AV113+BF113+BZ113+CA113</f>
        <v>1.3626365174588524</v>
      </c>
      <c r="CD113" s="77">
        <f>BW113+BX113+AE113+U113</f>
        <v>3.9188586371327485</v>
      </c>
      <c r="CE113" s="77">
        <f>CC113+CD113</f>
        <v>5.2814951545916013</v>
      </c>
    </row>
    <row r="114" spans="1:83" s="17" customFormat="1" hidden="1" x14ac:dyDescent="0.35">
      <c r="A114" s="15" t="s">
        <v>397</v>
      </c>
      <c r="B114" s="15" t="s">
        <v>398</v>
      </c>
      <c r="C114" s="16">
        <v>20190521</v>
      </c>
      <c r="D114" s="16" t="str">
        <f>[1]!f_info_regulopenfundornot(A114)</f>
        <v>否</v>
      </c>
      <c r="E114" s="16" t="str">
        <f>[1]!f_dq_status(A114,$E$1)</f>
        <v>开放申购|开放赎回</v>
      </c>
      <c r="F114" s="17" t="str">
        <f>[1]!f_info_fundmanager(A114)</f>
        <v>李羿</v>
      </c>
      <c r="G114" s="16">
        <v>20190715</v>
      </c>
      <c r="H114" s="18">
        <f>[1]!f_netasset_total(A114,$E$1,100000000)</f>
        <v>6.0913846445000006</v>
      </c>
      <c r="I114" s="18">
        <f>[1]!f_prt_convertiblebondtonav(A114,$E$1)</f>
        <v>27.554519653320313</v>
      </c>
      <c r="J114" s="18">
        <f>[1]!f_prt_stocktonav(A114,$E$1)+0.5*I114</f>
        <v>15.459243535995483</v>
      </c>
      <c r="K114" s="19">
        <v>13.46426219760288</v>
      </c>
      <c r="L114" s="19">
        <f>[1]!f_return($A114,"1",L$2,$E$1)</f>
        <v>5.9125501461628094</v>
      </c>
      <c r="M114" s="19">
        <f>[1]!f_risk_stdevyearly($A114,L$2,$E$1,1,1)</f>
        <v>2.067303718403553</v>
      </c>
      <c r="N114" s="19">
        <f>IFERROR(L114/M114,"-")</f>
        <v>2.8600297544710536</v>
      </c>
      <c r="O114" s="19" t="str">
        <f>IFERROR(RANK(N114,N:N)&amp;"/"&amp;COUNT(N:N),"-")</f>
        <v>23/197</v>
      </c>
      <c r="P114" s="26">
        <f>IF(O114="-","-",RANK(N114,N:N)/COUNT(N:N))</f>
        <v>0.116751269035533</v>
      </c>
      <c r="Q114" s="56">
        <v>0.49238578680203043</v>
      </c>
      <c r="R114" s="33" t="str">
        <f>IF(OR($C114&gt;20190630,$K114&gt;30,N114="-",$D114="是",$E114="封闭期",$H114&lt;10,$BN114&lt;-6,$BR114&lt;70),"-",COUNTIFS(N$4:N$200,"&lt;&gt;-",$D$4:$D$200,"&lt;&gt;是",$E$4:$E$200,"&lt;&gt;封闭期",$H$4:$H$200,"&gt;10",$BN$4:$BN$200,"&gt;-6",$BR$4:$BR$200,"&gt;=70",$K$4:$K$200,"&lt;=30",$C$4:$C$200,"&lt;20190630",N$4:N$200,"&gt;="&amp;N114)/COUNTIFS(N$4:N$200,"&lt;&gt;-",$D$4:$D$200,"&lt;&gt;是",$E$4:$E$200,"&lt;&gt;封闭期",$H$4:$H$200,"&gt;10",$BN$4:$BN$200,"&gt;-6",$BR$4:$BR$200,"&gt;=70",$C$4:$C$200,"&lt;20190630",$K$4:$K$200,"&lt;=30"))</f>
        <v>-</v>
      </c>
      <c r="S114" s="19">
        <f>IFERROR((L114-3)/M114,"-")</f>
        <v>1.4088641742549499</v>
      </c>
      <c r="T114" s="19" t="str">
        <f>IFERROR(RANK(S114,S:S)&amp;"/"&amp;COUNT(S:S),"-")</f>
        <v>34/197</v>
      </c>
      <c r="U114" s="26">
        <f>IFERROR(RANK(S114,S:S)/COUNT(S:S),"-")</f>
        <v>0.17258883248730963</v>
      </c>
      <c r="V114" s="34" t="str">
        <f>IF(OR($C114&gt;20190630,$K114&gt;30,S114="-",$D114="是",$E114="封闭期",$H114&lt;10,$BN114&lt;-6,$BR114&lt;70),"-",COUNTIFS(S$4:S$200,"&lt;&gt;-",$D$4:$D$200,"&lt;&gt;是",$E$4:$E$200,"&lt;&gt;封闭期",$H$4:$H$200,"&gt;10",$BN$4:$BN$200,"&gt;-6",$BR$4:$BR$200,"&gt;=70",$K$4:$K$200,"&lt;=30",$C$4:$C$200,"&lt;20190630",S$4:S$200,"&gt;="&amp;S114)&amp;"/"&amp;COUNTIFS(S$4:S$200,"&lt;&gt;-",$D$4:$D$200,"&lt;&gt;是",$E$4:$E$200,"&lt;&gt;封闭期",$H$4:$H$200,"&gt;10",$BN$4:$BN$200,"&gt;-6",$BR$4:$BR$200,"&gt;=70",$C$4:$C$200,"&lt;20190630",$K$4:$K$200,"&lt;=30"))</f>
        <v>-</v>
      </c>
      <c r="W114" s="33" t="str">
        <f>IF(OR($C114&gt;20190630,$K114&gt;30,S114="-",$D114="是",$E114="封闭期",$H114&lt;10,$BN114&lt;-6,$BR114&lt;70),"-",COUNTIFS(S$4:S$200,"&lt;&gt;-",$D$4:$D$200,"&lt;&gt;是",$E$4:$E$200,"&lt;&gt;封闭期",$H$4:$H$200,"&gt;10",$BN$4:$BN$200,"&gt;-6",$BR$4:$BR$200,"&gt;=70",$K$4:$K$200,"&lt;=30",$C$4:$C$200,"&lt;20190630",S$4:S$200,"&gt;="&amp;S114)/COUNTIFS(S$4:S$200,"&lt;&gt;-",$D$4:$D$200,"&lt;&gt;是",$E$4:$E$200,"&lt;&gt;封闭期",$H$4:$H$200,"&gt;10",$BN$4:$BN$200,"&gt;-6",$BR$4:$BR$200,"&gt;=70",$C$4:$C$200,"&lt;20190630",$K$4:$K$200,"&lt;=30"))</f>
        <v>-</v>
      </c>
      <c r="X114" s="19">
        <f>[1]!f_risk_calmar(A114,$L$2,$E$1)</f>
        <v>5.8251252593861924</v>
      </c>
      <c r="Y114" s="19" t="str">
        <f>IFERROR(RANK(X114,X:X)&amp;"/"&amp;COUNT(X:X),"-")</f>
        <v>24/197</v>
      </c>
      <c r="Z114" s="26">
        <f>IFERROR(RANK(X114,X:X)/COUNT(X:X),"-")</f>
        <v>0.12182741116751269</v>
      </c>
      <c r="AA114" s="34" t="str">
        <f>IF(OR($C114&gt;20190630,$K114&gt;30,X114="-",$D114="是",$E114="封闭期",$H114&lt;10,$BN114&lt;-6,$BR114&lt;70),"-",COUNTIFS(X$4:X$200,"&lt;&gt;-",$D$4:$D$200,"&lt;&gt;是",$E$4:$E$200,"&lt;&gt;封闭期",$H$4:$H$200,"&gt;10",$BN$4:$BN$200,"&gt;-6",$BR$4:$BR$200,"&gt;=70",$K$4:$K$200,"&lt;=30",$C$4:$C$200,"&lt;20190630",X$4:X$200,"&gt;="&amp;X114)&amp;"/"&amp;COUNTIFS(X$4:X$200,"&lt;&gt;-",$D$4:$D$200,"&lt;&gt;是",$E$4:$E$200,"&lt;&gt;封闭期",$H$4:$H$200,"&gt;10",$BN$4:$BN$200,"&gt;-6",$BR$4:$BR$200,"&gt;=70",$C$4:$C$200,"&lt;20190630",$K$4:$K$200,"&lt;=30"))</f>
        <v>-</v>
      </c>
      <c r="AB114" s="33" t="str">
        <f>IF(OR($C114&gt;20190630,$K114&gt;30,X114="-",$D114="是",$E114="封闭期",$H114&lt;10,$BN114&lt;-6,$BR114&lt;70),"-",COUNTIFS(X$4:X$200,"&lt;&gt;-",$D$4:$D$200,"&lt;&gt;是",$E$4:$E$200,"&lt;&gt;封闭期",$H$4:$H$200,"&gt;10",$BN$4:$BN$200,"&gt;-6",$BR$4:$BR$200,"&gt;=70",$K$4:$K$200,"&lt;=30",$C$4:$C$200,"&lt;20190630",X$4:X$200,"&gt;="&amp;X114)/COUNTIFS(X$4:X$200,"&lt;&gt;-",$D$4:$D$200,"&lt;&gt;是",$E$4:$E$200,"&lt;&gt;封闭期",$H$4:$H$200,"&gt;10",$BN$4:$BN$200,"&gt;-6",$BR$4:$BR$200,"&gt;=70",$C$4:$C$200,"&lt;20190630",$K$4:$K$200,"&lt;=30"))</f>
        <v>-</v>
      </c>
      <c r="AC114" s="20">
        <v>1</v>
      </c>
      <c r="AD114" s="19" t="str">
        <f>IFERROR(RANK(AC114,AC:AC)&amp;"/"&amp;COUNT(AC:AC),"-")</f>
        <v>1/197</v>
      </c>
      <c r="AE114" s="26">
        <f>IFERROR(RANK(AC114,AC:AC)/COUNT(AC:AC),"-")</f>
        <v>5.076142131979695E-3</v>
      </c>
      <c r="AF114" s="34" t="str">
        <f>IF(OR($C114&gt;20190630,$K114&gt;30,AC114="-",$D114="是",$E114="封闭期",$H114&lt;10,$BN114&lt;-6,$BR114&lt;70),"-",COUNTIFS(AC$4:AC$200,"&lt;&gt;-",$D$4:$D$200,"&lt;&gt;是",$E$4:$E$200,"&lt;&gt;封闭期",$H$4:$H$200,"&gt;10",$BN$4:$BN$200,"&gt;-6",$BR$4:$BR$200,"&gt;=70",$K$4:$K$200,"&lt;=30",$C$4:$C$200,"&lt;20190630",AC$4:AC$200,"&gt;="&amp;AC114)&amp;"/"&amp;COUNTIFS(AC$4:AC$200,"&lt;&gt;-",$D$4:$D$200,"&lt;&gt;是",$E$4:$E$200,"&lt;&gt;封闭期",$H$4:$H$200,"&gt;10",$BN$4:$BN$200,"&gt;-6",$BR$4:$BR$200,"&gt;=70",$C$4:$C$200,"&lt;20190630",$K$4:$K$200,"&lt;=30"))</f>
        <v>-</v>
      </c>
      <c r="AG114" s="33" t="str">
        <f>IF(OR($C114&gt;20190630,$K114&gt;30,AC114="-",$D114="是",$E114="封闭期",$H114&lt;10,$BN114&lt;-6,$BR114&lt;70),"-",COUNTIFS(AC$4:AC$200,"&lt;&gt;-",$D$4:$D$200,"&lt;&gt;是",$E$4:$E$200,"&lt;&gt;封闭期",$H$4:$H$200,"&gt;10",$BN$4:$BN$200,"&gt;-6",$BR$4:$BR$200,"&gt;=70",$K$4:$K$200,"&lt;=30",$C$4:$C$200,"&lt;20190630",AC$4:AC$200,"&gt;="&amp;AC114)/COUNTIFS(AC$4:AC$200,"&lt;&gt;-",$D$4:$D$200,"&lt;&gt;是",$E$4:$E$200,"&lt;&gt;封闭期",$H$4:$H$200,"&gt;10",$BN$4:$BN$200,"&gt;-6",$BR$4:$BR$200,"&gt;=70",$C$4:$C$200,"&lt;20190630",$K$4:$K$200,"&lt;=30"))</f>
        <v>-</v>
      </c>
      <c r="AH114" s="21">
        <f>[1]!f_risk_maxdownside(A114,$L$2,$E$1)</f>
        <v>-1.0150082415199135</v>
      </c>
      <c r="AI114" s="19" t="str">
        <f>IFERROR(RANK(AH114,AH:AH)&amp;"/"&amp;COUNT(AH:AH),"-")</f>
        <v>25/197</v>
      </c>
      <c r="AJ114" s="26">
        <f>IFERROR(RANK(AH114,AH:AH)/COUNT(AH:AH),"-")</f>
        <v>0.12690355329949238</v>
      </c>
      <c r="AK114" s="34" t="str">
        <f>IF(OR($C114&gt;20190630,$K114&gt;30,AH114="-",$D114="是",$E114="封闭期",$H114&lt;10,$BN114&lt;-6,$BR114&lt;70),"-",COUNTIFS(AH$4:AH$200,"&lt;&gt;-",$D$4:$D$200,"&lt;&gt;是",$E$4:$E$200,"&lt;&gt;封闭期",$H$4:$H$200,"&gt;10",$BN$4:$BN$200,"&gt;-6",$BR$4:$BR$200,"&gt;=70",$K$4:$K$200,"&lt;=30",$C$4:$C$200,"&lt;20190630",AH$4:AH$200,"&gt;="&amp;AH114)&amp;"/"&amp;COUNTIFS(AH$4:AH$200,"&lt;&gt;-",$D$4:$D$200,"&lt;&gt;是",$E$4:$E$200,"&lt;&gt;封闭期",$H$4:$H$200,"&gt;10",$BN$4:$BN$200,"&gt;-6",$BR$4:$BR$200,"&gt;=70",$C$4:$C$200,"&lt;20190630",$K$4:$K$200,"&lt;=30"))</f>
        <v>-</v>
      </c>
      <c r="AL114" s="33" t="str">
        <f>IF(OR($C114&gt;20190630,$K114&gt;30,AH114="-",$D114="是",$E114="封闭期",$H114&lt;10,$BN114&lt;-6,$BR114&lt;70),"-",COUNTIFS(AH$4:AH$200,"&lt;&gt;-",$D$4:$D$200,"&lt;&gt;是",$E$4:$E$200,"&lt;&gt;封闭期",$H$4:$H$200,"&gt;10",$BN$4:$BN$200,"&gt;-6",$BR$4:$BR$200,"&gt;=70",$K$4:$K$200,"&lt;=30",$C$4:$C$200,"&lt;20190630",AH$4:AH$200,"&gt;="&amp;AH114)/COUNTIFS(AH$4:AH$200,"&lt;&gt;-",$D$4:$D$200,"&lt;&gt;是",$E$4:$E$200,"&lt;&gt;封闭期",$H$4:$H$200,"&gt;10",$BN$4:$BN$200,"&gt;-6",$BR$4:$BR$200,"&gt;=70",$C$4:$C$200,"&lt;20190630",$K$4:$K$200,"&lt;=30"))</f>
        <v>-</v>
      </c>
      <c r="AM114" s="19">
        <f>[1]!f_return($A114,"1",AM$2,$L$2)</f>
        <v>6.6402883801094603</v>
      </c>
      <c r="AN114" s="19">
        <f>[1]!f_risk_stdevyearly($A114,AM$2,$L$2,1,1)</f>
        <v>2.2168343953838145</v>
      </c>
      <c r="AO114" s="19">
        <f>IFERROR(AM114/AN114,"-")</f>
        <v>2.9953921654845965</v>
      </c>
      <c r="AP114" s="19" t="str">
        <f>IFERROR(RANK(AO114,AO:AO)&amp;"/"&amp;COUNT(AO:AO),"-")</f>
        <v>10/197</v>
      </c>
      <c r="AQ114" s="26">
        <f>IF(AP114="-","-",RANK(AO114,AO:AO)/COUNT(AO:AO))</f>
        <v>5.0761421319796954E-2</v>
      </c>
      <c r="AR114" s="57">
        <v>0.56345177664974622</v>
      </c>
      <c r="AS114" s="33" t="str">
        <f>IF(OR($C114&gt;20190630,$K114&gt;30,AO114="-",$D114="是",$E114="封闭期",$H114&lt;10,$BN114&lt;-6,$BR114&lt;70),"-",COUNTIFS(AO$4:AO$200,"&lt;&gt;-",$D$4:$D$200,"&lt;&gt;是",$E$4:$E$200,"&lt;&gt;封闭期",$H$4:$H$200,"&gt;10",$BN$4:$BN$200,"&gt;-6",$BR$4:$BR$200,"&gt;=70",$K$4:$K$200,"&lt;=30",$C$4:$C$200,"&lt;20190630",AO$4:AO$200,"&gt;="&amp;AO114)/COUNTIFS(AO$4:AO$200,"&lt;&gt;-",$D$4:$D$200,"&lt;&gt;是",$E$4:$E$200,"&lt;&gt;封闭期",$H$4:$H$200,"&gt;10",$BN$4:$BN$200,"&gt;-6",$BR$4:$BR$200,"&gt;=70",$C$4:$C$200,"&lt;20190630",$K$4:$K$200,"&lt;=30"))</f>
        <v>-</v>
      </c>
      <c r="AT114" s="19">
        <f>IFERROR((AM114-3)/AN114,"-")</f>
        <v>1.6421111056783266</v>
      </c>
      <c r="AU114" s="19" t="str">
        <f>IFERROR(RANK(AT114,AT:AT)&amp;"/"&amp;COUNT(AT:AT),"-")</f>
        <v>23/197</v>
      </c>
      <c r="AV114" s="26">
        <f>IFERROR(RANK(AT114,AT:AT)/COUNT(AT:AT),"-")</f>
        <v>0.116751269035533</v>
      </c>
      <c r="AW114" s="34" t="str">
        <f>IF(OR($C114&gt;20190630,$K114&gt;30,AT114="-",$D114="是",$E114="封闭期",$H114&lt;10,$BN114&lt;-6,$BR114&lt;70),"-",COUNTIFS(AT$4:AT$200,"&lt;&gt;-",$D$4:$D$200,"&lt;&gt;是",$E$4:$E$200,"&lt;&gt;封闭期",$H$4:$H$200,"&gt;10",$BN$4:$BN$200,"&gt;-6",$BR$4:$BR$200,"&gt;=70",$K$4:$K$200,"&lt;=30",$C$4:$C$200,"&lt;20190630",AT$4:AT$200,"&gt;="&amp;AT114)&amp;"/"&amp;COUNTIFS(AT$4:AT$200,"&lt;&gt;-",$D$4:$D$200,"&lt;&gt;是",$E$4:$E$200,"&lt;&gt;封闭期",$H$4:$H$200,"&gt;10",$BN$4:$BN$200,"&gt;-6",$BR$4:$BR$200,"&gt;=70",$C$4:$C$200,"&lt;20190630",$K$4:$K$200,"&lt;=30"))</f>
        <v>-</v>
      </c>
      <c r="AX114" s="33" t="str">
        <f>IF(OR($C114&gt;20190630,$K114&gt;30,AT114="-",$D114="是",$E114="封闭期",$H114&lt;10,$BN114&lt;-6,$BR114&lt;70),"-",COUNTIFS(AT$4:AT$200,"&lt;&gt;-",$D$4:$D$200,"&lt;&gt;是",$E$4:$E$200,"&lt;&gt;封闭期",$H$4:$H$200,"&gt;10",$BN$4:$BN$200,"&gt;-6",$BR$4:$BR$200,"&gt;=70",$K$4:$K$200,"&lt;=30",$C$4:$C$200,"&lt;20190630",AT$4:AT$200,"&gt;="&amp;AT114)/COUNTIFS(AT$4:AT$200,"&lt;&gt;-",$D$4:$D$200,"&lt;&gt;是",$E$4:$E$200,"&lt;&gt;封闭期",$H$4:$H$200,"&gt;10",$BN$4:$BN$200,"&gt;-6",$BR$4:$BR$200,"&gt;=70",$C$4:$C$200,"&lt;20190630",$K$4:$K$200,"&lt;=30"))</f>
        <v>-</v>
      </c>
      <c r="AY114" s="19">
        <f>[1]!f_risk_calmar(A114,$AM$2,$L$2)</f>
        <v>5.838514717023517</v>
      </c>
      <c r="AZ114" s="19" t="str">
        <f>IFERROR(RANK(AY114,AY:AY)&amp;"/"&amp;COUNT(AY:AY),"-")</f>
        <v>6/197</v>
      </c>
      <c r="BA114" s="26">
        <f>IFERROR(RANK(AY114,AY:AY)/COUNT(AY:AY),"-")</f>
        <v>3.0456852791878174E-2</v>
      </c>
      <c r="BB114" s="34" t="str">
        <f>IF(OR($C114&gt;20190630,$K114&gt;30,AY114="-",$D114="是",$E114="封闭期",$H114&lt;10,$BN114&lt;-6,$BR114&lt;70),"-",COUNTIFS(AY$4:AY$200,"&lt;&gt;-",$D$4:$D$200,"&lt;&gt;是",$E$4:$E$200,"&lt;&gt;封闭期",$H$4:$H$200,"&gt;10",$BN$4:$BN$200,"&gt;-6",$BR$4:$BR$200,"&gt;=70",$K$4:$K$200,"&lt;=30",$C$4:$C$200,"&lt;20190630",AY$4:AY$200,"&gt;="&amp;AY114)&amp;"/"&amp;COUNTIFS(AY$4:AY$200,"&lt;&gt;-",$D$4:$D$200,"&lt;&gt;是",$E$4:$E$200,"&lt;&gt;封闭期",$H$4:$H$200,"&gt;10",$BN$4:$BN$200,"&gt;-6",$BR$4:$BR$200,"&gt;=70",$C$4:$C$200,"&lt;20190630",$K$4:$K$200,"&lt;=30"))</f>
        <v>-</v>
      </c>
      <c r="BC114" s="33" t="str">
        <f>IF(OR($C114&gt;20190630,$K114&gt;30,AY114="-",$D114="是",$E114="封闭期",$H114&lt;10,$BN114&lt;-6,$BR114&lt;70),"-",COUNTIFS(AY$4:AY$200,"&lt;&gt;-",$D$4:$D$200,"&lt;&gt;是",$E$4:$E$200,"&lt;&gt;封闭期",$H$4:$H$200,"&gt;10",$BN$4:$BN$200,"&gt;-6",$BR$4:$BR$200,"&gt;=70",$K$4:$K$200,"&lt;=30",$C$4:$C$200,"&lt;20190630",AY$4:AY$200,"&gt;="&amp;AY114)/COUNTIFS(AY$4:AY$200,"&lt;&gt;-",$D$4:$D$200,"&lt;&gt;是",$E$4:$E$200,"&lt;&gt;封闭期",$H$4:$H$200,"&gt;10",$BN$4:$BN$200,"&gt;-6",$BR$4:$BR$200,"&gt;=70",$C$4:$C$200,"&lt;20190630",$K$4:$K$200,"&lt;=30"))</f>
        <v>-</v>
      </c>
      <c r="BD114" s="20">
        <v>1</v>
      </c>
      <c r="BE114" s="19" t="str">
        <f>IFERROR(RANK(BD114,BD:BD)&amp;"/"&amp;COUNT(BD:BD),"-")</f>
        <v>1/197</v>
      </c>
      <c r="BF114" s="26">
        <f>IFERROR(RANK(BD114,BD:BD)/COUNT(BD:BD),"-")</f>
        <v>5.076142131979695E-3</v>
      </c>
      <c r="BG114" s="34" t="str">
        <f>IF(OR($C114&gt;20190630,$K114&gt;30,BD114="-",$D114="是",$E114="封闭期",$H114&lt;10,$BN114&lt;-6,$BR114&lt;70),"-",COUNTIFS(BD$4:BD$200,"&lt;&gt;-",$D$4:$D$200,"&lt;&gt;是",$E$4:$E$200,"&lt;&gt;封闭期",$H$4:$H$200,"&gt;10",$BN$4:$BN$200,"&gt;-6",$BR$4:$BR$200,"&gt;=70",$K$4:$K$200,"&lt;=30",$C$4:$C$200,"&lt;20190630",BD$4:BD$200,"&gt;="&amp;BD114)&amp;"/"&amp;COUNTIFS(BD$4:BD$200,"&lt;&gt;-",$D$4:$D$200,"&lt;&gt;是",$E$4:$E$200,"&lt;&gt;封闭期",$H$4:$H$200,"&gt;10",$BN$4:$BN$200,"&gt;-6",$BR$4:$BR$200,"&gt;=70",$C$4:$C$200,"&lt;20190630",$K$4:$K$200,"&lt;=30"))</f>
        <v>-</v>
      </c>
      <c r="BH114" s="33" t="str">
        <f>IF(OR($C114&gt;20190630,$K114&gt;30,BD114="-",$D114="是",$E114="封闭期",$H114&lt;10,$BN114&lt;-6,$BR114&lt;70),"-",COUNTIFS(BD$4:BD$200,"&lt;&gt;-",$D$4:$D$200,"&lt;&gt;是",$E$4:$E$200,"&lt;&gt;封闭期",$H$4:$H$200,"&gt;10",$BN$4:$BN$200,"&gt;-6",$BR$4:$BR$200,"&gt;=70",$K$4:$K$200,"&lt;=30",$C$4:$C$200,"&lt;20190630",BD$4:BD$200,"&gt;="&amp;BD114)/COUNTIFS(BD$4:BD$200,"&lt;&gt;-",$D$4:$D$200,"&lt;&gt;是",$E$4:$E$200,"&lt;&gt;封闭期",$H$4:$H$200,"&gt;10",$BN$4:$BN$200,"&gt;-6",$BR$4:$BR$200,"&gt;=70",$C$4:$C$200,"&lt;20190630",$K$4:$K$200,"&lt;=30"))</f>
        <v>-</v>
      </c>
      <c r="BI114" s="21">
        <f>[1]!f_risk_maxdownside(A114,$AM$2,$L$2)</f>
        <v>-1.1373249365541873</v>
      </c>
      <c r="BJ114" s="19" t="str">
        <f>IFERROR(RANK(BI114,BI:BI)&amp;"/"&amp;COUNT(BI:BI),"-")</f>
        <v>8/197</v>
      </c>
      <c r="BK114" s="26">
        <f>IFERROR(RANK(BI114,BI:BI)/COUNT(BI:BI),"-")</f>
        <v>4.060913705583756E-2</v>
      </c>
      <c r="BL114" s="34" t="str">
        <f>IF(OR($C114&gt;20190630,$K114&gt;30,BI114="-",$D114="是",$E114="封闭期",$H114&lt;10,$BN114&lt;-6,$BR114&lt;70),"-",COUNTIFS(BI$4:BI$200,"&lt;&gt;-",$D$4:$D$200,"&lt;&gt;是",$E$4:$E$200,"&lt;&gt;封闭期",$H$4:$H$200,"&gt;10",$BN$4:$BN$200,"&gt;-6",$BR$4:$BR$200,"&gt;=70",$K$4:$K$200,"&lt;=30",$C$4:$C$200,"&lt;20190630",BI$4:BI$200,"&gt;="&amp;BI114)&amp;"/"&amp;COUNTIFS(BI$4:BI$200,"&lt;&gt;-",$D$4:$D$200,"&lt;&gt;是",$E$4:$E$200,"&lt;&gt;封闭期",$H$4:$H$200,"&gt;10",$BN$4:$BN$200,"&gt;-6",$BR$4:$BR$200,"&gt;=70",$C$4:$C$200,"&lt;20190630",$K$4:$K$200,"&lt;=30"))</f>
        <v>-</v>
      </c>
      <c r="BM114" s="33" t="str">
        <f>IF(OR($C114&gt;20190630,$K114&gt;30,BI114="-",$D114="是",$E114="封闭期",$H114&lt;10,$BN114&lt;-6,$BR114&lt;70),"-",COUNTIFS(BI$4:BI$200,"&lt;&gt;-",$D$4:$D$200,"&lt;&gt;是",$E$4:$E$200,"&lt;&gt;封闭期",$H$4:$H$200,"&gt;10",$BN$4:$BN$200,"&gt;-6",$BR$4:$BR$200,"&gt;=70",$K$4:$K$200,"&lt;=30",$C$4:$C$200,"&lt;20190630",BI$4:BI$200,"&gt;="&amp;BI114)/COUNTIFS(BI$4:BI$200,"&lt;&gt;-",$D$4:$D$200,"&lt;&gt;是",$E$4:$E$200,"&lt;&gt;封闭期",$H$4:$H$200,"&gt;10",$BN$4:$BN$200,"&gt;-6",$BR$4:$BR$200,"&gt;=70",$C$4:$C$200,"&lt;20190630",$K$4:$K$200,"&lt;=30"))</f>
        <v>-</v>
      </c>
      <c r="BN114" s="21">
        <f>[1]!f_risk_maxdownside(A114,$AM$2,$E$1)</f>
        <v>-1.1373249365541873</v>
      </c>
      <c r="BO114" s="21">
        <f>IF(C114&lt;20190930,[1]!f_return_2y(A114,"0","20210930"),"-")</f>
        <v>12.961865244022919</v>
      </c>
      <c r="BP114" s="19" t="str">
        <f>IFERROR(RANK(BO114,BO:BO)&amp;"/"&amp;COUNT(BO:BO),"-")</f>
        <v>106/197</v>
      </c>
      <c r="BQ114" s="25">
        <f>IFERROR(RANK(BO114,BO:BO)/COUNT(BO:BO),"-")</f>
        <v>0.53807106598984766</v>
      </c>
      <c r="BR114" s="19">
        <f>IF(C114&lt;20190930,[1]!f_absolute_profitmonthper(A114,"20190930","20210930"),"-")</f>
        <v>83.333333333333343</v>
      </c>
      <c r="BS114" s="19" t="str">
        <f>IFERROR(RANK(BR114,BR:BR)&amp;"/"&amp;COUNT(BR:BR),"-")</f>
        <v>4/198</v>
      </c>
      <c r="BT114" s="25">
        <f>IFERROR(RANK(BR114,BR:BR)/COUNT(BR:BR),"-")</f>
        <v>2.0202020202020204E-2</v>
      </c>
      <c r="BV114" s="12">
        <f>X114-3/M114</f>
        <v>4.3739596791700892</v>
      </c>
      <c r="BW114" s="76">
        <f>IFERROR(RANK(BV114,BV:BV)/COUNT(BV:BV),"-")</f>
        <v>0.13705583756345177</v>
      </c>
      <c r="BX114" s="76">
        <f>IFERROR(RANK(L114,L:L)/COUNT(L:L),"-")</f>
        <v>0.49494949494949497</v>
      </c>
      <c r="BY114" s="12">
        <f>AY114-3/AN114</f>
        <v>4.4852336572172469</v>
      </c>
      <c r="BZ114" s="76">
        <f>IFERROR(RANK(BY114,BY:BY)/COUNT(BY:BY),"-")</f>
        <v>5.0761421319796954E-2</v>
      </c>
      <c r="CA114" s="76">
        <f>IFERROR(RANK(AM114,AM:AM)/COUNT(AM:AM),"-")</f>
        <v>0.56565656565656564</v>
      </c>
      <c r="CB114" s="2"/>
      <c r="CC114" s="77">
        <f>AV114+BF114+BZ114+CA114</f>
        <v>0.73824539814387524</v>
      </c>
      <c r="CD114" s="77">
        <f>BW114+BX114+AE114+U114</f>
        <v>0.80967030713223609</v>
      </c>
      <c r="CE114" s="77">
        <f>CC114+CD114</f>
        <v>1.5479157052761114</v>
      </c>
    </row>
    <row r="115" spans="1:83" s="17" customFormat="1" x14ac:dyDescent="0.35">
      <c r="A115" s="3" t="s">
        <v>399</v>
      </c>
      <c r="B115" s="3" t="s">
        <v>400</v>
      </c>
      <c r="C115" s="4">
        <v>20101123</v>
      </c>
      <c r="D115" s="4" t="str">
        <f>[1]!f_info_regulopenfundornot(A115)</f>
        <v>否</v>
      </c>
      <c r="E115" s="4" t="str">
        <f>[1]!f_dq_status(A115,$E$1)</f>
        <v>开放申购|开放赎回</v>
      </c>
      <c r="F115" s="17" t="str">
        <f>[1]!f_info_fundmanager(A115)</f>
        <v>陈轶平,江勇</v>
      </c>
      <c r="G115" s="4">
        <v>20151218</v>
      </c>
      <c r="H115" s="11">
        <f>[1]!f_netasset_total(A115,$E$1,100000000)</f>
        <v>16.924338517300001</v>
      </c>
      <c r="I115" s="11">
        <f>[1]!f_prt_convertiblebondtonav(A115,$E$1)</f>
        <v>5.2762289047241211</v>
      </c>
      <c r="J115" s="11">
        <f>[1]!f_prt_stocktonav(A115,$E$1)+0.5*I115</f>
        <v>19.089824199676514</v>
      </c>
      <c r="K115" s="12">
        <v>5.9940304252543326</v>
      </c>
      <c r="L115" s="19">
        <f>[1]!f_return($A115,"1",L$2,$E$1)</f>
        <v>8.9952489397759017</v>
      </c>
      <c r="M115" s="19">
        <f>[1]!f_risk_stdevyearly($A115,L$2,$E$1,1,1)</f>
        <v>4.4748561816479615</v>
      </c>
      <c r="N115" s="12">
        <f>IFERROR(L115/M115,"-")</f>
        <v>2.0101760983217138</v>
      </c>
      <c r="O115" s="12" t="str">
        <f>IFERROR(RANK(N115,N:N)&amp;"/"&amp;COUNT(N:N),"-")</f>
        <v>49/197</v>
      </c>
      <c r="P115" s="26">
        <f>IF(O115="-","-",RANK(N115,N:N)/COUNT(N:N))</f>
        <v>0.24873096446700507</v>
      </c>
      <c r="Q115" s="58">
        <v>0.21319796954314721</v>
      </c>
      <c r="R115" s="33">
        <f>IF(OR($C115&gt;20190630,$K115&gt;30,N115="-",$D115="是",$E115="封闭期",$H115&lt;10,$BN115&lt;-6,$BR115&lt;70),"-",COUNTIFS(N$4:N$200,"&lt;&gt;-",$D$4:$D$200,"&lt;&gt;是",$E$4:$E$200,"&lt;&gt;封闭期",$H$4:$H$200,"&gt;10",$BN$4:$BN$200,"&gt;-6",$BR$4:$BR$200,"&gt;=70",$K$4:$K$200,"&lt;=30",$C$4:$C$200,"&lt;20190630",N$4:N$200,"&gt;="&amp;N115)/COUNTIFS(N$4:N$200,"&lt;&gt;-",$D$4:$D$200,"&lt;&gt;是",$E$4:$E$200,"&lt;&gt;封闭期",$H$4:$H$200,"&gt;10",$BN$4:$BN$200,"&gt;-6",$BR$4:$BR$200,"&gt;=70",$C$4:$C$200,"&lt;20190630",$K$4:$K$200,"&lt;=30"))</f>
        <v>0.4358974358974359</v>
      </c>
      <c r="S115" s="12">
        <f>IFERROR((L115-3)/M115,"-")</f>
        <v>1.3397634910286711</v>
      </c>
      <c r="T115" s="12" t="str">
        <f>IFERROR(RANK(S115,S:S)&amp;"/"&amp;COUNT(S:S),"-")</f>
        <v>40/197</v>
      </c>
      <c r="U115" s="26">
        <f>IFERROR(RANK(S115,S:S)/COUNT(S:S),"-")</f>
        <v>0.20304568527918782</v>
      </c>
      <c r="V115" s="13" t="str">
        <f>IF(OR($C115&gt;20190630,$K115&gt;30,S115="-",$D115="是",$E115="封闭期",$H115&lt;10,$BN115&lt;-6,$BR115&lt;70),"-",COUNTIFS(S$4:S$200,"&lt;&gt;-",$D$4:$D$200,"&lt;&gt;是",$E$4:$E$200,"&lt;&gt;封闭期",$H$4:$H$200,"&gt;10",$BN$4:$BN$200,"&gt;-6",$BR$4:$BR$200,"&gt;=70",$K$4:$K$200,"&lt;=30",$C$4:$C$200,"&lt;20190630",S$4:S$200,"&gt;="&amp;S115)&amp;"/"&amp;COUNTIFS(S$4:S$200,"&lt;&gt;-",$D$4:$D$200,"&lt;&gt;是",$E$4:$E$200,"&lt;&gt;封闭期",$H$4:$H$200,"&gt;10",$BN$4:$BN$200,"&gt;-6",$BR$4:$BR$200,"&gt;=70",$C$4:$C$200,"&lt;20190630",$K$4:$K$200,"&lt;=30"))</f>
        <v>13/39</v>
      </c>
      <c r="W115" s="33">
        <f>IF(OR($C115&gt;20190630,$K115&gt;30,S115="-",$D115="是",$E115="封闭期",$H115&lt;10,$BN115&lt;-6,$BR115&lt;70),"-",COUNTIFS(S$4:S$200,"&lt;&gt;-",$D$4:$D$200,"&lt;&gt;是",$E$4:$E$200,"&lt;&gt;封闭期",$H$4:$H$200,"&gt;10",$BN$4:$BN$200,"&gt;-6",$BR$4:$BR$200,"&gt;=70",$K$4:$K$200,"&lt;=30",$C$4:$C$200,"&lt;20190630",S$4:S$200,"&gt;="&amp;S115)/COUNTIFS(S$4:S$200,"&lt;&gt;-",$D$4:$D$200,"&lt;&gt;是",$E$4:$E$200,"&lt;&gt;封闭期",$H$4:$H$200,"&gt;10",$BN$4:$BN$200,"&gt;-6",$BR$4:$BR$200,"&gt;=70",$C$4:$C$200,"&lt;20190630",$K$4:$K$200,"&lt;=30"))</f>
        <v>0.33333333333333331</v>
      </c>
      <c r="X115" s="19">
        <f>[1]!f_risk_calmar(A115,$L$2,$E$1)</f>
        <v>3.9237896237298435</v>
      </c>
      <c r="Y115" s="12" t="str">
        <f>IFERROR(RANK(X115,X:X)&amp;"/"&amp;COUNT(X:X),"-")</f>
        <v>46/197</v>
      </c>
      <c r="Z115" s="26">
        <f>IFERROR(RANK(X115,X:X)/COUNT(X:X),"-")</f>
        <v>0.233502538071066</v>
      </c>
      <c r="AA115" s="13" t="str">
        <f>IF(OR($C115&gt;20190630,$K115&gt;30,X115="-",$D115="是",$E115="封闭期",$H115&lt;10,$BN115&lt;-6,$BR115&lt;70),"-",COUNTIFS(X$4:X$200,"&lt;&gt;-",$D$4:$D$200,"&lt;&gt;是",$E$4:$E$200,"&lt;&gt;封闭期",$H$4:$H$200,"&gt;10",$BN$4:$BN$200,"&gt;-6",$BR$4:$BR$200,"&gt;=70",$K$4:$K$200,"&lt;=30",$C$4:$C$200,"&lt;20190630",X$4:X$200,"&gt;="&amp;X115)&amp;"/"&amp;COUNTIFS(X$4:X$200,"&lt;&gt;-",$D$4:$D$200,"&lt;&gt;是",$E$4:$E$200,"&lt;&gt;封闭期",$H$4:$H$200,"&gt;10",$BN$4:$BN$200,"&gt;-6",$BR$4:$BR$200,"&gt;=70",$C$4:$C$200,"&lt;20190630",$K$4:$K$200,"&lt;=30"))</f>
        <v>15/39</v>
      </c>
      <c r="AB115" s="33">
        <f>IF(OR($C115&gt;20190630,$K115&gt;30,X115="-",$D115="是",$E115="封闭期",$H115&lt;10,$BN115&lt;-6,$BR115&lt;70),"-",COUNTIFS(X$4:X$200,"&lt;&gt;-",$D$4:$D$200,"&lt;&gt;是",$E$4:$E$200,"&lt;&gt;封闭期",$H$4:$H$200,"&gt;10",$BN$4:$BN$200,"&gt;-6",$BR$4:$BR$200,"&gt;=70",$K$4:$K$200,"&lt;=30",$C$4:$C$200,"&lt;20190630",X$4:X$200,"&gt;="&amp;X115)/COUNTIFS(X$4:X$200,"&lt;&gt;-",$D$4:$D$200,"&lt;&gt;是",$E$4:$E$200,"&lt;&gt;封闭期",$H$4:$H$200,"&gt;10",$BN$4:$BN$200,"&gt;-6",$BR$4:$BR$200,"&gt;=70",$C$4:$C$200,"&lt;20190630",$K$4:$K$200,"&lt;=30"))</f>
        <v>0.38461538461538464</v>
      </c>
      <c r="AC115" s="20">
        <v>1</v>
      </c>
      <c r="AD115" s="12" t="str">
        <f>IFERROR(RANK(AC115,AC:AC)&amp;"/"&amp;COUNT(AC:AC),"-")</f>
        <v>1/197</v>
      </c>
      <c r="AE115" s="26">
        <f>IFERROR(RANK(AC115,AC:AC)/COUNT(AC:AC),"-")</f>
        <v>5.076142131979695E-3</v>
      </c>
      <c r="AF115" s="13" t="str">
        <f>IF(OR($C115&gt;20190630,$K115&gt;30,AC115="-",$D115="是",$E115="封闭期",$H115&lt;10,$BN115&lt;-6,$BR115&lt;70),"-",COUNTIFS(AC$4:AC$200,"&lt;&gt;-",$D$4:$D$200,"&lt;&gt;是",$E$4:$E$200,"&lt;&gt;封闭期",$H$4:$H$200,"&gt;10",$BN$4:$BN$200,"&gt;-6",$BR$4:$BR$200,"&gt;=70",$K$4:$K$200,"&lt;=30",$C$4:$C$200,"&lt;20190630",AC$4:AC$200,"&gt;="&amp;AC115)&amp;"/"&amp;COUNTIFS(AC$4:AC$200,"&lt;&gt;-",$D$4:$D$200,"&lt;&gt;是",$E$4:$E$200,"&lt;&gt;封闭期",$H$4:$H$200,"&gt;10",$BN$4:$BN$200,"&gt;-6",$BR$4:$BR$200,"&gt;=70",$C$4:$C$200,"&lt;20190630",$K$4:$K$200,"&lt;=30"))</f>
        <v>28/39</v>
      </c>
      <c r="AG115" s="33">
        <f>IF(OR($C115&gt;20190630,$K115&gt;30,AC115="-",$D115="是",$E115="封闭期",$H115&lt;10,$BN115&lt;-6,$BR115&lt;70),"-",COUNTIFS(AC$4:AC$200,"&lt;&gt;-",$D$4:$D$200,"&lt;&gt;是",$E$4:$E$200,"&lt;&gt;封闭期",$H$4:$H$200,"&gt;10",$BN$4:$BN$200,"&gt;-6",$BR$4:$BR$200,"&gt;=70",$K$4:$K$200,"&lt;=30",$C$4:$C$200,"&lt;20190630",AC$4:AC$200,"&gt;="&amp;AC115)/COUNTIFS(AC$4:AC$200,"&lt;&gt;-",$D$4:$D$200,"&lt;&gt;是",$E$4:$E$200,"&lt;&gt;封闭期",$H$4:$H$200,"&gt;10",$BN$4:$BN$200,"&gt;-6",$BR$4:$BR$200,"&gt;=70",$C$4:$C$200,"&lt;20190630",$K$4:$K$200,"&lt;=30"))</f>
        <v>0.71794871794871795</v>
      </c>
      <c r="AH115" s="21">
        <f>[1]!f_risk_maxdownside(A115,$L$2,$E$1)</f>
        <v>-2.292490118577069</v>
      </c>
      <c r="AI115" s="19" t="str">
        <f>IFERROR(RANK(AH115,AH:AH)&amp;"/"&amp;COUNT(AH:AH),"-")</f>
        <v>67/197</v>
      </c>
      <c r="AJ115" s="26">
        <f>IFERROR(RANK(AH115,AH:AH)/COUNT(AH:AH),"-")</f>
        <v>0.34010152284263961</v>
      </c>
      <c r="AK115" s="34" t="str">
        <f>IF(OR($C115&gt;20190630,$K115&gt;30,AH115="-",$D115="是",$E115="封闭期",$H115&lt;10,$BN115&lt;-6,$BR115&lt;70),"-",COUNTIFS(AH$4:AH$200,"&lt;&gt;-",$D$4:$D$200,"&lt;&gt;是",$E$4:$E$200,"&lt;&gt;封闭期",$H$4:$H$200,"&gt;10",$BN$4:$BN$200,"&gt;-6",$BR$4:$BR$200,"&gt;=70",$K$4:$K$200,"&lt;=30",$C$4:$C$200,"&lt;20190630",AH$4:AH$200,"&gt;="&amp;AH115)&amp;"/"&amp;COUNTIFS(AH$4:AH$200,"&lt;&gt;-",$D$4:$D$200,"&lt;&gt;是",$E$4:$E$200,"&lt;&gt;封闭期",$H$4:$H$200,"&gt;10",$BN$4:$BN$200,"&gt;-6",$BR$4:$BR$200,"&gt;=70",$C$4:$C$200,"&lt;20190630",$K$4:$K$200,"&lt;=30"))</f>
        <v>16/39</v>
      </c>
      <c r="AL115" s="33">
        <f>IF(OR($C115&gt;20190630,$K115&gt;30,AH115="-",$D115="是",$E115="封闭期",$H115&lt;10,$BN115&lt;-6,$BR115&lt;70),"-",COUNTIFS(AH$4:AH$200,"&lt;&gt;-",$D$4:$D$200,"&lt;&gt;是",$E$4:$E$200,"&lt;&gt;封闭期",$H$4:$H$200,"&gt;10",$BN$4:$BN$200,"&gt;-6",$BR$4:$BR$200,"&gt;=70",$K$4:$K$200,"&lt;=30",$C$4:$C$200,"&lt;20190630",AH$4:AH$200,"&gt;="&amp;AH115)/COUNTIFS(AH$4:AH$200,"&lt;&gt;-",$D$4:$D$200,"&lt;&gt;是",$E$4:$E$200,"&lt;&gt;封闭期",$H$4:$H$200,"&gt;10",$BN$4:$BN$200,"&gt;-6",$BR$4:$BR$200,"&gt;=70",$C$4:$C$200,"&lt;20190630",$K$4:$K$200,"&lt;=30"))</f>
        <v>0.41025641025641024</v>
      </c>
      <c r="AM115" s="19">
        <f>[1]!f_return($A115,"1",AM$2,$L$2)</f>
        <v>6.6031513995498115</v>
      </c>
      <c r="AN115" s="19">
        <f>[1]!f_risk_stdevyearly($A115,AM$2,$L$2,1,1)</f>
        <v>4.7833280974259456</v>
      </c>
      <c r="AO115" s="12">
        <f>IFERROR(AM115/AN115,"-")</f>
        <v>1.3804512810031091</v>
      </c>
      <c r="AP115" s="12" t="str">
        <f>IFERROR(RANK(AO115,AO:AO)&amp;"/"&amp;COUNT(AO:AO),"-")</f>
        <v>126/197</v>
      </c>
      <c r="AQ115" s="26">
        <f>IF(AP115="-","-",RANK(AO115,AO:AO)/COUNT(AO:AO))</f>
        <v>0.63959390862944165</v>
      </c>
      <c r="AR115" s="60">
        <v>0.56852791878172593</v>
      </c>
      <c r="AS115" s="35">
        <f>IF(OR($C115&gt;20190630,$K115&gt;30,AO115="-",$D115="是",$E115="封闭期",$H115&lt;10,$BN115&lt;-6,$BR115&lt;70),"-",COUNTIFS(AO$4:AO$200,"&lt;&gt;-",$D$4:$D$200,"&lt;&gt;是",$E$4:$E$200,"&lt;&gt;封闭期",$H$4:$H$200,"&gt;10",$BN$4:$BN$200,"&gt;-6",$BR$4:$BR$200,"&gt;=70",$K$4:$K$200,"&lt;=30",$C$4:$C$200,"&lt;20190630",AO$4:AO$200,"&gt;="&amp;AO115)/COUNTIFS(AO$4:AO$200,"&lt;&gt;-",$D$4:$D$200,"&lt;&gt;是",$E$4:$E$200,"&lt;&gt;封闭期",$H$4:$H$200,"&gt;10",$BN$4:$BN$200,"&gt;-6",$BR$4:$BR$200,"&gt;=70",$C$4:$C$200,"&lt;20190630",$K$4:$K$200,"&lt;=30"))</f>
        <v>0.79487179487179482</v>
      </c>
      <c r="AT115" s="12">
        <f>IFERROR((AM115-3)/AN115,"-")</f>
        <v>0.75327289413594212</v>
      </c>
      <c r="AU115" s="12" t="str">
        <f>IFERROR(RANK(AT115,AT:AT)&amp;"/"&amp;COUNT(AT:AT),"-")</f>
        <v>115/197</v>
      </c>
      <c r="AV115" s="26">
        <f>IFERROR(RANK(AT115,AT:AT)/COUNT(AT:AT),"-")</f>
        <v>0.58375634517766495</v>
      </c>
      <c r="AW115" s="13" t="str">
        <f>IF(OR($C115&gt;20190630,$K115&gt;30,AT115="-",$D115="是",$E115="封闭期",$H115&lt;10,$BN115&lt;-6,$BR115&lt;70),"-",COUNTIFS(AT$4:AT$200,"&lt;&gt;-",$D$4:$D$200,"&lt;&gt;是",$E$4:$E$200,"&lt;&gt;封闭期",$H$4:$H$200,"&gt;10",$BN$4:$BN$200,"&gt;-6",$BR$4:$BR$200,"&gt;=70",$K$4:$K$200,"&lt;=30",$C$4:$C$200,"&lt;20190630",AT$4:AT$200,"&gt;="&amp;AT115)&amp;"/"&amp;COUNTIFS(AT$4:AT$200,"&lt;&gt;-",$D$4:$D$200,"&lt;&gt;是",$E$4:$E$200,"&lt;&gt;封闭期",$H$4:$H$200,"&gt;10",$BN$4:$BN$200,"&gt;-6",$BR$4:$BR$200,"&gt;=70",$C$4:$C$200,"&lt;20190630",$K$4:$K$200,"&lt;=30"))</f>
        <v>29/39</v>
      </c>
      <c r="AX115" s="33">
        <f>IF(OR($C115&gt;20190630,$K115&gt;30,AT115="-",$D115="是",$E115="封闭期",$H115&lt;10,$BN115&lt;-6,$BR115&lt;70),"-",COUNTIFS(AT$4:AT$200,"&lt;&gt;-",$D$4:$D$200,"&lt;&gt;是",$E$4:$E$200,"&lt;&gt;封闭期",$H$4:$H$200,"&gt;10",$BN$4:$BN$200,"&gt;-6",$BR$4:$BR$200,"&gt;=70",$K$4:$K$200,"&lt;=30",$C$4:$C$200,"&lt;20190630",AT$4:AT$200,"&gt;="&amp;AT115)/COUNTIFS(AT$4:AT$200,"&lt;&gt;-",$D$4:$D$200,"&lt;&gt;是",$E$4:$E$200,"&lt;&gt;封闭期",$H$4:$H$200,"&gt;10",$BN$4:$BN$200,"&gt;-6",$BR$4:$BR$200,"&gt;=70",$C$4:$C$200,"&lt;20190630",$K$4:$K$200,"&lt;=30"))</f>
        <v>0.74358974358974361</v>
      </c>
      <c r="AY115" s="19">
        <f>[1]!f_risk_calmar(A115,$AM$2,$L$2)</f>
        <v>2.2111124115063974</v>
      </c>
      <c r="AZ115" s="12" t="str">
        <f>IFERROR(RANK(AY115,AY:AY)&amp;"/"&amp;COUNT(AY:AY),"-")</f>
        <v>96/197</v>
      </c>
      <c r="BA115" s="26">
        <f>IFERROR(RANK(AY115,AY:AY)/COUNT(AY:AY),"-")</f>
        <v>0.48730964467005078</v>
      </c>
      <c r="BB115" s="13" t="str">
        <f>IF(OR($C115&gt;20190630,$K115&gt;30,AY115="-",$D115="是",$E115="封闭期",$H115&lt;10,$BN115&lt;-6,$BR115&lt;70),"-",COUNTIFS(AY$4:AY$200,"&lt;&gt;-",$D$4:$D$200,"&lt;&gt;是",$E$4:$E$200,"&lt;&gt;封闭期",$H$4:$H$200,"&gt;10",$BN$4:$BN$200,"&gt;-6",$BR$4:$BR$200,"&gt;=70",$K$4:$K$200,"&lt;=30",$C$4:$C$200,"&lt;20190630",AY$4:AY$200,"&gt;="&amp;AY115)&amp;"/"&amp;COUNTIFS(AY$4:AY$200,"&lt;&gt;-",$D$4:$D$200,"&lt;&gt;是",$E$4:$E$200,"&lt;&gt;封闭期",$H$4:$H$200,"&gt;10",$BN$4:$BN$200,"&gt;-6",$BR$4:$BR$200,"&gt;=70",$C$4:$C$200,"&lt;20190630",$K$4:$K$200,"&lt;=30"))</f>
        <v>29/39</v>
      </c>
      <c r="BC115" s="33">
        <f>IF(OR($C115&gt;20190630,$K115&gt;30,AY115="-",$D115="是",$E115="封闭期",$H115&lt;10,$BN115&lt;-6,$BR115&lt;70),"-",COUNTIFS(AY$4:AY$200,"&lt;&gt;-",$D$4:$D$200,"&lt;&gt;是",$E$4:$E$200,"&lt;&gt;封闭期",$H$4:$H$200,"&gt;10",$BN$4:$BN$200,"&gt;-6",$BR$4:$BR$200,"&gt;=70",$K$4:$K$200,"&lt;=30",$C$4:$C$200,"&lt;20190630",AY$4:AY$200,"&gt;="&amp;AY115)/COUNTIFS(AY$4:AY$200,"&lt;&gt;-",$D$4:$D$200,"&lt;&gt;是",$E$4:$E$200,"&lt;&gt;封闭期",$H$4:$H$200,"&gt;10",$BN$4:$BN$200,"&gt;-6",$BR$4:$BR$200,"&gt;=70",$C$4:$C$200,"&lt;20190630",$K$4:$K$200,"&lt;=30"))</f>
        <v>0.74358974358974361</v>
      </c>
      <c r="BD115" s="20">
        <v>1</v>
      </c>
      <c r="BE115" s="12" t="str">
        <f>IFERROR(RANK(BD115,BD:BD)&amp;"/"&amp;COUNT(BD:BD),"-")</f>
        <v>1/197</v>
      </c>
      <c r="BF115" s="26">
        <f>IFERROR(RANK(BD115,BD:BD)/COUNT(BD:BD),"-")</f>
        <v>5.076142131979695E-3</v>
      </c>
      <c r="BG115" s="13" t="str">
        <f>IF(OR($C115&gt;20190630,$K115&gt;30,BD115="-",$D115="是",$E115="封闭期",$H115&lt;10,$BN115&lt;-6,$BR115&lt;70),"-",COUNTIFS(BD$4:BD$200,"&lt;&gt;-",$D$4:$D$200,"&lt;&gt;是",$E$4:$E$200,"&lt;&gt;封闭期",$H$4:$H$200,"&gt;10",$BN$4:$BN$200,"&gt;-6",$BR$4:$BR$200,"&gt;=70",$K$4:$K$200,"&lt;=30",$C$4:$C$200,"&lt;20190630",BD$4:BD$200,"&gt;="&amp;BD115)&amp;"/"&amp;COUNTIFS(BD$4:BD$200,"&lt;&gt;-",$D$4:$D$200,"&lt;&gt;是",$E$4:$E$200,"&lt;&gt;封闭期",$H$4:$H$200,"&gt;10",$BN$4:$BN$200,"&gt;-6",$BR$4:$BR$200,"&gt;=70",$C$4:$C$200,"&lt;20190630",$K$4:$K$200,"&lt;=30"))</f>
        <v>35/39</v>
      </c>
      <c r="BH115" s="33">
        <f>IF(OR($C115&gt;20190630,$K115&gt;30,BD115="-",$D115="是",$E115="封闭期",$H115&lt;10,$BN115&lt;-6,$BR115&lt;70),"-",COUNTIFS(BD$4:BD$200,"&lt;&gt;-",$D$4:$D$200,"&lt;&gt;是",$E$4:$E$200,"&lt;&gt;封闭期",$H$4:$H$200,"&gt;10",$BN$4:$BN$200,"&gt;-6",$BR$4:$BR$200,"&gt;=70",$K$4:$K$200,"&lt;=30",$C$4:$C$200,"&lt;20190630",BD$4:BD$200,"&gt;="&amp;BD115)/COUNTIFS(BD$4:BD$200,"&lt;&gt;-",$D$4:$D$200,"&lt;&gt;是",$E$4:$E$200,"&lt;&gt;封闭期",$H$4:$H$200,"&gt;10",$BN$4:$BN$200,"&gt;-6",$BR$4:$BR$200,"&gt;=70",$C$4:$C$200,"&lt;20190630",$K$4:$K$200,"&lt;=30"))</f>
        <v>0.89743589743589747</v>
      </c>
      <c r="BI115" s="21">
        <f>[1]!f_risk_maxdownside(A115,$AM$2,$L$2)</f>
        <v>-2.9863481228668896</v>
      </c>
      <c r="BJ115" s="19" t="str">
        <f>IFERROR(RANK(BI115,BI:BI)&amp;"/"&amp;COUNT(BI:BI),"-")</f>
        <v>86/197</v>
      </c>
      <c r="BK115" s="26">
        <f>IFERROR(RANK(BI115,BI:BI)/COUNT(BI:BI),"-")</f>
        <v>0.43654822335025378</v>
      </c>
      <c r="BL115" s="34" t="str">
        <f>IF(OR($C115&gt;20190630,$K115&gt;30,BI115="-",$D115="是",$E115="封闭期",$H115&lt;10,$BN115&lt;-6,$BR115&lt;70),"-",COUNTIFS(BI$4:BI$200,"&lt;&gt;-",$D$4:$D$200,"&lt;&gt;是",$E$4:$E$200,"&lt;&gt;封闭期",$H$4:$H$200,"&gt;10",$BN$4:$BN$200,"&gt;-6",$BR$4:$BR$200,"&gt;=70",$K$4:$K$200,"&lt;=30",$C$4:$C$200,"&lt;20190630",BI$4:BI$200,"&gt;="&amp;BI115)&amp;"/"&amp;COUNTIFS(BI$4:BI$200,"&lt;&gt;-",$D$4:$D$200,"&lt;&gt;是",$E$4:$E$200,"&lt;&gt;封闭期",$H$4:$H$200,"&gt;10",$BN$4:$BN$200,"&gt;-6",$BR$4:$BR$200,"&gt;=70",$C$4:$C$200,"&lt;20190630",$K$4:$K$200,"&lt;=30"))</f>
        <v>19/39</v>
      </c>
      <c r="BM115" s="33">
        <f>IF(OR($C115&gt;20190630,$K115&gt;30,BI115="-",$D115="是",$E115="封闭期",$H115&lt;10,$BN115&lt;-6,$BR115&lt;70),"-",COUNTIFS(BI$4:BI$200,"&lt;&gt;-",$D$4:$D$200,"&lt;&gt;是",$E$4:$E$200,"&lt;&gt;封闭期",$H$4:$H$200,"&gt;10",$BN$4:$BN$200,"&gt;-6",$BR$4:$BR$200,"&gt;=70",$K$4:$K$200,"&lt;=30",$C$4:$C$200,"&lt;20190630",BI$4:BI$200,"&gt;="&amp;BI115)/COUNTIFS(BI$4:BI$200,"&lt;&gt;-",$D$4:$D$200,"&lt;&gt;是",$E$4:$E$200,"&lt;&gt;封闭期",$H$4:$H$200,"&gt;10",$BN$4:$BN$200,"&gt;-6",$BR$4:$BR$200,"&gt;=70",$C$4:$C$200,"&lt;20190630",$K$4:$K$200,"&lt;=30"))</f>
        <v>0.48717948717948717</v>
      </c>
      <c r="BN115" s="21">
        <f>[1]!f_risk_maxdownside(A115,$AM$2,$E$1)</f>
        <v>-2.9863481228668896</v>
      </c>
      <c r="BO115" s="14">
        <f>IF(C115&lt;20190930,[1]!f_return_2y(A115,"0","20210930"),"-")</f>
        <v>16.163231160984619</v>
      </c>
      <c r="BP115" s="12" t="str">
        <f>IFERROR(RANK(BO115,BO:BO)&amp;"/"&amp;COUNT(BO:BO),"-")</f>
        <v>76/197</v>
      </c>
      <c r="BQ115" s="25">
        <f>IFERROR(RANK(BO115,BO:BO)/COUNT(BO:BO),"-")</f>
        <v>0.38578680203045684</v>
      </c>
      <c r="BR115" s="12">
        <f>IF(C115&lt;20190930,[1]!f_absolute_profitmonthper(A115,"20190930","20210930"),"-")</f>
        <v>75</v>
      </c>
      <c r="BS115" s="12" t="str">
        <f>IFERROR(RANK(BR115,BR:BR)&amp;"/"&amp;COUNT(BR:BR),"-")</f>
        <v>26/198</v>
      </c>
      <c r="BT115" s="25">
        <f>IFERROR(RANK(BR115,BR:BR)/COUNT(BR:BR),"-")</f>
        <v>0.13131313131313133</v>
      </c>
      <c r="BV115" s="12">
        <f>X115-3/M115</f>
        <v>3.2533770164368008</v>
      </c>
      <c r="BW115" s="76">
        <f>IFERROR(RANK(BV115,BV:BV)/COUNT(BV:BV),"-")</f>
        <v>0.18781725888324874</v>
      </c>
      <c r="BX115" s="76">
        <f>IFERROR(RANK(L115,L:L)/COUNT(L:L),"-")</f>
        <v>0.21717171717171718</v>
      </c>
      <c r="BY115" s="12">
        <f>AY115-3/AN115</f>
        <v>1.5839340246392304</v>
      </c>
      <c r="BZ115" s="76">
        <f>IFERROR(RANK(BY115,BY:BY)/COUNT(BY:BY),"-")</f>
        <v>0.5025380710659898</v>
      </c>
      <c r="CA115" s="76">
        <f>IFERROR(RANK(AM115,AM:AM)/COUNT(AM:AM),"-")</f>
        <v>0.57070707070707072</v>
      </c>
      <c r="CB115" s="2"/>
      <c r="CC115" s="77">
        <f>AV115+BF115+BZ115+CA115</f>
        <v>1.6620776290827053</v>
      </c>
      <c r="CD115" s="77">
        <f>BW115+BX115+AE115+U115</f>
        <v>0.61311080346613345</v>
      </c>
      <c r="CE115" s="77">
        <f>CC115+CD115</f>
        <v>2.2751884325488385</v>
      </c>
    </row>
    <row r="116" spans="1:83" s="17" customFormat="1" hidden="1" x14ac:dyDescent="0.35">
      <c r="A116" s="15" t="s">
        <v>151</v>
      </c>
      <c r="B116" s="15" t="s">
        <v>152</v>
      </c>
      <c r="C116" s="16">
        <v>20130813</v>
      </c>
      <c r="D116" s="16" t="str">
        <f>[1]!f_info_regulopenfundornot(A116)</f>
        <v>否</v>
      </c>
      <c r="E116" s="16" t="str">
        <f>[1]!f_dq_status(A116,$E$1)</f>
        <v>开放申购|开放赎回</v>
      </c>
      <c r="F116" s="17" t="str">
        <f>[1]!f_info_fundmanager(A116)</f>
        <v>唐赟</v>
      </c>
      <c r="G116" s="16">
        <v>20200714</v>
      </c>
      <c r="H116" s="18">
        <f>[1]!f_netasset_total(A116,$E$1,100000000)</f>
        <v>0.13334792980000001</v>
      </c>
      <c r="I116" s="18">
        <f>[1]!f_prt_convertiblebondtonav(A116,$E$1)</f>
        <v>1.0503349825739861E-2</v>
      </c>
      <c r="J116" s="18">
        <f>[1]!f_prt_stocktonav(A116,$E$1)+0.5*I116</f>
        <v>11.215414791367948</v>
      </c>
      <c r="K116" s="19">
        <v>0</v>
      </c>
      <c r="L116" s="19">
        <f>[1]!f_return($A116,"1",L$2,$E$1)</f>
        <v>2.4617630604753415</v>
      </c>
      <c r="M116" s="19">
        <f>[1]!f_risk_stdevyearly($A116,L$2,$E$1,1,1)</f>
        <v>4.5301789744143548</v>
      </c>
      <c r="N116" s="19">
        <f>IFERROR(L116/M116,"-")</f>
        <v>0.54341408460437024</v>
      </c>
      <c r="O116" s="19" t="str">
        <f>IFERROR(RANK(N116,N:N)&amp;"/"&amp;COUNT(N:N),"-")</f>
        <v>172/197</v>
      </c>
      <c r="P116" s="26">
        <f>IF(O116="-","-",RANK(N116,N:N)/COUNT(N:N))</f>
        <v>0.87309644670050757</v>
      </c>
      <c r="Q116" s="56">
        <v>0.86802030456852797</v>
      </c>
      <c r="R116" s="33" t="str">
        <f>IF(OR($C116&gt;20190630,$K116&gt;30,N116="-",$D116="是",$E116="封闭期",$H116&lt;10,$BN116&lt;-6,$BR116&lt;70),"-",COUNTIFS(N$4:N$200,"&lt;&gt;-",$D$4:$D$200,"&lt;&gt;是",$E$4:$E$200,"&lt;&gt;封闭期",$H$4:$H$200,"&gt;10",$BN$4:$BN$200,"&gt;-6",$BR$4:$BR$200,"&gt;=70",$K$4:$K$200,"&lt;=30",$C$4:$C$200,"&lt;20190630",N$4:N$200,"&gt;="&amp;N116)/COUNTIFS(N$4:N$200,"&lt;&gt;-",$D$4:$D$200,"&lt;&gt;是",$E$4:$E$200,"&lt;&gt;封闭期",$H$4:$H$200,"&gt;10",$BN$4:$BN$200,"&gt;-6",$BR$4:$BR$200,"&gt;=70",$C$4:$C$200,"&lt;20190630",$K$4:$K$200,"&lt;=30"))</f>
        <v>-</v>
      </c>
      <c r="S116" s="19">
        <f>IFERROR((L116-3)/M116,"-")</f>
        <v>-0.11881140735598417</v>
      </c>
      <c r="T116" s="19" t="str">
        <f>IFERROR(RANK(S116,S:S)&amp;"/"&amp;COUNT(S:S),"-")</f>
        <v>170/197</v>
      </c>
      <c r="U116" s="26">
        <f>IFERROR(RANK(S116,S:S)/COUNT(S:S),"-")</f>
        <v>0.86294416243654826</v>
      </c>
      <c r="V116" s="34" t="str">
        <f>IF(OR($C116&gt;20190630,$K116&gt;30,S116="-",$D116="是",$E116="封闭期",$H116&lt;10,$BN116&lt;-6,$BR116&lt;70),"-",COUNTIFS(S$4:S$200,"&lt;&gt;-",$D$4:$D$200,"&lt;&gt;是",$E$4:$E$200,"&lt;&gt;封闭期",$H$4:$H$200,"&gt;10",$BN$4:$BN$200,"&gt;-6",$BR$4:$BR$200,"&gt;=70",$K$4:$K$200,"&lt;=30",$C$4:$C$200,"&lt;20190630",S$4:S$200,"&gt;="&amp;S116)&amp;"/"&amp;COUNTIFS(S$4:S$200,"&lt;&gt;-",$D$4:$D$200,"&lt;&gt;是",$E$4:$E$200,"&lt;&gt;封闭期",$H$4:$H$200,"&gt;10",$BN$4:$BN$200,"&gt;-6",$BR$4:$BR$200,"&gt;=70",$C$4:$C$200,"&lt;20190630",$K$4:$K$200,"&lt;=30"))</f>
        <v>-</v>
      </c>
      <c r="W116" s="33" t="str">
        <f>IF(OR($C116&gt;20190630,$K116&gt;30,S116="-",$D116="是",$E116="封闭期",$H116&lt;10,$BN116&lt;-6,$BR116&lt;70),"-",COUNTIFS(S$4:S$200,"&lt;&gt;-",$D$4:$D$200,"&lt;&gt;是",$E$4:$E$200,"&lt;&gt;封闭期",$H$4:$H$200,"&gt;10",$BN$4:$BN$200,"&gt;-6",$BR$4:$BR$200,"&gt;=70",$K$4:$K$200,"&lt;=30",$C$4:$C$200,"&lt;20190630",S$4:S$200,"&gt;="&amp;S116)/COUNTIFS(S$4:S$200,"&lt;&gt;-",$D$4:$D$200,"&lt;&gt;是",$E$4:$E$200,"&lt;&gt;封闭期",$H$4:$H$200,"&gt;10",$BN$4:$BN$200,"&gt;-6",$BR$4:$BR$200,"&gt;=70",$C$4:$C$200,"&lt;20190630",$K$4:$K$200,"&lt;=30"))</f>
        <v>-</v>
      </c>
      <c r="X116" s="19">
        <f>[1]!f_risk_calmar(A116,$L$2,$E$1)</f>
        <v>0.53520197690904936</v>
      </c>
      <c r="Y116" s="19" t="str">
        <f>IFERROR(RANK(X116,X:X)&amp;"/"&amp;COUNT(X:X),"-")</f>
        <v>176/197</v>
      </c>
      <c r="Z116" s="26">
        <f>IFERROR(RANK(X116,X:X)/COUNT(X:X),"-")</f>
        <v>0.89340101522842641</v>
      </c>
      <c r="AA116" s="34" t="str">
        <f>IF(OR($C116&gt;20190630,$K116&gt;30,X116="-",$D116="是",$E116="封闭期",$H116&lt;10,$BN116&lt;-6,$BR116&lt;70),"-",COUNTIFS(X$4:X$200,"&lt;&gt;-",$D$4:$D$200,"&lt;&gt;是",$E$4:$E$200,"&lt;&gt;封闭期",$H$4:$H$200,"&gt;10",$BN$4:$BN$200,"&gt;-6",$BR$4:$BR$200,"&gt;=70",$K$4:$K$200,"&lt;=30",$C$4:$C$200,"&lt;20190630",X$4:X$200,"&gt;="&amp;X116)&amp;"/"&amp;COUNTIFS(X$4:X$200,"&lt;&gt;-",$D$4:$D$200,"&lt;&gt;是",$E$4:$E$200,"&lt;&gt;封闭期",$H$4:$H$200,"&gt;10",$BN$4:$BN$200,"&gt;-6",$BR$4:$BR$200,"&gt;=70",$C$4:$C$200,"&lt;20190630",$K$4:$K$200,"&lt;=30"))</f>
        <v>-</v>
      </c>
      <c r="AB116" s="33" t="str">
        <f>IF(OR($C116&gt;20190630,$K116&gt;30,X116="-",$D116="是",$E116="封闭期",$H116&lt;10,$BN116&lt;-6,$BR116&lt;70),"-",COUNTIFS(X$4:X$200,"&lt;&gt;-",$D$4:$D$200,"&lt;&gt;是",$E$4:$E$200,"&lt;&gt;封闭期",$H$4:$H$200,"&gt;10",$BN$4:$BN$200,"&gt;-6",$BR$4:$BR$200,"&gt;=70",$K$4:$K$200,"&lt;=30",$C$4:$C$200,"&lt;20190630",X$4:X$200,"&gt;="&amp;X116)/COUNTIFS(X$4:X$200,"&lt;&gt;-",$D$4:$D$200,"&lt;&gt;是",$E$4:$E$200,"&lt;&gt;封闭期",$H$4:$H$200,"&gt;10",$BN$4:$BN$200,"&gt;-6",$BR$4:$BR$200,"&gt;=70",$C$4:$C$200,"&lt;20190630",$K$4:$K$200,"&lt;=30"))</f>
        <v>-</v>
      </c>
      <c r="AC116" s="20">
        <v>0.69747899159663862</v>
      </c>
      <c r="AD116" s="19" t="str">
        <f>IFERROR(RANK(AC116,AC:AC)&amp;"/"&amp;COUNT(AC:AC),"-")</f>
        <v>168/197</v>
      </c>
      <c r="AE116" s="26">
        <f>IFERROR(RANK(AC116,AC:AC)/COUNT(AC:AC),"-")</f>
        <v>0.85279187817258884</v>
      </c>
      <c r="AF116" s="34" t="str">
        <f>IF(OR($C116&gt;20190630,$K116&gt;30,AC116="-",$D116="是",$E116="封闭期",$H116&lt;10,$BN116&lt;-6,$BR116&lt;70),"-",COUNTIFS(AC$4:AC$200,"&lt;&gt;-",$D$4:$D$200,"&lt;&gt;是",$E$4:$E$200,"&lt;&gt;封闭期",$H$4:$H$200,"&gt;10",$BN$4:$BN$200,"&gt;-6",$BR$4:$BR$200,"&gt;=70",$K$4:$K$200,"&lt;=30",$C$4:$C$200,"&lt;20190630",AC$4:AC$200,"&gt;="&amp;AC116)&amp;"/"&amp;COUNTIFS(AC$4:AC$200,"&lt;&gt;-",$D$4:$D$200,"&lt;&gt;是",$E$4:$E$200,"&lt;&gt;封闭期",$H$4:$H$200,"&gt;10",$BN$4:$BN$200,"&gt;-6",$BR$4:$BR$200,"&gt;=70",$C$4:$C$200,"&lt;20190630",$K$4:$K$200,"&lt;=30"))</f>
        <v>-</v>
      </c>
      <c r="AG116" s="33" t="str">
        <f>IF(OR($C116&gt;20190630,$K116&gt;30,AC116="-",$D116="是",$E116="封闭期",$H116&lt;10,$BN116&lt;-6,$BR116&lt;70),"-",COUNTIFS(AC$4:AC$200,"&lt;&gt;-",$D$4:$D$200,"&lt;&gt;是",$E$4:$E$200,"&lt;&gt;封闭期",$H$4:$H$200,"&gt;10",$BN$4:$BN$200,"&gt;-6",$BR$4:$BR$200,"&gt;=70",$K$4:$K$200,"&lt;=30",$C$4:$C$200,"&lt;20190630",AC$4:AC$200,"&gt;="&amp;AC116)/COUNTIFS(AC$4:AC$200,"&lt;&gt;-",$D$4:$D$200,"&lt;&gt;是",$E$4:$E$200,"&lt;&gt;封闭期",$H$4:$H$200,"&gt;10",$BN$4:$BN$200,"&gt;-6",$BR$4:$BR$200,"&gt;=70",$C$4:$C$200,"&lt;20190630",$K$4:$K$200,"&lt;=30"))</f>
        <v>-</v>
      </c>
      <c r="AH116" s="21">
        <f>[1]!f_risk_maxdownside(A116,$L$2,$E$1)</f>
        <v>-4.5996897744899146</v>
      </c>
      <c r="AI116" s="19" t="str">
        <f>IFERROR(RANK(AH116,AH:AH)&amp;"/"&amp;COUNT(AH:AH),"-")</f>
        <v>145/197</v>
      </c>
      <c r="AJ116" s="26">
        <f>IFERROR(RANK(AH116,AH:AH)/COUNT(AH:AH),"-")</f>
        <v>0.73604060913705582</v>
      </c>
      <c r="AK116" s="34" t="str">
        <f>IF(OR($C116&gt;20190630,$K116&gt;30,AH116="-",$D116="是",$E116="封闭期",$H116&lt;10,$BN116&lt;-6,$BR116&lt;70),"-",COUNTIFS(AH$4:AH$200,"&lt;&gt;-",$D$4:$D$200,"&lt;&gt;是",$E$4:$E$200,"&lt;&gt;封闭期",$H$4:$H$200,"&gt;10",$BN$4:$BN$200,"&gt;-6",$BR$4:$BR$200,"&gt;=70",$K$4:$K$200,"&lt;=30",$C$4:$C$200,"&lt;20190630",AH$4:AH$200,"&gt;="&amp;AH116)&amp;"/"&amp;COUNTIFS(AH$4:AH$200,"&lt;&gt;-",$D$4:$D$200,"&lt;&gt;是",$E$4:$E$200,"&lt;&gt;封闭期",$H$4:$H$200,"&gt;10",$BN$4:$BN$200,"&gt;-6",$BR$4:$BR$200,"&gt;=70",$C$4:$C$200,"&lt;20190630",$K$4:$K$200,"&lt;=30"))</f>
        <v>-</v>
      </c>
      <c r="AL116" s="33" t="str">
        <f>IF(OR($C116&gt;20190630,$K116&gt;30,AH116="-",$D116="是",$E116="封闭期",$H116&lt;10,$BN116&lt;-6,$BR116&lt;70),"-",COUNTIFS(AH$4:AH$200,"&lt;&gt;-",$D$4:$D$200,"&lt;&gt;是",$E$4:$E$200,"&lt;&gt;封闭期",$H$4:$H$200,"&gt;10",$BN$4:$BN$200,"&gt;-6",$BR$4:$BR$200,"&gt;=70",$K$4:$K$200,"&lt;=30",$C$4:$C$200,"&lt;20190630",AH$4:AH$200,"&gt;="&amp;AH116)/COUNTIFS(AH$4:AH$200,"&lt;&gt;-",$D$4:$D$200,"&lt;&gt;是",$E$4:$E$200,"&lt;&gt;封闭期",$H$4:$H$200,"&gt;10",$BN$4:$BN$200,"&gt;-6",$BR$4:$BR$200,"&gt;=70",$C$4:$C$200,"&lt;20190630",$K$4:$K$200,"&lt;=30"))</f>
        <v>-</v>
      </c>
      <c r="AM116" s="19">
        <f>[1]!f_return($A116,"1",AM$2,$L$2)</f>
        <v>6.6024318401755488</v>
      </c>
      <c r="AN116" s="19">
        <f>[1]!f_risk_stdevyearly($A116,AM$2,$L$2,1,1)</f>
        <v>3.2528413981387589</v>
      </c>
      <c r="AO116" s="19">
        <f>IFERROR(AM116/AN116,"-")</f>
        <v>2.0297429330410606</v>
      </c>
      <c r="AP116" s="19" t="str">
        <f>IFERROR(RANK(AO116,AO:AO)&amp;"/"&amp;COUNT(AO:AO),"-")</f>
        <v>44/197</v>
      </c>
      <c r="AQ116" s="26">
        <f>IF(AP116="-","-",RANK(AO116,AO:AO)/COUNT(AO:AO))</f>
        <v>0.2233502538071066</v>
      </c>
      <c r="AR116" s="57">
        <v>0.57360406091370564</v>
      </c>
      <c r="AS116" s="33" t="str">
        <f>IF(OR($C116&gt;20190630,$K116&gt;30,AO116="-",$D116="是",$E116="封闭期",$H116&lt;10,$BN116&lt;-6,$BR116&lt;70),"-",COUNTIFS(AO$4:AO$200,"&lt;&gt;-",$D$4:$D$200,"&lt;&gt;是",$E$4:$E$200,"&lt;&gt;封闭期",$H$4:$H$200,"&gt;10",$BN$4:$BN$200,"&gt;-6",$BR$4:$BR$200,"&gt;=70",$K$4:$K$200,"&lt;=30",$C$4:$C$200,"&lt;20190630",AO$4:AO$200,"&gt;="&amp;AO116)/COUNTIFS(AO$4:AO$200,"&lt;&gt;-",$D$4:$D$200,"&lt;&gt;是",$E$4:$E$200,"&lt;&gt;封闭期",$H$4:$H$200,"&gt;10",$BN$4:$BN$200,"&gt;-6",$BR$4:$BR$200,"&gt;=70",$C$4:$C$200,"&lt;20190630",$K$4:$K$200,"&lt;=30"))</f>
        <v>-</v>
      </c>
      <c r="AT116" s="19">
        <f>IFERROR((AM116-3)/AN116,"-")</f>
        <v>1.1074723293416093</v>
      </c>
      <c r="AU116" s="19" t="str">
        <f>IFERROR(RANK(AT116,AT:AT)&amp;"/"&amp;COUNT(AT:AT),"-")</f>
        <v>70/197</v>
      </c>
      <c r="AV116" s="26">
        <f>IFERROR(RANK(AT116,AT:AT)/COUNT(AT:AT),"-")</f>
        <v>0.35532994923857869</v>
      </c>
      <c r="AW116" s="34" t="str">
        <f>IF(OR($C116&gt;20190630,$K116&gt;30,AT116="-",$D116="是",$E116="封闭期",$H116&lt;10,$BN116&lt;-6,$BR116&lt;70),"-",COUNTIFS(AT$4:AT$200,"&lt;&gt;-",$D$4:$D$200,"&lt;&gt;是",$E$4:$E$200,"&lt;&gt;封闭期",$H$4:$H$200,"&gt;10",$BN$4:$BN$200,"&gt;-6",$BR$4:$BR$200,"&gt;=70",$K$4:$K$200,"&lt;=30",$C$4:$C$200,"&lt;20190630",AT$4:AT$200,"&gt;="&amp;AT116)&amp;"/"&amp;COUNTIFS(AT$4:AT$200,"&lt;&gt;-",$D$4:$D$200,"&lt;&gt;是",$E$4:$E$200,"&lt;&gt;封闭期",$H$4:$H$200,"&gt;10",$BN$4:$BN$200,"&gt;-6",$BR$4:$BR$200,"&gt;=70",$C$4:$C$200,"&lt;20190630",$K$4:$K$200,"&lt;=30"))</f>
        <v>-</v>
      </c>
      <c r="AX116" s="33" t="str">
        <f>IF(OR($C116&gt;20190630,$K116&gt;30,AT116="-",$D116="是",$E116="封闭期",$H116&lt;10,$BN116&lt;-6,$BR116&lt;70),"-",COUNTIFS(AT$4:AT$200,"&lt;&gt;-",$D$4:$D$200,"&lt;&gt;是",$E$4:$E$200,"&lt;&gt;封闭期",$H$4:$H$200,"&gt;10",$BN$4:$BN$200,"&gt;-6",$BR$4:$BR$200,"&gt;=70",$K$4:$K$200,"&lt;=30",$C$4:$C$200,"&lt;20190630",AT$4:AT$200,"&gt;="&amp;AT116)/COUNTIFS(AT$4:AT$200,"&lt;&gt;-",$D$4:$D$200,"&lt;&gt;是",$E$4:$E$200,"&lt;&gt;封闭期",$H$4:$H$200,"&gt;10",$BN$4:$BN$200,"&gt;-6",$BR$4:$BR$200,"&gt;=70",$C$4:$C$200,"&lt;20190630",$K$4:$K$200,"&lt;=30"))</f>
        <v>-</v>
      </c>
      <c r="AY116" s="19">
        <f>[1]!f_risk_calmar(A116,$AM$2,$L$2)</f>
        <v>3.206244002627002</v>
      </c>
      <c r="AZ116" s="19" t="str">
        <f>IFERROR(RANK(AY116,AY:AY)&amp;"/"&amp;COUNT(AY:AY),"-")</f>
        <v>39/197</v>
      </c>
      <c r="BA116" s="26">
        <f>IFERROR(RANK(AY116,AY:AY)/COUNT(AY:AY),"-")</f>
        <v>0.19796954314720813</v>
      </c>
      <c r="BB116" s="34" t="str">
        <f>IF(OR($C116&gt;20190630,$K116&gt;30,AY116="-",$D116="是",$E116="封闭期",$H116&lt;10,$BN116&lt;-6,$BR116&lt;70),"-",COUNTIFS(AY$4:AY$200,"&lt;&gt;-",$D$4:$D$200,"&lt;&gt;是",$E$4:$E$200,"&lt;&gt;封闭期",$H$4:$H$200,"&gt;10",$BN$4:$BN$200,"&gt;-6",$BR$4:$BR$200,"&gt;=70",$K$4:$K$200,"&lt;=30",$C$4:$C$200,"&lt;20190630",AY$4:AY$200,"&gt;="&amp;AY116)&amp;"/"&amp;COUNTIFS(AY$4:AY$200,"&lt;&gt;-",$D$4:$D$200,"&lt;&gt;是",$E$4:$E$200,"&lt;&gt;封闭期",$H$4:$H$200,"&gt;10",$BN$4:$BN$200,"&gt;-6",$BR$4:$BR$200,"&gt;=70",$C$4:$C$200,"&lt;20190630",$K$4:$K$200,"&lt;=30"))</f>
        <v>-</v>
      </c>
      <c r="BC116" s="33" t="str">
        <f>IF(OR($C116&gt;20190630,$K116&gt;30,AY116="-",$D116="是",$E116="封闭期",$H116&lt;10,$BN116&lt;-6,$BR116&lt;70),"-",COUNTIFS(AY$4:AY$200,"&lt;&gt;-",$D$4:$D$200,"&lt;&gt;是",$E$4:$E$200,"&lt;&gt;封闭期",$H$4:$H$200,"&gt;10",$BN$4:$BN$200,"&gt;-6",$BR$4:$BR$200,"&gt;=70",$K$4:$K$200,"&lt;=30",$C$4:$C$200,"&lt;20190630",AY$4:AY$200,"&gt;="&amp;AY116)/COUNTIFS(AY$4:AY$200,"&lt;&gt;-",$D$4:$D$200,"&lt;&gt;是",$E$4:$E$200,"&lt;&gt;封闭期",$H$4:$H$200,"&gt;10",$BN$4:$BN$200,"&gt;-6",$BR$4:$BR$200,"&gt;=70",$C$4:$C$200,"&lt;20190630",$K$4:$K$200,"&lt;=30"))</f>
        <v>-</v>
      </c>
      <c r="BD116" s="20">
        <v>1</v>
      </c>
      <c r="BE116" s="19" t="str">
        <f>IFERROR(RANK(BD116,BD:BD)&amp;"/"&amp;COUNT(BD:BD),"-")</f>
        <v>1/197</v>
      </c>
      <c r="BF116" s="26">
        <f>IFERROR(RANK(BD116,BD:BD)/COUNT(BD:BD),"-")</f>
        <v>5.076142131979695E-3</v>
      </c>
      <c r="BG116" s="34" t="str">
        <f>IF(OR($C116&gt;20190630,$K116&gt;30,BD116="-",$D116="是",$E116="封闭期",$H116&lt;10,$BN116&lt;-6,$BR116&lt;70),"-",COUNTIFS(BD$4:BD$200,"&lt;&gt;-",$D$4:$D$200,"&lt;&gt;是",$E$4:$E$200,"&lt;&gt;封闭期",$H$4:$H$200,"&gt;10",$BN$4:$BN$200,"&gt;-6",$BR$4:$BR$200,"&gt;=70",$K$4:$K$200,"&lt;=30",$C$4:$C$200,"&lt;20190630",BD$4:BD$200,"&gt;="&amp;BD116)&amp;"/"&amp;COUNTIFS(BD$4:BD$200,"&lt;&gt;-",$D$4:$D$200,"&lt;&gt;是",$E$4:$E$200,"&lt;&gt;封闭期",$H$4:$H$200,"&gt;10",$BN$4:$BN$200,"&gt;-6",$BR$4:$BR$200,"&gt;=70",$C$4:$C$200,"&lt;20190630",$K$4:$K$200,"&lt;=30"))</f>
        <v>-</v>
      </c>
      <c r="BH116" s="33" t="str">
        <f>IF(OR($C116&gt;20190630,$K116&gt;30,BD116="-",$D116="是",$E116="封闭期",$H116&lt;10,$BN116&lt;-6,$BR116&lt;70),"-",COUNTIFS(BD$4:BD$200,"&lt;&gt;-",$D$4:$D$200,"&lt;&gt;是",$E$4:$E$200,"&lt;&gt;封闭期",$H$4:$H$200,"&gt;10",$BN$4:$BN$200,"&gt;-6",$BR$4:$BR$200,"&gt;=70",$K$4:$K$200,"&lt;=30",$C$4:$C$200,"&lt;20190630",BD$4:BD$200,"&gt;="&amp;BD116)/COUNTIFS(BD$4:BD$200,"&lt;&gt;-",$D$4:$D$200,"&lt;&gt;是",$E$4:$E$200,"&lt;&gt;封闭期",$H$4:$H$200,"&gt;10",$BN$4:$BN$200,"&gt;-6",$BR$4:$BR$200,"&gt;=70",$C$4:$C$200,"&lt;20190630",$K$4:$K$200,"&lt;=30"))</f>
        <v>-</v>
      </c>
      <c r="BI116" s="21">
        <f>[1]!f_risk_maxdownside(A116,$AM$2,$L$2)</f>
        <v>-2.0592418526992695</v>
      </c>
      <c r="BJ116" s="19" t="str">
        <f>IFERROR(RANK(BI116,BI:BI)&amp;"/"&amp;COUNT(BI:BI),"-")</f>
        <v>37/197</v>
      </c>
      <c r="BK116" s="26">
        <f>IFERROR(RANK(BI116,BI:BI)/COUNT(BI:BI),"-")</f>
        <v>0.18781725888324874</v>
      </c>
      <c r="BL116" s="34" t="str">
        <f>IF(OR($C116&gt;20190630,$K116&gt;30,BI116="-",$D116="是",$E116="封闭期",$H116&lt;10,$BN116&lt;-6,$BR116&lt;70),"-",COUNTIFS(BI$4:BI$200,"&lt;&gt;-",$D$4:$D$200,"&lt;&gt;是",$E$4:$E$200,"&lt;&gt;封闭期",$H$4:$H$200,"&gt;10",$BN$4:$BN$200,"&gt;-6",$BR$4:$BR$200,"&gt;=70",$K$4:$K$200,"&lt;=30",$C$4:$C$200,"&lt;20190630",BI$4:BI$200,"&gt;="&amp;BI116)&amp;"/"&amp;COUNTIFS(BI$4:BI$200,"&lt;&gt;-",$D$4:$D$200,"&lt;&gt;是",$E$4:$E$200,"&lt;&gt;封闭期",$H$4:$H$200,"&gt;10",$BN$4:$BN$200,"&gt;-6",$BR$4:$BR$200,"&gt;=70",$C$4:$C$200,"&lt;20190630",$K$4:$K$200,"&lt;=30"))</f>
        <v>-</v>
      </c>
      <c r="BM116" s="33" t="str">
        <f>IF(OR($C116&gt;20190630,$K116&gt;30,BI116="-",$D116="是",$E116="封闭期",$H116&lt;10,$BN116&lt;-6,$BR116&lt;70),"-",COUNTIFS(BI$4:BI$200,"&lt;&gt;-",$D$4:$D$200,"&lt;&gt;是",$E$4:$E$200,"&lt;&gt;封闭期",$H$4:$H$200,"&gt;10",$BN$4:$BN$200,"&gt;-6",$BR$4:$BR$200,"&gt;=70",$K$4:$K$200,"&lt;=30",$C$4:$C$200,"&lt;20190630",BI$4:BI$200,"&gt;="&amp;BI116)/COUNTIFS(BI$4:BI$200,"&lt;&gt;-",$D$4:$D$200,"&lt;&gt;是",$E$4:$E$200,"&lt;&gt;封闭期",$H$4:$H$200,"&gt;10",$BN$4:$BN$200,"&gt;-6",$BR$4:$BR$200,"&gt;=70",$C$4:$C$200,"&lt;20190630",$K$4:$K$200,"&lt;=30"))</f>
        <v>-</v>
      </c>
      <c r="BN116" s="21">
        <f>[1]!f_risk_maxdownside(A116,$AM$2,$E$1)</f>
        <v>-4.5996897744899146</v>
      </c>
      <c r="BO116" s="21">
        <f>IF(C116&lt;20190930,[1]!f_return_2y(A116,"0","20210930"),"-")</f>
        <v>9.07258064516129</v>
      </c>
      <c r="BP116" s="19" t="str">
        <f>IFERROR(RANK(BO116,BO:BO)&amp;"/"&amp;COUNT(BO:BO),"-")</f>
        <v>153/197</v>
      </c>
      <c r="BQ116" s="25">
        <f>IFERROR(RANK(BO116,BO:BO)/COUNT(BO:BO),"-")</f>
        <v>0.7766497461928934</v>
      </c>
      <c r="BR116" s="19">
        <f>IF(C116&lt;20190930,[1]!f_absolute_profitmonthper(A116,"20190930","20210930"),"-")</f>
        <v>58.333333333333336</v>
      </c>
      <c r="BS116" s="19" t="str">
        <f>IFERROR(RANK(BR116,BR:BR)&amp;"/"&amp;COUNT(BR:BR),"-")</f>
        <v>165/198</v>
      </c>
      <c r="BT116" s="25">
        <f>IFERROR(RANK(BR116,BR:BR)/COUNT(BR:BR),"-")</f>
        <v>0.83333333333333337</v>
      </c>
      <c r="BV116" s="12">
        <f>X116-3/M116</f>
        <v>-0.12702351505130505</v>
      </c>
      <c r="BW116" s="76">
        <f>IFERROR(RANK(BV116,BV:BV)/COUNT(BV:BV),"-")</f>
        <v>0.87309644670050757</v>
      </c>
      <c r="BX116" s="76">
        <f>IFERROR(RANK(L116,L:L)/COUNT(L:L),"-")</f>
        <v>0.86868686868686873</v>
      </c>
      <c r="BY116" s="12">
        <f>AY116-3/AN116</f>
        <v>2.283973398927551</v>
      </c>
      <c r="BZ116" s="76">
        <f>IFERROR(RANK(BY116,BY:BY)/COUNT(BY:BY),"-")</f>
        <v>0.233502538071066</v>
      </c>
      <c r="CA116" s="76">
        <f>IFERROR(RANK(AM116,AM:AM)/COUNT(AM:AM),"-")</f>
        <v>0.5757575757575758</v>
      </c>
      <c r="CB116" s="2"/>
      <c r="CC116" s="77">
        <f>AV116+BF116+BZ116+CA116</f>
        <v>1.1696662051992002</v>
      </c>
      <c r="CD116" s="77">
        <f>BW116+BX116+AE116+U116</f>
        <v>3.4575193559965136</v>
      </c>
      <c r="CE116" s="77">
        <f>CC116+CD116</f>
        <v>4.6271855611957138</v>
      </c>
    </row>
    <row r="117" spans="1:83" s="17" customFormat="1" hidden="1" x14ac:dyDescent="0.35">
      <c r="A117" s="15" t="s">
        <v>45</v>
      </c>
      <c r="B117" s="15" t="s">
        <v>46</v>
      </c>
      <c r="C117" s="16">
        <v>20081024</v>
      </c>
      <c r="D117" s="16" t="str">
        <f>[1]!f_info_regulopenfundornot(A117)</f>
        <v>否</v>
      </c>
      <c r="E117" s="16" t="str">
        <f>[1]!f_dq_status(A117,$E$1)</f>
        <v>开放申购|开放赎回</v>
      </c>
      <c r="F117" s="17" t="str">
        <f>[1]!f_info_fundmanager(A117)</f>
        <v>刘怡敏</v>
      </c>
      <c r="G117" s="16">
        <v>20081024</v>
      </c>
      <c r="H117" s="18">
        <f>[1]!f_netasset_total(A117,$E$1,100000000)</f>
        <v>7.1096605572000007</v>
      </c>
      <c r="I117" s="18">
        <f>[1]!f_prt_convertiblebondtonav(A117,$E$1)</f>
        <v>20.229297637939453</v>
      </c>
      <c r="J117" s="18">
        <f>[1]!f_prt_stocktonav(A117,$E$1)+0.5*I117</f>
        <v>25.067219734191895</v>
      </c>
      <c r="K117" s="19">
        <v>0</v>
      </c>
      <c r="L117" s="19">
        <f>[1]!f_return($A117,"1",L$2,$E$1)</f>
        <v>6.6739628055318967</v>
      </c>
      <c r="M117" s="19">
        <f>[1]!f_risk_stdevyearly($A117,L$2,$E$1,1,1)</f>
        <v>2.7071626610106021</v>
      </c>
      <c r="N117" s="19">
        <f>IFERROR(L117/M117,"-")</f>
        <v>2.4652980412490106</v>
      </c>
      <c r="O117" s="19" t="str">
        <f>IFERROR(RANK(N117,N:N)&amp;"/"&amp;COUNT(N:N),"-")</f>
        <v>31/197</v>
      </c>
      <c r="P117" s="26">
        <f>IF(O117="-","-",RANK(N117,N:N)/COUNT(N:N))</f>
        <v>0.15736040609137056</v>
      </c>
      <c r="Q117" s="56">
        <v>0.39593908629441626</v>
      </c>
      <c r="R117" s="33" t="str">
        <f>IF(OR($C117&gt;20190630,$K117&gt;30,N117="-",$D117="是",$E117="封闭期",$H117&lt;10,$BN117&lt;-6,$BR117&lt;70),"-",COUNTIFS(N$4:N$200,"&lt;&gt;-",$D$4:$D$200,"&lt;&gt;是",$E$4:$E$200,"&lt;&gt;封闭期",$H$4:$H$200,"&gt;10",$BN$4:$BN$200,"&gt;-6",$BR$4:$BR$200,"&gt;=70",$K$4:$K$200,"&lt;=30",$C$4:$C$200,"&lt;20190630",N$4:N$200,"&gt;="&amp;N117)/COUNTIFS(N$4:N$200,"&lt;&gt;-",$D$4:$D$200,"&lt;&gt;是",$E$4:$E$200,"&lt;&gt;封闭期",$H$4:$H$200,"&gt;10",$BN$4:$BN$200,"&gt;-6",$BR$4:$BR$200,"&gt;=70",$C$4:$C$200,"&lt;20190630",$K$4:$K$200,"&lt;=30"))</f>
        <v>-</v>
      </c>
      <c r="S117" s="19">
        <f>IFERROR((L117-3)/M117,"-")</f>
        <v>1.3571267284546475</v>
      </c>
      <c r="T117" s="19" t="str">
        <f>IFERROR(RANK(S117,S:S)&amp;"/"&amp;COUNT(S:S),"-")</f>
        <v>39/197</v>
      </c>
      <c r="U117" s="26">
        <f>IFERROR(RANK(S117,S:S)/COUNT(S:S),"-")</f>
        <v>0.19796954314720813</v>
      </c>
      <c r="V117" s="34" t="str">
        <f>IF(OR($C117&gt;20190630,$K117&gt;30,S117="-",$D117="是",$E117="封闭期",$H117&lt;10,$BN117&lt;-6,$BR117&lt;70),"-",COUNTIFS(S$4:S$200,"&lt;&gt;-",$D$4:$D$200,"&lt;&gt;是",$E$4:$E$200,"&lt;&gt;封闭期",$H$4:$H$200,"&gt;10",$BN$4:$BN$200,"&gt;-6",$BR$4:$BR$200,"&gt;=70",$K$4:$K$200,"&lt;=30",$C$4:$C$200,"&lt;20190630",S$4:S$200,"&gt;="&amp;S117)&amp;"/"&amp;COUNTIFS(S$4:S$200,"&lt;&gt;-",$D$4:$D$200,"&lt;&gt;是",$E$4:$E$200,"&lt;&gt;封闭期",$H$4:$H$200,"&gt;10",$BN$4:$BN$200,"&gt;-6",$BR$4:$BR$200,"&gt;=70",$C$4:$C$200,"&lt;20190630",$K$4:$K$200,"&lt;=30"))</f>
        <v>-</v>
      </c>
      <c r="W117" s="33" t="str">
        <f>IF(OR($C117&gt;20190630,$K117&gt;30,S117="-",$D117="是",$E117="封闭期",$H117&lt;10,$BN117&lt;-6,$BR117&lt;70),"-",COUNTIFS(S$4:S$200,"&lt;&gt;-",$D$4:$D$200,"&lt;&gt;是",$E$4:$E$200,"&lt;&gt;封闭期",$H$4:$H$200,"&gt;10",$BN$4:$BN$200,"&gt;-6",$BR$4:$BR$200,"&gt;=70",$K$4:$K$200,"&lt;=30",$C$4:$C$200,"&lt;20190630",S$4:S$200,"&gt;="&amp;S117)/COUNTIFS(S$4:S$200,"&lt;&gt;-",$D$4:$D$200,"&lt;&gt;是",$E$4:$E$200,"&lt;&gt;封闭期",$H$4:$H$200,"&gt;10",$BN$4:$BN$200,"&gt;-6",$BR$4:$BR$200,"&gt;=70",$C$4:$C$200,"&lt;20190630",$K$4:$K$200,"&lt;=30"))</f>
        <v>-</v>
      </c>
      <c r="X117" s="19">
        <f>[1]!f_risk_calmar(A117,$L$2,$E$1)</f>
        <v>7.1882154752795193</v>
      </c>
      <c r="Y117" s="19" t="str">
        <f>IFERROR(RANK(X117,X:X)&amp;"/"&amp;COUNT(X:X),"-")</f>
        <v>15/197</v>
      </c>
      <c r="Z117" s="26">
        <f>IFERROR(RANK(X117,X:X)/COUNT(X:X),"-")</f>
        <v>7.6142131979695438E-2</v>
      </c>
      <c r="AA117" s="34" t="str">
        <f>IF(OR($C117&gt;20190630,$K117&gt;30,X117="-",$D117="是",$E117="封闭期",$H117&lt;10,$BN117&lt;-6,$BR117&lt;70),"-",COUNTIFS(X$4:X$200,"&lt;&gt;-",$D$4:$D$200,"&lt;&gt;是",$E$4:$E$200,"&lt;&gt;封闭期",$H$4:$H$200,"&gt;10",$BN$4:$BN$200,"&gt;-6",$BR$4:$BR$200,"&gt;=70",$K$4:$K$200,"&lt;=30",$C$4:$C$200,"&lt;20190630",X$4:X$200,"&gt;="&amp;X117)&amp;"/"&amp;COUNTIFS(X$4:X$200,"&lt;&gt;-",$D$4:$D$200,"&lt;&gt;是",$E$4:$E$200,"&lt;&gt;封闭期",$H$4:$H$200,"&gt;10",$BN$4:$BN$200,"&gt;-6",$BR$4:$BR$200,"&gt;=70",$C$4:$C$200,"&lt;20190630",$K$4:$K$200,"&lt;=30"))</f>
        <v>-</v>
      </c>
      <c r="AB117" s="33" t="str">
        <f>IF(OR($C117&gt;20190630,$K117&gt;30,X117="-",$D117="是",$E117="封闭期",$H117&lt;10,$BN117&lt;-6,$BR117&lt;70),"-",COUNTIFS(X$4:X$200,"&lt;&gt;-",$D$4:$D$200,"&lt;&gt;是",$E$4:$E$200,"&lt;&gt;封闭期",$H$4:$H$200,"&gt;10",$BN$4:$BN$200,"&gt;-6",$BR$4:$BR$200,"&gt;=70",$K$4:$K$200,"&lt;=30",$C$4:$C$200,"&lt;20190630",X$4:X$200,"&gt;="&amp;X117)/COUNTIFS(X$4:X$200,"&lt;&gt;-",$D$4:$D$200,"&lt;&gt;是",$E$4:$E$200,"&lt;&gt;封闭期",$H$4:$H$200,"&gt;10",$BN$4:$BN$200,"&gt;-6",$BR$4:$BR$200,"&gt;=70",$C$4:$C$200,"&lt;20190630",$K$4:$K$200,"&lt;=30"))</f>
        <v>-</v>
      </c>
      <c r="AC117" s="20">
        <v>1</v>
      </c>
      <c r="AD117" s="19" t="str">
        <f>IFERROR(RANK(AC117,AC:AC)&amp;"/"&amp;COUNT(AC:AC),"-")</f>
        <v>1/197</v>
      </c>
      <c r="AE117" s="26">
        <f>IFERROR(RANK(AC117,AC:AC)/COUNT(AC:AC),"-")</f>
        <v>5.076142131979695E-3</v>
      </c>
      <c r="AF117" s="34" t="str">
        <f>IF(OR($C117&gt;20190630,$K117&gt;30,AC117="-",$D117="是",$E117="封闭期",$H117&lt;10,$BN117&lt;-6,$BR117&lt;70),"-",COUNTIFS(AC$4:AC$200,"&lt;&gt;-",$D$4:$D$200,"&lt;&gt;是",$E$4:$E$200,"&lt;&gt;封闭期",$H$4:$H$200,"&gt;10",$BN$4:$BN$200,"&gt;-6",$BR$4:$BR$200,"&gt;=70",$K$4:$K$200,"&lt;=30",$C$4:$C$200,"&lt;20190630",AC$4:AC$200,"&gt;="&amp;AC117)&amp;"/"&amp;COUNTIFS(AC$4:AC$200,"&lt;&gt;-",$D$4:$D$200,"&lt;&gt;是",$E$4:$E$200,"&lt;&gt;封闭期",$H$4:$H$200,"&gt;10",$BN$4:$BN$200,"&gt;-6",$BR$4:$BR$200,"&gt;=70",$C$4:$C$200,"&lt;20190630",$K$4:$K$200,"&lt;=30"))</f>
        <v>-</v>
      </c>
      <c r="AG117" s="33" t="str">
        <f>IF(OR($C117&gt;20190630,$K117&gt;30,AC117="-",$D117="是",$E117="封闭期",$H117&lt;10,$BN117&lt;-6,$BR117&lt;70),"-",COUNTIFS(AC$4:AC$200,"&lt;&gt;-",$D$4:$D$200,"&lt;&gt;是",$E$4:$E$200,"&lt;&gt;封闭期",$H$4:$H$200,"&gt;10",$BN$4:$BN$200,"&gt;-6",$BR$4:$BR$200,"&gt;=70",$K$4:$K$200,"&lt;=30",$C$4:$C$200,"&lt;20190630",AC$4:AC$200,"&gt;="&amp;AC117)/COUNTIFS(AC$4:AC$200,"&lt;&gt;-",$D$4:$D$200,"&lt;&gt;是",$E$4:$E$200,"&lt;&gt;封闭期",$H$4:$H$200,"&gt;10",$BN$4:$BN$200,"&gt;-6",$BR$4:$BR$200,"&gt;=70",$C$4:$C$200,"&lt;20190630",$K$4:$K$200,"&lt;=30"))</f>
        <v>-</v>
      </c>
      <c r="AH117" s="21">
        <f>[1]!f_risk_maxdownside(A117,$L$2,$E$1)</f>
        <v>-0.92845892398243313</v>
      </c>
      <c r="AI117" s="19" t="str">
        <f>IFERROR(RANK(AH117,AH:AH)&amp;"/"&amp;COUNT(AH:AH),"-")</f>
        <v>20/197</v>
      </c>
      <c r="AJ117" s="26">
        <f>IFERROR(RANK(AH117,AH:AH)/COUNT(AH:AH),"-")</f>
        <v>0.10152284263959391</v>
      </c>
      <c r="AK117" s="34" t="str">
        <f>IF(OR($C117&gt;20190630,$K117&gt;30,AH117="-",$D117="是",$E117="封闭期",$H117&lt;10,$BN117&lt;-6,$BR117&lt;70),"-",COUNTIFS(AH$4:AH$200,"&lt;&gt;-",$D$4:$D$200,"&lt;&gt;是",$E$4:$E$200,"&lt;&gt;封闭期",$H$4:$H$200,"&gt;10",$BN$4:$BN$200,"&gt;-6",$BR$4:$BR$200,"&gt;=70",$K$4:$K$200,"&lt;=30",$C$4:$C$200,"&lt;20190630",AH$4:AH$200,"&gt;="&amp;AH117)&amp;"/"&amp;COUNTIFS(AH$4:AH$200,"&lt;&gt;-",$D$4:$D$200,"&lt;&gt;是",$E$4:$E$200,"&lt;&gt;封闭期",$H$4:$H$200,"&gt;10",$BN$4:$BN$200,"&gt;-6",$BR$4:$BR$200,"&gt;=70",$C$4:$C$200,"&lt;20190630",$K$4:$K$200,"&lt;=30"))</f>
        <v>-</v>
      </c>
      <c r="AL117" s="33" t="str">
        <f>IF(OR($C117&gt;20190630,$K117&gt;30,AH117="-",$D117="是",$E117="封闭期",$H117&lt;10,$BN117&lt;-6,$BR117&lt;70),"-",COUNTIFS(AH$4:AH$200,"&lt;&gt;-",$D$4:$D$200,"&lt;&gt;是",$E$4:$E$200,"&lt;&gt;封闭期",$H$4:$H$200,"&gt;10",$BN$4:$BN$200,"&gt;-6",$BR$4:$BR$200,"&gt;=70",$K$4:$K$200,"&lt;=30",$C$4:$C$200,"&lt;20190630",AH$4:AH$200,"&gt;="&amp;AH117)/COUNTIFS(AH$4:AH$200,"&lt;&gt;-",$D$4:$D$200,"&lt;&gt;是",$E$4:$E$200,"&lt;&gt;封闭期",$H$4:$H$200,"&gt;10",$BN$4:$BN$200,"&gt;-6",$BR$4:$BR$200,"&gt;=70",$C$4:$C$200,"&lt;20190630",$K$4:$K$200,"&lt;=30"))</f>
        <v>-</v>
      </c>
      <c r="AM117" s="19">
        <f>[1]!f_return($A117,"1",AM$2,$L$2)</f>
        <v>6.5540137065708937</v>
      </c>
      <c r="AN117" s="19">
        <f>[1]!f_risk_stdevyearly($A117,AM$2,$L$2,1,1)</f>
        <v>3.657534662325205</v>
      </c>
      <c r="AO117" s="19">
        <f>IFERROR(AM117/AN117,"-")</f>
        <v>1.7919211467990053</v>
      </c>
      <c r="AP117" s="19" t="str">
        <f>IFERROR(RANK(AO117,AO:AO)&amp;"/"&amp;COUNT(AO:AO),"-")</f>
        <v>70/197</v>
      </c>
      <c r="AQ117" s="26">
        <f>IF(AP117="-","-",RANK(AO117,AO:AO)/COUNT(AO:AO))</f>
        <v>0.35532994923857869</v>
      </c>
      <c r="AR117" s="57">
        <v>0.57868020304568524</v>
      </c>
      <c r="AS117" s="33" t="str">
        <f>IF(OR($C117&gt;20190630,$K117&gt;30,AO117="-",$D117="是",$E117="封闭期",$H117&lt;10,$BN117&lt;-6,$BR117&lt;70),"-",COUNTIFS(AO$4:AO$200,"&lt;&gt;-",$D$4:$D$200,"&lt;&gt;是",$E$4:$E$200,"&lt;&gt;封闭期",$H$4:$H$200,"&gt;10",$BN$4:$BN$200,"&gt;-6",$BR$4:$BR$200,"&gt;=70",$K$4:$K$200,"&lt;=30",$C$4:$C$200,"&lt;20190630",AO$4:AO$200,"&gt;="&amp;AO117)/COUNTIFS(AO$4:AO$200,"&lt;&gt;-",$D$4:$D$200,"&lt;&gt;是",$E$4:$E$200,"&lt;&gt;封闭期",$H$4:$H$200,"&gt;10",$BN$4:$BN$200,"&gt;-6",$BR$4:$BR$200,"&gt;=70",$C$4:$C$200,"&lt;20190630",$K$4:$K$200,"&lt;=30"))</f>
        <v>-</v>
      </c>
      <c r="AT117" s="19">
        <f>IFERROR((AM117-3)/AN117,"-")</f>
        <v>0.97169652093235392</v>
      </c>
      <c r="AU117" s="19" t="str">
        <f>IFERROR(RANK(AT117,AT:AT)&amp;"/"&amp;COUNT(AT:AT),"-")</f>
        <v>89/197</v>
      </c>
      <c r="AV117" s="26">
        <f>IFERROR(RANK(AT117,AT:AT)/COUNT(AT:AT),"-")</f>
        <v>0.45177664974619292</v>
      </c>
      <c r="AW117" s="34" t="str">
        <f>IF(OR($C117&gt;20190630,$K117&gt;30,AT117="-",$D117="是",$E117="封闭期",$H117&lt;10,$BN117&lt;-6,$BR117&lt;70),"-",COUNTIFS(AT$4:AT$200,"&lt;&gt;-",$D$4:$D$200,"&lt;&gt;是",$E$4:$E$200,"&lt;&gt;封闭期",$H$4:$H$200,"&gt;10",$BN$4:$BN$200,"&gt;-6",$BR$4:$BR$200,"&gt;=70",$K$4:$K$200,"&lt;=30",$C$4:$C$200,"&lt;20190630",AT$4:AT$200,"&gt;="&amp;AT117)&amp;"/"&amp;COUNTIFS(AT$4:AT$200,"&lt;&gt;-",$D$4:$D$200,"&lt;&gt;是",$E$4:$E$200,"&lt;&gt;封闭期",$H$4:$H$200,"&gt;10",$BN$4:$BN$200,"&gt;-6",$BR$4:$BR$200,"&gt;=70",$C$4:$C$200,"&lt;20190630",$K$4:$K$200,"&lt;=30"))</f>
        <v>-</v>
      </c>
      <c r="AX117" s="33" t="str">
        <f>IF(OR($C117&gt;20190630,$K117&gt;30,AT117="-",$D117="是",$E117="封闭期",$H117&lt;10,$BN117&lt;-6,$BR117&lt;70),"-",COUNTIFS(AT$4:AT$200,"&lt;&gt;-",$D$4:$D$200,"&lt;&gt;是",$E$4:$E$200,"&lt;&gt;封闭期",$H$4:$H$200,"&gt;10",$BN$4:$BN$200,"&gt;-6",$BR$4:$BR$200,"&gt;=70",$K$4:$K$200,"&lt;=30",$C$4:$C$200,"&lt;20190630",AT$4:AT$200,"&gt;="&amp;AT117)/COUNTIFS(AT$4:AT$200,"&lt;&gt;-",$D$4:$D$200,"&lt;&gt;是",$E$4:$E$200,"&lt;&gt;封闭期",$H$4:$H$200,"&gt;10",$BN$4:$BN$200,"&gt;-6",$BR$4:$BR$200,"&gt;=70",$C$4:$C$200,"&lt;20190630",$K$4:$K$200,"&lt;=30"))</f>
        <v>-</v>
      </c>
      <c r="AY117" s="19">
        <f>[1]!f_risk_calmar(A117,$AM$2,$L$2)</f>
        <v>2.6840556418789014</v>
      </c>
      <c r="AZ117" s="19" t="str">
        <f>IFERROR(RANK(AY117,AY:AY)&amp;"/"&amp;COUNT(AY:AY),"-")</f>
        <v>69/197</v>
      </c>
      <c r="BA117" s="26">
        <f>IFERROR(RANK(AY117,AY:AY)/COUNT(AY:AY),"-")</f>
        <v>0.35025380710659898</v>
      </c>
      <c r="BB117" s="34" t="str">
        <f>IF(OR($C117&gt;20190630,$K117&gt;30,AY117="-",$D117="是",$E117="封闭期",$H117&lt;10,$BN117&lt;-6,$BR117&lt;70),"-",COUNTIFS(AY$4:AY$200,"&lt;&gt;-",$D$4:$D$200,"&lt;&gt;是",$E$4:$E$200,"&lt;&gt;封闭期",$H$4:$H$200,"&gt;10",$BN$4:$BN$200,"&gt;-6",$BR$4:$BR$200,"&gt;=70",$K$4:$K$200,"&lt;=30",$C$4:$C$200,"&lt;20190630",AY$4:AY$200,"&gt;="&amp;AY117)&amp;"/"&amp;COUNTIFS(AY$4:AY$200,"&lt;&gt;-",$D$4:$D$200,"&lt;&gt;是",$E$4:$E$200,"&lt;&gt;封闭期",$H$4:$H$200,"&gt;10",$BN$4:$BN$200,"&gt;-6",$BR$4:$BR$200,"&gt;=70",$C$4:$C$200,"&lt;20190630",$K$4:$K$200,"&lt;=30"))</f>
        <v>-</v>
      </c>
      <c r="BC117" s="33" t="str">
        <f>IF(OR($C117&gt;20190630,$K117&gt;30,AY117="-",$D117="是",$E117="封闭期",$H117&lt;10,$BN117&lt;-6,$BR117&lt;70),"-",COUNTIFS(AY$4:AY$200,"&lt;&gt;-",$D$4:$D$200,"&lt;&gt;是",$E$4:$E$200,"&lt;&gt;封闭期",$H$4:$H$200,"&gt;10",$BN$4:$BN$200,"&gt;-6",$BR$4:$BR$200,"&gt;=70",$K$4:$K$200,"&lt;=30",$C$4:$C$200,"&lt;20190630",AY$4:AY$200,"&gt;="&amp;AY117)/COUNTIFS(AY$4:AY$200,"&lt;&gt;-",$D$4:$D$200,"&lt;&gt;是",$E$4:$E$200,"&lt;&gt;封闭期",$H$4:$H$200,"&gt;10",$BN$4:$BN$200,"&gt;-6",$BR$4:$BR$200,"&gt;=70",$C$4:$C$200,"&lt;20190630",$K$4:$K$200,"&lt;=30"))</f>
        <v>-</v>
      </c>
      <c r="BD117" s="20">
        <v>1</v>
      </c>
      <c r="BE117" s="19" t="str">
        <f>IFERROR(RANK(BD117,BD:BD)&amp;"/"&amp;COUNT(BD:BD),"-")</f>
        <v>1/197</v>
      </c>
      <c r="BF117" s="26">
        <f>IFERROR(RANK(BD117,BD:BD)/COUNT(BD:BD),"-")</f>
        <v>5.076142131979695E-3</v>
      </c>
      <c r="BG117" s="34" t="str">
        <f>IF(OR($C117&gt;20190630,$K117&gt;30,BD117="-",$D117="是",$E117="封闭期",$H117&lt;10,$BN117&lt;-6,$BR117&lt;70),"-",COUNTIFS(BD$4:BD$200,"&lt;&gt;-",$D$4:$D$200,"&lt;&gt;是",$E$4:$E$200,"&lt;&gt;封闭期",$H$4:$H$200,"&gt;10",$BN$4:$BN$200,"&gt;-6",$BR$4:$BR$200,"&gt;=70",$K$4:$K$200,"&lt;=30",$C$4:$C$200,"&lt;20190630",BD$4:BD$200,"&gt;="&amp;BD117)&amp;"/"&amp;COUNTIFS(BD$4:BD$200,"&lt;&gt;-",$D$4:$D$200,"&lt;&gt;是",$E$4:$E$200,"&lt;&gt;封闭期",$H$4:$H$200,"&gt;10",$BN$4:$BN$200,"&gt;-6",$BR$4:$BR$200,"&gt;=70",$C$4:$C$200,"&lt;20190630",$K$4:$K$200,"&lt;=30"))</f>
        <v>-</v>
      </c>
      <c r="BH117" s="33" t="str">
        <f>IF(OR($C117&gt;20190630,$K117&gt;30,BD117="-",$D117="是",$E117="封闭期",$H117&lt;10,$BN117&lt;-6,$BR117&lt;70),"-",COUNTIFS(BD$4:BD$200,"&lt;&gt;-",$D$4:$D$200,"&lt;&gt;是",$E$4:$E$200,"&lt;&gt;封闭期",$H$4:$H$200,"&gt;10",$BN$4:$BN$200,"&gt;-6",$BR$4:$BR$200,"&gt;=70",$K$4:$K$200,"&lt;=30",$C$4:$C$200,"&lt;20190630",BD$4:BD$200,"&gt;="&amp;BD117)/COUNTIFS(BD$4:BD$200,"&lt;&gt;-",$D$4:$D$200,"&lt;&gt;是",$E$4:$E$200,"&lt;&gt;封闭期",$H$4:$H$200,"&gt;10",$BN$4:$BN$200,"&gt;-6",$BR$4:$BR$200,"&gt;=70",$C$4:$C$200,"&lt;20190630",$K$4:$K$200,"&lt;=30"))</f>
        <v>-</v>
      </c>
      <c r="BI117" s="21">
        <f>[1]!f_risk_maxdownside(A117,$AM$2,$L$2)</f>
        <v>-2.4418322795957135</v>
      </c>
      <c r="BJ117" s="19" t="str">
        <f>IFERROR(RANK(BI117,BI:BI)&amp;"/"&amp;COUNT(BI:BI),"-")</f>
        <v>58/197</v>
      </c>
      <c r="BK117" s="26">
        <f>IFERROR(RANK(BI117,BI:BI)/COUNT(BI:BI),"-")</f>
        <v>0.29441624365482233</v>
      </c>
      <c r="BL117" s="34" t="str">
        <f>IF(OR($C117&gt;20190630,$K117&gt;30,BI117="-",$D117="是",$E117="封闭期",$H117&lt;10,$BN117&lt;-6,$BR117&lt;70),"-",COUNTIFS(BI$4:BI$200,"&lt;&gt;-",$D$4:$D$200,"&lt;&gt;是",$E$4:$E$200,"&lt;&gt;封闭期",$H$4:$H$200,"&gt;10",$BN$4:$BN$200,"&gt;-6",$BR$4:$BR$200,"&gt;=70",$K$4:$K$200,"&lt;=30",$C$4:$C$200,"&lt;20190630",BI$4:BI$200,"&gt;="&amp;BI117)&amp;"/"&amp;COUNTIFS(BI$4:BI$200,"&lt;&gt;-",$D$4:$D$200,"&lt;&gt;是",$E$4:$E$200,"&lt;&gt;封闭期",$H$4:$H$200,"&gt;10",$BN$4:$BN$200,"&gt;-6",$BR$4:$BR$200,"&gt;=70",$C$4:$C$200,"&lt;20190630",$K$4:$K$200,"&lt;=30"))</f>
        <v>-</v>
      </c>
      <c r="BM117" s="33" t="str">
        <f>IF(OR($C117&gt;20190630,$K117&gt;30,BI117="-",$D117="是",$E117="封闭期",$H117&lt;10,$BN117&lt;-6,$BR117&lt;70),"-",COUNTIFS(BI$4:BI$200,"&lt;&gt;-",$D$4:$D$200,"&lt;&gt;是",$E$4:$E$200,"&lt;&gt;封闭期",$H$4:$H$200,"&gt;10",$BN$4:$BN$200,"&gt;-6",$BR$4:$BR$200,"&gt;=70",$K$4:$K$200,"&lt;=30",$C$4:$C$200,"&lt;20190630",BI$4:BI$200,"&gt;="&amp;BI117)/COUNTIFS(BI$4:BI$200,"&lt;&gt;-",$D$4:$D$200,"&lt;&gt;是",$E$4:$E$200,"&lt;&gt;封闭期",$H$4:$H$200,"&gt;10",$BN$4:$BN$200,"&gt;-6",$BR$4:$BR$200,"&gt;=70",$C$4:$C$200,"&lt;20190630",$K$4:$K$200,"&lt;=30"))</f>
        <v>-</v>
      </c>
      <c r="BN117" s="21">
        <f>[1]!f_risk_maxdownside(A117,$AM$2,$E$1)</f>
        <v>-2.4418322795957135</v>
      </c>
      <c r="BO117" s="21">
        <f>IF(C117&lt;20190930,[1]!f_return_2y(A117,"0","20210930"),"-")</f>
        <v>13.734932825300234</v>
      </c>
      <c r="BP117" s="19" t="str">
        <f>IFERROR(RANK(BO117,BO:BO)&amp;"/"&amp;COUNT(BO:BO),"-")</f>
        <v>94/197</v>
      </c>
      <c r="BQ117" s="25">
        <f>IFERROR(RANK(BO117,BO:BO)/COUNT(BO:BO),"-")</f>
        <v>0.47715736040609136</v>
      </c>
      <c r="BR117" s="19">
        <f>IF(C117&lt;20190930,[1]!f_absolute_profitmonthper(A117,"20190930","20210930"),"-")</f>
        <v>83.333333333333343</v>
      </c>
      <c r="BS117" s="19" t="str">
        <f>IFERROR(RANK(BR117,BR:BR)&amp;"/"&amp;COUNT(BR:BR),"-")</f>
        <v>4/198</v>
      </c>
      <c r="BT117" s="25">
        <f>IFERROR(RANK(BR117,BR:BR)/COUNT(BR:BR),"-")</f>
        <v>2.0202020202020204E-2</v>
      </c>
      <c r="BV117" s="12">
        <f>X117-3/M117</f>
        <v>6.080044162485156</v>
      </c>
      <c r="BW117" s="76">
        <f>IFERROR(RANK(BV117,BV:BV)/COUNT(BV:BV),"-")</f>
        <v>5.0761421319796954E-2</v>
      </c>
      <c r="BX117" s="76">
        <f>IFERROR(RANK(L117,L:L)/COUNT(L:L),"-")</f>
        <v>0.39898989898989901</v>
      </c>
      <c r="BY117" s="12">
        <f>AY117-3/AN117</f>
        <v>1.8638310160122502</v>
      </c>
      <c r="BZ117" s="76">
        <f>IFERROR(RANK(BY117,BY:BY)/COUNT(BY:BY),"-")</f>
        <v>0.37563451776649748</v>
      </c>
      <c r="CA117" s="76">
        <f>IFERROR(RANK(AM117,AM:AM)/COUNT(AM:AM),"-")</f>
        <v>0.58080808080808077</v>
      </c>
      <c r="CB117" s="2"/>
      <c r="CC117" s="77">
        <f>AV117+BF117+BZ117+CA117</f>
        <v>1.4132953904527508</v>
      </c>
      <c r="CD117" s="77">
        <f>BW117+BX117+AE117+U117</f>
        <v>0.65279700558888376</v>
      </c>
      <c r="CE117" s="77">
        <f>CC117+CD117</f>
        <v>2.0660923960416344</v>
      </c>
    </row>
    <row r="118" spans="1:83" s="17" customFormat="1" x14ac:dyDescent="0.35">
      <c r="A118" s="3" t="s">
        <v>133</v>
      </c>
      <c r="B118" s="3" t="s">
        <v>134</v>
      </c>
      <c r="C118" s="4">
        <v>20130521</v>
      </c>
      <c r="D118" s="4" t="str">
        <f>[1]!f_info_regulopenfundornot(A118)</f>
        <v>否</v>
      </c>
      <c r="E118" s="4" t="str">
        <f>[1]!f_dq_status(A118,$E$1)</f>
        <v>开放申购|开放赎回</v>
      </c>
      <c r="F118" s="17" t="str">
        <f>[1]!f_info_fundmanager(A118)</f>
        <v>俞晓斌</v>
      </c>
      <c r="G118" s="4">
        <v>20190313</v>
      </c>
      <c r="H118" s="11">
        <f>[1]!f_netasset_total(A118,$E$1,100000000)</f>
        <v>29.453997660999999</v>
      </c>
      <c r="I118" s="11">
        <f>[1]!f_prt_convertiblebondtonav(A118,$E$1)</f>
        <v>5.1316652297973633</v>
      </c>
      <c r="J118" s="11">
        <f>[1]!f_prt_stocktonav(A118,$E$1)+0.5*I118</f>
        <v>17.174639225006104</v>
      </c>
      <c r="K118" s="12">
        <v>3.3910507208415721</v>
      </c>
      <c r="L118" s="19">
        <f>[1]!f_return($A118,"1",L$2,$E$1)</f>
        <v>6.1927593953091442</v>
      </c>
      <c r="M118" s="19">
        <f>[1]!f_risk_stdevyearly($A118,L$2,$E$1,1,1)</f>
        <v>2.7040914014720507</v>
      </c>
      <c r="N118" s="12">
        <f>IFERROR(L118/M118,"-")</f>
        <v>2.2901442576748461</v>
      </c>
      <c r="O118" s="12" t="str">
        <f>IFERROR(RANK(N118,N:N)&amp;"/"&amp;COUNT(N:N),"-")</f>
        <v>39/197</v>
      </c>
      <c r="P118" s="26">
        <f>IF(O118="-","-",RANK(N118,N:N)/COUNT(N:N))</f>
        <v>0.19796954314720813</v>
      </c>
      <c r="Q118" s="58">
        <v>0.44162436548223349</v>
      </c>
      <c r="R118" s="33">
        <f>IF(OR($C118&gt;20190630,$K118&gt;30,N118="-",$D118="是",$E118="封闭期",$H118&lt;10,$BN118&lt;-6,$BR118&lt;70),"-",COUNTIFS(N$4:N$200,"&lt;&gt;-",$D$4:$D$200,"&lt;&gt;是",$E$4:$E$200,"&lt;&gt;封闭期",$H$4:$H$200,"&gt;10",$BN$4:$BN$200,"&gt;-6",$BR$4:$BR$200,"&gt;=70",$K$4:$K$200,"&lt;=30",$C$4:$C$200,"&lt;20190630",N$4:N$200,"&gt;="&amp;N118)/COUNTIFS(N$4:N$200,"&lt;&gt;-",$D$4:$D$200,"&lt;&gt;是",$E$4:$E$200,"&lt;&gt;封闭期",$H$4:$H$200,"&gt;10",$BN$4:$BN$200,"&gt;-6",$BR$4:$BR$200,"&gt;=70",$C$4:$C$200,"&lt;20190630",$K$4:$K$200,"&lt;=30"))</f>
        <v>0.33333333333333331</v>
      </c>
      <c r="S118" s="12">
        <f>IFERROR((L118-3)/M118,"-")</f>
        <v>1.1807143033593734</v>
      </c>
      <c r="T118" s="12" t="str">
        <f>IFERROR(RANK(S118,S:S)&amp;"/"&amp;COUNT(S:S),"-")</f>
        <v>58/197</v>
      </c>
      <c r="U118" s="26">
        <f>IFERROR(RANK(S118,S:S)/COUNT(S:S),"-")</f>
        <v>0.29441624365482233</v>
      </c>
      <c r="V118" s="13" t="str">
        <f>IF(OR($C118&gt;20190630,$K118&gt;30,S118="-",$D118="是",$E118="封闭期",$H118&lt;10,$BN118&lt;-6,$BR118&lt;70),"-",COUNTIFS(S$4:S$200,"&lt;&gt;-",$D$4:$D$200,"&lt;&gt;是",$E$4:$E$200,"&lt;&gt;封闭期",$H$4:$H$200,"&gt;10",$BN$4:$BN$200,"&gt;-6",$BR$4:$BR$200,"&gt;=70",$K$4:$K$200,"&lt;=30",$C$4:$C$200,"&lt;20190630",S$4:S$200,"&gt;="&amp;S118)&amp;"/"&amp;COUNTIFS(S$4:S$200,"&lt;&gt;-",$D$4:$D$200,"&lt;&gt;是",$E$4:$E$200,"&lt;&gt;封闭期",$H$4:$H$200,"&gt;10",$BN$4:$BN$200,"&gt;-6",$BR$4:$BR$200,"&gt;=70",$C$4:$C$200,"&lt;20190630",$K$4:$K$200,"&lt;=30"))</f>
        <v>19/39</v>
      </c>
      <c r="W118" s="33">
        <f>IF(OR($C118&gt;20190630,$K118&gt;30,S118="-",$D118="是",$E118="封闭期",$H118&lt;10,$BN118&lt;-6,$BR118&lt;70),"-",COUNTIFS(S$4:S$200,"&lt;&gt;-",$D$4:$D$200,"&lt;&gt;是",$E$4:$E$200,"&lt;&gt;封闭期",$H$4:$H$200,"&gt;10",$BN$4:$BN$200,"&gt;-6",$BR$4:$BR$200,"&gt;=70",$K$4:$K$200,"&lt;=30",$C$4:$C$200,"&lt;20190630",S$4:S$200,"&gt;="&amp;S118)/COUNTIFS(S$4:S$200,"&lt;&gt;-",$D$4:$D$200,"&lt;&gt;是",$E$4:$E$200,"&lt;&gt;封闭期",$H$4:$H$200,"&gt;10",$BN$4:$BN$200,"&gt;-6",$BR$4:$BR$200,"&gt;=70",$C$4:$C$200,"&lt;20190630",$K$4:$K$200,"&lt;=30"))</f>
        <v>0.48717948717948717</v>
      </c>
      <c r="X118" s="19">
        <f>[1]!f_risk_calmar(A118,$L$2,$E$1)</f>
        <v>3.1557269751929575</v>
      </c>
      <c r="Y118" s="12" t="str">
        <f>IFERROR(RANK(X118,X:X)&amp;"/"&amp;COUNT(X:X),"-")</f>
        <v>59/197</v>
      </c>
      <c r="Z118" s="26">
        <f>IFERROR(RANK(X118,X:X)/COUNT(X:X),"-")</f>
        <v>0.29949238578680204</v>
      </c>
      <c r="AA118" s="13" t="str">
        <f>IF(OR($C118&gt;20190630,$K118&gt;30,X118="-",$D118="是",$E118="封闭期",$H118&lt;10,$BN118&lt;-6,$BR118&lt;70),"-",COUNTIFS(X$4:X$200,"&lt;&gt;-",$D$4:$D$200,"&lt;&gt;是",$E$4:$E$200,"&lt;&gt;封闭期",$H$4:$H$200,"&gt;10",$BN$4:$BN$200,"&gt;-6",$BR$4:$BR$200,"&gt;=70",$K$4:$K$200,"&lt;=30",$C$4:$C$200,"&lt;20190630",X$4:X$200,"&gt;="&amp;X118)&amp;"/"&amp;COUNTIFS(X$4:X$200,"&lt;&gt;-",$D$4:$D$200,"&lt;&gt;是",$E$4:$E$200,"&lt;&gt;封闭期",$H$4:$H$200,"&gt;10",$BN$4:$BN$200,"&gt;-6",$BR$4:$BR$200,"&gt;=70",$C$4:$C$200,"&lt;20190630",$K$4:$K$200,"&lt;=30"))</f>
        <v>20/39</v>
      </c>
      <c r="AB118" s="33">
        <f>IF(OR($C118&gt;20190630,$K118&gt;30,X118="-",$D118="是",$E118="封闭期",$H118&lt;10,$BN118&lt;-6,$BR118&lt;70),"-",COUNTIFS(X$4:X$200,"&lt;&gt;-",$D$4:$D$200,"&lt;&gt;是",$E$4:$E$200,"&lt;&gt;封闭期",$H$4:$H$200,"&gt;10",$BN$4:$BN$200,"&gt;-6",$BR$4:$BR$200,"&gt;=70",$K$4:$K$200,"&lt;=30",$C$4:$C$200,"&lt;20190630",X$4:X$200,"&gt;="&amp;X118)/COUNTIFS(X$4:X$200,"&lt;&gt;-",$D$4:$D$200,"&lt;&gt;是",$E$4:$E$200,"&lt;&gt;封闭期",$H$4:$H$200,"&gt;10",$BN$4:$BN$200,"&gt;-6",$BR$4:$BR$200,"&gt;=70",$C$4:$C$200,"&lt;20190630",$K$4:$K$200,"&lt;=30"))</f>
        <v>0.51282051282051277</v>
      </c>
      <c r="AC118" s="20">
        <v>1</v>
      </c>
      <c r="AD118" s="12" t="str">
        <f>IFERROR(RANK(AC118,AC:AC)&amp;"/"&amp;COUNT(AC:AC),"-")</f>
        <v>1/197</v>
      </c>
      <c r="AE118" s="26">
        <f>IFERROR(RANK(AC118,AC:AC)/COUNT(AC:AC),"-")</f>
        <v>5.076142131979695E-3</v>
      </c>
      <c r="AF118" s="13" t="str">
        <f>IF(OR($C118&gt;20190630,$K118&gt;30,AC118="-",$D118="是",$E118="封闭期",$H118&lt;10,$BN118&lt;-6,$BR118&lt;70),"-",COUNTIFS(AC$4:AC$200,"&lt;&gt;-",$D$4:$D$200,"&lt;&gt;是",$E$4:$E$200,"&lt;&gt;封闭期",$H$4:$H$200,"&gt;10",$BN$4:$BN$200,"&gt;-6",$BR$4:$BR$200,"&gt;=70",$K$4:$K$200,"&lt;=30",$C$4:$C$200,"&lt;20190630",AC$4:AC$200,"&gt;="&amp;AC118)&amp;"/"&amp;COUNTIFS(AC$4:AC$200,"&lt;&gt;-",$D$4:$D$200,"&lt;&gt;是",$E$4:$E$200,"&lt;&gt;封闭期",$H$4:$H$200,"&gt;10",$BN$4:$BN$200,"&gt;-6",$BR$4:$BR$200,"&gt;=70",$C$4:$C$200,"&lt;20190630",$K$4:$K$200,"&lt;=30"))</f>
        <v>28/39</v>
      </c>
      <c r="AG118" s="33">
        <f>IF(OR($C118&gt;20190630,$K118&gt;30,AC118="-",$D118="是",$E118="封闭期",$H118&lt;10,$BN118&lt;-6,$BR118&lt;70),"-",COUNTIFS(AC$4:AC$200,"&lt;&gt;-",$D$4:$D$200,"&lt;&gt;是",$E$4:$E$200,"&lt;&gt;封闭期",$H$4:$H$200,"&gt;10",$BN$4:$BN$200,"&gt;-6",$BR$4:$BR$200,"&gt;=70",$K$4:$K$200,"&lt;=30",$C$4:$C$200,"&lt;20190630",AC$4:AC$200,"&gt;="&amp;AC118)/COUNTIFS(AC$4:AC$200,"&lt;&gt;-",$D$4:$D$200,"&lt;&gt;是",$E$4:$E$200,"&lt;&gt;封闭期",$H$4:$H$200,"&gt;10",$BN$4:$BN$200,"&gt;-6",$BR$4:$BR$200,"&gt;=70",$C$4:$C$200,"&lt;20190630",$K$4:$K$200,"&lt;=30"))</f>
        <v>0.71794871794871795</v>
      </c>
      <c r="AH118" s="21">
        <f>[1]!f_risk_maxdownside(A118,$L$2,$E$1)</f>
        <v>-1.9623875715453765</v>
      </c>
      <c r="AI118" s="19" t="str">
        <f>IFERROR(RANK(AH118,AH:AH)&amp;"/"&amp;COUNT(AH:AH),"-")</f>
        <v>58/197</v>
      </c>
      <c r="AJ118" s="26">
        <f>IFERROR(RANK(AH118,AH:AH)/COUNT(AH:AH),"-")</f>
        <v>0.29441624365482233</v>
      </c>
      <c r="AK118" s="34" t="str">
        <f>IF(OR($C118&gt;20190630,$K118&gt;30,AH118="-",$D118="是",$E118="封闭期",$H118&lt;10,$BN118&lt;-6,$BR118&lt;70),"-",COUNTIFS(AH$4:AH$200,"&lt;&gt;-",$D$4:$D$200,"&lt;&gt;是",$E$4:$E$200,"&lt;&gt;封闭期",$H$4:$H$200,"&gt;10",$BN$4:$BN$200,"&gt;-6",$BR$4:$BR$200,"&gt;=70",$K$4:$K$200,"&lt;=30",$C$4:$C$200,"&lt;20190630",AH$4:AH$200,"&gt;="&amp;AH118)&amp;"/"&amp;COUNTIFS(AH$4:AH$200,"&lt;&gt;-",$D$4:$D$200,"&lt;&gt;是",$E$4:$E$200,"&lt;&gt;封闭期",$H$4:$H$200,"&gt;10",$BN$4:$BN$200,"&gt;-6",$BR$4:$BR$200,"&gt;=70",$C$4:$C$200,"&lt;20190630",$K$4:$K$200,"&lt;=30"))</f>
        <v>13/39</v>
      </c>
      <c r="AL118" s="33">
        <f>IF(OR($C118&gt;20190630,$K118&gt;30,AH118="-",$D118="是",$E118="封闭期",$H118&lt;10,$BN118&lt;-6,$BR118&lt;70),"-",COUNTIFS(AH$4:AH$200,"&lt;&gt;-",$D$4:$D$200,"&lt;&gt;是",$E$4:$E$200,"&lt;&gt;封闭期",$H$4:$H$200,"&gt;10",$BN$4:$BN$200,"&gt;-6",$BR$4:$BR$200,"&gt;=70",$K$4:$K$200,"&lt;=30",$C$4:$C$200,"&lt;20190630",AH$4:AH$200,"&gt;="&amp;AH118)/COUNTIFS(AH$4:AH$200,"&lt;&gt;-",$D$4:$D$200,"&lt;&gt;是",$E$4:$E$200,"&lt;&gt;封闭期",$H$4:$H$200,"&gt;10",$BN$4:$BN$200,"&gt;-6",$BR$4:$BR$200,"&gt;=70",$C$4:$C$200,"&lt;20190630",$K$4:$K$200,"&lt;=30"))</f>
        <v>0.33333333333333331</v>
      </c>
      <c r="AM118" s="19">
        <f>[1]!f_return($A118,"1",AM$2,$L$2)</f>
        <v>6.3887475682508299</v>
      </c>
      <c r="AN118" s="19">
        <f>[1]!f_risk_stdevyearly($A118,AM$2,$L$2,1,1)</f>
        <v>2.9978919076115806</v>
      </c>
      <c r="AO118" s="12">
        <f>IFERROR(AM118/AN118,"-")</f>
        <v>2.1310800272784829</v>
      </c>
      <c r="AP118" s="12" t="str">
        <f>IFERROR(RANK(AO118,AO:AO)&amp;"/"&amp;COUNT(AO:AO),"-")</f>
        <v>37/197</v>
      </c>
      <c r="AQ118" s="26">
        <f>IF(AP118="-","-",RANK(AO118,AO:AO)/COUNT(AO:AO))</f>
        <v>0.18781725888324874</v>
      </c>
      <c r="AR118" s="60">
        <v>0.58375634517766495</v>
      </c>
      <c r="AS118" s="35">
        <f>IF(OR($C118&gt;20190630,$K118&gt;30,AO118="-",$D118="是",$E118="封闭期",$H118&lt;10,$BN118&lt;-6,$BR118&lt;70),"-",COUNTIFS(AO$4:AO$200,"&lt;&gt;-",$D$4:$D$200,"&lt;&gt;是",$E$4:$E$200,"&lt;&gt;封闭期",$H$4:$H$200,"&gt;10",$BN$4:$BN$200,"&gt;-6",$BR$4:$BR$200,"&gt;=70",$K$4:$K$200,"&lt;=30",$C$4:$C$200,"&lt;20190630",AO$4:AO$200,"&gt;="&amp;AO118)/COUNTIFS(AO$4:AO$200,"&lt;&gt;-",$D$4:$D$200,"&lt;&gt;是",$E$4:$E$200,"&lt;&gt;封闭期",$H$4:$H$200,"&gt;10",$BN$4:$BN$200,"&gt;-6",$BR$4:$BR$200,"&gt;=70",$C$4:$C$200,"&lt;20190630",$K$4:$K$200,"&lt;=30"))</f>
        <v>0.33333333333333331</v>
      </c>
      <c r="AT118" s="12">
        <f>IFERROR((AM118-3)/AN118,"-")</f>
        <v>1.1303768356847275</v>
      </c>
      <c r="AU118" s="12" t="str">
        <f>IFERROR(RANK(AT118,AT:AT)&amp;"/"&amp;COUNT(AT:AT),"-")</f>
        <v>65/197</v>
      </c>
      <c r="AV118" s="26">
        <f>IFERROR(RANK(AT118,AT:AT)/COUNT(AT:AT),"-")</f>
        <v>0.32994923857868019</v>
      </c>
      <c r="AW118" s="13" t="str">
        <f>IF(OR($C118&gt;20190630,$K118&gt;30,AT118="-",$D118="是",$E118="封闭期",$H118&lt;10,$BN118&lt;-6,$BR118&lt;70),"-",COUNTIFS(AT$4:AT$200,"&lt;&gt;-",$D$4:$D$200,"&lt;&gt;是",$E$4:$E$200,"&lt;&gt;封闭期",$H$4:$H$200,"&gt;10",$BN$4:$BN$200,"&gt;-6",$BR$4:$BR$200,"&gt;=70",$K$4:$K$200,"&lt;=30",$C$4:$C$200,"&lt;20190630",AT$4:AT$200,"&gt;="&amp;AT118)&amp;"/"&amp;COUNTIFS(AT$4:AT$200,"&lt;&gt;-",$D$4:$D$200,"&lt;&gt;是",$E$4:$E$200,"&lt;&gt;封闭期",$H$4:$H$200,"&gt;10",$BN$4:$BN$200,"&gt;-6",$BR$4:$BR$200,"&gt;=70",$C$4:$C$200,"&lt;20190630",$K$4:$K$200,"&lt;=30"))</f>
        <v>18/39</v>
      </c>
      <c r="AX118" s="33">
        <f>IF(OR($C118&gt;20190630,$K118&gt;30,AT118="-",$D118="是",$E118="封闭期",$H118&lt;10,$BN118&lt;-6,$BR118&lt;70),"-",COUNTIFS(AT$4:AT$200,"&lt;&gt;-",$D$4:$D$200,"&lt;&gt;是",$E$4:$E$200,"&lt;&gt;封闭期",$H$4:$H$200,"&gt;10",$BN$4:$BN$200,"&gt;-6",$BR$4:$BR$200,"&gt;=70",$K$4:$K$200,"&lt;=30",$C$4:$C$200,"&lt;20190630",AT$4:AT$200,"&gt;="&amp;AT118)/COUNTIFS(AT$4:AT$200,"&lt;&gt;-",$D$4:$D$200,"&lt;&gt;是",$E$4:$E$200,"&lt;&gt;封闭期",$H$4:$H$200,"&gt;10",$BN$4:$BN$200,"&gt;-6",$BR$4:$BR$200,"&gt;=70",$C$4:$C$200,"&lt;20190630",$K$4:$K$200,"&lt;=30"))</f>
        <v>0.46153846153846156</v>
      </c>
      <c r="AY118" s="19">
        <f>[1]!f_risk_calmar(A118,$AM$2,$L$2)</f>
        <v>4.2662636539097276</v>
      </c>
      <c r="AZ118" s="12" t="str">
        <f>IFERROR(RANK(AY118,AY:AY)&amp;"/"&amp;COUNT(AY:AY),"-")</f>
        <v>18/197</v>
      </c>
      <c r="BA118" s="26">
        <f>IFERROR(RANK(AY118,AY:AY)/COUNT(AY:AY),"-")</f>
        <v>9.1370558375634514E-2</v>
      </c>
      <c r="BB118" s="13" t="str">
        <f>IF(OR($C118&gt;20190630,$K118&gt;30,AY118="-",$D118="是",$E118="封闭期",$H118&lt;10,$BN118&lt;-6,$BR118&lt;70),"-",COUNTIFS(AY$4:AY$200,"&lt;&gt;-",$D$4:$D$200,"&lt;&gt;是",$E$4:$E$200,"&lt;&gt;封闭期",$H$4:$H$200,"&gt;10",$BN$4:$BN$200,"&gt;-6",$BR$4:$BR$200,"&gt;=70",$K$4:$K$200,"&lt;=30",$C$4:$C$200,"&lt;20190630",AY$4:AY$200,"&gt;="&amp;AY118)&amp;"/"&amp;COUNTIFS(AY$4:AY$200,"&lt;&gt;-",$D$4:$D$200,"&lt;&gt;是",$E$4:$E$200,"&lt;&gt;封闭期",$H$4:$H$200,"&gt;10",$BN$4:$BN$200,"&gt;-6",$BR$4:$BR$200,"&gt;=70",$C$4:$C$200,"&lt;20190630",$K$4:$K$200,"&lt;=30"))</f>
        <v>6/39</v>
      </c>
      <c r="BC118" s="33">
        <f>IF(OR($C118&gt;20190630,$K118&gt;30,AY118="-",$D118="是",$E118="封闭期",$H118&lt;10,$BN118&lt;-6,$BR118&lt;70),"-",COUNTIFS(AY$4:AY$200,"&lt;&gt;-",$D$4:$D$200,"&lt;&gt;是",$E$4:$E$200,"&lt;&gt;封闭期",$H$4:$H$200,"&gt;10",$BN$4:$BN$200,"&gt;-6",$BR$4:$BR$200,"&gt;=70",$K$4:$K$200,"&lt;=30",$C$4:$C$200,"&lt;20190630",AY$4:AY$200,"&gt;="&amp;AY118)/COUNTIFS(AY$4:AY$200,"&lt;&gt;-",$D$4:$D$200,"&lt;&gt;是",$E$4:$E$200,"&lt;&gt;封闭期",$H$4:$H$200,"&gt;10",$BN$4:$BN$200,"&gt;-6",$BR$4:$BR$200,"&gt;=70",$C$4:$C$200,"&lt;20190630",$K$4:$K$200,"&lt;=30"))</f>
        <v>0.15384615384615385</v>
      </c>
      <c r="BD118" s="20">
        <v>1</v>
      </c>
      <c r="BE118" s="12" t="str">
        <f>IFERROR(RANK(BD118,BD:BD)&amp;"/"&amp;COUNT(BD:BD),"-")</f>
        <v>1/197</v>
      </c>
      <c r="BF118" s="26">
        <f>IFERROR(RANK(BD118,BD:BD)/COUNT(BD:BD),"-")</f>
        <v>5.076142131979695E-3</v>
      </c>
      <c r="BG118" s="13" t="str">
        <f>IF(OR($C118&gt;20190630,$K118&gt;30,BD118="-",$D118="是",$E118="封闭期",$H118&lt;10,$BN118&lt;-6,$BR118&lt;70),"-",COUNTIFS(BD$4:BD$200,"&lt;&gt;-",$D$4:$D$200,"&lt;&gt;是",$E$4:$E$200,"&lt;&gt;封闭期",$H$4:$H$200,"&gt;10",$BN$4:$BN$200,"&gt;-6",$BR$4:$BR$200,"&gt;=70",$K$4:$K$200,"&lt;=30",$C$4:$C$200,"&lt;20190630",BD$4:BD$200,"&gt;="&amp;BD118)&amp;"/"&amp;COUNTIFS(BD$4:BD$200,"&lt;&gt;-",$D$4:$D$200,"&lt;&gt;是",$E$4:$E$200,"&lt;&gt;封闭期",$H$4:$H$200,"&gt;10",$BN$4:$BN$200,"&gt;-6",$BR$4:$BR$200,"&gt;=70",$C$4:$C$200,"&lt;20190630",$K$4:$K$200,"&lt;=30"))</f>
        <v>35/39</v>
      </c>
      <c r="BH118" s="33">
        <f>IF(OR($C118&gt;20190630,$K118&gt;30,BD118="-",$D118="是",$E118="封闭期",$H118&lt;10,$BN118&lt;-6,$BR118&lt;70),"-",COUNTIFS(BD$4:BD$200,"&lt;&gt;-",$D$4:$D$200,"&lt;&gt;是",$E$4:$E$200,"&lt;&gt;封闭期",$H$4:$H$200,"&gt;10",$BN$4:$BN$200,"&gt;-6",$BR$4:$BR$200,"&gt;=70",$K$4:$K$200,"&lt;=30",$C$4:$C$200,"&lt;20190630",BD$4:BD$200,"&gt;="&amp;BD118)/COUNTIFS(BD$4:BD$200,"&lt;&gt;-",$D$4:$D$200,"&lt;&gt;是",$E$4:$E$200,"&lt;&gt;封闭期",$H$4:$H$200,"&gt;10",$BN$4:$BN$200,"&gt;-6",$BR$4:$BR$200,"&gt;=70",$C$4:$C$200,"&lt;20190630",$K$4:$K$200,"&lt;=30"))</f>
        <v>0.89743589743589747</v>
      </c>
      <c r="BI118" s="21">
        <f>[1]!f_risk_maxdownside(A118,$AM$2,$L$2)</f>
        <v>-1.4975041597337746</v>
      </c>
      <c r="BJ118" s="19" t="str">
        <f>IFERROR(RANK(BI118,BI:BI)&amp;"/"&amp;COUNT(BI:BI),"-")</f>
        <v>17/197</v>
      </c>
      <c r="BK118" s="26">
        <f>IFERROR(RANK(BI118,BI:BI)/COUNT(BI:BI),"-")</f>
        <v>8.6294416243654817E-2</v>
      </c>
      <c r="BL118" s="34" t="str">
        <f>IF(OR($C118&gt;20190630,$K118&gt;30,BI118="-",$D118="是",$E118="封闭期",$H118&lt;10,$BN118&lt;-6,$BR118&lt;70),"-",COUNTIFS(BI$4:BI$200,"&lt;&gt;-",$D$4:$D$200,"&lt;&gt;是",$E$4:$E$200,"&lt;&gt;封闭期",$H$4:$H$200,"&gt;10",$BN$4:$BN$200,"&gt;-6",$BR$4:$BR$200,"&gt;=70",$K$4:$K$200,"&lt;=30",$C$4:$C$200,"&lt;20190630",BI$4:BI$200,"&gt;="&amp;BI118)&amp;"/"&amp;COUNTIFS(BI$4:BI$200,"&lt;&gt;-",$D$4:$D$200,"&lt;&gt;是",$E$4:$E$200,"&lt;&gt;封闭期",$H$4:$H$200,"&gt;10",$BN$4:$BN$200,"&gt;-6",$BR$4:$BR$200,"&gt;=70",$C$4:$C$200,"&lt;20190630",$K$4:$K$200,"&lt;=30"))</f>
        <v>4/39</v>
      </c>
      <c r="BM118" s="33">
        <f>IF(OR($C118&gt;20190630,$K118&gt;30,BI118="-",$D118="是",$E118="封闭期",$H118&lt;10,$BN118&lt;-6,$BR118&lt;70),"-",COUNTIFS(BI$4:BI$200,"&lt;&gt;-",$D$4:$D$200,"&lt;&gt;是",$E$4:$E$200,"&lt;&gt;封闭期",$H$4:$H$200,"&gt;10",$BN$4:$BN$200,"&gt;-6",$BR$4:$BR$200,"&gt;=70",$K$4:$K$200,"&lt;=30",$C$4:$C$200,"&lt;20190630",BI$4:BI$200,"&gt;="&amp;BI118)/COUNTIFS(BI$4:BI$200,"&lt;&gt;-",$D$4:$D$200,"&lt;&gt;是",$E$4:$E$200,"&lt;&gt;封闭期",$H$4:$H$200,"&gt;10",$BN$4:$BN$200,"&gt;-6",$BR$4:$BR$200,"&gt;=70",$C$4:$C$200,"&lt;20190630",$K$4:$K$200,"&lt;=30"))</f>
        <v>0.10256410256410256</v>
      </c>
      <c r="BN118" s="21">
        <f>[1]!f_risk_maxdownside(A118,$AM$2,$E$1)</f>
        <v>-1.9623875715453765</v>
      </c>
      <c r="BO118" s="14">
        <f>IF(C118&lt;20190930,[1]!f_return_2y(A118,"0","20210930"),"-")</f>
        <v>12.940448120941827</v>
      </c>
      <c r="BP118" s="12" t="str">
        <f>IFERROR(RANK(BO118,BO:BO)&amp;"/"&amp;COUNT(BO:BO),"-")</f>
        <v>108/197</v>
      </c>
      <c r="BQ118" s="25">
        <f>IFERROR(RANK(BO118,BO:BO)/COUNT(BO:BO),"-")</f>
        <v>0.54822335025380708</v>
      </c>
      <c r="BR118" s="12">
        <f>IF(C118&lt;20190930,[1]!f_absolute_profitmonthper(A118,"20190930","20210930"),"-")</f>
        <v>70.833333333333343</v>
      </c>
      <c r="BS118" s="12" t="str">
        <f>IFERROR(RANK(BR118,BR:BR)&amp;"/"&amp;COUNT(BR:BR),"-")</f>
        <v>55/198</v>
      </c>
      <c r="BT118" s="25">
        <f>IFERROR(RANK(BR118,BR:BR)/COUNT(BR:BR),"-")</f>
        <v>0.27777777777777779</v>
      </c>
      <c r="BV118" s="12">
        <f>X118-3/M118</f>
        <v>2.0462970208774847</v>
      </c>
      <c r="BW118" s="76">
        <f>IFERROR(RANK(BV118,BV:BV)/COUNT(BV:BV),"-")</f>
        <v>0.31979695431472083</v>
      </c>
      <c r="BX118" s="76">
        <f>IFERROR(RANK(L118,L:L)/COUNT(L:L),"-")</f>
        <v>0.44444444444444442</v>
      </c>
      <c r="BY118" s="12">
        <f>AY118-3/AN118</f>
        <v>3.2655604623159724</v>
      </c>
      <c r="BZ118" s="76">
        <f>IFERROR(RANK(BY118,BY:BY)/COUNT(BY:BY),"-")</f>
        <v>0.116751269035533</v>
      </c>
      <c r="CA118" s="76">
        <f>IFERROR(RANK(AM118,AM:AM)/COUNT(AM:AM),"-")</f>
        <v>0.58585858585858586</v>
      </c>
      <c r="CB118" s="2"/>
      <c r="CC118" s="77">
        <f>AV118+BF118+BZ118+CA118</f>
        <v>1.0376352356047787</v>
      </c>
      <c r="CD118" s="77">
        <f>BW118+BX118+AE118+U118</f>
        <v>1.0637337845459673</v>
      </c>
      <c r="CE118" s="77">
        <f>CC118+CD118</f>
        <v>2.101369020150746</v>
      </c>
    </row>
    <row r="119" spans="1:83" s="17" customFormat="1" x14ac:dyDescent="0.35">
      <c r="A119" s="3" t="s">
        <v>159</v>
      </c>
      <c r="B119" s="3" t="s">
        <v>160</v>
      </c>
      <c r="C119" s="4">
        <v>20141202</v>
      </c>
      <c r="D119" s="4" t="str">
        <f>[1]!f_info_regulopenfundornot(A119)</f>
        <v>否</v>
      </c>
      <c r="E119" s="4" t="str">
        <f>[1]!f_dq_status(A119,$E$1)</f>
        <v>开放申购|开放赎回</v>
      </c>
      <c r="F119" s="17" t="str">
        <f>[1]!f_info_fundmanager(A119)</f>
        <v>黎颖芳</v>
      </c>
      <c r="G119" s="4">
        <v>20141202</v>
      </c>
      <c r="H119" s="11">
        <f>[1]!f_netasset_total(A119,$E$1,100000000)</f>
        <v>28.690333243200001</v>
      </c>
      <c r="I119" s="11">
        <f>[1]!f_prt_convertiblebondtonav(A119,$E$1)</f>
        <v>1.4119445085525513</v>
      </c>
      <c r="J119" s="11">
        <f>[1]!f_prt_stocktonav(A119,$E$1)+0.5*I119</f>
        <v>10.351875841617584</v>
      </c>
      <c r="K119" s="12">
        <v>0</v>
      </c>
      <c r="L119" s="19">
        <f>[1]!f_return($A119,"1",L$2,$E$1)</f>
        <v>7.764509595208513</v>
      </c>
      <c r="M119" s="19">
        <f>[1]!f_risk_stdevyearly($A119,L$2,$E$1,1,1)</f>
        <v>2.1478216742084029</v>
      </c>
      <c r="N119" s="12">
        <f>IFERROR(L119/M119,"-")</f>
        <v>3.6150625019044873</v>
      </c>
      <c r="O119" s="12" t="str">
        <f>IFERROR(RANK(N119,N:N)&amp;"/"&amp;COUNT(N:N),"-")</f>
        <v>15/197</v>
      </c>
      <c r="P119" s="26">
        <f>IF(O119="-","-",RANK(N119,N:N)/COUNT(N:N))</f>
        <v>7.6142131979695438E-2</v>
      </c>
      <c r="Q119" s="58">
        <v>0.29441624365482233</v>
      </c>
      <c r="R119" s="33">
        <f>IF(OR($C119&gt;20190630,$K119&gt;30,N119="-",$D119="是",$E119="封闭期",$H119&lt;10,$BN119&lt;-6,$BR119&lt;70),"-",COUNTIFS(N$4:N$200,"&lt;&gt;-",$D$4:$D$200,"&lt;&gt;是",$E$4:$E$200,"&lt;&gt;封闭期",$H$4:$H$200,"&gt;10",$BN$4:$BN$200,"&gt;-6",$BR$4:$BR$200,"&gt;=70",$K$4:$K$200,"&lt;=30",$C$4:$C$200,"&lt;20190630",N$4:N$200,"&gt;="&amp;N119)/COUNTIFS(N$4:N$200,"&lt;&gt;-",$D$4:$D$200,"&lt;&gt;是",$E$4:$E$200,"&lt;&gt;封闭期",$H$4:$H$200,"&gt;10",$BN$4:$BN$200,"&gt;-6",$BR$4:$BR$200,"&gt;=70",$C$4:$C$200,"&lt;20190630",$K$4:$K$200,"&lt;=30"))</f>
        <v>0.10256410256410256</v>
      </c>
      <c r="S119" s="12">
        <f>IFERROR((L119-3)/M119,"-")</f>
        <v>2.218298498623966</v>
      </c>
      <c r="T119" s="12" t="str">
        <f>IFERROR(RANK(S119,S:S)&amp;"/"&amp;COUNT(S:S),"-")</f>
        <v>9/197</v>
      </c>
      <c r="U119" s="26">
        <f>IFERROR(RANK(S119,S:S)/COUNT(S:S),"-")</f>
        <v>4.5685279187817257E-2</v>
      </c>
      <c r="V119" s="13" t="str">
        <f>IF(OR($C119&gt;20190630,$K119&gt;30,S119="-",$D119="是",$E119="封闭期",$H119&lt;10,$BN119&lt;-6,$BR119&lt;70),"-",COUNTIFS(S$4:S$200,"&lt;&gt;-",$D$4:$D$200,"&lt;&gt;是",$E$4:$E$200,"&lt;&gt;封闭期",$H$4:$H$200,"&gt;10",$BN$4:$BN$200,"&gt;-6",$BR$4:$BR$200,"&gt;=70",$K$4:$K$200,"&lt;=30",$C$4:$C$200,"&lt;20190630",S$4:S$200,"&gt;="&amp;S119)&amp;"/"&amp;COUNTIFS(S$4:S$200,"&lt;&gt;-",$D$4:$D$200,"&lt;&gt;是",$E$4:$E$200,"&lt;&gt;封闭期",$H$4:$H$200,"&gt;10",$BN$4:$BN$200,"&gt;-6",$BR$4:$BR$200,"&gt;=70",$C$4:$C$200,"&lt;20190630",$K$4:$K$200,"&lt;=30"))</f>
        <v>3/39</v>
      </c>
      <c r="W119" s="33">
        <f>IF(OR($C119&gt;20190630,$K119&gt;30,S119="-",$D119="是",$E119="封闭期",$H119&lt;10,$BN119&lt;-6,$BR119&lt;70),"-",COUNTIFS(S$4:S$200,"&lt;&gt;-",$D$4:$D$200,"&lt;&gt;是",$E$4:$E$200,"&lt;&gt;封闭期",$H$4:$H$200,"&gt;10",$BN$4:$BN$200,"&gt;-6",$BR$4:$BR$200,"&gt;=70",$K$4:$K$200,"&lt;=30",$C$4:$C$200,"&lt;20190630",S$4:S$200,"&gt;="&amp;S119)/COUNTIFS(S$4:S$200,"&lt;&gt;-",$D$4:$D$200,"&lt;&gt;是",$E$4:$E$200,"&lt;&gt;封闭期",$H$4:$H$200,"&gt;10",$BN$4:$BN$200,"&gt;-6",$BR$4:$BR$200,"&gt;=70",$C$4:$C$200,"&lt;20190630",$K$4:$K$200,"&lt;=30"))</f>
        <v>7.6923076923076927E-2</v>
      </c>
      <c r="X119" s="19">
        <f>[1]!f_risk_calmar(A119,$L$2,$E$1)</f>
        <v>5.3464194641293137</v>
      </c>
      <c r="Y119" s="12" t="str">
        <f>IFERROR(RANK(X119,X:X)&amp;"/"&amp;COUNT(X:X),"-")</f>
        <v>30/197</v>
      </c>
      <c r="Z119" s="26">
        <f>IFERROR(RANK(X119,X:X)/COUNT(X:X),"-")</f>
        <v>0.15228426395939088</v>
      </c>
      <c r="AA119" s="13" t="str">
        <f>IF(OR($C119&gt;20190630,$K119&gt;30,X119="-",$D119="是",$E119="封闭期",$H119&lt;10,$BN119&lt;-6,$BR119&lt;70),"-",COUNTIFS(X$4:X$200,"&lt;&gt;-",$D$4:$D$200,"&lt;&gt;是",$E$4:$E$200,"&lt;&gt;封闭期",$H$4:$H$200,"&gt;10",$BN$4:$BN$200,"&gt;-6",$BR$4:$BR$200,"&gt;=70",$K$4:$K$200,"&lt;=30",$C$4:$C$200,"&lt;20190630",X$4:X$200,"&gt;="&amp;X119)&amp;"/"&amp;COUNTIFS(X$4:X$200,"&lt;&gt;-",$D$4:$D$200,"&lt;&gt;是",$E$4:$E$200,"&lt;&gt;封闭期",$H$4:$H$200,"&gt;10",$BN$4:$BN$200,"&gt;-6",$BR$4:$BR$200,"&gt;=70",$C$4:$C$200,"&lt;20190630",$K$4:$K$200,"&lt;=30"))</f>
        <v>8/39</v>
      </c>
      <c r="AB119" s="33">
        <f>IF(OR($C119&gt;20190630,$K119&gt;30,X119="-",$D119="是",$E119="封闭期",$H119&lt;10,$BN119&lt;-6,$BR119&lt;70),"-",COUNTIFS(X$4:X$200,"&lt;&gt;-",$D$4:$D$200,"&lt;&gt;是",$E$4:$E$200,"&lt;&gt;封闭期",$H$4:$H$200,"&gt;10",$BN$4:$BN$200,"&gt;-6",$BR$4:$BR$200,"&gt;=70",$K$4:$K$200,"&lt;=30",$C$4:$C$200,"&lt;20190630",X$4:X$200,"&gt;="&amp;X119)/COUNTIFS(X$4:X$200,"&lt;&gt;-",$D$4:$D$200,"&lt;&gt;是",$E$4:$E$200,"&lt;&gt;封闭期",$H$4:$H$200,"&gt;10",$BN$4:$BN$200,"&gt;-6",$BR$4:$BR$200,"&gt;=70",$C$4:$C$200,"&lt;20190630",$K$4:$K$200,"&lt;=30"))</f>
        <v>0.20512820512820512</v>
      </c>
      <c r="AC119" s="20">
        <v>1</v>
      </c>
      <c r="AD119" s="12" t="str">
        <f>IFERROR(RANK(AC119,AC:AC)&amp;"/"&amp;COUNT(AC:AC),"-")</f>
        <v>1/197</v>
      </c>
      <c r="AE119" s="26">
        <f>IFERROR(RANK(AC119,AC:AC)/COUNT(AC:AC),"-")</f>
        <v>5.076142131979695E-3</v>
      </c>
      <c r="AF119" s="13" t="str">
        <f>IF(OR($C119&gt;20190630,$K119&gt;30,AC119="-",$D119="是",$E119="封闭期",$H119&lt;10,$BN119&lt;-6,$BR119&lt;70),"-",COUNTIFS(AC$4:AC$200,"&lt;&gt;-",$D$4:$D$200,"&lt;&gt;是",$E$4:$E$200,"&lt;&gt;封闭期",$H$4:$H$200,"&gt;10",$BN$4:$BN$200,"&gt;-6",$BR$4:$BR$200,"&gt;=70",$K$4:$K$200,"&lt;=30",$C$4:$C$200,"&lt;20190630",AC$4:AC$200,"&gt;="&amp;AC119)&amp;"/"&amp;COUNTIFS(AC$4:AC$200,"&lt;&gt;-",$D$4:$D$200,"&lt;&gt;是",$E$4:$E$200,"&lt;&gt;封闭期",$H$4:$H$200,"&gt;10",$BN$4:$BN$200,"&gt;-6",$BR$4:$BR$200,"&gt;=70",$C$4:$C$200,"&lt;20190630",$K$4:$K$200,"&lt;=30"))</f>
        <v>28/39</v>
      </c>
      <c r="AG119" s="33">
        <f>IF(OR($C119&gt;20190630,$K119&gt;30,AC119="-",$D119="是",$E119="封闭期",$H119&lt;10,$BN119&lt;-6,$BR119&lt;70),"-",COUNTIFS(AC$4:AC$200,"&lt;&gt;-",$D$4:$D$200,"&lt;&gt;是",$E$4:$E$200,"&lt;&gt;封闭期",$H$4:$H$200,"&gt;10",$BN$4:$BN$200,"&gt;-6",$BR$4:$BR$200,"&gt;=70",$K$4:$K$200,"&lt;=30",$C$4:$C$200,"&lt;20190630",AC$4:AC$200,"&gt;="&amp;AC119)/COUNTIFS(AC$4:AC$200,"&lt;&gt;-",$D$4:$D$200,"&lt;&gt;是",$E$4:$E$200,"&lt;&gt;封闭期",$H$4:$H$200,"&gt;10",$BN$4:$BN$200,"&gt;-6",$BR$4:$BR$200,"&gt;=70",$C$4:$C$200,"&lt;20190630",$K$4:$K$200,"&lt;=30"))</f>
        <v>0.71794871794871795</v>
      </c>
      <c r="AH119" s="21">
        <f>[1]!f_risk_maxdownside(A119,$L$2,$E$1)</f>
        <v>-1.4522821576763423</v>
      </c>
      <c r="AI119" s="19" t="str">
        <f>IFERROR(RANK(AH119,AH:AH)&amp;"/"&amp;COUNT(AH:AH),"-")</f>
        <v>42/197</v>
      </c>
      <c r="AJ119" s="26">
        <f>IFERROR(RANK(AH119,AH:AH)/COUNT(AH:AH),"-")</f>
        <v>0.21319796954314721</v>
      </c>
      <c r="AK119" s="34" t="str">
        <f>IF(OR($C119&gt;20190630,$K119&gt;30,AH119="-",$D119="是",$E119="封闭期",$H119&lt;10,$BN119&lt;-6,$BR119&lt;70),"-",COUNTIFS(AH$4:AH$200,"&lt;&gt;-",$D$4:$D$200,"&lt;&gt;是",$E$4:$E$200,"&lt;&gt;封闭期",$H$4:$H$200,"&gt;10",$BN$4:$BN$200,"&gt;-6",$BR$4:$BR$200,"&gt;=70",$K$4:$K$200,"&lt;=30",$C$4:$C$200,"&lt;20190630",AH$4:AH$200,"&gt;="&amp;AH119)&amp;"/"&amp;COUNTIFS(AH$4:AH$200,"&lt;&gt;-",$D$4:$D$200,"&lt;&gt;是",$E$4:$E$200,"&lt;&gt;封闭期",$H$4:$H$200,"&gt;10",$BN$4:$BN$200,"&gt;-6",$BR$4:$BR$200,"&gt;=70",$C$4:$C$200,"&lt;20190630",$K$4:$K$200,"&lt;=30"))</f>
        <v>8/39</v>
      </c>
      <c r="AL119" s="33">
        <f>IF(OR($C119&gt;20190630,$K119&gt;30,AH119="-",$D119="是",$E119="封闭期",$H119&lt;10,$BN119&lt;-6,$BR119&lt;70),"-",COUNTIFS(AH$4:AH$200,"&lt;&gt;-",$D$4:$D$200,"&lt;&gt;是",$E$4:$E$200,"&lt;&gt;封闭期",$H$4:$H$200,"&gt;10",$BN$4:$BN$200,"&gt;-6",$BR$4:$BR$200,"&gt;=70",$K$4:$K$200,"&lt;=30",$C$4:$C$200,"&lt;20190630",AH$4:AH$200,"&gt;="&amp;AH119)/COUNTIFS(AH$4:AH$200,"&lt;&gt;-",$D$4:$D$200,"&lt;&gt;是",$E$4:$E$200,"&lt;&gt;封闭期",$H$4:$H$200,"&gt;10",$BN$4:$BN$200,"&gt;-6",$BR$4:$BR$200,"&gt;=70",$C$4:$C$200,"&lt;20190630",$K$4:$K$200,"&lt;=30"))</f>
        <v>0.20512820512820512</v>
      </c>
      <c r="AM119" s="19">
        <f>[1]!f_return($A119,"1",AM$2,$L$2)</f>
        <v>6.3244194547705135</v>
      </c>
      <c r="AN119" s="19">
        <f>[1]!f_risk_stdevyearly($A119,AM$2,$L$2,1,1)</f>
        <v>3.2448545782843228</v>
      </c>
      <c r="AO119" s="12">
        <f>IFERROR(AM119/AN119,"-")</f>
        <v>1.9490609832242383</v>
      </c>
      <c r="AP119" s="12" t="str">
        <f>IFERROR(RANK(AO119,AO:AO)&amp;"/"&amp;COUNT(AO:AO),"-")</f>
        <v>55/197</v>
      </c>
      <c r="AQ119" s="26">
        <f>IF(AP119="-","-",RANK(AO119,AO:AO)/COUNT(AO:AO))</f>
        <v>0.27918781725888325</v>
      </c>
      <c r="AR119" s="60">
        <v>0.58883248730964466</v>
      </c>
      <c r="AS119" s="35">
        <f>IF(OR($C119&gt;20190630,$K119&gt;30,AO119="-",$D119="是",$E119="封闭期",$H119&lt;10,$BN119&lt;-6,$BR119&lt;70),"-",COUNTIFS(AO$4:AO$200,"&lt;&gt;-",$D$4:$D$200,"&lt;&gt;是",$E$4:$E$200,"&lt;&gt;封闭期",$H$4:$H$200,"&gt;10",$BN$4:$BN$200,"&gt;-6",$BR$4:$BR$200,"&gt;=70",$K$4:$K$200,"&lt;=30",$C$4:$C$200,"&lt;20190630",AO$4:AO$200,"&gt;="&amp;AO119)/COUNTIFS(AO$4:AO$200,"&lt;&gt;-",$D$4:$D$200,"&lt;&gt;是",$E$4:$E$200,"&lt;&gt;封闭期",$H$4:$H$200,"&gt;10",$BN$4:$BN$200,"&gt;-6",$BR$4:$BR$200,"&gt;=70",$C$4:$C$200,"&lt;20190630",$K$4:$K$200,"&lt;=30"))</f>
        <v>0.51282051282051277</v>
      </c>
      <c r="AT119" s="12">
        <f>IFERROR((AM119-3)/AN119,"-")</f>
        <v>1.0245203211936418</v>
      </c>
      <c r="AU119" s="12" t="str">
        <f>IFERROR(RANK(AT119,AT:AT)&amp;"/"&amp;COUNT(AT:AT),"-")</f>
        <v>84/197</v>
      </c>
      <c r="AV119" s="26">
        <f>IFERROR(RANK(AT119,AT:AT)/COUNT(AT:AT),"-")</f>
        <v>0.42639593908629442</v>
      </c>
      <c r="AW119" s="13" t="str">
        <f>IF(OR($C119&gt;20190630,$K119&gt;30,AT119="-",$D119="是",$E119="封闭期",$H119&lt;10,$BN119&lt;-6,$BR119&lt;70),"-",COUNTIFS(AT$4:AT$200,"&lt;&gt;-",$D$4:$D$200,"&lt;&gt;是",$E$4:$E$200,"&lt;&gt;封闭期",$H$4:$H$200,"&gt;10",$BN$4:$BN$200,"&gt;-6",$BR$4:$BR$200,"&gt;=70",$K$4:$K$200,"&lt;=30",$C$4:$C$200,"&lt;20190630",AT$4:AT$200,"&gt;="&amp;AT119)&amp;"/"&amp;COUNTIFS(AT$4:AT$200,"&lt;&gt;-",$D$4:$D$200,"&lt;&gt;是",$E$4:$E$200,"&lt;&gt;封闭期",$H$4:$H$200,"&gt;10",$BN$4:$BN$200,"&gt;-6",$BR$4:$BR$200,"&gt;=70",$C$4:$C$200,"&lt;20190630",$K$4:$K$200,"&lt;=30"))</f>
        <v>23/39</v>
      </c>
      <c r="AX119" s="33">
        <f>IF(OR($C119&gt;20190630,$K119&gt;30,AT119="-",$D119="是",$E119="封闭期",$H119&lt;10,$BN119&lt;-6,$BR119&lt;70),"-",COUNTIFS(AT$4:AT$200,"&lt;&gt;-",$D$4:$D$200,"&lt;&gt;是",$E$4:$E$200,"&lt;&gt;封闭期",$H$4:$H$200,"&gt;10",$BN$4:$BN$200,"&gt;-6",$BR$4:$BR$200,"&gt;=70",$K$4:$K$200,"&lt;=30",$C$4:$C$200,"&lt;20190630",AT$4:AT$200,"&gt;="&amp;AT119)/COUNTIFS(AT$4:AT$200,"&lt;&gt;-",$D$4:$D$200,"&lt;&gt;是",$E$4:$E$200,"&lt;&gt;封闭期",$H$4:$H$200,"&gt;10",$BN$4:$BN$200,"&gt;-6",$BR$4:$BR$200,"&gt;=70",$C$4:$C$200,"&lt;20190630",$K$4:$K$200,"&lt;=30"))</f>
        <v>0.58974358974358976</v>
      </c>
      <c r="AY119" s="19">
        <f>[1]!f_risk_calmar(A119,$AM$2,$L$2)</f>
        <v>2.8544213139197563</v>
      </c>
      <c r="AZ119" s="12" t="str">
        <f>IFERROR(RANK(AY119,AY:AY)&amp;"/"&amp;COUNT(AY:AY),"-")</f>
        <v>58/197</v>
      </c>
      <c r="BA119" s="26">
        <f>IFERROR(RANK(AY119,AY:AY)/COUNT(AY:AY),"-")</f>
        <v>0.29441624365482233</v>
      </c>
      <c r="BB119" s="13" t="str">
        <f>IF(OR($C119&gt;20190630,$K119&gt;30,AY119="-",$D119="是",$E119="封闭期",$H119&lt;10,$BN119&lt;-6,$BR119&lt;70),"-",COUNTIFS(AY$4:AY$200,"&lt;&gt;-",$D$4:$D$200,"&lt;&gt;是",$E$4:$E$200,"&lt;&gt;封闭期",$H$4:$H$200,"&gt;10",$BN$4:$BN$200,"&gt;-6",$BR$4:$BR$200,"&gt;=70",$K$4:$K$200,"&lt;=30",$C$4:$C$200,"&lt;20190630",AY$4:AY$200,"&gt;="&amp;AY119)&amp;"/"&amp;COUNTIFS(AY$4:AY$200,"&lt;&gt;-",$D$4:$D$200,"&lt;&gt;是",$E$4:$E$200,"&lt;&gt;封闭期",$H$4:$H$200,"&gt;10",$BN$4:$BN$200,"&gt;-6",$BR$4:$BR$200,"&gt;=70",$C$4:$C$200,"&lt;20190630",$K$4:$K$200,"&lt;=30"))</f>
        <v>20/39</v>
      </c>
      <c r="BC119" s="33">
        <f>IF(OR($C119&gt;20190630,$K119&gt;30,AY119="-",$D119="是",$E119="封闭期",$H119&lt;10,$BN119&lt;-6,$BR119&lt;70),"-",COUNTIFS(AY$4:AY$200,"&lt;&gt;-",$D$4:$D$200,"&lt;&gt;是",$E$4:$E$200,"&lt;&gt;封闭期",$H$4:$H$200,"&gt;10",$BN$4:$BN$200,"&gt;-6",$BR$4:$BR$200,"&gt;=70",$K$4:$K$200,"&lt;=30",$C$4:$C$200,"&lt;20190630",AY$4:AY$200,"&gt;="&amp;AY119)/COUNTIFS(AY$4:AY$200,"&lt;&gt;-",$D$4:$D$200,"&lt;&gt;是",$E$4:$E$200,"&lt;&gt;封闭期",$H$4:$H$200,"&gt;10",$BN$4:$BN$200,"&gt;-6",$BR$4:$BR$200,"&gt;=70",$C$4:$C$200,"&lt;20190630",$K$4:$K$200,"&lt;=30"))</f>
        <v>0.51282051282051277</v>
      </c>
      <c r="BD119" s="20">
        <v>1</v>
      </c>
      <c r="BE119" s="12" t="str">
        <f>IFERROR(RANK(BD119,BD:BD)&amp;"/"&amp;COUNT(BD:BD),"-")</f>
        <v>1/197</v>
      </c>
      <c r="BF119" s="26">
        <f>IFERROR(RANK(BD119,BD:BD)/COUNT(BD:BD),"-")</f>
        <v>5.076142131979695E-3</v>
      </c>
      <c r="BG119" s="13" t="str">
        <f>IF(OR($C119&gt;20190630,$K119&gt;30,BD119="-",$D119="是",$E119="封闭期",$H119&lt;10,$BN119&lt;-6,$BR119&lt;70),"-",COUNTIFS(BD$4:BD$200,"&lt;&gt;-",$D$4:$D$200,"&lt;&gt;是",$E$4:$E$200,"&lt;&gt;封闭期",$H$4:$H$200,"&gt;10",$BN$4:$BN$200,"&gt;-6",$BR$4:$BR$200,"&gt;=70",$K$4:$K$200,"&lt;=30",$C$4:$C$200,"&lt;20190630",BD$4:BD$200,"&gt;="&amp;BD119)&amp;"/"&amp;COUNTIFS(BD$4:BD$200,"&lt;&gt;-",$D$4:$D$200,"&lt;&gt;是",$E$4:$E$200,"&lt;&gt;封闭期",$H$4:$H$200,"&gt;10",$BN$4:$BN$200,"&gt;-6",$BR$4:$BR$200,"&gt;=70",$C$4:$C$200,"&lt;20190630",$K$4:$K$200,"&lt;=30"))</f>
        <v>35/39</v>
      </c>
      <c r="BH119" s="33">
        <f>IF(OR($C119&gt;20190630,$K119&gt;30,BD119="-",$D119="是",$E119="封闭期",$H119&lt;10,$BN119&lt;-6,$BR119&lt;70),"-",COUNTIFS(BD$4:BD$200,"&lt;&gt;-",$D$4:$D$200,"&lt;&gt;是",$E$4:$E$200,"&lt;&gt;封闭期",$H$4:$H$200,"&gt;10",$BN$4:$BN$200,"&gt;-6",$BR$4:$BR$200,"&gt;=70",$K$4:$K$200,"&lt;=30",$C$4:$C$200,"&lt;20190630",BD$4:BD$200,"&gt;="&amp;BD119)/COUNTIFS(BD$4:BD$200,"&lt;&gt;-",$D$4:$D$200,"&lt;&gt;是",$E$4:$E$200,"&lt;&gt;封闭期",$H$4:$H$200,"&gt;10",$BN$4:$BN$200,"&gt;-6",$BR$4:$BR$200,"&gt;=70",$C$4:$C$200,"&lt;20190630",$K$4:$K$200,"&lt;=30"))</f>
        <v>0.89743589743589747</v>
      </c>
      <c r="BI119" s="21">
        <f>[1]!f_risk_maxdownside(A119,$AM$2,$L$2)</f>
        <v>-2.2156573116691303</v>
      </c>
      <c r="BJ119" s="19" t="str">
        <f>IFERROR(RANK(BI119,BI:BI)&amp;"/"&amp;COUNT(BI:BI),"-")</f>
        <v>46/197</v>
      </c>
      <c r="BK119" s="26">
        <f>IFERROR(RANK(BI119,BI:BI)/COUNT(BI:BI),"-")</f>
        <v>0.233502538071066</v>
      </c>
      <c r="BL119" s="34" t="str">
        <f>IF(OR($C119&gt;20190630,$K119&gt;30,BI119="-",$D119="是",$E119="封闭期",$H119&lt;10,$BN119&lt;-6,$BR119&lt;70),"-",COUNTIFS(BI$4:BI$200,"&lt;&gt;-",$D$4:$D$200,"&lt;&gt;是",$E$4:$E$200,"&lt;&gt;封闭期",$H$4:$H$200,"&gt;10",$BN$4:$BN$200,"&gt;-6",$BR$4:$BR$200,"&gt;=70",$K$4:$K$200,"&lt;=30",$C$4:$C$200,"&lt;20190630",BI$4:BI$200,"&gt;="&amp;BI119)&amp;"/"&amp;COUNTIFS(BI$4:BI$200,"&lt;&gt;-",$D$4:$D$200,"&lt;&gt;是",$E$4:$E$200,"&lt;&gt;封闭期",$H$4:$H$200,"&gt;10",$BN$4:$BN$200,"&gt;-6",$BR$4:$BR$200,"&gt;=70",$C$4:$C$200,"&lt;20190630",$K$4:$K$200,"&lt;=30"))</f>
        <v>8/39</v>
      </c>
      <c r="BM119" s="33">
        <f>IF(OR($C119&gt;20190630,$K119&gt;30,BI119="-",$D119="是",$E119="封闭期",$H119&lt;10,$BN119&lt;-6,$BR119&lt;70),"-",COUNTIFS(BI$4:BI$200,"&lt;&gt;-",$D$4:$D$200,"&lt;&gt;是",$E$4:$E$200,"&lt;&gt;封闭期",$H$4:$H$200,"&gt;10",$BN$4:$BN$200,"&gt;-6",$BR$4:$BR$200,"&gt;=70",$K$4:$K$200,"&lt;=30",$C$4:$C$200,"&lt;20190630",BI$4:BI$200,"&gt;="&amp;BI119)/COUNTIFS(BI$4:BI$200,"&lt;&gt;-",$D$4:$D$200,"&lt;&gt;是",$E$4:$E$200,"&lt;&gt;封闭期",$H$4:$H$200,"&gt;10",$BN$4:$BN$200,"&gt;-6",$BR$4:$BR$200,"&gt;=70",$C$4:$C$200,"&lt;20190630",$K$4:$K$200,"&lt;=30"))</f>
        <v>0.20512820512820512</v>
      </c>
      <c r="BN119" s="21">
        <f>[1]!f_risk_maxdownside(A119,$AM$2,$E$1)</f>
        <v>-2.2156573116691303</v>
      </c>
      <c r="BO119" s="14">
        <f>IF(C119&lt;20190930,[1]!f_return_2y(A119,"0","20210930"),"-")</f>
        <v>14.559386973180091</v>
      </c>
      <c r="BP119" s="12" t="str">
        <f>IFERROR(RANK(BO119,BO:BO)&amp;"/"&amp;COUNT(BO:BO),"-")</f>
        <v>86/197</v>
      </c>
      <c r="BQ119" s="25">
        <f>IFERROR(RANK(BO119,BO:BO)/COUNT(BO:BO),"-")</f>
        <v>0.43654822335025378</v>
      </c>
      <c r="BR119" s="12">
        <f>IF(C119&lt;20190930,[1]!f_absolute_profitmonthper(A119,"20190930","20210930"),"-")</f>
        <v>83.333333333333343</v>
      </c>
      <c r="BS119" s="12" t="str">
        <f>IFERROR(RANK(BR119,BR:BR)&amp;"/"&amp;COUNT(BR:BR),"-")</f>
        <v>4/198</v>
      </c>
      <c r="BT119" s="25">
        <f>IFERROR(RANK(BR119,BR:BR)/COUNT(BR:BR),"-")</f>
        <v>2.0202020202020204E-2</v>
      </c>
      <c r="BV119" s="12">
        <f>X119-3/M119</f>
        <v>3.9496554608487928</v>
      </c>
      <c r="BW119" s="76">
        <f>IFERROR(RANK(BV119,BV:BV)/COUNT(BV:BV),"-")</f>
        <v>0.16243654822335024</v>
      </c>
      <c r="BX119" s="76">
        <f>IFERROR(RANK(L119,L:L)/COUNT(L:L),"-")</f>
        <v>0.29797979797979796</v>
      </c>
      <c r="BY119" s="12">
        <f>AY119-3/AN119</f>
        <v>1.9298806518891598</v>
      </c>
      <c r="BZ119" s="76">
        <f>IFERROR(RANK(BY119,BY:BY)/COUNT(BY:BY),"-")</f>
        <v>0.35532994923857869</v>
      </c>
      <c r="CA119" s="76">
        <f>IFERROR(RANK(AM119,AM:AM)/COUNT(AM:AM),"-")</f>
        <v>0.59090909090909094</v>
      </c>
      <c r="CB119" s="2"/>
      <c r="CC119" s="77">
        <f>AV119+BF119+BZ119+CA119</f>
        <v>1.3777111213659436</v>
      </c>
      <c r="CD119" s="77">
        <f>BW119+BX119+AE119+U119</f>
        <v>0.51117776752294519</v>
      </c>
      <c r="CE119" s="77">
        <f>CC119+CD119</f>
        <v>1.8888888888888888</v>
      </c>
    </row>
    <row r="120" spans="1:83" s="2" customFormat="1" x14ac:dyDescent="0.35">
      <c r="A120" s="3" t="s">
        <v>221</v>
      </c>
      <c r="B120" s="3" t="s">
        <v>222</v>
      </c>
      <c r="C120" s="4">
        <v>20160922</v>
      </c>
      <c r="D120" s="4" t="str">
        <f>[1]!f_info_regulopenfundornot(A120)</f>
        <v>否</v>
      </c>
      <c r="E120" s="4" t="str">
        <f>[1]!f_dq_status(A120,$E$1)</f>
        <v>开放申购|开放赎回</v>
      </c>
      <c r="F120" s="17" t="str">
        <f>[1]!f_info_fundmanager(A120)</f>
        <v>周博洋,贾丽杰</v>
      </c>
      <c r="G120" s="4">
        <v>20180126</v>
      </c>
      <c r="H120" s="11">
        <f>[1]!f_netasset_total(A120,$E$1,100000000)</f>
        <v>20.929110575799999</v>
      </c>
      <c r="I120" s="11">
        <f>[1]!f_prt_convertiblebondtonav(A120,$E$1)</f>
        <v>2.9992146492004395</v>
      </c>
      <c r="J120" s="11">
        <f>[1]!f_prt_stocktonav(A120,$E$1)+0.5*I120</f>
        <v>16.966816186904907</v>
      </c>
      <c r="K120" s="12">
        <v>8.6971684410933108</v>
      </c>
      <c r="L120" s="19">
        <f>[1]!f_return($A120,"1",L$2,$E$1)</f>
        <v>9.729210509444508</v>
      </c>
      <c r="M120" s="19">
        <f>[1]!f_risk_stdevyearly($A120,L$2,$E$1,1,1)</f>
        <v>6.2288438189168813</v>
      </c>
      <c r="N120" s="12">
        <f>IFERROR(L120/M120,"-")</f>
        <v>1.5619609019409155</v>
      </c>
      <c r="O120" s="12" t="str">
        <f>IFERROR(RANK(N120,N:N)&amp;"/"&amp;COUNT(N:N),"-")</f>
        <v>84/197</v>
      </c>
      <c r="P120" s="26">
        <f>IF(O120="-","-",RANK(N120,N:N)/COUNT(N:N))</f>
        <v>0.42639593908629442</v>
      </c>
      <c r="Q120" s="58">
        <v>0.16751269035532995</v>
      </c>
      <c r="R120" s="33">
        <f>IF(OR($C120&gt;20190630,$K120&gt;30,N120="-",$D120="是",$E120="封闭期",$H120&lt;10,$BN120&lt;-6,$BR120&lt;70),"-",COUNTIFS(N$4:N$200,"&lt;&gt;-",$D$4:$D$200,"&lt;&gt;是",$E$4:$E$200,"&lt;&gt;封闭期",$H$4:$H$200,"&gt;10",$BN$4:$BN$200,"&gt;-6",$BR$4:$BR$200,"&gt;=70",$K$4:$K$200,"&lt;=30",$C$4:$C$200,"&lt;20190630",N$4:N$200,"&gt;="&amp;N120)/COUNTIFS(N$4:N$200,"&lt;&gt;-",$D$4:$D$200,"&lt;&gt;是",$E$4:$E$200,"&lt;&gt;封闭期",$H$4:$H$200,"&gt;10",$BN$4:$BN$200,"&gt;-6",$BR$4:$BR$200,"&gt;=70",$C$4:$C$200,"&lt;20190630",$K$4:$K$200,"&lt;=30"))</f>
        <v>0.64102564102564108</v>
      </c>
      <c r="S120" s="12">
        <f>IFERROR((L120-3)/M120,"-")</f>
        <v>1.0803305886411894</v>
      </c>
      <c r="T120" s="12" t="str">
        <f>IFERROR(RANK(S120,S:S)&amp;"/"&amp;COUNT(S:S),"-")</f>
        <v>69/197</v>
      </c>
      <c r="U120" s="26">
        <f>IFERROR(RANK(S120,S:S)/COUNT(S:S),"-")</f>
        <v>0.35025380710659898</v>
      </c>
      <c r="V120" s="13" t="str">
        <f>IF(OR($C120&gt;20190630,$K120&gt;30,S120="-",$D120="是",$E120="封闭期",$H120&lt;10,$BN120&lt;-6,$BR120&lt;70),"-",COUNTIFS(S$4:S$200,"&lt;&gt;-",$D$4:$D$200,"&lt;&gt;是",$E$4:$E$200,"&lt;&gt;封闭期",$H$4:$H$200,"&gt;10",$BN$4:$BN$200,"&gt;-6",$BR$4:$BR$200,"&gt;=70",$K$4:$K$200,"&lt;=30",$C$4:$C$200,"&lt;20190630",S$4:S$200,"&gt;="&amp;S120)&amp;"/"&amp;COUNTIFS(S$4:S$200,"&lt;&gt;-",$D$4:$D$200,"&lt;&gt;是",$E$4:$E$200,"&lt;&gt;封闭期",$H$4:$H$200,"&gt;10",$BN$4:$BN$200,"&gt;-6",$BR$4:$BR$200,"&gt;=70",$C$4:$C$200,"&lt;20190630",$K$4:$K$200,"&lt;=30"))</f>
        <v>21/39</v>
      </c>
      <c r="W120" s="33">
        <f>IF(OR($C120&gt;20190630,$K120&gt;30,S120="-",$D120="是",$E120="封闭期",$H120&lt;10,$BN120&lt;-6,$BR120&lt;70),"-",COUNTIFS(S$4:S$200,"&lt;&gt;-",$D$4:$D$200,"&lt;&gt;是",$E$4:$E$200,"&lt;&gt;封闭期",$H$4:$H$200,"&gt;10",$BN$4:$BN$200,"&gt;-6",$BR$4:$BR$200,"&gt;=70",$K$4:$K$200,"&lt;=30",$C$4:$C$200,"&lt;20190630",S$4:S$200,"&gt;="&amp;S120)/COUNTIFS(S$4:S$200,"&lt;&gt;-",$D$4:$D$200,"&lt;&gt;是",$E$4:$E$200,"&lt;&gt;封闭期",$H$4:$H$200,"&gt;10",$BN$4:$BN$200,"&gt;-6",$BR$4:$BR$200,"&gt;=70",$C$4:$C$200,"&lt;20190630",$K$4:$K$200,"&lt;=30"))</f>
        <v>0.53846153846153844</v>
      </c>
      <c r="X120" s="19">
        <f>[1]!f_risk_calmar(A120,$L$2,$E$1)</f>
        <v>2.5344291227708231</v>
      </c>
      <c r="Y120" s="12" t="str">
        <f>IFERROR(RANK(X120,X:X)&amp;"/"&amp;COUNT(X:X),"-")</f>
        <v>70/197</v>
      </c>
      <c r="Z120" s="26">
        <f>IFERROR(RANK(X120,X:X)/COUNT(X:X),"-")</f>
        <v>0.35532994923857869</v>
      </c>
      <c r="AA120" s="13" t="str">
        <f>IF(OR($C120&gt;20190630,$K120&gt;30,X120="-",$D120="是",$E120="封闭期",$H120&lt;10,$BN120&lt;-6,$BR120&lt;70),"-",COUNTIFS(X$4:X$200,"&lt;&gt;-",$D$4:$D$200,"&lt;&gt;是",$E$4:$E$200,"&lt;&gt;封闭期",$H$4:$H$200,"&gt;10",$BN$4:$BN$200,"&gt;-6",$BR$4:$BR$200,"&gt;=70",$K$4:$K$200,"&lt;=30",$C$4:$C$200,"&lt;20190630",X$4:X$200,"&gt;="&amp;X120)&amp;"/"&amp;COUNTIFS(X$4:X$200,"&lt;&gt;-",$D$4:$D$200,"&lt;&gt;是",$E$4:$E$200,"&lt;&gt;封闭期",$H$4:$H$200,"&gt;10",$BN$4:$BN$200,"&gt;-6",$BR$4:$BR$200,"&gt;=70",$C$4:$C$200,"&lt;20190630",$K$4:$K$200,"&lt;=30"))</f>
        <v>22/39</v>
      </c>
      <c r="AB120" s="33">
        <f>IF(OR($C120&gt;20190630,$K120&gt;30,X120="-",$D120="是",$E120="封闭期",$H120&lt;10,$BN120&lt;-6,$BR120&lt;70),"-",COUNTIFS(X$4:X$200,"&lt;&gt;-",$D$4:$D$200,"&lt;&gt;是",$E$4:$E$200,"&lt;&gt;封闭期",$H$4:$H$200,"&gt;10",$BN$4:$BN$200,"&gt;-6",$BR$4:$BR$200,"&gt;=70",$K$4:$K$200,"&lt;=30",$C$4:$C$200,"&lt;20190630",X$4:X$200,"&gt;="&amp;X120)/COUNTIFS(X$4:X$200,"&lt;&gt;-",$D$4:$D$200,"&lt;&gt;是",$E$4:$E$200,"&lt;&gt;封闭期",$H$4:$H$200,"&gt;10",$BN$4:$BN$200,"&gt;-6",$BR$4:$BR$200,"&gt;=70",$C$4:$C$200,"&lt;20190630",$K$4:$K$200,"&lt;=30"))</f>
        <v>0.5641025641025641</v>
      </c>
      <c r="AC120" s="20">
        <v>1</v>
      </c>
      <c r="AD120" s="12" t="str">
        <f>IFERROR(RANK(AC120,AC:AC)&amp;"/"&amp;COUNT(AC:AC),"-")</f>
        <v>1/197</v>
      </c>
      <c r="AE120" s="26">
        <f>IFERROR(RANK(AC120,AC:AC)/COUNT(AC:AC),"-")</f>
        <v>5.076142131979695E-3</v>
      </c>
      <c r="AF120" s="13" t="str">
        <f>IF(OR($C120&gt;20190630,$K120&gt;30,AC120="-",$D120="是",$E120="封闭期",$H120&lt;10,$BN120&lt;-6,$BR120&lt;70),"-",COUNTIFS(AC$4:AC$200,"&lt;&gt;-",$D$4:$D$200,"&lt;&gt;是",$E$4:$E$200,"&lt;&gt;封闭期",$H$4:$H$200,"&gt;10",$BN$4:$BN$200,"&gt;-6",$BR$4:$BR$200,"&gt;=70",$K$4:$K$200,"&lt;=30",$C$4:$C$200,"&lt;20190630",AC$4:AC$200,"&gt;="&amp;AC120)&amp;"/"&amp;COUNTIFS(AC$4:AC$200,"&lt;&gt;-",$D$4:$D$200,"&lt;&gt;是",$E$4:$E$200,"&lt;&gt;封闭期",$H$4:$H$200,"&gt;10",$BN$4:$BN$200,"&gt;-6",$BR$4:$BR$200,"&gt;=70",$C$4:$C$200,"&lt;20190630",$K$4:$K$200,"&lt;=30"))</f>
        <v>28/39</v>
      </c>
      <c r="AG120" s="33">
        <f>IF(OR($C120&gt;20190630,$K120&gt;30,AC120="-",$D120="是",$E120="封闭期",$H120&lt;10,$BN120&lt;-6,$BR120&lt;70),"-",COUNTIFS(AC$4:AC$200,"&lt;&gt;-",$D$4:$D$200,"&lt;&gt;是",$E$4:$E$200,"&lt;&gt;封闭期",$H$4:$H$200,"&gt;10",$BN$4:$BN$200,"&gt;-6",$BR$4:$BR$200,"&gt;=70",$K$4:$K$200,"&lt;=30",$C$4:$C$200,"&lt;20190630",AC$4:AC$200,"&gt;="&amp;AC120)/COUNTIFS(AC$4:AC$200,"&lt;&gt;-",$D$4:$D$200,"&lt;&gt;是",$E$4:$E$200,"&lt;&gt;封闭期",$H$4:$H$200,"&gt;10",$BN$4:$BN$200,"&gt;-6",$BR$4:$BR$200,"&gt;=70",$C$4:$C$200,"&lt;20190630",$K$4:$K$200,"&lt;=30"))</f>
        <v>0.71794871794871795</v>
      </c>
      <c r="AH120" s="21">
        <f>[1]!f_risk_maxdownside(A120,$L$2,$E$1)</f>
        <v>-3.8388173581306639</v>
      </c>
      <c r="AI120" s="19" t="str">
        <f>IFERROR(RANK(AH120,AH:AH)&amp;"/"&amp;COUNT(AH:AH),"-")</f>
        <v>118/197</v>
      </c>
      <c r="AJ120" s="26">
        <f>IFERROR(RANK(AH120,AH:AH)/COUNT(AH:AH),"-")</f>
        <v>0.59898477157360408</v>
      </c>
      <c r="AK120" s="34" t="str">
        <f>IF(OR($C120&gt;20190630,$K120&gt;30,AH120="-",$D120="是",$E120="封闭期",$H120&lt;10,$BN120&lt;-6,$BR120&lt;70),"-",COUNTIFS(AH$4:AH$200,"&lt;&gt;-",$D$4:$D$200,"&lt;&gt;是",$E$4:$E$200,"&lt;&gt;封闭期",$H$4:$H$200,"&gt;10",$BN$4:$BN$200,"&gt;-6",$BR$4:$BR$200,"&gt;=70",$K$4:$K$200,"&lt;=30",$C$4:$C$200,"&lt;20190630",AH$4:AH$200,"&gt;="&amp;AH120)&amp;"/"&amp;COUNTIFS(AH$4:AH$200,"&lt;&gt;-",$D$4:$D$200,"&lt;&gt;是",$E$4:$E$200,"&lt;&gt;封闭期",$H$4:$H$200,"&gt;10",$BN$4:$BN$200,"&gt;-6",$BR$4:$BR$200,"&gt;=70",$C$4:$C$200,"&lt;20190630",$K$4:$K$200,"&lt;=30"))</f>
        <v>33/39</v>
      </c>
      <c r="AL120" s="33">
        <f>IF(OR($C120&gt;20190630,$K120&gt;30,AH120="-",$D120="是",$E120="封闭期",$H120&lt;10,$BN120&lt;-6,$BR120&lt;70),"-",COUNTIFS(AH$4:AH$200,"&lt;&gt;-",$D$4:$D$200,"&lt;&gt;是",$E$4:$E$200,"&lt;&gt;封闭期",$H$4:$H$200,"&gt;10",$BN$4:$BN$200,"&gt;-6",$BR$4:$BR$200,"&gt;=70",$K$4:$K$200,"&lt;=30",$C$4:$C$200,"&lt;20190630",AH$4:AH$200,"&gt;="&amp;AH120)/COUNTIFS(AH$4:AH$200,"&lt;&gt;-",$D$4:$D$200,"&lt;&gt;是",$E$4:$E$200,"&lt;&gt;封闭期",$H$4:$H$200,"&gt;10",$BN$4:$BN$200,"&gt;-6",$BR$4:$BR$200,"&gt;=70",$C$4:$C$200,"&lt;20190630",$K$4:$K$200,"&lt;=30"))</f>
        <v>0.84615384615384615</v>
      </c>
      <c r="AM120" s="19">
        <f>[1]!f_return($A120,"1",AM$2,$L$2)</f>
        <v>6.2972796686329158</v>
      </c>
      <c r="AN120" s="19">
        <f>[1]!f_risk_stdevyearly($A120,AM$2,$L$2,1,1)</f>
        <v>6.9646942078359988</v>
      </c>
      <c r="AO120" s="12">
        <f>IFERROR(AM120/AN120,"-")</f>
        <v>0.90417173830084707</v>
      </c>
      <c r="AP120" s="12" t="str">
        <f>IFERROR(RANK(AO120,AO:AO)&amp;"/"&amp;COUNT(AO:AO),"-")</f>
        <v>169/197</v>
      </c>
      <c r="AQ120" s="26">
        <f>IF(AP120="-","-",RANK(AO120,AO:AO)/COUNT(AO:AO))</f>
        <v>0.85786802030456855</v>
      </c>
      <c r="AR120" s="60">
        <v>0.59390862944162437</v>
      </c>
      <c r="AS120" s="35">
        <f>IF(OR($C120&gt;20190630,$K120&gt;30,AO120="-",$D120="是",$E120="封闭期",$H120&lt;10,$BN120&lt;-6,$BR120&lt;70),"-",COUNTIFS(AO$4:AO$200,"&lt;&gt;-",$D$4:$D$200,"&lt;&gt;是",$E$4:$E$200,"&lt;&gt;封闭期",$H$4:$H$200,"&gt;10",$BN$4:$BN$200,"&gt;-6",$BR$4:$BR$200,"&gt;=70",$K$4:$K$200,"&lt;=30",$C$4:$C$200,"&lt;20190630",AO$4:AO$200,"&gt;="&amp;AO120)/COUNTIFS(AO$4:AO$200,"&lt;&gt;-",$D$4:$D$200,"&lt;&gt;是",$E$4:$E$200,"&lt;&gt;封闭期",$H$4:$H$200,"&gt;10",$BN$4:$BN$200,"&gt;-6",$BR$4:$BR$200,"&gt;=70",$C$4:$C$200,"&lt;20190630",$K$4:$K$200,"&lt;=30"))</f>
        <v>1</v>
      </c>
      <c r="AT120" s="12">
        <f>IFERROR((AM120-3)/AN120,"-")</f>
        <v>0.47342777302744121</v>
      </c>
      <c r="AU120" s="12" t="str">
        <f>IFERROR(RANK(AT120,AT:AT)&amp;"/"&amp;COUNT(AT:AT),"-")</f>
        <v>140/197</v>
      </c>
      <c r="AV120" s="26">
        <f>IFERROR(RANK(AT120,AT:AT)/COUNT(AT:AT),"-")</f>
        <v>0.71065989847715738</v>
      </c>
      <c r="AW120" s="13" t="str">
        <f>IF(OR($C120&gt;20190630,$K120&gt;30,AT120="-",$D120="是",$E120="封闭期",$H120&lt;10,$BN120&lt;-6,$BR120&lt;70),"-",COUNTIFS(AT$4:AT$200,"&lt;&gt;-",$D$4:$D$200,"&lt;&gt;是",$E$4:$E$200,"&lt;&gt;封闭期",$H$4:$H$200,"&gt;10",$BN$4:$BN$200,"&gt;-6",$BR$4:$BR$200,"&gt;=70",$K$4:$K$200,"&lt;=30",$C$4:$C$200,"&lt;20190630",AT$4:AT$200,"&gt;="&amp;AT120)&amp;"/"&amp;COUNTIFS(AT$4:AT$200,"&lt;&gt;-",$D$4:$D$200,"&lt;&gt;是",$E$4:$E$200,"&lt;&gt;封闭期",$H$4:$H$200,"&gt;10",$BN$4:$BN$200,"&gt;-6",$BR$4:$BR$200,"&gt;=70",$C$4:$C$200,"&lt;20190630",$K$4:$K$200,"&lt;=30"))</f>
        <v>37/39</v>
      </c>
      <c r="AX120" s="33">
        <f>IF(OR($C120&gt;20190630,$K120&gt;30,AT120="-",$D120="是",$E120="封闭期",$H120&lt;10,$BN120&lt;-6,$BR120&lt;70),"-",COUNTIFS(AT$4:AT$200,"&lt;&gt;-",$D$4:$D$200,"&lt;&gt;是",$E$4:$E$200,"&lt;&gt;封闭期",$H$4:$H$200,"&gt;10",$BN$4:$BN$200,"&gt;-6",$BR$4:$BR$200,"&gt;=70",$K$4:$K$200,"&lt;=30",$C$4:$C$200,"&lt;20190630",AT$4:AT$200,"&gt;="&amp;AT120)/COUNTIFS(AT$4:AT$200,"&lt;&gt;-",$D$4:$D$200,"&lt;&gt;是",$E$4:$E$200,"&lt;&gt;封闭期",$H$4:$H$200,"&gt;10",$BN$4:$BN$200,"&gt;-6",$BR$4:$BR$200,"&gt;=70",$C$4:$C$200,"&lt;20190630",$K$4:$K$200,"&lt;=30"))</f>
        <v>0.94871794871794868</v>
      </c>
      <c r="AY120" s="19">
        <f>[1]!f_risk_calmar(A120,$AM$2,$L$2)</f>
        <v>1.1506847394501953</v>
      </c>
      <c r="AZ120" s="12" t="str">
        <f>IFERROR(RANK(AY120,AY:AY)&amp;"/"&amp;COUNT(AY:AY),"-")</f>
        <v>158/197</v>
      </c>
      <c r="BA120" s="26">
        <f>IFERROR(RANK(AY120,AY:AY)/COUNT(AY:AY),"-")</f>
        <v>0.80203045685279184</v>
      </c>
      <c r="BB120" s="13" t="str">
        <f>IF(OR($C120&gt;20190630,$K120&gt;30,AY120="-",$D120="是",$E120="封闭期",$H120&lt;10,$BN120&lt;-6,$BR120&lt;70),"-",COUNTIFS(AY$4:AY$200,"&lt;&gt;-",$D$4:$D$200,"&lt;&gt;是",$E$4:$E$200,"&lt;&gt;封闭期",$H$4:$H$200,"&gt;10",$BN$4:$BN$200,"&gt;-6",$BR$4:$BR$200,"&gt;=70",$K$4:$K$200,"&lt;=30",$C$4:$C$200,"&lt;20190630",AY$4:AY$200,"&gt;="&amp;AY120)&amp;"/"&amp;COUNTIFS(AY$4:AY$200,"&lt;&gt;-",$D$4:$D$200,"&lt;&gt;是",$E$4:$E$200,"&lt;&gt;封闭期",$H$4:$H$200,"&gt;10",$BN$4:$BN$200,"&gt;-6",$BR$4:$BR$200,"&gt;=70",$C$4:$C$200,"&lt;20190630",$K$4:$K$200,"&lt;=30"))</f>
        <v>39/39</v>
      </c>
      <c r="BC120" s="33">
        <f>IF(OR($C120&gt;20190630,$K120&gt;30,AY120="-",$D120="是",$E120="封闭期",$H120&lt;10,$BN120&lt;-6,$BR120&lt;70),"-",COUNTIFS(AY$4:AY$200,"&lt;&gt;-",$D$4:$D$200,"&lt;&gt;是",$E$4:$E$200,"&lt;&gt;封闭期",$H$4:$H$200,"&gt;10",$BN$4:$BN$200,"&gt;-6",$BR$4:$BR$200,"&gt;=70",$K$4:$K$200,"&lt;=30",$C$4:$C$200,"&lt;20190630",AY$4:AY$200,"&gt;="&amp;AY120)/COUNTIFS(AY$4:AY$200,"&lt;&gt;-",$D$4:$D$200,"&lt;&gt;是",$E$4:$E$200,"&lt;&gt;封闭期",$H$4:$H$200,"&gt;10",$BN$4:$BN$200,"&gt;-6",$BR$4:$BR$200,"&gt;=70",$C$4:$C$200,"&lt;20190630",$K$4:$K$200,"&lt;=30"))</f>
        <v>1</v>
      </c>
      <c r="BD120" s="20">
        <v>0.98333333333333328</v>
      </c>
      <c r="BE120" s="12" t="str">
        <f>IFERROR(RANK(BD120,BD:BD)&amp;"/"&amp;COUNT(BD:BD),"-")</f>
        <v>147/197</v>
      </c>
      <c r="BF120" s="26">
        <f>IFERROR(RANK(BD120,BD:BD)/COUNT(BD:BD),"-")</f>
        <v>0.74619289340101524</v>
      </c>
      <c r="BG120" s="13" t="str">
        <f>IF(OR($C120&gt;20190630,$K120&gt;30,BD120="-",$D120="是",$E120="封闭期",$H120&lt;10,$BN120&lt;-6,$BR120&lt;70),"-",COUNTIFS(BD$4:BD$200,"&lt;&gt;-",$D$4:$D$200,"&lt;&gt;是",$E$4:$E$200,"&lt;&gt;封闭期",$H$4:$H$200,"&gt;10",$BN$4:$BN$200,"&gt;-6",$BR$4:$BR$200,"&gt;=70",$K$4:$K$200,"&lt;=30",$C$4:$C$200,"&lt;20190630",BD$4:BD$200,"&gt;="&amp;BD120)&amp;"/"&amp;COUNTIFS(BD$4:BD$200,"&lt;&gt;-",$D$4:$D$200,"&lt;&gt;是",$E$4:$E$200,"&lt;&gt;封闭期",$H$4:$H$200,"&gt;10",$BN$4:$BN$200,"&gt;-6",$BR$4:$BR$200,"&gt;=70",$C$4:$C$200,"&lt;20190630",$K$4:$K$200,"&lt;=30"))</f>
        <v>38/39</v>
      </c>
      <c r="BH120" s="33">
        <f>IF(OR($C120&gt;20190630,$K120&gt;30,BD120="-",$D120="是",$E120="封闭期",$H120&lt;10,$BN120&lt;-6,$BR120&lt;70),"-",COUNTIFS(BD$4:BD$200,"&lt;&gt;-",$D$4:$D$200,"&lt;&gt;是",$E$4:$E$200,"&lt;&gt;封闭期",$H$4:$H$200,"&gt;10",$BN$4:$BN$200,"&gt;-6",$BR$4:$BR$200,"&gt;=70",$K$4:$K$200,"&lt;=30",$C$4:$C$200,"&lt;20190630",BD$4:BD$200,"&gt;="&amp;BD120)/COUNTIFS(BD$4:BD$200,"&lt;&gt;-",$D$4:$D$200,"&lt;&gt;是",$E$4:$E$200,"&lt;&gt;封闭期",$H$4:$H$200,"&gt;10",$BN$4:$BN$200,"&gt;-6",$BR$4:$BR$200,"&gt;=70",$C$4:$C$200,"&lt;20190630",$K$4:$K$200,"&lt;=30"))</f>
        <v>0.97435897435897434</v>
      </c>
      <c r="BI120" s="21">
        <f>[1]!f_risk_maxdownside(A120,$AM$2,$L$2)</f>
        <v>-5.4726368159204029</v>
      </c>
      <c r="BJ120" s="19" t="str">
        <f>IFERROR(RANK(BI120,BI:BI)&amp;"/"&amp;COUNT(BI:BI),"-")</f>
        <v>161/197</v>
      </c>
      <c r="BK120" s="26">
        <f>IFERROR(RANK(BI120,BI:BI)/COUNT(BI:BI),"-")</f>
        <v>0.81725888324873097</v>
      </c>
      <c r="BL120" s="34" t="str">
        <f>IF(OR($C120&gt;20190630,$K120&gt;30,BI120="-",$D120="是",$E120="封闭期",$H120&lt;10,$BN120&lt;-6,$BR120&lt;70),"-",COUNTIFS(BI$4:BI$200,"&lt;&gt;-",$D$4:$D$200,"&lt;&gt;是",$E$4:$E$200,"&lt;&gt;封闭期",$H$4:$H$200,"&gt;10",$BN$4:$BN$200,"&gt;-6",$BR$4:$BR$200,"&gt;=70",$K$4:$K$200,"&lt;=30",$C$4:$C$200,"&lt;20190630",BI$4:BI$200,"&gt;="&amp;BI120)&amp;"/"&amp;COUNTIFS(BI$4:BI$200,"&lt;&gt;-",$D$4:$D$200,"&lt;&gt;是",$E$4:$E$200,"&lt;&gt;封闭期",$H$4:$H$200,"&gt;10",$BN$4:$BN$200,"&gt;-6",$BR$4:$BR$200,"&gt;=70",$C$4:$C$200,"&lt;20190630",$K$4:$K$200,"&lt;=30"))</f>
        <v>38/39</v>
      </c>
      <c r="BM120" s="33">
        <f>IF(OR($C120&gt;20190630,$K120&gt;30,BI120="-",$D120="是",$E120="封闭期",$H120&lt;10,$BN120&lt;-6,$BR120&lt;70),"-",COUNTIFS(BI$4:BI$200,"&lt;&gt;-",$D$4:$D$200,"&lt;&gt;是",$E$4:$E$200,"&lt;&gt;封闭期",$H$4:$H$200,"&gt;10",$BN$4:$BN$200,"&gt;-6",$BR$4:$BR$200,"&gt;=70",$K$4:$K$200,"&lt;=30",$C$4:$C$200,"&lt;20190630",BI$4:BI$200,"&gt;="&amp;BI120)/COUNTIFS(BI$4:BI$200,"&lt;&gt;-",$D$4:$D$200,"&lt;&gt;是",$E$4:$E$200,"&lt;&gt;封闭期",$H$4:$H$200,"&gt;10",$BN$4:$BN$200,"&gt;-6",$BR$4:$BR$200,"&gt;=70",$C$4:$C$200,"&lt;20190630",$K$4:$K$200,"&lt;=30"))</f>
        <v>0.97435897435897434</v>
      </c>
      <c r="BN120" s="21">
        <f>[1]!f_risk_maxdownside(A120,$AM$2,$E$1)</f>
        <v>-5.4726368159204029</v>
      </c>
      <c r="BO120" s="14">
        <f>IF(C120&lt;20190930,[1]!f_return_2y(A120,"0","20210930"),"-")</f>
        <v>16.841727264565957</v>
      </c>
      <c r="BP120" s="12" t="str">
        <f>IFERROR(RANK(BO120,BO:BO)&amp;"/"&amp;COUNT(BO:BO),"-")</f>
        <v>69/197</v>
      </c>
      <c r="BQ120" s="25">
        <f>IFERROR(RANK(BO120,BO:BO)/COUNT(BO:BO),"-")</f>
        <v>0.35025380710659898</v>
      </c>
      <c r="BR120" s="12">
        <f>IF(C120&lt;20190930,[1]!f_absolute_profitmonthper(A120,"20190930","20210930"),"-")</f>
        <v>70.833333333333343</v>
      </c>
      <c r="BS120" s="12" t="str">
        <f>IFERROR(RANK(BR120,BR:BR)&amp;"/"&amp;COUNT(BR:BR),"-")</f>
        <v>55/198</v>
      </c>
      <c r="BT120" s="25">
        <f>IFERROR(RANK(BR120,BR:BR)/COUNT(BR:BR),"-")</f>
        <v>0.27777777777777779</v>
      </c>
      <c r="BU120" s="17"/>
      <c r="BV120" s="12">
        <f>X120-3/M120</f>
        <v>2.0527988094710969</v>
      </c>
      <c r="BW120" s="76">
        <f>IFERROR(RANK(BV120,BV:BV)/COUNT(BV:BV),"-")</f>
        <v>0.30964467005076141</v>
      </c>
      <c r="BX120" s="76">
        <f>IFERROR(RANK(L120,L:L)/COUNT(L:L),"-")</f>
        <v>0.17171717171717171</v>
      </c>
      <c r="BY120" s="12">
        <f>AY120-3/AN120</f>
        <v>0.71994077417678959</v>
      </c>
      <c r="BZ120" s="76">
        <f>IFERROR(RANK(BY120,BY:BY)/COUNT(BY:BY),"-")</f>
        <v>0.75126903553299496</v>
      </c>
      <c r="CA120" s="76">
        <f>IFERROR(RANK(AM120,AM:AM)/COUNT(AM:AM),"-")</f>
        <v>0.59595959595959591</v>
      </c>
      <c r="CC120" s="77">
        <f>AV120+BF120+BZ120+CA120</f>
        <v>2.8040814233707634</v>
      </c>
      <c r="CD120" s="77">
        <f>BW120+BX120+AE120+U120</f>
        <v>0.83669179100651181</v>
      </c>
      <c r="CE120" s="77">
        <f>CC120+CD120</f>
        <v>3.6407732143772753</v>
      </c>
    </row>
    <row r="121" spans="1:83" s="17" customFormat="1" x14ac:dyDescent="0.35">
      <c r="A121" s="3" t="s">
        <v>83</v>
      </c>
      <c r="B121" s="3" t="s">
        <v>84</v>
      </c>
      <c r="C121" s="4">
        <v>20090610</v>
      </c>
      <c r="D121" s="4" t="str">
        <f>[1]!f_info_regulopenfundornot(A121)</f>
        <v>否</v>
      </c>
      <c r="E121" s="4" t="str">
        <f>[1]!f_dq_status(A121,$E$1)</f>
        <v>开放申购|开放赎回</v>
      </c>
      <c r="F121" s="17" t="str">
        <f>[1]!f_info_fundmanager(A121)</f>
        <v>张明凯</v>
      </c>
      <c r="G121" s="4">
        <v>20190319</v>
      </c>
      <c r="H121" s="11">
        <f>[1]!f_netasset_total(A121,$E$1,100000000)</f>
        <v>42.144380172300004</v>
      </c>
      <c r="I121" s="11">
        <f>[1]!f_prt_convertiblebondtonav(A121,$E$1)</f>
        <v>6.1661076545715332</v>
      </c>
      <c r="J121" s="11">
        <f>[1]!f_prt_stocktonav(A121,$E$1)+0.5*I121</f>
        <v>14.83527684211731</v>
      </c>
      <c r="K121" s="12">
        <v>4.7470148850710183</v>
      </c>
      <c r="L121" s="19">
        <f>[1]!f_return($A121,"1",L$2,$E$1)</f>
        <v>7.0215211322524729</v>
      </c>
      <c r="M121" s="19">
        <f>[1]!f_risk_stdevyearly($A121,L$2,$E$1,1,1)</f>
        <v>4.3741914267855426</v>
      </c>
      <c r="N121" s="12">
        <f>IFERROR(L121/M121,"-")</f>
        <v>1.6052157866836594</v>
      </c>
      <c r="O121" s="12" t="str">
        <f>IFERROR(RANK(N121,N:N)&amp;"/"&amp;COUNT(N:N),"-")</f>
        <v>79/197</v>
      </c>
      <c r="P121" s="26">
        <f>IF(O121="-","-",RANK(N121,N:N)/COUNT(N:N))</f>
        <v>0.40101522842639592</v>
      </c>
      <c r="Q121" s="58">
        <v>0.38071065989847713</v>
      </c>
      <c r="R121" s="33">
        <f>IF(OR($C121&gt;20190630,$K121&gt;30,N121="-",$D121="是",$E121="封闭期",$H121&lt;10,$BN121&lt;-6,$BR121&lt;70),"-",COUNTIFS(N$4:N$200,"&lt;&gt;-",$D$4:$D$200,"&lt;&gt;是",$E$4:$E$200,"&lt;&gt;封闭期",$H$4:$H$200,"&gt;10",$BN$4:$BN$200,"&gt;-6",$BR$4:$BR$200,"&gt;=70",$K$4:$K$200,"&lt;=30",$C$4:$C$200,"&lt;20190630",N$4:N$200,"&gt;="&amp;N121)/COUNTIFS(N$4:N$200,"&lt;&gt;-",$D$4:$D$200,"&lt;&gt;是",$E$4:$E$200,"&lt;&gt;封闭期",$H$4:$H$200,"&gt;10",$BN$4:$BN$200,"&gt;-6",$BR$4:$BR$200,"&gt;=70",$C$4:$C$200,"&lt;20190630",$K$4:$K$200,"&lt;=30"))</f>
        <v>0.58974358974358976</v>
      </c>
      <c r="S121" s="12">
        <f>IFERROR((L121-3)/M121,"-")</f>
        <v>0.91937474606770098</v>
      </c>
      <c r="T121" s="12" t="str">
        <f>IFERROR(RANK(S121,S:S)&amp;"/"&amp;COUNT(S:S),"-")</f>
        <v>82/197</v>
      </c>
      <c r="U121" s="26">
        <f>IFERROR(RANK(S121,S:S)/COUNT(S:S),"-")</f>
        <v>0.41624365482233505</v>
      </c>
      <c r="V121" s="13" t="str">
        <f>IF(OR($C121&gt;20190630,$K121&gt;30,S121="-",$D121="是",$E121="封闭期",$H121&lt;10,$BN121&lt;-6,$BR121&lt;70),"-",COUNTIFS(S$4:S$200,"&lt;&gt;-",$D$4:$D$200,"&lt;&gt;是",$E$4:$E$200,"&lt;&gt;封闭期",$H$4:$H$200,"&gt;10",$BN$4:$BN$200,"&gt;-6",$BR$4:$BR$200,"&gt;=70",$K$4:$K$200,"&lt;=30",$C$4:$C$200,"&lt;20190630",S$4:S$200,"&gt;="&amp;S121)&amp;"/"&amp;COUNTIFS(S$4:S$200,"&lt;&gt;-",$D$4:$D$200,"&lt;&gt;是",$E$4:$E$200,"&lt;&gt;封闭期",$H$4:$H$200,"&gt;10",$BN$4:$BN$200,"&gt;-6",$BR$4:$BR$200,"&gt;=70",$C$4:$C$200,"&lt;20190630",$K$4:$K$200,"&lt;=30"))</f>
        <v>25/39</v>
      </c>
      <c r="W121" s="33">
        <f>IF(OR($C121&gt;20190630,$K121&gt;30,S121="-",$D121="是",$E121="封闭期",$H121&lt;10,$BN121&lt;-6,$BR121&lt;70),"-",COUNTIFS(S$4:S$200,"&lt;&gt;-",$D$4:$D$200,"&lt;&gt;是",$E$4:$E$200,"&lt;&gt;封闭期",$H$4:$H$200,"&gt;10",$BN$4:$BN$200,"&gt;-6",$BR$4:$BR$200,"&gt;=70",$K$4:$K$200,"&lt;=30",$C$4:$C$200,"&lt;20190630",S$4:S$200,"&gt;="&amp;S121)/COUNTIFS(S$4:S$200,"&lt;&gt;-",$D$4:$D$200,"&lt;&gt;是",$E$4:$E$200,"&lt;&gt;封闭期",$H$4:$H$200,"&gt;10",$BN$4:$BN$200,"&gt;-6",$BR$4:$BR$200,"&gt;=70",$C$4:$C$200,"&lt;20190630",$K$4:$K$200,"&lt;=30"))</f>
        <v>0.64102564102564108</v>
      </c>
      <c r="X121" s="19">
        <f>[1]!f_risk_calmar(A121,$L$2,$E$1)</f>
        <v>2.5047926346785214</v>
      </c>
      <c r="Y121" s="12" t="str">
        <f>IFERROR(RANK(X121,X:X)&amp;"/"&amp;COUNT(X:X),"-")</f>
        <v>73/197</v>
      </c>
      <c r="Z121" s="26">
        <f>IFERROR(RANK(X121,X:X)/COUNT(X:X),"-")</f>
        <v>0.37055837563451777</v>
      </c>
      <c r="AA121" s="13" t="str">
        <f>IF(OR($C121&gt;20190630,$K121&gt;30,X121="-",$D121="是",$E121="封闭期",$H121&lt;10,$BN121&lt;-6,$BR121&lt;70),"-",COUNTIFS(X$4:X$200,"&lt;&gt;-",$D$4:$D$200,"&lt;&gt;是",$E$4:$E$200,"&lt;&gt;封闭期",$H$4:$H$200,"&gt;10",$BN$4:$BN$200,"&gt;-6",$BR$4:$BR$200,"&gt;=70",$K$4:$K$200,"&lt;=30",$C$4:$C$200,"&lt;20190630",X$4:X$200,"&gt;="&amp;X121)&amp;"/"&amp;COUNTIFS(X$4:X$200,"&lt;&gt;-",$D$4:$D$200,"&lt;&gt;是",$E$4:$E$200,"&lt;&gt;封闭期",$H$4:$H$200,"&gt;10",$BN$4:$BN$200,"&gt;-6",$BR$4:$BR$200,"&gt;=70",$C$4:$C$200,"&lt;20190630",$K$4:$K$200,"&lt;=30"))</f>
        <v>23/39</v>
      </c>
      <c r="AB121" s="33">
        <f>IF(OR($C121&gt;20190630,$K121&gt;30,X121="-",$D121="是",$E121="封闭期",$H121&lt;10,$BN121&lt;-6,$BR121&lt;70),"-",COUNTIFS(X$4:X$200,"&lt;&gt;-",$D$4:$D$200,"&lt;&gt;是",$E$4:$E$200,"&lt;&gt;封闭期",$H$4:$H$200,"&gt;10",$BN$4:$BN$200,"&gt;-6",$BR$4:$BR$200,"&gt;=70",$K$4:$K$200,"&lt;=30",$C$4:$C$200,"&lt;20190630",X$4:X$200,"&gt;="&amp;X121)/COUNTIFS(X$4:X$200,"&lt;&gt;-",$D$4:$D$200,"&lt;&gt;是",$E$4:$E$200,"&lt;&gt;封闭期",$H$4:$H$200,"&gt;10",$BN$4:$BN$200,"&gt;-6",$BR$4:$BR$200,"&gt;=70",$C$4:$C$200,"&lt;20190630",$K$4:$K$200,"&lt;=30"))</f>
        <v>0.58974358974358976</v>
      </c>
      <c r="AC121" s="20">
        <v>1</v>
      </c>
      <c r="AD121" s="12" t="str">
        <f>IFERROR(RANK(AC121,AC:AC)&amp;"/"&amp;COUNT(AC:AC),"-")</f>
        <v>1/197</v>
      </c>
      <c r="AE121" s="26">
        <f>IFERROR(RANK(AC121,AC:AC)/COUNT(AC:AC),"-")</f>
        <v>5.076142131979695E-3</v>
      </c>
      <c r="AF121" s="13" t="str">
        <f>IF(OR($C121&gt;20190630,$K121&gt;30,AC121="-",$D121="是",$E121="封闭期",$H121&lt;10,$BN121&lt;-6,$BR121&lt;70),"-",COUNTIFS(AC$4:AC$200,"&lt;&gt;-",$D$4:$D$200,"&lt;&gt;是",$E$4:$E$200,"&lt;&gt;封闭期",$H$4:$H$200,"&gt;10",$BN$4:$BN$200,"&gt;-6",$BR$4:$BR$200,"&gt;=70",$K$4:$K$200,"&lt;=30",$C$4:$C$200,"&lt;20190630",AC$4:AC$200,"&gt;="&amp;AC121)&amp;"/"&amp;COUNTIFS(AC$4:AC$200,"&lt;&gt;-",$D$4:$D$200,"&lt;&gt;是",$E$4:$E$200,"&lt;&gt;封闭期",$H$4:$H$200,"&gt;10",$BN$4:$BN$200,"&gt;-6",$BR$4:$BR$200,"&gt;=70",$C$4:$C$200,"&lt;20190630",$K$4:$K$200,"&lt;=30"))</f>
        <v>28/39</v>
      </c>
      <c r="AG121" s="33">
        <f>IF(OR($C121&gt;20190630,$K121&gt;30,AC121="-",$D121="是",$E121="封闭期",$H121&lt;10,$BN121&lt;-6,$BR121&lt;70),"-",COUNTIFS(AC$4:AC$200,"&lt;&gt;-",$D$4:$D$200,"&lt;&gt;是",$E$4:$E$200,"&lt;&gt;封闭期",$H$4:$H$200,"&gt;10",$BN$4:$BN$200,"&gt;-6",$BR$4:$BR$200,"&gt;=70",$K$4:$K$200,"&lt;=30",$C$4:$C$200,"&lt;20190630",AC$4:AC$200,"&gt;="&amp;AC121)/COUNTIFS(AC$4:AC$200,"&lt;&gt;-",$D$4:$D$200,"&lt;&gt;是",$E$4:$E$200,"&lt;&gt;封闭期",$H$4:$H$200,"&gt;10",$BN$4:$BN$200,"&gt;-6",$BR$4:$BR$200,"&gt;=70",$C$4:$C$200,"&lt;20190630",$K$4:$K$200,"&lt;=30"))</f>
        <v>0.71794871794871795</v>
      </c>
      <c r="AH121" s="21">
        <f>[1]!f_risk_maxdownside(A121,$L$2,$E$1)</f>
        <v>-2.8032345013477147</v>
      </c>
      <c r="AI121" s="19" t="str">
        <f>IFERROR(RANK(AH121,AH:AH)&amp;"/"&amp;COUNT(AH:AH),"-")</f>
        <v>84/197</v>
      </c>
      <c r="AJ121" s="26">
        <f>IFERROR(RANK(AH121,AH:AH)/COUNT(AH:AH),"-")</f>
        <v>0.42639593908629442</v>
      </c>
      <c r="AK121" s="34" t="str">
        <f>IF(OR($C121&gt;20190630,$K121&gt;30,AH121="-",$D121="是",$E121="封闭期",$H121&lt;10,$BN121&lt;-6,$BR121&lt;70),"-",COUNTIFS(AH$4:AH$200,"&lt;&gt;-",$D$4:$D$200,"&lt;&gt;是",$E$4:$E$200,"&lt;&gt;封闭期",$H$4:$H$200,"&gt;10",$BN$4:$BN$200,"&gt;-6",$BR$4:$BR$200,"&gt;=70",$K$4:$K$200,"&lt;=30",$C$4:$C$200,"&lt;20190630",AH$4:AH$200,"&gt;="&amp;AH121)&amp;"/"&amp;COUNTIFS(AH$4:AH$200,"&lt;&gt;-",$D$4:$D$200,"&lt;&gt;是",$E$4:$E$200,"&lt;&gt;封闭期",$H$4:$H$200,"&gt;10",$BN$4:$BN$200,"&gt;-6",$BR$4:$BR$200,"&gt;=70",$C$4:$C$200,"&lt;20190630",$K$4:$K$200,"&lt;=30"))</f>
        <v>21/39</v>
      </c>
      <c r="AL121" s="33">
        <f>IF(OR($C121&gt;20190630,$K121&gt;30,AH121="-",$D121="是",$E121="封闭期",$H121&lt;10,$BN121&lt;-6,$BR121&lt;70),"-",COUNTIFS(AH$4:AH$200,"&lt;&gt;-",$D$4:$D$200,"&lt;&gt;是",$E$4:$E$200,"&lt;&gt;封闭期",$H$4:$H$200,"&gt;10",$BN$4:$BN$200,"&gt;-6",$BR$4:$BR$200,"&gt;=70",$K$4:$K$200,"&lt;=30",$C$4:$C$200,"&lt;20190630",AH$4:AH$200,"&gt;="&amp;AH121)/COUNTIFS(AH$4:AH$200,"&lt;&gt;-",$D$4:$D$200,"&lt;&gt;是",$E$4:$E$200,"&lt;&gt;封闭期",$H$4:$H$200,"&gt;10",$BN$4:$BN$200,"&gt;-6",$BR$4:$BR$200,"&gt;=70",$C$4:$C$200,"&lt;20190630",$K$4:$K$200,"&lt;=30"))</f>
        <v>0.53846153846153844</v>
      </c>
      <c r="AM121" s="19">
        <f>[1]!f_return($A121,"1",AM$2,$L$2)</f>
        <v>6.230466638830201</v>
      </c>
      <c r="AN121" s="19">
        <f>[1]!f_risk_stdevyearly($A121,AM$2,$L$2,1,1)</f>
        <v>6.8614885821275005</v>
      </c>
      <c r="AO121" s="12">
        <f>IFERROR(AM121/AN121,"-")</f>
        <v>0.90803425004000482</v>
      </c>
      <c r="AP121" s="12" t="str">
        <f>IFERROR(RANK(AO121,AO:AO)&amp;"/"&amp;COUNT(AO:AO),"-")</f>
        <v>168/197</v>
      </c>
      <c r="AQ121" s="26">
        <f>IF(AP121="-","-",RANK(AO121,AO:AO)/COUNT(AO:AO))</f>
        <v>0.85279187817258884</v>
      </c>
      <c r="AR121" s="60">
        <v>0.59898477157360408</v>
      </c>
      <c r="AS121" s="35">
        <f>IF(OR($C121&gt;20190630,$K121&gt;30,AO121="-",$D121="是",$E121="封闭期",$H121&lt;10,$BN121&lt;-6,$BR121&lt;70),"-",COUNTIFS(AO$4:AO$200,"&lt;&gt;-",$D$4:$D$200,"&lt;&gt;是",$E$4:$E$200,"&lt;&gt;封闭期",$H$4:$H$200,"&gt;10",$BN$4:$BN$200,"&gt;-6",$BR$4:$BR$200,"&gt;=70",$K$4:$K$200,"&lt;=30",$C$4:$C$200,"&lt;20190630",AO$4:AO$200,"&gt;="&amp;AO121)/COUNTIFS(AO$4:AO$200,"&lt;&gt;-",$D$4:$D$200,"&lt;&gt;是",$E$4:$E$200,"&lt;&gt;封闭期",$H$4:$H$200,"&gt;10",$BN$4:$BN$200,"&gt;-6",$BR$4:$BR$200,"&gt;=70",$C$4:$C$200,"&lt;20190630",$K$4:$K$200,"&lt;=30"))</f>
        <v>0.97435897435897434</v>
      </c>
      <c r="AT121" s="12">
        <f>IFERROR((AM121-3)/AN121,"-")</f>
        <v>0.47081134074095476</v>
      </c>
      <c r="AU121" s="12" t="str">
        <f>IFERROR(RANK(AT121,AT:AT)&amp;"/"&amp;COUNT(AT:AT),"-")</f>
        <v>141/197</v>
      </c>
      <c r="AV121" s="26">
        <f>IFERROR(RANK(AT121,AT:AT)/COUNT(AT:AT),"-")</f>
        <v>0.71573604060913709</v>
      </c>
      <c r="AW121" s="13" t="str">
        <f>IF(OR($C121&gt;20190630,$K121&gt;30,AT121="-",$D121="是",$E121="封闭期",$H121&lt;10,$BN121&lt;-6,$BR121&lt;70),"-",COUNTIFS(AT$4:AT$200,"&lt;&gt;-",$D$4:$D$200,"&lt;&gt;是",$E$4:$E$200,"&lt;&gt;封闭期",$H$4:$H$200,"&gt;10",$BN$4:$BN$200,"&gt;-6",$BR$4:$BR$200,"&gt;=70",$K$4:$K$200,"&lt;=30",$C$4:$C$200,"&lt;20190630",AT$4:AT$200,"&gt;="&amp;AT121)&amp;"/"&amp;COUNTIFS(AT$4:AT$200,"&lt;&gt;-",$D$4:$D$200,"&lt;&gt;是",$E$4:$E$200,"&lt;&gt;封闭期",$H$4:$H$200,"&gt;10",$BN$4:$BN$200,"&gt;-6",$BR$4:$BR$200,"&gt;=70",$C$4:$C$200,"&lt;20190630",$K$4:$K$200,"&lt;=30"))</f>
        <v>38/39</v>
      </c>
      <c r="AX121" s="33">
        <f>IF(OR($C121&gt;20190630,$K121&gt;30,AT121="-",$D121="是",$E121="封闭期",$H121&lt;10,$BN121&lt;-6,$BR121&lt;70),"-",COUNTIFS(AT$4:AT$200,"&lt;&gt;-",$D$4:$D$200,"&lt;&gt;是",$E$4:$E$200,"&lt;&gt;封闭期",$H$4:$H$200,"&gt;10",$BN$4:$BN$200,"&gt;-6",$BR$4:$BR$200,"&gt;=70",$K$4:$K$200,"&lt;=30",$C$4:$C$200,"&lt;20190630",AT$4:AT$200,"&gt;="&amp;AT121)/COUNTIFS(AT$4:AT$200,"&lt;&gt;-",$D$4:$D$200,"&lt;&gt;是",$E$4:$E$200,"&lt;&gt;封闭期",$H$4:$H$200,"&gt;10",$BN$4:$BN$200,"&gt;-6",$BR$4:$BR$200,"&gt;=70",$C$4:$C$200,"&lt;20190630",$K$4:$K$200,"&lt;=30"))</f>
        <v>0.97435897435897434</v>
      </c>
      <c r="AY121" s="19">
        <f>[1]!f_risk_calmar(A121,$AM$2,$L$2)</f>
        <v>1.4818407141001551</v>
      </c>
      <c r="AZ121" s="12" t="str">
        <f>IFERROR(RANK(AY121,AY:AY)&amp;"/"&amp;COUNT(AY:AY),"-")</f>
        <v>146/197</v>
      </c>
      <c r="BA121" s="26">
        <f>IFERROR(RANK(AY121,AY:AY)/COUNT(AY:AY),"-")</f>
        <v>0.74111675126903553</v>
      </c>
      <c r="BB121" s="13" t="str">
        <f>IF(OR($C121&gt;20190630,$K121&gt;30,AY121="-",$D121="是",$E121="封闭期",$H121&lt;10,$BN121&lt;-6,$BR121&lt;70),"-",COUNTIFS(AY$4:AY$200,"&lt;&gt;-",$D$4:$D$200,"&lt;&gt;是",$E$4:$E$200,"&lt;&gt;封闭期",$H$4:$H$200,"&gt;10",$BN$4:$BN$200,"&gt;-6",$BR$4:$BR$200,"&gt;=70",$K$4:$K$200,"&lt;=30",$C$4:$C$200,"&lt;20190630",AY$4:AY$200,"&gt;="&amp;AY121)&amp;"/"&amp;COUNTIFS(AY$4:AY$200,"&lt;&gt;-",$D$4:$D$200,"&lt;&gt;是",$E$4:$E$200,"&lt;&gt;封闭期",$H$4:$H$200,"&gt;10",$BN$4:$BN$200,"&gt;-6",$BR$4:$BR$200,"&gt;=70",$C$4:$C$200,"&lt;20190630",$K$4:$K$200,"&lt;=30"))</f>
        <v>37/39</v>
      </c>
      <c r="BC121" s="33">
        <f>IF(OR($C121&gt;20190630,$K121&gt;30,AY121="-",$D121="是",$E121="封闭期",$H121&lt;10,$BN121&lt;-6,$BR121&lt;70),"-",COUNTIFS(AY$4:AY$200,"&lt;&gt;-",$D$4:$D$200,"&lt;&gt;是",$E$4:$E$200,"&lt;&gt;封闭期",$H$4:$H$200,"&gt;10",$BN$4:$BN$200,"&gt;-6",$BR$4:$BR$200,"&gt;=70",$K$4:$K$200,"&lt;=30",$C$4:$C$200,"&lt;20190630",AY$4:AY$200,"&gt;="&amp;AY121)/COUNTIFS(AY$4:AY$200,"&lt;&gt;-",$D$4:$D$200,"&lt;&gt;是",$E$4:$E$200,"&lt;&gt;封闭期",$H$4:$H$200,"&gt;10",$BN$4:$BN$200,"&gt;-6",$BR$4:$BR$200,"&gt;=70",$C$4:$C$200,"&lt;20190630",$K$4:$K$200,"&lt;=30"))</f>
        <v>0.94871794871794868</v>
      </c>
      <c r="BD121" s="20">
        <v>0.97499999999999998</v>
      </c>
      <c r="BE121" s="12" t="str">
        <f>IFERROR(RANK(BD121,BD:BD)&amp;"/"&amp;COUNT(BD:BD),"-")</f>
        <v>154/197</v>
      </c>
      <c r="BF121" s="26">
        <f>IFERROR(RANK(BD121,BD:BD)/COUNT(BD:BD),"-")</f>
        <v>0.78172588832487311</v>
      </c>
      <c r="BG121" s="13" t="str">
        <f>IF(OR($C121&gt;20190630,$K121&gt;30,BD121="-",$D121="是",$E121="封闭期",$H121&lt;10,$BN121&lt;-6,$BR121&lt;70),"-",COUNTIFS(BD$4:BD$200,"&lt;&gt;-",$D$4:$D$200,"&lt;&gt;是",$E$4:$E$200,"&lt;&gt;封闭期",$H$4:$H$200,"&gt;10",$BN$4:$BN$200,"&gt;-6",$BR$4:$BR$200,"&gt;=70",$K$4:$K$200,"&lt;=30",$C$4:$C$200,"&lt;20190630",BD$4:BD$200,"&gt;="&amp;BD121)&amp;"/"&amp;COUNTIFS(BD$4:BD$200,"&lt;&gt;-",$D$4:$D$200,"&lt;&gt;是",$E$4:$E$200,"&lt;&gt;封闭期",$H$4:$H$200,"&gt;10",$BN$4:$BN$200,"&gt;-6",$BR$4:$BR$200,"&gt;=70",$C$4:$C$200,"&lt;20190630",$K$4:$K$200,"&lt;=30"))</f>
        <v>39/39</v>
      </c>
      <c r="BH121" s="33">
        <f>IF(OR($C121&gt;20190630,$K121&gt;30,BD121="-",$D121="是",$E121="封闭期",$H121&lt;10,$BN121&lt;-6,$BR121&lt;70),"-",COUNTIFS(BD$4:BD$200,"&lt;&gt;-",$D$4:$D$200,"&lt;&gt;是",$E$4:$E$200,"&lt;&gt;封闭期",$H$4:$H$200,"&gt;10",$BN$4:$BN$200,"&gt;-6",$BR$4:$BR$200,"&gt;=70",$K$4:$K$200,"&lt;=30",$C$4:$C$200,"&lt;20190630",BD$4:BD$200,"&gt;="&amp;BD121)/COUNTIFS(BD$4:BD$200,"&lt;&gt;-",$D$4:$D$200,"&lt;&gt;是",$E$4:$E$200,"&lt;&gt;封闭期",$H$4:$H$200,"&gt;10",$BN$4:$BN$200,"&gt;-6",$BR$4:$BR$200,"&gt;=70",$C$4:$C$200,"&lt;20190630",$K$4:$K$200,"&lt;=30"))</f>
        <v>1</v>
      </c>
      <c r="BI121" s="21">
        <f>[1]!f_risk_maxdownside(A121,$AM$2,$L$2)</f>
        <v>-4.2045454545454568</v>
      </c>
      <c r="BJ121" s="19" t="str">
        <f>IFERROR(RANK(BI121,BI:BI)&amp;"/"&amp;COUNT(BI:BI),"-")</f>
        <v>136/197</v>
      </c>
      <c r="BK121" s="26">
        <f>IFERROR(RANK(BI121,BI:BI)/COUNT(BI:BI),"-")</f>
        <v>0.69035532994923854</v>
      </c>
      <c r="BL121" s="34" t="str">
        <f>IF(OR($C121&gt;20190630,$K121&gt;30,BI121="-",$D121="是",$E121="封闭期",$H121&lt;10,$BN121&lt;-6,$BR121&lt;70),"-",COUNTIFS(BI$4:BI$200,"&lt;&gt;-",$D$4:$D$200,"&lt;&gt;是",$E$4:$E$200,"&lt;&gt;封闭期",$H$4:$H$200,"&gt;10",$BN$4:$BN$200,"&gt;-6",$BR$4:$BR$200,"&gt;=70",$K$4:$K$200,"&lt;=30",$C$4:$C$200,"&lt;20190630",BI$4:BI$200,"&gt;="&amp;BI121)&amp;"/"&amp;COUNTIFS(BI$4:BI$200,"&lt;&gt;-",$D$4:$D$200,"&lt;&gt;是",$E$4:$E$200,"&lt;&gt;封闭期",$H$4:$H$200,"&gt;10",$BN$4:$BN$200,"&gt;-6",$BR$4:$BR$200,"&gt;=70",$C$4:$C$200,"&lt;20190630",$K$4:$K$200,"&lt;=30"))</f>
        <v>32/39</v>
      </c>
      <c r="BM121" s="33">
        <f>IF(OR($C121&gt;20190630,$K121&gt;30,BI121="-",$D121="是",$E121="封闭期",$H121&lt;10,$BN121&lt;-6,$BR121&lt;70),"-",COUNTIFS(BI$4:BI$200,"&lt;&gt;-",$D$4:$D$200,"&lt;&gt;是",$E$4:$E$200,"&lt;&gt;封闭期",$H$4:$H$200,"&gt;10",$BN$4:$BN$200,"&gt;-6",$BR$4:$BR$200,"&gt;=70",$K$4:$K$200,"&lt;=30",$C$4:$C$200,"&lt;20190630",BI$4:BI$200,"&gt;="&amp;BI121)/COUNTIFS(BI$4:BI$200,"&lt;&gt;-",$D$4:$D$200,"&lt;&gt;是",$E$4:$E$200,"&lt;&gt;封闭期",$H$4:$H$200,"&gt;10",$BN$4:$BN$200,"&gt;-6",$BR$4:$BR$200,"&gt;=70",$C$4:$C$200,"&lt;20190630",$K$4:$K$200,"&lt;=30"))</f>
        <v>0.82051282051282048</v>
      </c>
      <c r="BN121" s="21">
        <f>[1]!f_risk_maxdownside(A121,$AM$2,$E$1)</f>
        <v>-4.2045454545454568</v>
      </c>
      <c r="BO121" s="14">
        <f>IF(C121&lt;20190930,[1]!f_return_2y(A121,"0","20210930"),"-")</f>
        <v>13.546703063374496</v>
      </c>
      <c r="BP121" s="12" t="str">
        <f>IFERROR(RANK(BO121,BO:BO)&amp;"/"&amp;COUNT(BO:BO),"-")</f>
        <v>97/197</v>
      </c>
      <c r="BQ121" s="25">
        <f>IFERROR(RANK(BO121,BO:BO)/COUNT(BO:BO),"-")</f>
        <v>0.49238578680203043</v>
      </c>
      <c r="BR121" s="12">
        <f>IF(C121&lt;20190930,[1]!f_absolute_profitmonthper(A121,"20190930","20210930"),"-")</f>
        <v>70.833333333333343</v>
      </c>
      <c r="BS121" s="12" t="str">
        <f>IFERROR(RANK(BR121,BR:BR)&amp;"/"&amp;COUNT(BR:BR),"-")</f>
        <v>55/198</v>
      </c>
      <c r="BT121" s="25">
        <f>IFERROR(RANK(BR121,BR:BR)/COUNT(BR:BR),"-")</f>
        <v>0.27777777777777779</v>
      </c>
      <c r="BV121" s="12">
        <f>X121-3/M121</f>
        <v>1.8189515940625631</v>
      </c>
      <c r="BW121" s="76">
        <f>IFERROR(RANK(BV121,BV:BV)/COUNT(BV:BV),"-")</f>
        <v>0.36548223350253806</v>
      </c>
      <c r="BX121" s="76">
        <f>IFERROR(RANK(L121,L:L)/COUNT(L:L),"-")</f>
        <v>0.38383838383838381</v>
      </c>
      <c r="BY121" s="12">
        <f>AY121-3/AN121</f>
        <v>1.044617804801105</v>
      </c>
      <c r="BZ121" s="76">
        <f>IFERROR(RANK(BY121,BY:BY)/COUNT(BY:BY),"-")</f>
        <v>0.6649746192893401</v>
      </c>
      <c r="CA121" s="76">
        <f>IFERROR(RANK(AM121,AM:AM)/COUNT(AM:AM),"-")</f>
        <v>0.60101010101010099</v>
      </c>
      <c r="CB121" s="2"/>
      <c r="CC121" s="77">
        <f>AV121+BF121+BZ121+CA121</f>
        <v>2.7634466492334511</v>
      </c>
      <c r="CD121" s="77">
        <f>BW121+BX121+AE121+U121</f>
        <v>1.1706404142952367</v>
      </c>
      <c r="CE121" s="77">
        <f>CC121+CD121</f>
        <v>3.934087063528688</v>
      </c>
    </row>
    <row r="122" spans="1:83" s="17" customFormat="1" hidden="1" x14ac:dyDescent="0.35">
      <c r="A122" s="15" t="s">
        <v>313</v>
      </c>
      <c r="B122" s="15" t="s">
        <v>314</v>
      </c>
      <c r="C122" s="16">
        <v>20170111</v>
      </c>
      <c r="D122" s="16" t="str">
        <f>[1]!f_info_regulopenfundornot(A122)</f>
        <v>否</v>
      </c>
      <c r="E122" s="16" t="str">
        <f>[1]!f_dq_status(A122,$E$1)</f>
        <v>开放申购|开放赎回</v>
      </c>
      <c r="F122" s="17" t="str">
        <f>[1]!f_info_fundmanager(A122)</f>
        <v>黄波</v>
      </c>
      <c r="G122" s="16">
        <v>20191009</v>
      </c>
      <c r="H122" s="18">
        <f>[1]!f_netasset_total(A122,$E$1,100000000)</f>
        <v>5.4754669254999992</v>
      </c>
      <c r="I122" s="18">
        <f>[1]!f_prt_convertiblebondtonav(A122,$E$1)</f>
        <v>17.676885604858398</v>
      </c>
      <c r="J122" s="18">
        <f>[1]!f_prt_stocktonav(A122,$E$1)+0.5*I122</f>
        <v>25.778199195861816</v>
      </c>
      <c r="K122" s="19">
        <v>10.9881039952599</v>
      </c>
      <c r="L122" s="19">
        <f>[1]!f_return($A122,"1",L$2,$E$1)</f>
        <v>8.2944144225373115</v>
      </c>
      <c r="M122" s="19">
        <f>[1]!f_risk_stdevyearly($A122,L$2,$E$1,1,1)</f>
        <v>3.984892972911966</v>
      </c>
      <c r="N122" s="19">
        <f>IFERROR(L122/M122,"-")</f>
        <v>2.0814647918827682</v>
      </c>
      <c r="O122" s="19" t="str">
        <f>IFERROR(RANK(N122,N:N)&amp;"/"&amp;COUNT(N:N),"-")</f>
        <v>43/197</v>
      </c>
      <c r="P122" s="26">
        <f>IF(O122="-","-",RANK(N122,N:N)/COUNT(N:N))</f>
        <v>0.21827411167512689</v>
      </c>
      <c r="Q122" s="56">
        <v>0.26395939086294418</v>
      </c>
      <c r="R122" s="33" t="str">
        <f>IF(OR($C122&gt;20190630,$K122&gt;30,N122="-",$D122="是",$E122="封闭期",$H122&lt;10,$BN122&lt;-6,$BR122&lt;70),"-",COUNTIFS(N$4:N$200,"&lt;&gt;-",$D$4:$D$200,"&lt;&gt;是",$E$4:$E$200,"&lt;&gt;封闭期",$H$4:$H$200,"&gt;10",$BN$4:$BN$200,"&gt;-6",$BR$4:$BR$200,"&gt;=70",$K$4:$K$200,"&lt;=30",$C$4:$C$200,"&lt;20190630",N$4:N$200,"&gt;="&amp;N122)/COUNTIFS(N$4:N$200,"&lt;&gt;-",$D$4:$D$200,"&lt;&gt;是",$E$4:$E$200,"&lt;&gt;封闭期",$H$4:$H$200,"&gt;10",$BN$4:$BN$200,"&gt;-6",$BR$4:$BR$200,"&gt;=70",$C$4:$C$200,"&lt;20190630",$K$4:$K$200,"&lt;=30"))</f>
        <v>-</v>
      </c>
      <c r="S122" s="19">
        <f>IFERROR((L122-3)/M122,"-")</f>
        <v>1.3286214858283663</v>
      </c>
      <c r="T122" s="19" t="str">
        <f>IFERROR(RANK(S122,S:S)&amp;"/"&amp;COUNT(S:S),"-")</f>
        <v>42/197</v>
      </c>
      <c r="U122" s="26">
        <f>IFERROR(RANK(S122,S:S)/COUNT(S:S),"-")</f>
        <v>0.21319796954314721</v>
      </c>
      <c r="V122" s="34" t="str">
        <f>IF(OR($C122&gt;20190630,$K122&gt;30,S122="-",$D122="是",$E122="封闭期",$H122&lt;10,$BN122&lt;-6,$BR122&lt;70),"-",COUNTIFS(S$4:S$200,"&lt;&gt;-",$D$4:$D$200,"&lt;&gt;是",$E$4:$E$200,"&lt;&gt;封闭期",$H$4:$H$200,"&gt;10",$BN$4:$BN$200,"&gt;-6",$BR$4:$BR$200,"&gt;=70",$K$4:$K$200,"&lt;=30",$C$4:$C$200,"&lt;20190630",S$4:S$200,"&gt;="&amp;S122)&amp;"/"&amp;COUNTIFS(S$4:S$200,"&lt;&gt;-",$D$4:$D$200,"&lt;&gt;是",$E$4:$E$200,"&lt;&gt;封闭期",$H$4:$H$200,"&gt;10",$BN$4:$BN$200,"&gt;-6",$BR$4:$BR$200,"&gt;=70",$C$4:$C$200,"&lt;20190630",$K$4:$K$200,"&lt;=30"))</f>
        <v>-</v>
      </c>
      <c r="W122" s="33" t="str">
        <f>IF(OR($C122&gt;20190630,$K122&gt;30,S122="-",$D122="是",$E122="封闭期",$H122&lt;10,$BN122&lt;-6,$BR122&lt;70),"-",COUNTIFS(S$4:S$200,"&lt;&gt;-",$D$4:$D$200,"&lt;&gt;是",$E$4:$E$200,"&lt;&gt;封闭期",$H$4:$H$200,"&gt;10",$BN$4:$BN$200,"&gt;-6",$BR$4:$BR$200,"&gt;=70",$K$4:$K$200,"&lt;=30",$C$4:$C$200,"&lt;20190630",S$4:S$200,"&gt;="&amp;S122)/COUNTIFS(S$4:S$200,"&lt;&gt;-",$D$4:$D$200,"&lt;&gt;是",$E$4:$E$200,"&lt;&gt;封闭期",$H$4:$H$200,"&gt;10",$BN$4:$BN$200,"&gt;-6",$BR$4:$BR$200,"&gt;=70",$C$4:$C$200,"&lt;20190630",$K$4:$K$200,"&lt;=30"))</f>
        <v>-</v>
      </c>
      <c r="X122" s="19">
        <f>[1]!f_risk_calmar(A122,$L$2,$E$1)</f>
        <v>3.6254340133387815</v>
      </c>
      <c r="Y122" s="19" t="str">
        <f>IFERROR(RANK(X122,X:X)&amp;"/"&amp;COUNT(X:X),"-")</f>
        <v>50/197</v>
      </c>
      <c r="Z122" s="26">
        <f>IFERROR(RANK(X122,X:X)/COUNT(X:X),"-")</f>
        <v>0.25380710659898476</v>
      </c>
      <c r="AA122" s="34" t="str">
        <f>IF(OR($C122&gt;20190630,$K122&gt;30,X122="-",$D122="是",$E122="封闭期",$H122&lt;10,$BN122&lt;-6,$BR122&lt;70),"-",COUNTIFS(X$4:X$200,"&lt;&gt;-",$D$4:$D$200,"&lt;&gt;是",$E$4:$E$200,"&lt;&gt;封闭期",$H$4:$H$200,"&gt;10",$BN$4:$BN$200,"&gt;-6",$BR$4:$BR$200,"&gt;=70",$K$4:$K$200,"&lt;=30",$C$4:$C$200,"&lt;20190630",X$4:X$200,"&gt;="&amp;X122)&amp;"/"&amp;COUNTIFS(X$4:X$200,"&lt;&gt;-",$D$4:$D$200,"&lt;&gt;是",$E$4:$E$200,"&lt;&gt;封闭期",$H$4:$H$200,"&gt;10",$BN$4:$BN$200,"&gt;-6",$BR$4:$BR$200,"&gt;=70",$C$4:$C$200,"&lt;20190630",$K$4:$K$200,"&lt;=30"))</f>
        <v>-</v>
      </c>
      <c r="AB122" s="33" t="str">
        <f>IF(OR($C122&gt;20190630,$K122&gt;30,X122="-",$D122="是",$E122="封闭期",$H122&lt;10,$BN122&lt;-6,$BR122&lt;70),"-",COUNTIFS(X$4:X$200,"&lt;&gt;-",$D$4:$D$200,"&lt;&gt;是",$E$4:$E$200,"&lt;&gt;封闭期",$H$4:$H$200,"&gt;10",$BN$4:$BN$200,"&gt;-6",$BR$4:$BR$200,"&gt;=70",$K$4:$K$200,"&lt;=30",$C$4:$C$200,"&lt;20190630",X$4:X$200,"&gt;="&amp;X122)/COUNTIFS(X$4:X$200,"&lt;&gt;-",$D$4:$D$200,"&lt;&gt;是",$E$4:$E$200,"&lt;&gt;封闭期",$H$4:$H$200,"&gt;10",$BN$4:$BN$200,"&gt;-6",$BR$4:$BR$200,"&gt;=70",$C$4:$C$200,"&lt;20190630",$K$4:$K$200,"&lt;=30"))</f>
        <v>-</v>
      </c>
      <c r="AC122" s="20">
        <v>0.94117647058823528</v>
      </c>
      <c r="AD122" s="19" t="str">
        <f>IFERROR(RANK(AC122,AC:AC)&amp;"/"&amp;COUNT(AC:AC),"-")</f>
        <v>115/197</v>
      </c>
      <c r="AE122" s="26">
        <f>IFERROR(RANK(AC122,AC:AC)/COUNT(AC:AC),"-")</f>
        <v>0.58375634517766495</v>
      </c>
      <c r="AF122" s="34" t="str">
        <f>IF(OR($C122&gt;20190630,$K122&gt;30,AC122="-",$D122="是",$E122="封闭期",$H122&lt;10,$BN122&lt;-6,$BR122&lt;70),"-",COUNTIFS(AC$4:AC$200,"&lt;&gt;-",$D$4:$D$200,"&lt;&gt;是",$E$4:$E$200,"&lt;&gt;封闭期",$H$4:$H$200,"&gt;10",$BN$4:$BN$200,"&gt;-6",$BR$4:$BR$200,"&gt;=70",$K$4:$K$200,"&lt;=30",$C$4:$C$200,"&lt;20190630",AC$4:AC$200,"&gt;="&amp;AC122)&amp;"/"&amp;COUNTIFS(AC$4:AC$200,"&lt;&gt;-",$D$4:$D$200,"&lt;&gt;是",$E$4:$E$200,"&lt;&gt;封闭期",$H$4:$H$200,"&gt;10",$BN$4:$BN$200,"&gt;-6",$BR$4:$BR$200,"&gt;=70",$C$4:$C$200,"&lt;20190630",$K$4:$K$200,"&lt;=30"))</f>
        <v>-</v>
      </c>
      <c r="AG122" s="33" t="str">
        <f>IF(OR($C122&gt;20190630,$K122&gt;30,AC122="-",$D122="是",$E122="封闭期",$H122&lt;10,$BN122&lt;-6,$BR122&lt;70),"-",COUNTIFS(AC$4:AC$200,"&lt;&gt;-",$D$4:$D$200,"&lt;&gt;是",$E$4:$E$200,"&lt;&gt;封闭期",$H$4:$H$200,"&gt;10",$BN$4:$BN$200,"&gt;-6",$BR$4:$BR$200,"&gt;=70",$K$4:$K$200,"&lt;=30",$C$4:$C$200,"&lt;20190630",AC$4:AC$200,"&gt;="&amp;AC122)/COUNTIFS(AC$4:AC$200,"&lt;&gt;-",$D$4:$D$200,"&lt;&gt;是",$E$4:$E$200,"&lt;&gt;封闭期",$H$4:$H$200,"&gt;10",$BN$4:$BN$200,"&gt;-6",$BR$4:$BR$200,"&gt;=70",$C$4:$C$200,"&lt;20190630",$K$4:$K$200,"&lt;=30"))</f>
        <v>-</v>
      </c>
      <c r="AH122" s="21">
        <f>[1]!f_risk_maxdownside(A122,$L$2,$E$1)</f>
        <v>-2.2878404053198342</v>
      </c>
      <c r="AI122" s="19" t="str">
        <f>IFERROR(RANK(AH122,AH:AH)&amp;"/"&amp;COUNT(AH:AH),"-")</f>
        <v>66/197</v>
      </c>
      <c r="AJ122" s="26">
        <f>IFERROR(RANK(AH122,AH:AH)/COUNT(AH:AH),"-")</f>
        <v>0.3350253807106599</v>
      </c>
      <c r="AK122" s="34" t="str">
        <f>IF(OR($C122&gt;20190630,$K122&gt;30,AH122="-",$D122="是",$E122="封闭期",$H122&lt;10,$BN122&lt;-6,$BR122&lt;70),"-",COUNTIFS(AH$4:AH$200,"&lt;&gt;-",$D$4:$D$200,"&lt;&gt;是",$E$4:$E$200,"&lt;&gt;封闭期",$H$4:$H$200,"&gt;10",$BN$4:$BN$200,"&gt;-6",$BR$4:$BR$200,"&gt;=70",$K$4:$K$200,"&lt;=30",$C$4:$C$200,"&lt;20190630",AH$4:AH$200,"&gt;="&amp;AH122)&amp;"/"&amp;COUNTIFS(AH$4:AH$200,"&lt;&gt;-",$D$4:$D$200,"&lt;&gt;是",$E$4:$E$200,"&lt;&gt;封闭期",$H$4:$H$200,"&gt;10",$BN$4:$BN$200,"&gt;-6",$BR$4:$BR$200,"&gt;=70",$C$4:$C$200,"&lt;20190630",$K$4:$K$200,"&lt;=30"))</f>
        <v>-</v>
      </c>
      <c r="AL122" s="33" t="str">
        <f>IF(OR($C122&gt;20190630,$K122&gt;30,AH122="-",$D122="是",$E122="封闭期",$H122&lt;10,$BN122&lt;-6,$BR122&lt;70),"-",COUNTIFS(AH$4:AH$200,"&lt;&gt;-",$D$4:$D$200,"&lt;&gt;是",$E$4:$E$200,"&lt;&gt;封闭期",$H$4:$H$200,"&gt;10",$BN$4:$BN$200,"&gt;-6",$BR$4:$BR$200,"&gt;=70",$K$4:$K$200,"&lt;=30",$C$4:$C$200,"&lt;20190630",AH$4:AH$200,"&gt;="&amp;AH122)/COUNTIFS(AH$4:AH$200,"&lt;&gt;-",$D$4:$D$200,"&lt;&gt;是",$E$4:$E$200,"&lt;&gt;封闭期",$H$4:$H$200,"&gt;10",$BN$4:$BN$200,"&gt;-6",$BR$4:$BR$200,"&gt;=70",$C$4:$C$200,"&lt;20190630",$K$4:$K$200,"&lt;=30"))</f>
        <v>-</v>
      </c>
      <c r="AM122" s="19">
        <f>[1]!f_return($A122,"1",AM$2,$L$2)</f>
        <v>6.1331865768076144</v>
      </c>
      <c r="AN122" s="19">
        <f>[1]!f_risk_stdevyearly($A122,AM$2,$L$2,1,1)</f>
        <v>3.906964755122571</v>
      </c>
      <c r="AO122" s="19">
        <f>IFERROR(AM122/AN122,"-")</f>
        <v>1.5698085243195907</v>
      </c>
      <c r="AP122" s="19" t="str">
        <f>IFERROR(RANK(AO122,AO:AO)&amp;"/"&amp;COUNT(AO:AO),"-")</f>
        <v>99/197</v>
      </c>
      <c r="AQ122" s="26">
        <f>IF(AP122="-","-",RANK(AO122,AO:AO)/COUNT(AO:AO))</f>
        <v>0.5025380710659898</v>
      </c>
      <c r="AR122" s="57">
        <v>0.60406091370558379</v>
      </c>
      <c r="AS122" s="33" t="str">
        <f>IF(OR($C122&gt;20190630,$K122&gt;30,AO122="-",$D122="是",$E122="封闭期",$H122&lt;10,$BN122&lt;-6,$BR122&lt;70),"-",COUNTIFS(AO$4:AO$200,"&lt;&gt;-",$D$4:$D$200,"&lt;&gt;是",$E$4:$E$200,"&lt;&gt;封闭期",$H$4:$H$200,"&gt;10",$BN$4:$BN$200,"&gt;-6",$BR$4:$BR$200,"&gt;=70",$K$4:$K$200,"&lt;=30",$C$4:$C$200,"&lt;20190630",AO$4:AO$200,"&gt;="&amp;AO122)/COUNTIFS(AO$4:AO$200,"&lt;&gt;-",$D$4:$D$200,"&lt;&gt;是",$E$4:$E$200,"&lt;&gt;封闭期",$H$4:$H$200,"&gt;10",$BN$4:$BN$200,"&gt;-6",$BR$4:$BR$200,"&gt;=70",$C$4:$C$200,"&lt;20190630",$K$4:$K$200,"&lt;=30"))</f>
        <v>-</v>
      </c>
      <c r="AT122" s="19">
        <f>IFERROR((AM122-3)/AN122,"-")</f>
        <v>0.80194902518625832</v>
      </c>
      <c r="AU122" s="19" t="str">
        <f>IFERROR(RANK(AT122,AT:AT)&amp;"/"&amp;COUNT(AT:AT),"-")</f>
        <v>109/197</v>
      </c>
      <c r="AV122" s="26">
        <f>IFERROR(RANK(AT122,AT:AT)/COUNT(AT:AT),"-")</f>
        <v>0.5532994923857868</v>
      </c>
      <c r="AW122" s="34" t="str">
        <f>IF(OR($C122&gt;20190630,$K122&gt;30,AT122="-",$D122="是",$E122="封闭期",$H122&lt;10,$BN122&lt;-6,$BR122&lt;70),"-",COUNTIFS(AT$4:AT$200,"&lt;&gt;-",$D$4:$D$200,"&lt;&gt;是",$E$4:$E$200,"&lt;&gt;封闭期",$H$4:$H$200,"&gt;10",$BN$4:$BN$200,"&gt;-6",$BR$4:$BR$200,"&gt;=70",$K$4:$K$200,"&lt;=30",$C$4:$C$200,"&lt;20190630",AT$4:AT$200,"&gt;="&amp;AT122)&amp;"/"&amp;COUNTIFS(AT$4:AT$200,"&lt;&gt;-",$D$4:$D$200,"&lt;&gt;是",$E$4:$E$200,"&lt;&gt;封闭期",$H$4:$H$200,"&gt;10",$BN$4:$BN$200,"&gt;-6",$BR$4:$BR$200,"&gt;=70",$C$4:$C$200,"&lt;20190630",$K$4:$K$200,"&lt;=30"))</f>
        <v>-</v>
      </c>
      <c r="AX122" s="33" t="str">
        <f>IF(OR($C122&gt;20190630,$K122&gt;30,AT122="-",$D122="是",$E122="封闭期",$H122&lt;10,$BN122&lt;-6,$BR122&lt;70),"-",COUNTIFS(AT$4:AT$200,"&lt;&gt;-",$D$4:$D$200,"&lt;&gt;是",$E$4:$E$200,"&lt;&gt;封闭期",$H$4:$H$200,"&gt;10",$BN$4:$BN$200,"&gt;-6",$BR$4:$BR$200,"&gt;=70",$K$4:$K$200,"&lt;=30",$C$4:$C$200,"&lt;20190630",AT$4:AT$200,"&gt;="&amp;AT122)/COUNTIFS(AT$4:AT$200,"&lt;&gt;-",$D$4:$D$200,"&lt;&gt;是",$E$4:$E$200,"&lt;&gt;封闭期",$H$4:$H$200,"&gt;10",$BN$4:$BN$200,"&gt;-6",$BR$4:$BR$200,"&gt;=70",$C$4:$C$200,"&lt;20190630",$K$4:$K$200,"&lt;=30"))</f>
        <v>-</v>
      </c>
      <c r="AY122" s="19">
        <f>[1]!f_risk_calmar(A122,$AM$2,$L$2)</f>
        <v>2.2503927128489747</v>
      </c>
      <c r="AZ122" s="19" t="str">
        <f>IFERROR(RANK(AY122,AY:AY)&amp;"/"&amp;COUNT(AY:AY),"-")</f>
        <v>93/197</v>
      </c>
      <c r="BA122" s="26">
        <f>IFERROR(RANK(AY122,AY:AY)/COUNT(AY:AY),"-")</f>
        <v>0.4720812182741117</v>
      </c>
      <c r="BB122" s="34" t="str">
        <f>IF(OR($C122&gt;20190630,$K122&gt;30,AY122="-",$D122="是",$E122="封闭期",$H122&lt;10,$BN122&lt;-6,$BR122&lt;70),"-",COUNTIFS(AY$4:AY$200,"&lt;&gt;-",$D$4:$D$200,"&lt;&gt;是",$E$4:$E$200,"&lt;&gt;封闭期",$H$4:$H$200,"&gt;10",$BN$4:$BN$200,"&gt;-6",$BR$4:$BR$200,"&gt;=70",$K$4:$K$200,"&lt;=30",$C$4:$C$200,"&lt;20190630",AY$4:AY$200,"&gt;="&amp;AY122)&amp;"/"&amp;COUNTIFS(AY$4:AY$200,"&lt;&gt;-",$D$4:$D$200,"&lt;&gt;是",$E$4:$E$200,"&lt;&gt;封闭期",$H$4:$H$200,"&gt;10",$BN$4:$BN$200,"&gt;-6",$BR$4:$BR$200,"&gt;=70",$C$4:$C$200,"&lt;20190630",$K$4:$K$200,"&lt;=30"))</f>
        <v>-</v>
      </c>
      <c r="BC122" s="33" t="str">
        <f>IF(OR($C122&gt;20190630,$K122&gt;30,AY122="-",$D122="是",$E122="封闭期",$H122&lt;10,$BN122&lt;-6,$BR122&lt;70),"-",COUNTIFS(AY$4:AY$200,"&lt;&gt;-",$D$4:$D$200,"&lt;&gt;是",$E$4:$E$200,"&lt;&gt;封闭期",$H$4:$H$200,"&gt;10",$BN$4:$BN$200,"&gt;-6",$BR$4:$BR$200,"&gt;=70",$K$4:$K$200,"&lt;=30",$C$4:$C$200,"&lt;20190630",AY$4:AY$200,"&gt;="&amp;AY122)/COUNTIFS(AY$4:AY$200,"&lt;&gt;-",$D$4:$D$200,"&lt;&gt;是",$E$4:$E$200,"&lt;&gt;封闭期",$H$4:$H$200,"&gt;10",$BN$4:$BN$200,"&gt;-6",$BR$4:$BR$200,"&gt;=70",$C$4:$C$200,"&lt;20190630",$K$4:$K$200,"&lt;=30"))</f>
        <v>-</v>
      </c>
      <c r="BD122" s="20">
        <v>0.95</v>
      </c>
      <c r="BE122" s="19" t="str">
        <f>IFERROR(RANK(BD122,BD:BD)&amp;"/"&amp;COUNT(BD:BD),"-")</f>
        <v>161/197</v>
      </c>
      <c r="BF122" s="26">
        <f>IFERROR(RANK(BD122,BD:BD)/COUNT(BD:BD),"-")</f>
        <v>0.81725888324873097</v>
      </c>
      <c r="BG122" s="34" t="str">
        <f>IF(OR($C122&gt;20190630,$K122&gt;30,BD122="-",$D122="是",$E122="封闭期",$H122&lt;10,$BN122&lt;-6,$BR122&lt;70),"-",COUNTIFS(BD$4:BD$200,"&lt;&gt;-",$D$4:$D$200,"&lt;&gt;是",$E$4:$E$200,"&lt;&gt;封闭期",$H$4:$H$200,"&gt;10",$BN$4:$BN$200,"&gt;-6",$BR$4:$BR$200,"&gt;=70",$K$4:$K$200,"&lt;=30",$C$4:$C$200,"&lt;20190630",BD$4:BD$200,"&gt;="&amp;BD122)&amp;"/"&amp;COUNTIFS(BD$4:BD$200,"&lt;&gt;-",$D$4:$D$200,"&lt;&gt;是",$E$4:$E$200,"&lt;&gt;封闭期",$H$4:$H$200,"&gt;10",$BN$4:$BN$200,"&gt;-6",$BR$4:$BR$200,"&gt;=70",$C$4:$C$200,"&lt;20190630",$K$4:$K$200,"&lt;=30"))</f>
        <v>-</v>
      </c>
      <c r="BH122" s="33" t="str">
        <f>IF(OR($C122&gt;20190630,$K122&gt;30,BD122="-",$D122="是",$E122="封闭期",$H122&lt;10,$BN122&lt;-6,$BR122&lt;70),"-",COUNTIFS(BD$4:BD$200,"&lt;&gt;-",$D$4:$D$200,"&lt;&gt;是",$E$4:$E$200,"&lt;&gt;封闭期",$H$4:$H$200,"&gt;10",$BN$4:$BN$200,"&gt;-6",$BR$4:$BR$200,"&gt;=70",$K$4:$K$200,"&lt;=30",$C$4:$C$200,"&lt;20190630",BD$4:BD$200,"&gt;="&amp;BD122)/COUNTIFS(BD$4:BD$200,"&lt;&gt;-",$D$4:$D$200,"&lt;&gt;是",$E$4:$E$200,"&lt;&gt;封闭期",$H$4:$H$200,"&gt;10",$BN$4:$BN$200,"&gt;-6",$BR$4:$BR$200,"&gt;=70",$C$4:$C$200,"&lt;20190630",$K$4:$K$200,"&lt;=30"))</f>
        <v>-</v>
      </c>
      <c r="BI122" s="21">
        <f>[1]!f_risk_maxdownside(A122,$AM$2,$L$2)</f>
        <v>-2.7253850147084155</v>
      </c>
      <c r="BJ122" s="19" t="str">
        <f>IFERROR(RANK(BI122,BI:BI)&amp;"/"&amp;COUNT(BI:BI),"-")</f>
        <v>73/197</v>
      </c>
      <c r="BK122" s="26">
        <f>IFERROR(RANK(BI122,BI:BI)/COUNT(BI:BI),"-")</f>
        <v>0.37055837563451777</v>
      </c>
      <c r="BL122" s="34" t="str">
        <f>IF(OR($C122&gt;20190630,$K122&gt;30,BI122="-",$D122="是",$E122="封闭期",$H122&lt;10,$BN122&lt;-6,$BR122&lt;70),"-",COUNTIFS(BI$4:BI$200,"&lt;&gt;-",$D$4:$D$200,"&lt;&gt;是",$E$4:$E$200,"&lt;&gt;封闭期",$H$4:$H$200,"&gt;10",$BN$4:$BN$200,"&gt;-6",$BR$4:$BR$200,"&gt;=70",$K$4:$K$200,"&lt;=30",$C$4:$C$200,"&lt;20190630",BI$4:BI$200,"&gt;="&amp;BI122)&amp;"/"&amp;COUNTIFS(BI$4:BI$200,"&lt;&gt;-",$D$4:$D$200,"&lt;&gt;是",$E$4:$E$200,"&lt;&gt;封闭期",$H$4:$H$200,"&gt;10",$BN$4:$BN$200,"&gt;-6",$BR$4:$BR$200,"&gt;=70",$C$4:$C$200,"&lt;20190630",$K$4:$K$200,"&lt;=30"))</f>
        <v>-</v>
      </c>
      <c r="BM122" s="33" t="str">
        <f>IF(OR($C122&gt;20190630,$K122&gt;30,BI122="-",$D122="是",$E122="封闭期",$H122&lt;10,$BN122&lt;-6,$BR122&lt;70),"-",COUNTIFS(BI$4:BI$200,"&lt;&gt;-",$D$4:$D$200,"&lt;&gt;是",$E$4:$E$200,"&lt;&gt;封闭期",$H$4:$H$200,"&gt;10",$BN$4:$BN$200,"&gt;-6",$BR$4:$BR$200,"&gt;=70",$K$4:$K$200,"&lt;=30",$C$4:$C$200,"&lt;20190630",BI$4:BI$200,"&gt;="&amp;BI122)/COUNTIFS(BI$4:BI$200,"&lt;&gt;-",$D$4:$D$200,"&lt;&gt;是",$E$4:$E$200,"&lt;&gt;封闭期",$H$4:$H$200,"&gt;10",$BN$4:$BN$200,"&gt;-6",$BR$4:$BR$200,"&gt;=70",$C$4:$C$200,"&lt;20190630",$K$4:$K$200,"&lt;=30"))</f>
        <v>-</v>
      </c>
      <c r="BN122" s="21">
        <f>[1]!f_risk_maxdownside(A122,$AM$2,$E$1)</f>
        <v>-2.7253850147084155</v>
      </c>
      <c r="BO122" s="21">
        <f>IF(C122&lt;20190930,[1]!f_return_2y(A122,"0","20210930"),"-")</f>
        <v>14.907407407407408</v>
      </c>
      <c r="BP122" s="19" t="str">
        <f>IFERROR(RANK(BO122,BO:BO)&amp;"/"&amp;COUNT(BO:BO),"-")</f>
        <v>81/197</v>
      </c>
      <c r="BQ122" s="25">
        <f>IFERROR(RANK(BO122,BO:BO)/COUNT(BO:BO),"-")</f>
        <v>0.41116751269035534</v>
      </c>
      <c r="BR122" s="19">
        <f>IF(C122&lt;20190930,[1]!f_absolute_profitmonthper(A122,"20190930","20210930"),"-")</f>
        <v>70.833333333333343</v>
      </c>
      <c r="BS122" s="19" t="str">
        <f>IFERROR(RANK(BR122,BR:BR)&amp;"/"&amp;COUNT(BR:BR),"-")</f>
        <v>55/198</v>
      </c>
      <c r="BT122" s="25">
        <f>IFERROR(RANK(BR122,BR:BR)/COUNT(BR:BR),"-")</f>
        <v>0.27777777777777779</v>
      </c>
      <c r="BV122" s="12">
        <f>X122-3/M122</f>
        <v>2.8725907072843793</v>
      </c>
      <c r="BW122" s="76">
        <f>IFERROR(RANK(BV122,BV:BV)/COUNT(BV:BV),"-")</f>
        <v>0.2233502538071066</v>
      </c>
      <c r="BX122" s="76">
        <f>IFERROR(RANK(L122,L:L)/COUNT(L:L),"-")</f>
        <v>0.26767676767676768</v>
      </c>
      <c r="BY122" s="12">
        <f>AY122-3/AN122</f>
        <v>1.4825332137156422</v>
      </c>
      <c r="BZ122" s="76">
        <f>IFERROR(RANK(BY122,BY:BY)/COUNT(BY:BY),"-")</f>
        <v>0.53299492385786806</v>
      </c>
      <c r="CA122" s="76">
        <f>IFERROR(RANK(AM122,AM:AM)/COUNT(AM:AM),"-")</f>
        <v>0.60606060606060608</v>
      </c>
      <c r="CB122" s="2"/>
      <c r="CC122" s="77">
        <f>AV122+BF122+BZ122+CA122</f>
        <v>2.5096139055529916</v>
      </c>
      <c r="CD122" s="77">
        <f>BW122+BX122+AE122+U122</f>
        <v>1.2879813362046864</v>
      </c>
      <c r="CE122" s="77">
        <f>CC122+CD122</f>
        <v>3.7975952417576782</v>
      </c>
    </row>
    <row r="123" spans="1:83" s="17" customFormat="1" hidden="1" x14ac:dyDescent="0.35">
      <c r="A123" s="15" t="s">
        <v>113</v>
      </c>
      <c r="B123" s="15" t="s">
        <v>114</v>
      </c>
      <c r="C123" s="16">
        <v>20120720</v>
      </c>
      <c r="D123" s="16" t="str">
        <f>[1]!f_info_regulopenfundornot(A123)</f>
        <v>否</v>
      </c>
      <c r="E123" s="16" t="str">
        <f>[1]!f_dq_status(A123,$E$1)</f>
        <v>开放申购|开放赎回</v>
      </c>
      <c r="F123" s="17" t="str">
        <f>[1]!f_info_fundmanager(A123)</f>
        <v>滕越</v>
      </c>
      <c r="G123" s="16">
        <v>20170729</v>
      </c>
      <c r="H123" s="18">
        <f>[1]!f_netasset_total(A123,$E$1,100000000)</f>
        <v>1.2254528133</v>
      </c>
      <c r="I123" s="18">
        <f>[1]!f_prt_convertiblebondtonav(A123,$E$1)</f>
        <v>2.3105370998382568</v>
      </c>
      <c r="J123" s="18">
        <f>[1]!f_prt_stocktonav(A123,$E$1)+0.5*I123</f>
        <v>5.2177828550338745</v>
      </c>
      <c r="K123" s="19">
        <v>41.305547998777442</v>
      </c>
      <c r="L123" s="19">
        <f>[1]!f_return($A123,"1",L$2,$E$1)</f>
        <v>3.7267911896886385</v>
      </c>
      <c r="M123" s="19">
        <f>[1]!f_risk_stdevyearly($A123,L$2,$E$1,1,1)</f>
        <v>1.8394079073102798</v>
      </c>
      <c r="N123" s="19">
        <f>IFERROR(L123/M123,"-")</f>
        <v>2.0260819663096004</v>
      </c>
      <c r="O123" s="19" t="str">
        <f>IFERROR(RANK(N123,N:N)&amp;"/"&amp;COUNT(N:N),"-")</f>
        <v>46/197</v>
      </c>
      <c r="P123" s="26">
        <f>IF(O123="-","-",RANK(N123,N:N)/COUNT(N:N))</f>
        <v>0.233502538071066</v>
      </c>
      <c r="Q123" s="56">
        <v>0.7766497461928934</v>
      </c>
      <c r="R123" s="33" t="str">
        <f>IF(OR($C123&gt;20190630,$K123&gt;30,N123="-",$D123="是",$E123="封闭期",$H123&lt;10,$BN123&lt;-6,$BR123&lt;70),"-",COUNTIFS(N$4:N$200,"&lt;&gt;-",$D$4:$D$200,"&lt;&gt;是",$E$4:$E$200,"&lt;&gt;封闭期",$H$4:$H$200,"&gt;10",$BN$4:$BN$200,"&gt;-6",$BR$4:$BR$200,"&gt;=70",$K$4:$K$200,"&lt;=30",$C$4:$C$200,"&lt;20190630",N$4:N$200,"&gt;="&amp;N123)/COUNTIFS(N$4:N$200,"&lt;&gt;-",$D$4:$D$200,"&lt;&gt;是",$E$4:$E$200,"&lt;&gt;封闭期",$H$4:$H$200,"&gt;10",$BN$4:$BN$200,"&gt;-6",$BR$4:$BR$200,"&gt;=70",$C$4:$C$200,"&lt;20190630",$K$4:$K$200,"&lt;=30"))</f>
        <v>-</v>
      </c>
      <c r="S123" s="19">
        <f>IFERROR((L123-3)/M123,"-")</f>
        <v>0.39512235801541545</v>
      </c>
      <c r="T123" s="19" t="str">
        <f>IFERROR(RANK(S123,S:S)&amp;"/"&amp;COUNT(S:S),"-")</f>
        <v>129/197</v>
      </c>
      <c r="U123" s="26">
        <f>IFERROR(RANK(S123,S:S)/COUNT(S:S),"-")</f>
        <v>0.65482233502538068</v>
      </c>
      <c r="V123" s="34" t="str">
        <f>IF(OR($C123&gt;20190630,$K123&gt;30,S123="-",$D123="是",$E123="封闭期",$H123&lt;10,$BN123&lt;-6,$BR123&lt;70),"-",COUNTIFS(S$4:S$200,"&lt;&gt;-",$D$4:$D$200,"&lt;&gt;是",$E$4:$E$200,"&lt;&gt;封闭期",$H$4:$H$200,"&gt;10",$BN$4:$BN$200,"&gt;-6",$BR$4:$BR$200,"&gt;=70",$K$4:$K$200,"&lt;=30",$C$4:$C$200,"&lt;20190630",S$4:S$200,"&gt;="&amp;S123)&amp;"/"&amp;COUNTIFS(S$4:S$200,"&lt;&gt;-",$D$4:$D$200,"&lt;&gt;是",$E$4:$E$200,"&lt;&gt;封闭期",$H$4:$H$200,"&gt;10",$BN$4:$BN$200,"&gt;-6",$BR$4:$BR$200,"&gt;=70",$C$4:$C$200,"&lt;20190630",$K$4:$K$200,"&lt;=30"))</f>
        <v>-</v>
      </c>
      <c r="W123" s="33" t="str">
        <f>IF(OR($C123&gt;20190630,$K123&gt;30,S123="-",$D123="是",$E123="封闭期",$H123&lt;10,$BN123&lt;-6,$BR123&lt;70),"-",COUNTIFS(S$4:S$200,"&lt;&gt;-",$D$4:$D$200,"&lt;&gt;是",$E$4:$E$200,"&lt;&gt;封闭期",$H$4:$H$200,"&gt;10",$BN$4:$BN$200,"&gt;-6",$BR$4:$BR$200,"&gt;=70",$K$4:$K$200,"&lt;=30",$C$4:$C$200,"&lt;20190630",S$4:S$200,"&gt;="&amp;S123)/COUNTIFS(S$4:S$200,"&lt;&gt;-",$D$4:$D$200,"&lt;&gt;是",$E$4:$E$200,"&lt;&gt;封闭期",$H$4:$H$200,"&gt;10",$BN$4:$BN$200,"&gt;-6",$BR$4:$BR$200,"&gt;=70",$C$4:$C$200,"&lt;20190630",$K$4:$K$200,"&lt;=30"))</f>
        <v>-</v>
      </c>
      <c r="X123" s="19">
        <f>[1]!f_risk_calmar(A123,$L$2,$E$1)</f>
        <v>3.3416894334207856</v>
      </c>
      <c r="Y123" s="19" t="str">
        <f>IFERROR(RANK(X123,X:X)&amp;"/"&amp;COUNT(X:X),"-")</f>
        <v>53/197</v>
      </c>
      <c r="Z123" s="26">
        <f>IFERROR(RANK(X123,X:X)/COUNT(X:X),"-")</f>
        <v>0.26903553299492383</v>
      </c>
      <c r="AA123" s="34" t="str">
        <f>IF(OR($C123&gt;20190630,$K123&gt;30,X123="-",$D123="是",$E123="封闭期",$H123&lt;10,$BN123&lt;-6,$BR123&lt;70),"-",COUNTIFS(X$4:X$200,"&lt;&gt;-",$D$4:$D$200,"&lt;&gt;是",$E$4:$E$200,"&lt;&gt;封闭期",$H$4:$H$200,"&gt;10",$BN$4:$BN$200,"&gt;-6",$BR$4:$BR$200,"&gt;=70",$K$4:$K$200,"&lt;=30",$C$4:$C$200,"&lt;20190630",X$4:X$200,"&gt;="&amp;X123)&amp;"/"&amp;COUNTIFS(X$4:X$200,"&lt;&gt;-",$D$4:$D$200,"&lt;&gt;是",$E$4:$E$200,"&lt;&gt;封闭期",$H$4:$H$200,"&gt;10",$BN$4:$BN$200,"&gt;-6",$BR$4:$BR$200,"&gt;=70",$C$4:$C$200,"&lt;20190630",$K$4:$K$200,"&lt;=30"))</f>
        <v>-</v>
      </c>
      <c r="AB123" s="33" t="str">
        <f>IF(OR($C123&gt;20190630,$K123&gt;30,X123="-",$D123="是",$E123="封闭期",$H123&lt;10,$BN123&lt;-6,$BR123&lt;70),"-",COUNTIFS(X$4:X$200,"&lt;&gt;-",$D$4:$D$200,"&lt;&gt;是",$E$4:$E$200,"&lt;&gt;封闭期",$H$4:$H$200,"&gt;10",$BN$4:$BN$200,"&gt;-6",$BR$4:$BR$200,"&gt;=70",$K$4:$K$200,"&lt;=30",$C$4:$C$200,"&lt;20190630",X$4:X$200,"&gt;="&amp;X123)/COUNTIFS(X$4:X$200,"&lt;&gt;-",$D$4:$D$200,"&lt;&gt;是",$E$4:$E$200,"&lt;&gt;封闭期",$H$4:$H$200,"&gt;10",$BN$4:$BN$200,"&gt;-6",$BR$4:$BR$200,"&gt;=70",$C$4:$C$200,"&lt;20190630",$K$4:$K$200,"&lt;=30"))</f>
        <v>-</v>
      </c>
      <c r="AC123" s="20">
        <v>1</v>
      </c>
      <c r="AD123" s="19" t="str">
        <f>IFERROR(RANK(AC123,AC:AC)&amp;"/"&amp;COUNT(AC:AC),"-")</f>
        <v>1/197</v>
      </c>
      <c r="AE123" s="26">
        <f>IFERROR(RANK(AC123,AC:AC)/COUNT(AC:AC),"-")</f>
        <v>5.076142131979695E-3</v>
      </c>
      <c r="AF123" s="34" t="str">
        <f>IF(OR($C123&gt;20190630,$K123&gt;30,AC123="-",$D123="是",$E123="封闭期",$H123&lt;10,$BN123&lt;-6,$BR123&lt;70),"-",COUNTIFS(AC$4:AC$200,"&lt;&gt;-",$D$4:$D$200,"&lt;&gt;是",$E$4:$E$200,"&lt;&gt;封闭期",$H$4:$H$200,"&gt;10",$BN$4:$BN$200,"&gt;-6",$BR$4:$BR$200,"&gt;=70",$K$4:$K$200,"&lt;=30",$C$4:$C$200,"&lt;20190630",AC$4:AC$200,"&gt;="&amp;AC123)&amp;"/"&amp;COUNTIFS(AC$4:AC$200,"&lt;&gt;-",$D$4:$D$200,"&lt;&gt;是",$E$4:$E$200,"&lt;&gt;封闭期",$H$4:$H$200,"&gt;10",$BN$4:$BN$200,"&gt;-6",$BR$4:$BR$200,"&gt;=70",$C$4:$C$200,"&lt;20190630",$K$4:$K$200,"&lt;=30"))</f>
        <v>-</v>
      </c>
      <c r="AG123" s="33" t="str">
        <f>IF(OR($C123&gt;20190630,$K123&gt;30,AC123="-",$D123="是",$E123="封闭期",$H123&lt;10,$BN123&lt;-6,$BR123&lt;70),"-",COUNTIFS(AC$4:AC$200,"&lt;&gt;-",$D$4:$D$200,"&lt;&gt;是",$E$4:$E$200,"&lt;&gt;封闭期",$H$4:$H$200,"&gt;10",$BN$4:$BN$200,"&gt;-6",$BR$4:$BR$200,"&gt;=70",$K$4:$K$200,"&lt;=30",$C$4:$C$200,"&lt;20190630",AC$4:AC$200,"&gt;="&amp;AC123)/COUNTIFS(AC$4:AC$200,"&lt;&gt;-",$D$4:$D$200,"&lt;&gt;是",$E$4:$E$200,"&lt;&gt;封闭期",$H$4:$H$200,"&gt;10",$BN$4:$BN$200,"&gt;-6",$BR$4:$BR$200,"&gt;=70",$C$4:$C$200,"&lt;20190630",$K$4:$K$200,"&lt;=30"))</f>
        <v>-</v>
      </c>
      <c r="AH123" s="21">
        <f>[1]!f_risk_maxdownside(A123,$L$2,$E$1)</f>
        <v>-1.1152416356877413</v>
      </c>
      <c r="AI123" s="19" t="str">
        <f>IFERROR(RANK(AH123,AH:AH)&amp;"/"&amp;COUNT(AH:AH),"-")</f>
        <v>27/197</v>
      </c>
      <c r="AJ123" s="26">
        <f>IFERROR(RANK(AH123,AH:AH)/COUNT(AH:AH),"-")</f>
        <v>0.13705583756345177</v>
      </c>
      <c r="AK123" s="34" t="str">
        <f>IF(OR($C123&gt;20190630,$K123&gt;30,AH123="-",$D123="是",$E123="封闭期",$H123&lt;10,$BN123&lt;-6,$BR123&lt;70),"-",COUNTIFS(AH$4:AH$200,"&lt;&gt;-",$D$4:$D$200,"&lt;&gt;是",$E$4:$E$200,"&lt;&gt;封闭期",$H$4:$H$200,"&gt;10",$BN$4:$BN$200,"&gt;-6",$BR$4:$BR$200,"&gt;=70",$K$4:$K$200,"&lt;=30",$C$4:$C$200,"&lt;20190630",AH$4:AH$200,"&gt;="&amp;AH123)&amp;"/"&amp;COUNTIFS(AH$4:AH$200,"&lt;&gt;-",$D$4:$D$200,"&lt;&gt;是",$E$4:$E$200,"&lt;&gt;封闭期",$H$4:$H$200,"&gt;10",$BN$4:$BN$200,"&gt;-6",$BR$4:$BR$200,"&gt;=70",$C$4:$C$200,"&lt;20190630",$K$4:$K$200,"&lt;=30"))</f>
        <v>-</v>
      </c>
      <c r="AL123" s="33" t="str">
        <f>IF(OR($C123&gt;20190630,$K123&gt;30,AH123="-",$D123="是",$E123="封闭期",$H123&lt;10,$BN123&lt;-6,$BR123&lt;70),"-",COUNTIFS(AH$4:AH$200,"&lt;&gt;-",$D$4:$D$200,"&lt;&gt;是",$E$4:$E$200,"&lt;&gt;封闭期",$H$4:$H$200,"&gt;10",$BN$4:$BN$200,"&gt;-6",$BR$4:$BR$200,"&gt;=70",$K$4:$K$200,"&lt;=30",$C$4:$C$200,"&lt;20190630",AH$4:AH$200,"&gt;="&amp;AH123)/COUNTIFS(AH$4:AH$200,"&lt;&gt;-",$D$4:$D$200,"&lt;&gt;是",$E$4:$E$200,"&lt;&gt;封闭期",$H$4:$H$200,"&gt;10",$BN$4:$BN$200,"&gt;-6",$BR$4:$BR$200,"&gt;=70",$C$4:$C$200,"&lt;20190630",$K$4:$K$200,"&lt;=30"))</f>
        <v>-</v>
      </c>
      <c r="AM123" s="19">
        <f>[1]!f_return($A123,"1",AM$2,$L$2)</f>
        <v>6.0784825825484834</v>
      </c>
      <c r="AN123" s="19">
        <f>[1]!f_risk_stdevyearly($A123,AM$2,$L$2,1,1)</f>
        <v>2.2215961638376536</v>
      </c>
      <c r="AO123" s="19">
        <f>IFERROR(AM123/AN123,"-")</f>
        <v>2.7360879900189987</v>
      </c>
      <c r="AP123" s="19" t="str">
        <f>IFERROR(RANK(AO123,AO:AO)&amp;"/"&amp;COUNT(AO:AO),"-")</f>
        <v>16/197</v>
      </c>
      <c r="AQ123" s="26">
        <f>IF(AP123="-","-",RANK(AO123,AO:AO)/COUNT(AO:AO))</f>
        <v>8.1218274111675121E-2</v>
      </c>
      <c r="AR123" s="57">
        <v>0.6091370558375635</v>
      </c>
      <c r="AS123" s="33" t="str">
        <f>IF(OR($C123&gt;20190630,$K123&gt;30,AO123="-",$D123="是",$E123="封闭期",$H123&lt;10,$BN123&lt;-6,$BR123&lt;70),"-",COUNTIFS(AO$4:AO$200,"&lt;&gt;-",$D$4:$D$200,"&lt;&gt;是",$E$4:$E$200,"&lt;&gt;封闭期",$H$4:$H$200,"&gt;10",$BN$4:$BN$200,"&gt;-6",$BR$4:$BR$200,"&gt;=70",$K$4:$K$200,"&lt;=30",$C$4:$C$200,"&lt;20190630",AO$4:AO$200,"&gt;="&amp;AO123)/COUNTIFS(AO$4:AO$200,"&lt;&gt;-",$D$4:$D$200,"&lt;&gt;是",$E$4:$E$200,"&lt;&gt;封闭期",$H$4:$H$200,"&gt;10",$BN$4:$BN$200,"&gt;-6",$BR$4:$BR$200,"&gt;=70",$C$4:$C$200,"&lt;20190630",$K$4:$K$200,"&lt;=30"))</f>
        <v>-</v>
      </c>
      <c r="AT123" s="19">
        <f>IFERROR((AM123-3)/AN123,"-")</f>
        <v>1.3857075523710924</v>
      </c>
      <c r="AU123" s="19" t="str">
        <f>IFERROR(RANK(AT123,AT:AT)&amp;"/"&amp;COUNT(AT:AT),"-")</f>
        <v>34/197</v>
      </c>
      <c r="AV123" s="26">
        <f>IFERROR(RANK(AT123,AT:AT)/COUNT(AT:AT),"-")</f>
        <v>0.17258883248730963</v>
      </c>
      <c r="AW123" s="34" t="str">
        <f>IF(OR($C123&gt;20190630,$K123&gt;30,AT123="-",$D123="是",$E123="封闭期",$H123&lt;10,$BN123&lt;-6,$BR123&lt;70),"-",COUNTIFS(AT$4:AT$200,"&lt;&gt;-",$D$4:$D$200,"&lt;&gt;是",$E$4:$E$200,"&lt;&gt;封闭期",$H$4:$H$200,"&gt;10",$BN$4:$BN$200,"&gt;-6",$BR$4:$BR$200,"&gt;=70",$K$4:$K$200,"&lt;=30",$C$4:$C$200,"&lt;20190630",AT$4:AT$200,"&gt;="&amp;AT123)&amp;"/"&amp;COUNTIFS(AT$4:AT$200,"&lt;&gt;-",$D$4:$D$200,"&lt;&gt;是",$E$4:$E$200,"&lt;&gt;封闭期",$H$4:$H$200,"&gt;10",$BN$4:$BN$200,"&gt;-6",$BR$4:$BR$200,"&gt;=70",$C$4:$C$200,"&lt;20190630",$K$4:$K$200,"&lt;=30"))</f>
        <v>-</v>
      </c>
      <c r="AX123" s="33" t="str">
        <f>IF(OR($C123&gt;20190630,$K123&gt;30,AT123="-",$D123="是",$E123="封闭期",$H123&lt;10,$BN123&lt;-6,$BR123&lt;70),"-",COUNTIFS(AT$4:AT$200,"&lt;&gt;-",$D$4:$D$200,"&lt;&gt;是",$E$4:$E$200,"&lt;&gt;封闭期",$H$4:$H$200,"&gt;10",$BN$4:$BN$200,"&gt;-6",$BR$4:$BR$200,"&gt;=70",$K$4:$K$200,"&lt;=30",$C$4:$C$200,"&lt;20190630",AT$4:AT$200,"&gt;="&amp;AT123)/COUNTIFS(AT$4:AT$200,"&lt;&gt;-",$D$4:$D$200,"&lt;&gt;是",$E$4:$E$200,"&lt;&gt;封闭期",$H$4:$H$200,"&gt;10",$BN$4:$BN$200,"&gt;-6",$BR$4:$BR$200,"&gt;=70",$C$4:$C$200,"&lt;20190630",$K$4:$K$200,"&lt;=30"))</f>
        <v>-</v>
      </c>
      <c r="AY123" s="19">
        <f>[1]!f_risk_calmar(A123,$AM$2,$L$2)</f>
        <v>5.0170867955571605</v>
      </c>
      <c r="AZ123" s="19" t="str">
        <f>IFERROR(RANK(AY123,AY:AY)&amp;"/"&amp;COUNT(AY:AY),"-")</f>
        <v>12/197</v>
      </c>
      <c r="BA123" s="26">
        <f>IFERROR(RANK(AY123,AY:AY)/COUNT(AY:AY),"-")</f>
        <v>6.0913705583756347E-2</v>
      </c>
      <c r="BB123" s="34" t="str">
        <f>IF(OR($C123&gt;20190630,$K123&gt;30,AY123="-",$D123="是",$E123="封闭期",$H123&lt;10,$BN123&lt;-6,$BR123&lt;70),"-",COUNTIFS(AY$4:AY$200,"&lt;&gt;-",$D$4:$D$200,"&lt;&gt;是",$E$4:$E$200,"&lt;&gt;封闭期",$H$4:$H$200,"&gt;10",$BN$4:$BN$200,"&gt;-6",$BR$4:$BR$200,"&gt;=70",$K$4:$K$200,"&lt;=30",$C$4:$C$200,"&lt;20190630",AY$4:AY$200,"&gt;="&amp;AY123)&amp;"/"&amp;COUNTIFS(AY$4:AY$200,"&lt;&gt;-",$D$4:$D$200,"&lt;&gt;是",$E$4:$E$200,"&lt;&gt;封闭期",$H$4:$H$200,"&gt;10",$BN$4:$BN$200,"&gt;-6",$BR$4:$BR$200,"&gt;=70",$C$4:$C$200,"&lt;20190630",$K$4:$K$200,"&lt;=30"))</f>
        <v>-</v>
      </c>
      <c r="BC123" s="33" t="str">
        <f>IF(OR($C123&gt;20190630,$K123&gt;30,AY123="-",$D123="是",$E123="封闭期",$H123&lt;10,$BN123&lt;-6,$BR123&lt;70),"-",COUNTIFS(AY$4:AY$200,"&lt;&gt;-",$D$4:$D$200,"&lt;&gt;是",$E$4:$E$200,"&lt;&gt;封闭期",$H$4:$H$200,"&gt;10",$BN$4:$BN$200,"&gt;-6",$BR$4:$BR$200,"&gt;=70",$K$4:$K$200,"&lt;=30",$C$4:$C$200,"&lt;20190630",AY$4:AY$200,"&gt;="&amp;AY123)/COUNTIFS(AY$4:AY$200,"&lt;&gt;-",$D$4:$D$200,"&lt;&gt;是",$E$4:$E$200,"&lt;&gt;封闭期",$H$4:$H$200,"&gt;10",$BN$4:$BN$200,"&gt;-6",$BR$4:$BR$200,"&gt;=70",$C$4:$C$200,"&lt;20190630",$K$4:$K$200,"&lt;=30"))</f>
        <v>-</v>
      </c>
      <c r="BD123" s="20">
        <v>1</v>
      </c>
      <c r="BE123" s="19" t="str">
        <f>IFERROR(RANK(BD123,BD:BD)&amp;"/"&amp;COUNT(BD:BD),"-")</f>
        <v>1/197</v>
      </c>
      <c r="BF123" s="26">
        <f>IFERROR(RANK(BD123,BD:BD)/COUNT(BD:BD),"-")</f>
        <v>5.076142131979695E-3</v>
      </c>
      <c r="BG123" s="34" t="str">
        <f>IF(OR($C123&gt;20190630,$K123&gt;30,BD123="-",$D123="是",$E123="封闭期",$H123&lt;10,$BN123&lt;-6,$BR123&lt;70),"-",COUNTIFS(BD$4:BD$200,"&lt;&gt;-",$D$4:$D$200,"&lt;&gt;是",$E$4:$E$200,"&lt;&gt;封闭期",$H$4:$H$200,"&gt;10",$BN$4:$BN$200,"&gt;-6",$BR$4:$BR$200,"&gt;=70",$K$4:$K$200,"&lt;=30",$C$4:$C$200,"&lt;20190630",BD$4:BD$200,"&gt;="&amp;BD123)&amp;"/"&amp;COUNTIFS(BD$4:BD$200,"&lt;&gt;-",$D$4:$D$200,"&lt;&gt;是",$E$4:$E$200,"&lt;&gt;封闭期",$H$4:$H$200,"&gt;10",$BN$4:$BN$200,"&gt;-6",$BR$4:$BR$200,"&gt;=70",$C$4:$C$200,"&lt;20190630",$K$4:$K$200,"&lt;=30"))</f>
        <v>-</v>
      </c>
      <c r="BH123" s="33" t="str">
        <f>IF(OR($C123&gt;20190630,$K123&gt;30,BD123="-",$D123="是",$E123="封闭期",$H123&lt;10,$BN123&lt;-6,$BR123&lt;70),"-",COUNTIFS(BD$4:BD$200,"&lt;&gt;-",$D$4:$D$200,"&lt;&gt;是",$E$4:$E$200,"&lt;&gt;封闭期",$H$4:$H$200,"&gt;10",$BN$4:$BN$200,"&gt;-6",$BR$4:$BR$200,"&gt;=70",$K$4:$K$200,"&lt;=30",$C$4:$C$200,"&lt;20190630",BD$4:BD$200,"&gt;="&amp;BD123)/COUNTIFS(BD$4:BD$200,"&lt;&gt;-",$D$4:$D$200,"&lt;&gt;是",$E$4:$E$200,"&lt;&gt;封闭期",$H$4:$H$200,"&gt;10",$BN$4:$BN$200,"&gt;-6",$BR$4:$BR$200,"&gt;=70",$C$4:$C$200,"&lt;20190630",$K$4:$K$200,"&lt;=30"))</f>
        <v>-</v>
      </c>
      <c r="BI123" s="21">
        <f>[1]!f_risk_maxdownside(A123,$AM$2,$L$2)</f>
        <v>-1.2115561939114214</v>
      </c>
      <c r="BJ123" s="19" t="str">
        <f>IFERROR(RANK(BI123,BI:BI)&amp;"/"&amp;COUNT(BI:BI),"-")</f>
        <v>10/197</v>
      </c>
      <c r="BK123" s="26">
        <f>IFERROR(RANK(BI123,BI:BI)/COUNT(BI:BI),"-")</f>
        <v>5.0761421319796954E-2</v>
      </c>
      <c r="BL123" s="34" t="str">
        <f>IF(OR($C123&gt;20190630,$K123&gt;30,BI123="-",$D123="是",$E123="封闭期",$H123&lt;10,$BN123&lt;-6,$BR123&lt;70),"-",COUNTIFS(BI$4:BI$200,"&lt;&gt;-",$D$4:$D$200,"&lt;&gt;是",$E$4:$E$200,"&lt;&gt;封闭期",$H$4:$H$200,"&gt;10",$BN$4:$BN$200,"&gt;-6",$BR$4:$BR$200,"&gt;=70",$K$4:$K$200,"&lt;=30",$C$4:$C$200,"&lt;20190630",BI$4:BI$200,"&gt;="&amp;BI123)&amp;"/"&amp;COUNTIFS(BI$4:BI$200,"&lt;&gt;-",$D$4:$D$200,"&lt;&gt;是",$E$4:$E$200,"&lt;&gt;封闭期",$H$4:$H$200,"&gt;10",$BN$4:$BN$200,"&gt;-6",$BR$4:$BR$200,"&gt;=70",$C$4:$C$200,"&lt;20190630",$K$4:$K$200,"&lt;=30"))</f>
        <v>-</v>
      </c>
      <c r="BM123" s="33" t="str">
        <f>IF(OR($C123&gt;20190630,$K123&gt;30,BI123="-",$D123="是",$E123="封闭期",$H123&lt;10,$BN123&lt;-6,$BR123&lt;70),"-",COUNTIFS(BI$4:BI$200,"&lt;&gt;-",$D$4:$D$200,"&lt;&gt;是",$E$4:$E$200,"&lt;&gt;封闭期",$H$4:$H$200,"&gt;10",$BN$4:$BN$200,"&gt;-6",$BR$4:$BR$200,"&gt;=70",$K$4:$K$200,"&lt;=30",$C$4:$C$200,"&lt;20190630",BI$4:BI$200,"&gt;="&amp;BI123)/COUNTIFS(BI$4:BI$200,"&lt;&gt;-",$D$4:$D$200,"&lt;&gt;是",$E$4:$E$200,"&lt;&gt;封闭期",$H$4:$H$200,"&gt;10",$BN$4:$BN$200,"&gt;-6",$BR$4:$BR$200,"&gt;=70",$C$4:$C$200,"&lt;20190630",$K$4:$K$200,"&lt;=30"))</f>
        <v>-</v>
      </c>
      <c r="BN123" s="21">
        <f>[1]!f_risk_maxdownside(A123,$AM$2,$E$1)</f>
        <v>-1.4956209513688086</v>
      </c>
      <c r="BO123" s="21">
        <f>IF(C123&lt;20190930,[1]!f_return_2y(A123,"0","20210930"),"-")</f>
        <v>10.07842375909204</v>
      </c>
      <c r="BP123" s="19" t="str">
        <f>IFERROR(RANK(BO123,BO:BO)&amp;"/"&amp;COUNT(BO:BO),"-")</f>
        <v>139/197</v>
      </c>
      <c r="BQ123" s="25">
        <f>IFERROR(RANK(BO123,BO:BO)/COUNT(BO:BO),"-")</f>
        <v>0.70558375634517767</v>
      </c>
      <c r="BR123" s="19">
        <f>IF(C123&lt;20190930,[1]!f_absolute_profitmonthper(A123,"20190930","20210930"),"-")</f>
        <v>70.833333333333343</v>
      </c>
      <c r="BS123" s="19" t="str">
        <f>IFERROR(RANK(BR123,BR:BR)&amp;"/"&amp;COUNT(BR:BR),"-")</f>
        <v>55/198</v>
      </c>
      <c r="BT123" s="25">
        <f>IFERROR(RANK(BR123,BR:BR)/COUNT(BR:BR),"-")</f>
        <v>0.27777777777777779</v>
      </c>
      <c r="BV123" s="12">
        <f>X123-3/M123</f>
        <v>1.710729825126601</v>
      </c>
      <c r="BW123" s="76">
        <f>IFERROR(RANK(BV123,BV:BV)/COUNT(BV:BV),"-")</f>
        <v>0.39086294416243655</v>
      </c>
      <c r="BX123" s="76">
        <f>IFERROR(RANK(L123,L:L)/COUNT(L:L),"-")</f>
        <v>0.77777777777777779</v>
      </c>
      <c r="BY123" s="12">
        <f>AY123-3/AN123</f>
        <v>3.6667063579092547</v>
      </c>
      <c r="BZ123" s="76">
        <f>IFERROR(RANK(BY123,BY:BY)/COUNT(BY:BY),"-")</f>
        <v>8.1218274111675121E-2</v>
      </c>
      <c r="CA123" s="76">
        <f>IFERROR(RANK(AM123,AM:AM)/COUNT(AM:AM),"-")</f>
        <v>0.61111111111111116</v>
      </c>
      <c r="CB123" s="2"/>
      <c r="CC123" s="77">
        <f>AV123+BF123+BZ123+CA123</f>
        <v>0.86999435984207563</v>
      </c>
      <c r="CD123" s="77">
        <f>BW123+BX123+AE123+U123</f>
        <v>1.8285391990975746</v>
      </c>
      <c r="CE123" s="77">
        <f>CC123+CD123</f>
        <v>2.6985335589396504</v>
      </c>
    </row>
    <row r="124" spans="1:83" s="17" customFormat="1" hidden="1" x14ac:dyDescent="0.35">
      <c r="A124" s="15" t="s">
        <v>387</v>
      </c>
      <c r="B124" s="15" t="s">
        <v>388</v>
      </c>
      <c r="C124" s="16">
        <v>20190117</v>
      </c>
      <c r="D124" s="16" t="str">
        <f>[1]!f_info_regulopenfundornot(A124)</f>
        <v>是</v>
      </c>
      <c r="E124" s="16" t="str">
        <f>[1]!f_dq_status(A124,$E$1)</f>
        <v>暂停申购|暂停赎回</v>
      </c>
      <c r="F124" s="17" t="str">
        <f>[1]!f_info_fundmanager(A124)</f>
        <v>李博良,陈晨,刘振超</v>
      </c>
      <c r="G124" s="16">
        <v>20190117</v>
      </c>
      <c r="H124" s="18">
        <f>[1]!f_netasset_total(A124,$E$1,100000000)</f>
        <v>6.4494699382000009</v>
      </c>
      <c r="I124" s="18">
        <f>[1]!f_prt_convertiblebondtonav(A124,$E$1)</f>
        <v>14.230898857116699</v>
      </c>
      <c r="J124" s="18">
        <f>[1]!f_prt_stocktonav(A124,$E$1)+0.5*I124</f>
        <v>7.1154494285583496</v>
      </c>
      <c r="K124" s="19">
        <v>0</v>
      </c>
      <c r="L124" s="19">
        <f>[1]!f_return($A124,"1",L$2,$E$1)</f>
        <v>4.1554554516346265</v>
      </c>
      <c r="M124" s="19">
        <f>[1]!f_risk_stdevyearly($A124,L$2,$E$1,1,1)</f>
        <v>4.2674984879329383</v>
      </c>
      <c r="N124" s="19">
        <f>IFERROR(L124/M124,"-")</f>
        <v>0.9737450319865063</v>
      </c>
      <c r="O124" s="19" t="str">
        <f>IFERROR(RANK(N124,N:N)&amp;"/"&amp;COUNT(N:N),"-")</f>
        <v>142/197</v>
      </c>
      <c r="P124" s="26">
        <f>IF(O124="-","-",RANK(N124,N:N)/COUNT(N:N))</f>
        <v>0.7208121827411168</v>
      </c>
      <c r="Q124" s="56">
        <v>0.70558375634517767</v>
      </c>
      <c r="R124" s="33" t="str">
        <f>IF(OR($C124&gt;20190630,$K124&gt;30,N124="-",$D124="是",$E124="封闭期",$H124&lt;10,$BN124&lt;-6,$BR124&lt;70),"-",COUNTIFS(N$4:N$200,"&lt;&gt;-",$D$4:$D$200,"&lt;&gt;是",$E$4:$E$200,"&lt;&gt;封闭期",$H$4:$H$200,"&gt;10",$BN$4:$BN$200,"&gt;-6",$BR$4:$BR$200,"&gt;=70",$K$4:$K$200,"&lt;=30",$C$4:$C$200,"&lt;20190630",N$4:N$200,"&gt;="&amp;N124)/COUNTIFS(N$4:N$200,"&lt;&gt;-",$D$4:$D$200,"&lt;&gt;是",$E$4:$E$200,"&lt;&gt;封闭期",$H$4:$H$200,"&gt;10",$BN$4:$BN$200,"&gt;-6",$BR$4:$BR$200,"&gt;=70",$C$4:$C$200,"&lt;20190630",$K$4:$K$200,"&lt;=30"))</f>
        <v>-</v>
      </c>
      <c r="S124" s="19">
        <f>IFERROR((L124-3)/M124,"-")</f>
        <v>0.27075708518746261</v>
      </c>
      <c r="T124" s="19" t="str">
        <f>IFERROR(RANK(S124,S:S)&amp;"/"&amp;COUNT(S:S),"-")</f>
        <v>143/197</v>
      </c>
      <c r="U124" s="26">
        <f>IFERROR(RANK(S124,S:S)/COUNT(S:S),"-")</f>
        <v>0.7258883248730964</v>
      </c>
      <c r="V124" s="34" t="str">
        <f>IF(OR($C124&gt;20190630,$K124&gt;30,S124="-",$D124="是",$E124="封闭期",$H124&lt;10,$BN124&lt;-6,$BR124&lt;70),"-",COUNTIFS(S$4:S$200,"&lt;&gt;-",$D$4:$D$200,"&lt;&gt;是",$E$4:$E$200,"&lt;&gt;封闭期",$H$4:$H$200,"&gt;10",$BN$4:$BN$200,"&gt;-6",$BR$4:$BR$200,"&gt;=70",$K$4:$K$200,"&lt;=30",$C$4:$C$200,"&lt;20190630",S$4:S$200,"&gt;="&amp;S124)&amp;"/"&amp;COUNTIFS(S$4:S$200,"&lt;&gt;-",$D$4:$D$200,"&lt;&gt;是",$E$4:$E$200,"&lt;&gt;封闭期",$H$4:$H$200,"&gt;10",$BN$4:$BN$200,"&gt;-6",$BR$4:$BR$200,"&gt;=70",$C$4:$C$200,"&lt;20190630",$K$4:$K$200,"&lt;=30"))</f>
        <v>-</v>
      </c>
      <c r="W124" s="33" t="str">
        <f>IF(OR($C124&gt;20190630,$K124&gt;30,S124="-",$D124="是",$E124="封闭期",$H124&lt;10,$BN124&lt;-6,$BR124&lt;70),"-",COUNTIFS(S$4:S$200,"&lt;&gt;-",$D$4:$D$200,"&lt;&gt;是",$E$4:$E$200,"&lt;&gt;封闭期",$H$4:$H$200,"&gt;10",$BN$4:$BN$200,"&gt;-6",$BR$4:$BR$200,"&gt;=70",$K$4:$K$200,"&lt;=30",$C$4:$C$200,"&lt;20190630",S$4:S$200,"&gt;="&amp;S124)/COUNTIFS(S$4:S$200,"&lt;&gt;-",$D$4:$D$200,"&lt;&gt;是",$E$4:$E$200,"&lt;&gt;封闭期",$H$4:$H$200,"&gt;10",$BN$4:$BN$200,"&gt;-6",$BR$4:$BR$200,"&gt;=70",$C$4:$C$200,"&lt;20190630",$K$4:$K$200,"&lt;=30"))</f>
        <v>-</v>
      </c>
      <c r="X124" s="19">
        <f>[1]!f_risk_calmar(A124,$L$2,$E$1)</f>
        <v>1.845669823972782</v>
      </c>
      <c r="Y124" s="19" t="str">
        <f>IFERROR(RANK(X124,X:X)&amp;"/"&amp;COUNT(X:X),"-")</f>
        <v>107/197</v>
      </c>
      <c r="Z124" s="26">
        <f>IFERROR(RANK(X124,X:X)/COUNT(X:X),"-")</f>
        <v>0.54314720812182737</v>
      </c>
      <c r="AA124" s="34" t="str">
        <f>IF(OR($C124&gt;20190630,$K124&gt;30,X124="-",$D124="是",$E124="封闭期",$H124&lt;10,$BN124&lt;-6,$BR124&lt;70),"-",COUNTIFS(X$4:X$200,"&lt;&gt;-",$D$4:$D$200,"&lt;&gt;是",$E$4:$E$200,"&lt;&gt;封闭期",$H$4:$H$200,"&gt;10",$BN$4:$BN$200,"&gt;-6",$BR$4:$BR$200,"&gt;=70",$K$4:$K$200,"&lt;=30",$C$4:$C$200,"&lt;20190630",X$4:X$200,"&gt;="&amp;X124)&amp;"/"&amp;COUNTIFS(X$4:X$200,"&lt;&gt;-",$D$4:$D$200,"&lt;&gt;是",$E$4:$E$200,"&lt;&gt;封闭期",$H$4:$H$200,"&gt;10",$BN$4:$BN$200,"&gt;-6",$BR$4:$BR$200,"&gt;=70",$C$4:$C$200,"&lt;20190630",$K$4:$K$200,"&lt;=30"))</f>
        <v>-</v>
      </c>
      <c r="AB124" s="33" t="str">
        <f>IF(OR($C124&gt;20190630,$K124&gt;30,X124="-",$D124="是",$E124="封闭期",$H124&lt;10,$BN124&lt;-6,$BR124&lt;70),"-",COUNTIFS(X$4:X$200,"&lt;&gt;-",$D$4:$D$200,"&lt;&gt;是",$E$4:$E$200,"&lt;&gt;封闭期",$H$4:$H$200,"&gt;10",$BN$4:$BN$200,"&gt;-6",$BR$4:$BR$200,"&gt;=70",$K$4:$K$200,"&lt;=30",$C$4:$C$200,"&lt;20190630",X$4:X$200,"&gt;="&amp;X124)/COUNTIFS(X$4:X$200,"&lt;&gt;-",$D$4:$D$200,"&lt;&gt;是",$E$4:$E$200,"&lt;&gt;封闭期",$H$4:$H$200,"&gt;10",$BN$4:$BN$200,"&gt;-6",$BR$4:$BR$200,"&gt;=70",$C$4:$C$200,"&lt;20190630",$K$4:$K$200,"&lt;=30"))</f>
        <v>-</v>
      </c>
      <c r="AC124" s="20">
        <v>0.90756302521008403</v>
      </c>
      <c r="AD124" s="19" t="str">
        <f>IFERROR(RANK(AC124,AC:AC)&amp;"/"&amp;COUNT(AC:AC),"-")</f>
        <v>128/197</v>
      </c>
      <c r="AE124" s="26">
        <f>IFERROR(RANK(AC124,AC:AC)/COUNT(AC:AC),"-")</f>
        <v>0.64974619289340096</v>
      </c>
      <c r="AF124" s="34" t="str">
        <f>IF(OR($C124&gt;20190630,$K124&gt;30,AC124="-",$D124="是",$E124="封闭期",$H124&lt;10,$BN124&lt;-6,$BR124&lt;70),"-",COUNTIFS(AC$4:AC$200,"&lt;&gt;-",$D$4:$D$200,"&lt;&gt;是",$E$4:$E$200,"&lt;&gt;封闭期",$H$4:$H$200,"&gt;10",$BN$4:$BN$200,"&gt;-6",$BR$4:$BR$200,"&gt;=70",$K$4:$K$200,"&lt;=30",$C$4:$C$200,"&lt;20190630",AC$4:AC$200,"&gt;="&amp;AC124)&amp;"/"&amp;COUNTIFS(AC$4:AC$200,"&lt;&gt;-",$D$4:$D$200,"&lt;&gt;是",$E$4:$E$200,"&lt;&gt;封闭期",$H$4:$H$200,"&gt;10",$BN$4:$BN$200,"&gt;-6",$BR$4:$BR$200,"&gt;=70",$C$4:$C$200,"&lt;20190630",$K$4:$K$200,"&lt;=30"))</f>
        <v>-</v>
      </c>
      <c r="AG124" s="33" t="str">
        <f>IF(OR($C124&gt;20190630,$K124&gt;30,AC124="-",$D124="是",$E124="封闭期",$H124&lt;10,$BN124&lt;-6,$BR124&lt;70),"-",COUNTIFS(AC$4:AC$200,"&lt;&gt;-",$D$4:$D$200,"&lt;&gt;是",$E$4:$E$200,"&lt;&gt;封闭期",$H$4:$H$200,"&gt;10",$BN$4:$BN$200,"&gt;-6",$BR$4:$BR$200,"&gt;=70",$K$4:$K$200,"&lt;=30",$C$4:$C$200,"&lt;20190630",AC$4:AC$200,"&gt;="&amp;AC124)/COUNTIFS(AC$4:AC$200,"&lt;&gt;-",$D$4:$D$200,"&lt;&gt;是",$E$4:$E$200,"&lt;&gt;封闭期",$H$4:$H$200,"&gt;10",$BN$4:$BN$200,"&gt;-6",$BR$4:$BR$200,"&gt;=70",$C$4:$C$200,"&lt;20190630",$K$4:$K$200,"&lt;=30"))</f>
        <v>-</v>
      </c>
      <c r="AH124" s="21">
        <f>[1]!f_risk_maxdownside(A124,$L$2,$E$1)</f>
        <v>-2.2514619883040936</v>
      </c>
      <c r="AI124" s="19" t="str">
        <f>IFERROR(RANK(AH124,AH:AH)&amp;"/"&amp;COUNT(AH:AH),"-")</f>
        <v>65/197</v>
      </c>
      <c r="AJ124" s="26">
        <f>IFERROR(RANK(AH124,AH:AH)/COUNT(AH:AH),"-")</f>
        <v>0.32994923857868019</v>
      </c>
      <c r="AK124" s="34" t="str">
        <f>IF(OR($C124&gt;20190630,$K124&gt;30,AH124="-",$D124="是",$E124="封闭期",$H124&lt;10,$BN124&lt;-6,$BR124&lt;70),"-",COUNTIFS(AH$4:AH$200,"&lt;&gt;-",$D$4:$D$200,"&lt;&gt;是",$E$4:$E$200,"&lt;&gt;封闭期",$H$4:$H$200,"&gt;10",$BN$4:$BN$200,"&gt;-6",$BR$4:$BR$200,"&gt;=70",$K$4:$K$200,"&lt;=30",$C$4:$C$200,"&lt;20190630",AH$4:AH$200,"&gt;="&amp;AH124)&amp;"/"&amp;COUNTIFS(AH$4:AH$200,"&lt;&gt;-",$D$4:$D$200,"&lt;&gt;是",$E$4:$E$200,"&lt;&gt;封闭期",$H$4:$H$200,"&gt;10",$BN$4:$BN$200,"&gt;-6",$BR$4:$BR$200,"&gt;=70",$C$4:$C$200,"&lt;20190630",$K$4:$K$200,"&lt;=30"))</f>
        <v>-</v>
      </c>
      <c r="AL124" s="33" t="str">
        <f>IF(OR($C124&gt;20190630,$K124&gt;30,AH124="-",$D124="是",$E124="封闭期",$H124&lt;10,$BN124&lt;-6,$BR124&lt;70),"-",COUNTIFS(AH$4:AH$200,"&lt;&gt;-",$D$4:$D$200,"&lt;&gt;是",$E$4:$E$200,"&lt;&gt;封闭期",$H$4:$H$200,"&gt;10",$BN$4:$BN$200,"&gt;-6",$BR$4:$BR$200,"&gt;=70",$K$4:$K$200,"&lt;=30",$C$4:$C$200,"&lt;20190630",AH$4:AH$200,"&gt;="&amp;AH124)/COUNTIFS(AH$4:AH$200,"&lt;&gt;-",$D$4:$D$200,"&lt;&gt;是",$E$4:$E$200,"&lt;&gt;封闭期",$H$4:$H$200,"&gt;10",$BN$4:$BN$200,"&gt;-6",$BR$4:$BR$200,"&gt;=70",$C$4:$C$200,"&lt;20190630",$K$4:$K$200,"&lt;=30"))</f>
        <v>-</v>
      </c>
      <c r="AM124" s="19">
        <f>[1]!f_return($A124,"1",AM$2,$L$2)</f>
        <v>6.0473265239612495</v>
      </c>
      <c r="AN124" s="19">
        <f>[1]!f_risk_stdevyearly($A124,AM$2,$L$2,1,1)</f>
        <v>1.5671755073447833</v>
      </c>
      <c r="AO124" s="19">
        <f>IFERROR(AM124/AN124,"-")</f>
        <v>3.8587423652421973</v>
      </c>
      <c r="AP124" s="19" t="str">
        <f>IFERROR(RANK(AO124,AO:AO)&amp;"/"&amp;COUNT(AO:AO),"-")</f>
        <v>3/197</v>
      </c>
      <c r="AQ124" s="26">
        <f>IF(AP124="-","-",RANK(AO124,AO:AO)/COUNT(AO:AO))</f>
        <v>1.5228426395939087E-2</v>
      </c>
      <c r="AR124" s="57">
        <v>0.6142131979695431</v>
      </c>
      <c r="AS124" s="33" t="str">
        <f>IF(OR($C124&gt;20190630,$K124&gt;30,AO124="-",$D124="是",$E124="封闭期",$H124&lt;10,$BN124&lt;-6,$BR124&lt;70),"-",COUNTIFS(AO$4:AO$200,"&lt;&gt;-",$D$4:$D$200,"&lt;&gt;是",$E$4:$E$200,"&lt;&gt;封闭期",$H$4:$H$200,"&gt;10",$BN$4:$BN$200,"&gt;-6",$BR$4:$BR$200,"&gt;=70",$K$4:$K$200,"&lt;=30",$C$4:$C$200,"&lt;20190630",AO$4:AO$200,"&gt;="&amp;AO124)/COUNTIFS(AO$4:AO$200,"&lt;&gt;-",$D$4:$D$200,"&lt;&gt;是",$E$4:$E$200,"&lt;&gt;封闭期",$H$4:$H$200,"&gt;10",$BN$4:$BN$200,"&gt;-6",$BR$4:$BR$200,"&gt;=70",$C$4:$C$200,"&lt;20190630",$K$4:$K$200,"&lt;=30"))</f>
        <v>-</v>
      </c>
      <c r="AT124" s="19">
        <f>IFERROR((AM124-3)/AN124,"-")</f>
        <v>1.944470488263462</v>
      </c>
      <c r="AU124" s="19" t="str">
        <f>IFERROR(RANK(AT124,AT:AT)&amp;"/"&amp;COUNT(AT:AT),"-")</f>
        <v>10/197</v>
      </c>
      <c r="AV124" s="26">
        <f>IFERROR(RANK(AT124,AT:AT)/COUNT(AT:AT),"-")</f>
        <v>5.0761421319796954E-2</v>
      </c>
      <c r="AW124" s="34" t="str">
        <f>IF(OR($C124&gt;20190630,$K124&gt;30,AT124="-",$D124="是",$E124="封闭期",$H124&lt;10,$BN124&lt;-6,$BR124&lt;70),"-",COUNTIFS(AT$4:AT$200,"&lt;&gt;-",$D$4:$D$200,"&lt;&gt;是",$E$4:$E$200,"&lt;&gt;封闭期",$H$4:$H$200,"&gt;10",$BN$4:$BN$200,"&gt;-6",$BR$4:$BR$200,"&gt;=70",$K$4:$K$200,"&lt;=30",$C$4:$C$200,"&lt;20190630",AT$4:AT$200,"&gt;="&amp;AT124)&amp;"/"&amp;COUNTIFS(AT$4:AT$200,"&lt;&gt;-",$D$4:$D$200,"&lt;&gt;是",$E$4:$E$200,"&lt;&gt;封闭期",$H$4:$H$200,"&gt;10",$BN$4:$BN$200,"&gt;-6",$BR$4:$BR$200,"&gt;=70",$C$4:$C$200,"&lt;20190630",$K$4:$K$200,"&lt;=30"))</f>
        <v>-</v>
      </c>
      <c r="AX124" s="33" t="str">
        <f>IF(OR($C124&gt;20190630,$K124&gt;30,AT124="-",$D124="是",$E124="封闭期",$H124&lt;10,$BN124&lt;-6,$BR124&lt;70),"-",COUNTIFS(AT$4:AT$200,"&lt;&gt;-",$D$4:$D$200,"&lt;&gt;是",$E$4:$E$200,"&lt;&gt;封闭期",$H$4:$H$200,"&gt;10",$BN$4:$BN$200,"&gt;-6",$BR$4:$BR$200,"&gt;=70",$K$4:$K$200,"&lt;=30",$C$4:$C$200,"&lt;20190630",AT$4:AT$200,"&gt;="&amp;AT124)/COUNTIFS(AT$4:AT$200,"&lt;&gt;-",$D$4:$D$200,"&lt;&gt;是",$E$4:$E$200,"&lt;&gt;封闭期",$H$4:$H$200,"&gt;10",$BN$4:$BN$200,"&gt;-6",$BR$4:$BR$200,"&gt;=70",$C$4:$C$200,"&lt;20190630",$K$4:$K$200,"&lt;=30"))</f>
        <v>-</v>
      </c>
      <c r="AY124" s="19">
        <f>[1]!f_risk_calmar(A124,$AM$2,$L$2)</f>
        <v>19.629243938871763</v>
      </c>
      <c r="AZ124" s="19" t="str">
        <f>IFERROR(RANK(AY124,AY:AY)&amp;"/"&amp;COUNT(AY:AY),"-")</f>
        <v>1/197</v>
      </c>
      <c r="BA124" s="26">
        <f>IFERROR(RANK(AY124,AY:AY)/COUNT(AY:AY),"-")</f>
        <v>5.076142131979695E-3</v>
      </c>
      <c r="BB124" s="34" t="str">
        <f>IF(OR($C124&gt;20190630,$K124&gt;30,AY124="-",$D124="是",$E124="封闭期",$H124&lt;10,$BN124&lt;-6,$BR124&lt;70),"-",COUNTIFS(AY$4:AY$200,"&lt;&gt;-",$D$4:$D$200,"&lt;&gt;是",$E$4:$E$200,"&lt;&gt;封闭期",$H$4:$H$200,"&gt;10",$BN$4:$BN$200,"&gt;-6",$BR$4:$BR$200,"&gt;=70",$K$4:$K$200,"&lt;=30",$C$4:$C$200,"&lt;20190630",AY$4:AY$200,"&gt;="&amp;AY124)&amp;"/"&amp;COUNTIFS(AY$4:AY$200,"&lt;&gt;-",$D$4:$D$200,"&lt;&gt;是",$E$4:$E$200,"&lt;&gt;封闭期",$H$4:$H$200,"&gt;10",$BN$4:$BN$200,"&gt;-6",$BR$4:$BR$200,"&gt;=70",$C$4:$C$200,"&lt;20190630",$K$4:$K$200,"&lt;=30"))</f>
        <v>-</v>
      </c>
      <c r="BC124" s="33" t="str">
        <f>IF(OR($C124&gt;20190630,$K124&gt;30,AY124="-",$D124="是",$E124="封闭期",$H124&lt;10,$BN124&lt;-6,$BR124&lt;70),"-",COUNTIFS(AY$4:AY$200,"&lt;&gt;-",$D$4:$D$200,"&lt;&gt;是",$E$4:$E$200,"&lt;&gt;封闭期",$H$4:$H$200,"&gt;10",$BN$4:$BN$200,"&gt;-6",$BR$4:$BR$200,"&gt;=70",$K$4:$K$200,"&lt;=30",$C$4:$C$200,"&lt;20190630",AY$4:AY$200,"&gt;="&amp;AY124)/COUNTIFS(AY$4:AY$200,"&lt;&gt;-",$D$4:$D$200,"&lt;&gt;是",$E$4:$E$200,"&lt;&gt;封闭期",$H$4:$H$200,"&gt;10",$BN$4:$BN$200,"&gt;-6",$BR$4:$BR$200,"&gt;=70",$C$4:$C$200,"&lt;20190630",$K$4:$K$200,"&lt;=30"))</f>
        <v>-</v>
      </c>
      <c r="BD124" s="20">
        <v>1</v>
      </c>
      <c r="BE124" s="19" t="str">
        <f>IFERROR(RANK(BD124,BD:BD)&amp;"/"&amp;COUNT(BD:BD),"-")</f>
        <v>1/197</v>
      </c>
      <c r="BF124" s="26">
        <f>IFERROR(RANK(BD124,BD:BD)/COUNT(BD:BD),"-")</f>
        <v>5.076142131979695E-3</v>
      </c>
      <c r="BG124" s="34" t="str">
        <f>IF(OR($C124&gt;20190630,$K124&gt;30,BD124="-",$D124="是",$E124="封闭期",$H124&lt;10,$BN124&lt;-6,$BR124&lt;70),"-",COUNTIFS(BD$4:BD$200,"&lt;&gt;-",$D$4:$D$200,"&lt;&gt;是",$E$4:$E$200,"&lt;&gt;封闭期",$H$4:$H$200,"&gt;10",$BN$4:$BN$200,"&gt;-6",$BR$4:$BR$200,"&gt;=70",$K$4:$K$200,"&lt;=30",$C$4:$C$200,"&lt;20190630",BD$4:BD$200,"&gt;="&amp;BD124)&amp;"/"&amp;COUNTIFS(BD$4:BD$200,"&lt;&gt;-",$D$4:$D$200,"&lt;&gt;是",$E$4:$E$200,"&lt;&gt;封闭期",$H$4:$H$200,"&gt;10",$BN$4:$BN$200,"&gt;-6",$BR$4:$BR$200,"&gt;=70",$C$4:$C$200,"&lt;20190630",$K$4:$K$200,"&lt;=30"))</f>
        <v>-</v>
      </c>
      <c r="BH124" s="33" t="str">
        <f>IF(OR($C124&gt;20190630,$K124&gt;30,BD124="-",$D124="是",$E124="封闭期",$H124&lt;10,$BN124&lt;-6,$BR124&lt;70),"-",COUNTIFS(BD$4:BD$200,"&lt;&gt;-",$D$4:$D$200,"&lt;&gt;是",$E$4:$E$200,"&lt;&gt;封闭期",$H$4:$H$200,"&gt;10",$BN$4:$BN$200,"&gt;-6",$BR$4:$BR$200,"&gt;=70",$K$4:$K$200,"&lt;=30",$C$4:$C$200,"&lt;20190630",BD$4:BD$200,"&gt;="&amp;BD124)/COUNTIFS(BD$4:BD$200,"&lt;&gt;-",$D$4:$D$200,"&lt;&gt;是",$E$4:$E$200,"&lt;&gt;封闭期",$H$4:$H$200,"&gt;10",$BN$4:$BN$200,"&gt;-6",$BR$4:$BR$200,"&gt;=70",$C$4:$C$200,"&lt;20190630",$K$4:$K$200,"&lt;=30"))</f>
        <v>-</v>
      </c>
      <c r="BI124" s="21">
        <f>[1]!f_risk_maxdownside(A124,$AM$2,$L$2)</f>
        <v>-0.3080774044478472</v>
      </c>
      <c r="BJ124" s="19" t="str">
        <f>IFERROR(RANK(BI124,BI:BI)&amp;"/"&amp;COUNT(BI:BI),"-")</f>
        <v>2/197</v>
      </c>
      <c r="BK124" s="26">
        <f>IFERROR(RANK(BI124,BI:BI)/COUNT(BI:BI),"-")</f>
        <v>1.015228426395939E-2</v>
      </c>
      <c r="BL124" s="34" t="str">
        <f>IF(OR($C124&gt;20190630,$K124&gt;30,BI124="-",$D124="是",$E124="封闭期",$H124&lt;10,$BN124&lt;-6,$BR124&lt;70),"-",COUNTIFS(BI$4:BI$200,"&lt;&gt;-",$D$4:$D$200,"&lt;&gt;是",$E$4:$E$200,"&lt;&gt;封闭期",$H$4:$H$200,"&gt;10",$BN$4:$BN$200,"&gt;-6",$BR$4:$BR$200,"&gt;=70",$K$4:$K$200,"&lt;=30",$C$4:$C$200,"&lt;20190630",BI$4:BI$200,"&gt;="&amp;BI124)&amp;"/"&amp;COUNTIFS(BI$4:BI$200,"&lt;&gt;-",$D$4:$D$200,"&lt;&gt;是",$E$4:$E$200,"&lt;&gt;封闭期",$H$4:$H$200,"&gt;10",$BN$4:$BN$200,"&gt;-6",$BR$4:$BR$200,"&gt;=70",$C$4:$C$200,"&lt;20190630",$K$4:$K$200,"&lt;=30"))</f>
        <v>-</v>
      </c>
      <c r="BM124" s="33" t="str">
        <f>IF(OR($C124&gt;20190630,$K124&gt;30,BI124="-",$D124="是",$E124="封闭期",$H124&lt;10,$BN124&lt;-6,$BR124&lt;70),"-",COUNTIFS(BI$4:BI$200,"&lt;&gt;-",$D$4:$D$200,"&lt;&gt;是",$E$4:$E$200,"&lt;&gt;封闭期",$H$4:$H$200,"&gt;10",$BN$4:$BN$200,"&gt;-6",$BR$4:$BR$200,"&gt;=70",$K$4:$K$200,"&lt;=30",$C$4:$C$200,"&lt;20190630",BI$4:BI$200,"&gt;="&amp;BI124)/COUNTIFS(BI$4:BI$200,"&lt;&gt;-",$D$4:$D$200,"&lt;&gt;是",$E$4:$E$200,"&lt;&gt;封闭期",$H$4:$H$200,"&gt;10",$BN$4:$BN$200,"&gt;-6",$BR$4:$BR$200,"&gt;=70",$C$4:$C$200,"&lt;20190630",$K$4:$K$200,"&lt;=30"))</f>
        <v>-</v>
      </c>
      <c r="BN124" s="21">
        <f>[1]!f_risk_maxdownside(A124,$AM$2,$E$1)</f>
        <v>-2.2514619883040936</v>
      </c>
      <c r="BO124" s="21">
        <f>IF(C124&lt;20190930,[1]!f_return_2y(A124,"0","20210930"),"-")</f>
        <v>10.361431480987227</v>
      </c>
      <c r="BP124" s="19" t="str">
        <f>IFERROR(RANK(BO124,BO:BO)&amp;"/"&amp;COUNT(BO:BO),"-")</f>
        <v>135/197</v>
      </c>
      <c r="BQ124" s="25">
        <f>IFERROR(RANK(BO124,BO:BO)/COUNT(BO:BO),"-")</f>
        <v>0.68527918781725883</v>
      </c>
      <c r="BR124" s="19">
        <f>IF(C124&lt;20190930,[1]!f_absolute_profitmonthper(A124,"20190930","20210930"),"-")</f>
        <v>83.333333333333343</v>
      </c>
      <c r="BS124" s="19" t="str">
        <f>IFERROR(RANK(BR124,BR:BR)&amp;"/"&amp;COUNT(BR:BR),"-")</f>
        <v>4/198</v>
      </c>
      <c r="BT124" s="25">
        <f>IFERROR(RANK(BR124,BR:BR)/COUNT(BR:BR),"-")</f>
        <v>2.0202020202020204E-2</v>
      </c>
      <c r="BV124" s="12">
        <f>X124-3/M124</f>
        <v>1.1426818771737381</v>
      </c>
      <c r="BW124" s="76">
        <f>IFERROR(RANK(BV124,BV:BV)/COUNT(BV:BV),"-")</f>
        <v>0.57360406091370564</v>
      </c>
      <c r="BX124" s="76">
        <f>IFERROR(RANK(L124,L:L)/COUNT(L:L),"-")</f>
        <v>0.70707070707070707</v>
      </c>
      <c r="BY124" s="12">
        <f>AY124-3/AN124</f>
        <v>17.714972061893029</v>
      </c>
      <c r="BZ124" s="76">
        <f>IFERROR(RANK(BY124,BY:BY)/COUNT(BY:BY),"-")</f>
        <v>5.076142131979695E-3</v>
      </c>
      <c r="CA124" s="76">
        <f>IFERROR(RANK(AM124,AM:AM)/COUNT(AM:AM),"-")</f>
        <v>0.61616161616161613</v>
      </c>
      <c r="CB124" s="2"/>
      <c r="CC124" s="77">
        <f>AV124+BF124+BZ124+CA124</f>
        <v>0.67707532174537244</v>
      </c>
      <c r="CD124" s="77">
        <f>BW124+BX124+AE124+U124</f>
        <v>2.6563092857509103</v>
      </c>
      <c r="CE124" s="77">
        <f>CC124+CD124</f>
        <v>3.3333846074962827</v>
      </c>
    </row>
    <row r="125" spans="1:83" s="17" customFormat="1" x14ac:dyDescent="0.35">
      <c r="A125" s="3" t="s">
        <v>181</v>
      </c>
      <c r="B125" s="3" t="s">
        <v>182</v>
      </c>
      <c r="C125" s="4">
        <v>20160613</v>
      </c>
      <c r="D125" s="4" t="str">
        <f>[1]!f_info_regulopenfundornot(A125)</f>
        <v>否</v>
      </c>
      <c r="E125" s="4" t="str">
        <f>[1]!f_dq_status(A125,$E$1)</f>
        <v>开放申购|开放赎回</v>
      </c>
      <c r="F125" s="17" t="str">
        <f>[1]!f_info_fundmanager(A125)</f>
        <v>孔令超,徐觅</v>
      </c>
      <c r="G125" s="4">
        <v>20160805</v>
      </c>
      <c r="H125" s="11">
        <f>[1]!f_netasset_total(A125,$E$1,100000000)</f>
        <v>31.2570689253</v>
      </c>
      <c r="I125" s="11">
        <f>[1]!f_prt_convertiblebondtonav(A125,$E$1)</f>
        <v>11.43462085723877</v>
      </c>
      <c r="J125" s="11">
        <f>[1]!f_prt_stocktonav(A125,$E$1)+0.5*I125</f>
        <v>17.854176044464111</v>
      </c>
      <c r="K125" s="12">
        <v>0</v>
      </c>
      <c r="L125" s="19">
        <f>[1]!f_return($A125,"1",L$2,$E$1)</f>
        <v>7.5034844703878667</v>
      </c>
      <c r="M125" s="19">
        <f>[1]!f_risk_stdevyearly($A125,L$2,$E$1,1,1)</f>
        <v>2.7297723545409185</v>
      </c>
      <c r="N125" s="12">
        <f>IFERROR(L125/M125,"-")</f>
        <v>2.7487583196840495</v>
      </c>
      <c r="O125" s="12" t="str">
        <f>IFERROR(RANK(N125,N:N)&amp;"/"&amp;COUNT(N:N),"-")</f>
        <v>25/197</v>
      </c>
      <c r="P125" s="26">
        <f>IF(O125="-","-",RANK(N125,N:N)/COUNT(N:N))</f>
        <v>0.12690355329949238</v>
      </c>
      <c r="Q125" s="58">
        <v>0.30456852791878175</v>
      </c>
      <c r="R125" s="33">
        <f>IF(OR($C125&gt;20190630,$K125&gt;30,N125="-",$D125="是",$E125="封闭期",$H125&lt;10,$BN125&lt;-6,$BR125&lt;70),"-",COUNTIFS(N$4:N$200,"&lt;&gt;-",$D$4:$D$200,"&lt;&gt;是",$E$4:$E$200,"&lt;&gt;封闭期",$H$4:$H$200,"&gt;10",$BN$4:$BN$200,"&gt;-6",$BR$4:$BR$200,"&gt;=70",$K$4:$K$200,"&lt;=30",$C$4:$C$200,"&lt;20190630",N$4:N$200,"&gt;="&amp;N125)/COUNTIFS(N$4:N$200,"&lt;&gt;-",$D$4:$D$200,"&lt;&gt;是",$E$4:$E$200,"&lt;&gt;封闭期",$H$4:$H$200,"&gt;10",$BN$4:$BN$200,"&gt;-6",$BR$4:$BR$200,"&gt;=70",$C$4:$C$200,"&lt;20190630",$K$4:$K$200,"&lt;=30"))</f>
        <v>0.17948717948717949</v>
      </c>
      <c r="S125" s="12">
        <f>IFERROR((L125-3)/M125,"-")</f>
        <v>1.6497655794983841</v>
      </c>
      <c r="T125" s="12" t="str">
        <f>IFERROR(RANK(S125,S:S)&amp;"/"&amp;COUNT(S:S),"-")</f>
        <v>25/197</v>
      </c>
      <c r="U125" s="26">
        <f>IFERROR(RANK(S125,S:S)/COUNT(S:S),"-")</f>
        <v>0.12690355329949238</v>
      </c>
      <c r="V125" s="13" t="str">
        <f>IF(OR($C125&gt;20190630,$K125&gt;30,S125="-",$D125="是",$E125="封闭期",$H125&lt;10,$BN125&lt;-6,$BR125&lt;70),"-",COUNTIFS(S$4:S$200,"&lt;&gt;-",$D$4:$D$200,"&lt;&gt;是",$E$4:$E$200,"&lt;&gt;封闭期",$H$4:$H$200,"&gt;10",$BN$4:$BN$200,"&gt;-6",$BR$4:$BR$200,"&gt;=70",$K$4:$K$200,"&lt;=30",$C$4:$C$200,"&lt;20190630",S$4:S$200,"&gt;="&amp;S125)&amp;"/"&amp;COUNTIFS(S$4:S$200,"&lt;&gt;-",$D$4:$D$200,"&lt;&gt;是",$E$4:$E$200,"&lt;&gt;封闭期",$H$4:$H$200,"&gt;10",$BN$4:$BN$200,"&gt;-6",$BR$4:$BR$200,"&gt;=70",$C$4:$C$200,"&lt;20190630",$K$4:$K$200,"&lt;=30"))</f>
        <v>9/39</v>
      </c>
      <c r="W125" s="33">
        <f>IF(OR($C125&gt;20190630,$K125&gt;30,S125="-",$D125="是",$E125="封闭期",$H125&lt;10,$BN125&lt;-6,$BR125&lt;70),"-",COUNTIFS(S$4:S$200,"&lt;&gt;-",$D$4:$D$200,"&lt;&gt;是",$E$4:$E$200,"&lt;&gt;封闭期",$H$4:$H$200,"&gt;10",$BN$4:$BN$200,"&gt;-6",$BR$4:$BR$200,"&gt;=70",$K$4:$K$200,"&lt;=30",$C$4:$C$200,"&lt;20190630",S$4:S$200,"&gt;="&amp;S125)/COUNTIFS(S$4:S$200,"&lt;&gt;-",$D$4:$D$200,"&lt;&gt;是",$E$4:$E$200,"&lt;&gt;封闭期",$H$4:$H$200,"&gt;10",$BN$4:$BN$200,"&gt;-6",$BR$4:$BR$200,"&gt;=70",$C$4:$C$200,"&lt;20190630",$K$4:$K$200,"&lt;=30"))</f>
        <v>0.23076923076923078</v>
      </c>
      <c r="X125" s="19">
        <f>[1]!f_risk_calmar(A125,$L$2,$E$1)</f>
        <v>6.8750871244643186</v>
      </c>
      <c r="Y125" s="12" t="str">
        <f>IFERROR(RANK(X125,X:X)&amp;"/"&amp;COUNT(X:X),"-")</f>
        <v>17/197</v>
      </c>
      <c r="Z125" s="26">
        <f>IFERROR(RANK(X125,X:X)/COUNT(X:X),"-")</f>
        <v>8.6294416243654817E-2</v>
      </c>
      <c r="AA125" s="13" t="str">
        <f>IF(OR($C125&gt;20190630,$K125&gt;30,X125="-",$D125="是",$E125="封闭期",$H125&lt;10,$BN125&lt;-6,$BR125&lt;70),"-",COUNTIFS(X$4:X$200,"&lt;&gt;-",$D$4:$D$200,"&lt;&gt;是",$E$4:$E$200,"&lt;&gt;封闭期",$H$4:$H$200,"&gt;10",$BN$4:$BN$200,"&gt;-6",$BR$4:$BR$200,"&gt;=70",$K$4:$K$200,"&lt;=30",$C$4:$C$200,"&lt;20190630",X$4:X$200,"&gt;="&amp;X125)&amp;"/"&amp;COUNTIFS(X$4:X$200,"&lt;&gt;-",$D$4:$D$200,"&lt;&gt;是",$E$4:$E$200,"&lt;&gt;封闭期",$H$4:$H$200,"&gt;10",$BN$4:$BN$200,"&gt;-6",$BR$4:$BR$200,"&gt;=70",$C$4:$C$200,"&lt;20190630",$K$4:$K$200,"&lt;=30"))</f>
        <v>5/39</v>
      </c>
      <c r="AB125" s="33">
        <f>IF(OR($C125&gt;20190630,$K125&gt;30,X125="-",$D125="是",$E125="封闭期",$H125&lt;10,$BN125&lt;-6,$BR125&lt;70),"-",COUNTIFS(X$4:X$200,"&lt;&gt;-",$D$4:$D$200,"&lt;&gt;是",$E$4:$E$200,"&lt;&gt;封闭期",$H$4:$H$200,"&gt;10",$BN$4:$BN$200,"&gt;-6",$BR$4:$BR$200,"&gt;=70",$K$4:$K$200,"&lt;=30",$C$4:$C$200,"&lt;20190630",X$4:X$200,"&gt;="&amp;X125)/COUNTIFS(X$4:X$200,"&lt;&gt;-",$D$4:$D$200,"&lt;&gt;是",$E$4:$E$200,"&lt;&gt;封闭期",$H$4:$H$200,"&gt;10",$BN$4:$BN$200,"&gt;-6",$BR$4:$BR$200,"&gt;=70",$C$4:$C$200,"&lt;20190630",$K$4:$K$200,"&lt;=30"))</f>
        <v>0.12820512820512819</v>
      </c>
      <c r="AC125" s="20">
        <v>0.99159663865546221</v>
      </c>
      <c r="AD125" s="12" t="str">
        <f>IFERROR(RANK(AC125,AC:AC)&amp;"/"&amp;COUNT(AC:AC),"-")</f>
        <v>91/197</v>
      </c>
      <c r="AE125" s="26">
        <f>IFERROR(RANK(AC125,AC:AC)/COUNT(AC:AC),"-")</f>
        <v>0.46192893401015228</v>
      </c>
      <c r="AF125" s="13" t="str">
        <f>IF(OR($C125&gt;20190630,$K125&gt;30,AC125="-",$D125="是",$E125="封闭期",$H125&lt;10,$BN125&lt;-6,$BR125&lt;70),"-",COUNTIFS(AC$4:AC$200,"&lt;&gt;-",$D$4:$D$200,"&lt;&gt;是",$E$4:$E$200,"&lt;&gt;封闭期",$H$4:$H$200,"&gt;10",$BN$4:$BN$200,"&gt;-6",$BR$4:$BR$200,"&gt;=70",$K$4:$K$200,"&lt;=30",$C$4:$C$200,"&lt;20190630",AC$4:AC$200,"&gt;="&amp;AC125)&amp;"/"&amp;COUNTIFS(AC$4:AC$200,"&lt;&gt;-",$D$4:$D$200,"&lt;&gt;是",$E$4:$E$200,"&lt;&gt;封闭期",$H$4:$H$200,"&gt;10",$BN$4:$BN$200,"&gt;-6",$BR$4:$BR$200,"&gt;=70",$C$4:$C$200,"&lt;20190630",$K$4:$K$200,"&lt;=30"))</f>
        <v>29/39</v>
      </c>
      <c r="AG125" s="33">
        <f>IF(OR($C125&gt;20190630,$K125&gt;30,AC125="-",$D125="是",$E125="封闭期",$H125&lt;10,$BN125&lt;-6,$BR125&lt;70),"-",COUNTIFS(AC$4:AC$200,"&lt;&gt;-",$D$4:$D$200,"&lt;&gt;是",$E$4:$E$200,"&lt;&gt;封闭期",$H$4:$H$200,"&gt;10",$BN$4:$BN$200,"&gt;-6",$BR$4:$BR$200,"&gt;=70",$K$4:$K$200,"&lt;=30",$C$4:$C$200,"&lt;20190630",AC$4:AC$200,"&gt;="&amp;AC125)/COUNTIFS(AC$4:AC$200,"&lt;&gt;-",$D$4:$D$200,"&lt;&gt;是",$E$4:$E$200,"&lt;&gt;封闭期",$H$4:$H$200,"&gt;10",$BN$4:$BN$200,"&gt;-6",$BR$4:$BR$200,"&gt;=70",$C$4:$C$200,"&lt;20190630",$K$4:$K$200,"&lt;=30"))</f>
        <v>0.74358974358974361</v>
      </c>
      <c r="AH125" s="21">
        <f>[1]!f_risk_maxdownside(A125,$L$2,$E$1)</f>
        <v>-1.09140209200949</v>
      </c>
      <c r="AI125" s="19" t="str">
        <f>IFERROR(RANK(AH125,AH:AH)&amp;"/"&amp;COUNT(AH:AH),"-")</f>
        <v>26/197</v>
      </c>
      <c r="AJ125" s="26">
        <f>IFERROR(RANK(AH125,AH:AH)/COUNT(AH:AH),"-")</f>
        <v>0.13197969543147209</v>
      </c>
      <c r="AK125" s="34" t="str">
        <f>IF(OR($C125&gt;20190630,$K125&gt;30,AH125="-",$D125="是",$E125="封闭期",$H125&lt;10,$BN125&lt;-6,$BR125&lt;70),"-",COUNTIFS(AH$4:AH$200,"&lt;&gt;-",$D$4:$D$200,"&lt;&gt;是",$E$4:$E$200,"&lt;&gt;封闭期",$H$4:$H$200,"&gt;10",$BN$4:$BN$200,"&gt;-6",$BR$4:$BR$200,"&gt;=70",$K$4:$K$200,"&lt;=30",$C$4:$C$200,"&lt;20190630",AH$4:AH$200,"&gt;="&amp;AH125)&amp;"/"&amp;COUNTIFS(AH$4:AH$200,"&lt;&gt;-",$D$4:$D$200,"&lt;&gt;是",$E$4:$E$200,"&lt;&gt;封闭期",$H$4:$H$200,"&gt;10",$BN$4:$BN$200,"&gt;-6",$BR$4:$BR$200,"&gt;=70",$C$4:$C$200,"&lt;20190630",$K$4:$K$200,"&lt;=30"))</f>
        <v>5/39</v>
      </c>
      <c r="AL125" s="33">
        <f>IF(OR($C125&gt;20190630,$K125&gt;30,AH125="-",$D125="是",$E125="封闭期",$H125&lt;10,$BN125&lt;-6,$BR125&lt;70),"-",COUNTIFS(AH$4:AH$200,"&lt;&gt;-",$D$4:$D$200,"&lt;&gt;是",$E$4:$E$200,"&lt;&gt;封闭期",$H$4:$H$200,"&gt;10",$BN$4:$BN$200,"&gt;-6",$BR$4:$BR$200,"&gt;=70",$K$4:$K$200,"&lt;=30",$C$4:$C$200,"&lt;20190630",AH$4:AH$200,"&gt;="&amp;AH125)/COUNTIFS(AH$4:AH$200,"&lt;&gt;-",$D$4:$D$200,"&lt;&gt;是",$E$4:$E$200,"&lt;&gt;封闭期",$H$4:$H$200,"&gt;10",$BN$4:$BN$200,"&gt;-6",$BR$4:$BR$200,"&gt;=70",$C$4:$C$200,"&lt;20190630",$K$4:$K$200,"&lt;=30"))</f>
        <v>0.12820512820512819</v>
      </c>
      <c r="AM125" s="19">
        <f>[1]!f_return($A125,"1",AM$2,$L$2)</f>
        <v>6.007446799441718</v>
      </c>
      <c r="AN125" s="19">
        <f>[1]!f_risk_stdevyearly($A125,AM$2,$L$2,1,1)</f>
        <v>4.4827657717038338</v>
      </c>
      <c r="AO125" s="12">
        <f>IFERROR(AM125/AN125,"-")</f>
        <v>1.3401206097722065</v>
      </c>
      <c r="AP125" s="12" t="str">
        <f>IFERROR(RANK(AO125,AO:AO)&amp;"/"&amp;COUNT(AO:AO),"-")</f>
        <v>132/197</v>
      </c>
      <c r="AQ125" s="26">
        <f>IF(AP125="-","-",RANK(AO125,AO:AO)/COUNT(AO:AO))</f>
        <v>0.67005076142131981</v>
      </c>
      <c r="AR125" s="60">
        <v>0.61928934010152281</v>
      </c>
      <c r="AS125" s="35">
        <f>IF(OR($C125&gt;20190630,$K125&gt;30,AO125="-",$D125="是",$E125="封闭期",$H125&lt;10,$BN125&lt;-6,$BR125&lt;70),"-",COUNTIFS(AO$4:AO$200,"&lt;&gt;-",$D$4:$D$200,"&lt;&gt;是",$E$4:$E$200,"&lt;&gt;封闭期",$H$4:$H$200,"&gt;10",$BN$4:$BN$200,"&gt;-6",$BR$4:$BR$200,"&gt;=70",$K$4:$K$200,"&lt;=30",$C$4:$C$200,"&lt;20190630",AO$4:AO$200,"&gt;="&amp;AO125)/COUNTIFS(AO$4:AO$200,"&lt;&gt;-",$D$4:$D$200,"&lt;&gt;是",$E$4:$E$200,"&lt;&gt;封闭期",$H$4:$H$200,"&gt;10",$BN$4:$BN$200,"&gt;-6",$BR$4:$BR$200,"&gt;=70",$C$4:$C$200,"&lt;20190630",$K$4:$K$200,"&lt;=30"))</f>
        <v>0.84615384615384615</v>
      </c>
      <c r="AT125" s="12">
        <f>IFERROR((AM125-3)/AN125,"-")</f>
        <v>0.67089090811421792</v>
      </c>
      <c r="AU125" s="12" t="str">
        <f>IFERROR(RANK(AT125,AT:AT)&amp;"/"&amp;COUNT(AT:AT),"-")</f>
        <v>123/197</v>
      </c>
      <c r="AV125" s="26">
        <f>IFERROR(RANK(AT125,AT:AT)/COUNT(AT:AT),"-")</f>
        <v>0.62436548223350252</v>
      </c>
      <c r="AW125" s="13" t="str">
        <f>IF(OR($C125&gt;20190630,$K125&gt;30,AT125="-",$D125="是",$E125="封闭期",$H125&lt;10,$BN125&lt;-6,$BR125&lt;70),"-",COUNTIFS(AT$4:AT$200,"&lt;&gt;-",$D$4:$D$200,"&lt;&gt;是",$E$4:$E$200,"&lt;&gt;封闭期",$H$4:$H$200,"&gt;10",$BN$4:$BN$200,"&gt;-6",$BR$4:$BR$200,"&gt;=70",$K$4:$K$200,"&lt;=30",$C$4:$C$200,"&lt;20190630",AT$4:AT$200,"&gt;="&amp;AT125)&amp;"/"&amp;COUNTIFS(AT$4:AT$200,"&lt;&gt;-",$D$4:$D$200,"&lt;&gt;是",$E$4:$E$200,"&lt;&gt;封闭期",$H$4:$H$200,"&gt;10",$BN$4:$BN$200,"&gt;-6",$BR$4:$BR$200,"&gt;=70",$C$4:$C$200,"&lt;20190630",$K$4:$K$200,"&lt;=30"))</f>
        <v>30/39</v>
      </c>
      <c r="AX125" s="33">
        <f>IF(OR($C125&gt;20190630,$K125&gt;30,AT125="-",$D125="是",$E125="封闭期",$H125&lt;10,$BN125&lt;-6,$BR125&lt;70),"-",COUNTIFS(AT$4:AT$200,"&lt;&gt;-",$D$4:$D$200,"&lt;&gt;是",$E$4:$E$200,"&lt;&gt;封闭期",$H$4:$H$200,"&gt;10",$BN$4:$BN$200,"&gt;-6",$BR$4:$BR$200,"&gt;=70",$K$4:$K$200,"&lt;=30",$C$4:$C$200,"&lt;20190630",AT$4:AT$200,"&gt;="&amp;AT125)/COUNTIFS(AT$4:AT$200,"&lt;&gt;-",$D$4:$D$200,"&lt;&gt;是",$E$4:$E$200,"&lt;&gt;封闭期",$H$4:$H$200,"&gt;10",$BN$4:$BN$200,"&gt;-6",$BR$4:$BR$200,"&gt;=70",$C$4:$C$200,"&lt;20190630",$K$4:$K$200,"&lt;=30"))</f>
        <v>0.76923076923076927</v>
      </c>
      <c r="AY125" s="19">
        <f>[1]!f_risk_calmar(A125,$AM$2,$L$2)</f>
        <v>1.6691576866803308</v>
      </c>
      <c r="AZ125" s="12" t="str">
        <f>IFERROR(RANK(AY125,AY:AY)&amp;"/"&amp;COUNT(AY:AY),"-")</f>
        <v>134/197</v>
      </c>
      <c r="BA125" s="26">
        <f>IFERROR(RANK(AY125,AY:AY)/COUNT(AY:AY),"-")</f>
        <v>0.68020304568527923</v>
      </c>
      <c r="BB125" s="13" t="str">
        <f>IF(OR($C125&gt;20190630,$K125&gt;30,AY125="-",$D125="是",$E125="封闭期",$H125&lt;10,$BN125&lt;-6,$BR125&lt;70),"-",COUNTIFS(AY$4:AY$200,"&lt;&gt;-",$D$4:$D$200,"&lt;&gt;是",$E$4:$E$200,"&lt;&gt;封闭期",$H$4:$H$200,"&gt;10",$BN$4:$BN$200,"&gt;-6",$BR$4:$BR$200,"&gt;=70",$K$4:$K$200,"&lt;=30",$C$4:$C$200,"&lt;20190630",AY$4:AY$200,"&gt;="&amp;AY125)&amp;"/"&amp;COUNTIFS(AY$4:AY$200,"&lt;&gt;-",$D$4:$D$200,"&lt;&gt;是",$E$4:$E$200,"&lt;&gt;封闭期",$H$4:$H$200,"&gt;10",$BN$4:$BN$200,"&gt;-6",$BR$4:$BR$200,"&gt;=70",$C$4:$C$200,"&lt;20190630",$K$4:$K$200,"&lt;=30"))</f>
        <v>32/39</v>
      </c>
      <c r="BC125" s="33">
        <f>IF(OR($C125&gt;20190630,$K125&gt;30,AY125="-",$D125="是",$E125="封闭期",$H125&lt;10,$BN125&lt;-6,$BR125&lt;70),"-",COUNTIFS(AY$4:AY$200,"&lt;&gt;-",$D$4:$D$200,"&lt;&gt;是",$E$4:$E$200,"&lt;&gt;封闭期",$H$4:$H$200,"&gt;10",$BN$4:$BN$200,"&gt;-6",$BR$4:$BR$200,"&gt;=70",$K$4:$K$200,"&lt;=30",$C$4:$C$200,"&lt;20190630",AY$4:AY$200,"&gt;="&amp;AY125)/COUNTIFS(AY$4:AY$200,"&lt;&gt;-",$D$4:$D$200,"&lt;&gt;是",$E$4:$E$200,"&lt;&gt;封闭期",$H$4:$H$200,"&gt;10",$BN$4:$BN$200,"&gt;-6",$BR$4:$BR$200,"&gt;=70",$C$4:$C$200,"&lt;20190630",$K$4:$K$200,"&lt;=30"))</f>
        <v>0.82051282051282048</v>
      </c>
      <c r="BD125" s="20">
        <v>0.98333333333333328</v>
      </c>
      <c r="BE125" s="12" t="str">
        <f>IFERROR(RANK(BD125,BD:BD)&amp;"/"&amp;COUNT(BD:BD),"-")</f>
        <v>147/197</v>
      </c>
      <c r="BF125" s="26">
        <f>IFERROR(RANK(BD125,BD:BD)/COUNT(BD:BD),"-")</f>
        <v>0.74619289340101524</v>
      </c>
      <c r="BG125" s="13" t="str">
        <f>IF(OR($C125&gt;20190630,$K125&gt;30,BD125="-",$D125="是",$E125="封闭期",$H125&lt;10,$BN125&lt;-6,$BR125&lt;70),"-",COUNTIFS(BD$4:BD$200,"&lt;&gt;-",$D$4:$D$200,"&lt;&gt;是",$E$4:$E$200,"&lt;&gt;封闭期",$H$4:$H$200,"&gt;10",$BN$4:$BN$200,"&gt;-6",$BR$4:$BR$200,"&gt;=70",$K$4:$K$200,"&lt;=30",$C$4:$C$200,"&lt;20190630",BD$4:BD$200,"&gt;="&amp;BD125)&amp;"/"&amp;COUNTIFS(BD$4:BD$200,"&lt;&gt;-",$D$4:$D$200,"&lt;&gt;是",$E$4:$E$200,"&lt;&gt;封闭期",$H$4:$H$200,"&gt;10",$BN$4:$BN$200,"&gt;-6",$BR$4:$BR$200,"&gt;=70",$C$4:$C$200,"&lt;20190630",$K$4:$K$200,"&lt;=30"))</f>
        <v>38/39</v>
      </c>
      <c r="BH125" s="33">
        <f>IF(OR($C125&gt;20190630,$K125&gt;30,BD125="-",$D125="是",$E125="封闭期",$H125&lt;10,$BN125&lt;-6,$BR125&lt;70),"-",COUNTIFS(BD$4:BD$200,"&lt;&gt;-",$D$4:$D$200,"&lt;&gt;是",$E$4:$E$200,"&lt;&gt;封闭期",$H$4:$H$200,"&gt;10",$BN$4:$BN$200,"&gt;-6",$BR$4:$BR$200,"&gt;=70",$K$4:$K$200,"&lt;=30",$C$4:$C$200,"&lt;20190630",BD$4:BD$200,"&gt;="&amp;BD125)/COUNTIFS(BD$4:BD$200,"&lt;&gt;-",$D$4:$D$200,"&lt;&gt;是",$E$4:$E$200,"&lt;&gt;封闭期",$H$4:$H$200,"&gt;10",$BN$4:$BN$200,"&gt;-6",$BR$4:$BR$200,"&gt;=70",$C$4:$C$200,"&lt;20190630",$K$4:$K$200,"&lt;=30"))</f>
        <v>0.97435897435897434</v>
      </c>
      <c r="BI125" s="21">
        <f>[1]!f_risk_maxdownside(A125,$AM$2,$L$2)</f>
        <v>-3.5990888382687811</v>
      </c>
      <c r="BJ125" s="19" t="str">
        <f>IFERROR(RANK(BI125,BI:BI)&amp;"/"&amp;COUNT(BI:BI),"-")</f>
        <v>116/197</v>
      </c>
      <c r="BK125" s="26">
        <f>IFERROR(RANK(BI125,BI:BI)/COUNT(BI:BI),"-")</f>
        <v>0.58883248730964466</v>
      </c>
      <c r="BL125" s="34" t="str">
        <f>IF(OR($C125&gt;20190630,$K125&gt;30,BI125="-",$D125="是",$E125="封闭期",$H125&lt;10,$BN125&lt;-6,$BR125&lt;70),"-",COUNTIFS(BI$4:BI$200,"&lt;&gt;-",$D$4:$D$200,"&lt;&gt;是",$E$4:$E$200,"&lt;&gt;封闭期",$H$4:$H$200,"&gt;10",$BN$4:$BN$200,"&gt;-6",$BR$4:$BR$200,"&gt;=70",$K$4:$K$200,"&lt;=30",$C$4:$C$200,"&lt;20190630",BI$4:BI$200,"&gt;="&amp;BI125)&amp;"/"&amp;COUNTIFS(BI$4:BI$200,"&lt;&gt;-",$D$4:$D$200,"&lt;&gt;是",$E$4:$E$200,"&lt;&gt;封闭期",$H$4:$H$200,"&gt;10",$BN$4:$BN$200,"&gt;-6",$BR$4:$BR$200,"&gt;=70",$C$4:$C$200,"&lt;20190630",$K$4:$K$200,"&lt;=30"))</f>
        <v>28/39</v>
      </c>
      <c r="BM125" s="33">
        <f>IF(OR($C125&gt;20190630,$K125&gt;30,BI125="-",$D125="是",$E125="封闭期",$H125&lt;10,$BN125&lt;-6,$BR125&lt;70),"-",COUNTIFS(BI$4:BI$200,"&lt;&gt;-",$D$4:$D$200,"&lt;&gt;是",$E$4:$E$200,"&lt;&gt;封闭期",$H$4:$H$200,"&gt;10",$BN$4:$BN$200,"&gt;-6",$BR$4:$BR$200,"&gt;=70",$K$4:$K$200,"&lt;=30",$C$4:$C$200,"&lt;20190630",BI$4:BI$200,"&gt;="&amp;BI125)/COUNTIFS(BI$4:BI$200,"&lt;&gt;-",$D$4:$D$200,"&lt;&gt;是",$E$4:$E$200,"&lt;&gt;封闭期",$H$4:$H$200,"&gt;10",$BN$4:$BN$200,"&gt;-6",$BR$4:$BR$200,"&gt;=70",$C$4:$C$200,"&lt;20190630",$K$4:$K$200,"&lt;=30"))</f>
        <v>0.71794871794871795</v>
      </c>
      <c r="BN125" s="21">
        <f>[1]!f_risk_maxdownside(A125,$AM$2,$E$1)</f>
        <v>-3.5990888382687811</v>
      </c>
      <c r="BO125" s="14">
        <f>IF(C125&lt;20190930,[1]!f_return_2y(A125,"0","20210930"),"-")</f>
        <v>14.210215286554941</v>
      </c>
      <c r="BP125" s="12" t="str">
        <f>IFERROR(RANK(BO125,BO:BO)&amp;"/"&amp;COUNT(BO:BO),"-")</f>
        <v>88/197</v>
      </c>
      <c r="BQ125" s="25">
        <f>IFERROR(RANK(BO125,BO:BO)/COUNT(BO:BO),"-")</f>
        <v>0.4467005076142132</v>
      </c>
      <c r="BR125" s="12">
        <f>IF(C125&lt;20190930,[1]!f_absolute_profitmonthper(A125,"20190930","20210930"),"-")</f>
        <v>70.833333333333343</v>
      </c>
      <c r="BS125" s="12" t="str">
        <f>IFERROR(RANK(BR125,BR:BR)&amp;"/"&amp;COUNT(BR:BR),"-")</f>
        <v>55/198</v>
      </c>
      <c r="BT125" s="25">
        <f>IFERROR(RANK(BR125,BR:BR)/COUNT(BR:BR),"-")</f>
        <v>0.27777777777777779</v>
      </c>
      <c r="BV125" s="12">
        <f>X125-3/M125</f>
        <v>5.776094384278653</v>
      </c>
      <c r="BW125" s="76">
        <f>IFERROR(RANK(BV125,BV:BV)/COUNT(BV:BV),"-")</f>
        <v>6.5989847715736044E-2</v>
      </c>
      <c r="BX125" s="76">
        <f>IFERROR(RANK(L125,L:L)/COUNT(L:L),"-")</f>
        <v>0.30808080808080807</v>
      </c>
      <c r="BY125" s="12">
        <f>AY125-3/AN125</f>
        <v>0.99992798502234215</v>
      </c>
      <c r="BZ125" s="76">
        <f>IFERROR(RANK(BY125,BY:BY)/COUNT(BY:BY),"-")</f>
        <v>0.68527918781725883</v>
      </c>
      <c r="CA125" s="76">
        <f>IFERROR(RANK(AM125,AM:AM)/COUNT(AM:AM),"-")</f>
        <v>0.62121212121212122</v>
      </c>
      <c r="CB125" s="2"/>
      <c r="CC125" s="77">
        <f>AV125+BF125+BZ125+CA125</f>
        <v>2.6770496846638974</v>
      </c>
      <c r="CD125" s="77">
        <f>BW125+BX125+AE125+U125</f>
        <v>0.96290314310618874</v>
      </c>
      <c r="CE125" s="77">
        <f>CC125+CD125</f>
        <v>3.6399528277700863</v>
      </c>
    </row>
    <row r="126" spans="1:83" s="17" customFormat="1" x14ac:dyDescent="0.35">
      <c r="A126" s="3" t="s">
        <v>185</v>
      </c>
      <c r="B126" s="3" t="s">
        <v>186</v>
      </c>
      <c r="C126" s="4">
        <v>20160526</v>
      </c>
      <c r="D126" s="4" t="str">
        <f>[1]!f_info_regulopenfundornot(A126)</f>
        <v>否</v>
      </c>
      <c r="E126" s="4" t="str">
        <f>[1]!f_dq_status(A126,$E$1)</f>
        <v>开放申购|开放赎回</v>
      </c>
      <c r="F126" s="17" t="str">
        <f>[1]!f_info_fundmanager(A126)</f>
        <v>孔令超,徐觅</v>
      </c>
      <c r="G126" s="4">
        <v>20160805</v>
      </c>
      <c r="H126" s="11">
        <f>[1]!f_netasset_total(A126,$E$1,100000000)</f>
        <v>39.156031195300002</v>
      </c>
      <c r="I126" s="11">
        <f>[1]!f_prt_convertiblebondtonav(A126,$E$1)</f>
        <v>12.689848899841309</v>
      </c>
      <c r="J126" s="11">
        <f>[1]!f_prt_stocktonav(A126,$E$1)+0.5*I126</f>
        <v>18.692248821258545</v>
      </c>
      <c r="K126" s="12">
        <v>0</v>
      </c>
      <c r="L126" s="19">
        <f>[1]!f_return($A126,"1",L$2,$E$1)</f>
        <v>7.3041586753856524</v>
      </c>
      <c r="M126" s="19">
        <f>[1]!f_risk_stdevyearly($A126,L$2,$E$1,1,1)</f>
        <v>2.6859407569078684</v>
      </c>
      <c r="N126" s="12">
        <f>IFERROR(L126/M126,"-")</f>
        <v>2.7194042372678422</v>
      </c>
      <c r="O126" s="12" t="str">
        <f>IFERROR(RANK(N126,N:N)&amp;"/"&amp;COUNT(N:N),"-")</f>
        <v>26/197</v>
      </c>
      <c r="P126" s="26">
        <f>IF(O126="-","-",RANK(N126,N:N)/COUNT(N:N))</f>
        <v>0.13197969543147209</v>
      </c>
      <c r="Q126" s="58">
        <v>0.32487309644670048</v>
      </c>
      <c r="R126" s="33">
        <f>IF(OR($C126&gt;20190630,$K126&gt;30,N126="-",$D126="是",$E126="封闭期",$H126&lt;10,$BN126&lt;-6,$BR126&lt;70),"-",COUNTIFS(N$4:N$200,"&lt;&gt;-",$D$4:$D$200,"&lt;&gt;是",$E$4:$E$200,"&lt;&gt;封闭期",$H$4:$H$200,"&gt;10",$BN$4:$BN$200,"&gt;-6",$BR$4:$BR$200,"&gt;=70",$K$4:$K$200,"&lt;=30",$C$4:$C$200,"&lt;20190630",N$4:N$200,"&gt;="&amp;N126)/COUNTIFS(N$4:N$200,"&lt;&gt;-",$D$4:$D$200,"&lt;&gt;是",$E$4:$E$200,"&lt;&gt;封闭期",$H$4:$H$200,"&gt;10",$BN$4:$BN$200,"&gt;-6",$BR$4:$BR$200,"&gt;=70",$C$4:$C$200,"&lt;20190630",$K$4:$K$200,"&lt;=30"))</f>
        <v>0.20512820512820512</v>
      </c>
      <c r="S126" s="12">
        <f>IFERROR((L126-3)/M126,"-")</f>
        <v>1.6024771448573283</v>
      </c>
      <c r="T126" s="12" t="str">
        <f>IFERROR(RANK(S126,S:S)&amp;"/"&amp;COUNT(S:S),"-")</f>
        <v>26/197</v>
      </c>
      <c r="U126" s="26">
        <f>IFERROR(RANK(S126,S:S)/COUNT(S:S),"-")</f>
        <v>0.13197969543147209</v>
      </c>
      <c r="V126" s="13" t="str">
        <f>IF(OR($C126&gt;20190630,$K126&gt;30,S126="-",$D126="是",$E126="封闭期",$H126&lt;10,$BN126&lt;-6,$BR126&lt;70),"-",COUNTIFS(S$4:S$200,"&lt;&gt;-",$D$4:$D$200,"&lt;&gt;是",$E$4:$E$200,"&lt;&gt;封闭期",$H$4:$H$200,"&gt;10",$BN$4:$BN$200,"&gt;-6",$BR$4:$BR$200,"&gt;=70",$K$4:$K$200,"&lt;=30",$C$4:$C$200,"&lt;20190630",S$4:S$200,"&gt;="&amp;S126)&amp;"/"&amp;COUNTIFS(S$4:S$200,"&lt;&gt;-",$D$4:$D$200,"&lt;&gt;是",$E$4:$E$200,"&lt;&gt;封闭期",$H$4:$H$200,"&gt;10",$BN$4:$BN$200,"&gt;-6",$BR$4:$BR$200,"&gt;=70",$C$4:$C$200,"&lt;20190630",$K$4:$K$200,"&lt;=30"))</f>
        <v>10/39</v>
      </c>
      <c r="W126" s="33">
        <f>IF(OR($C126&gt;20190630,$K126&gt;30,S126="-",$D126="是",$E126="封闭期",$H126&lt;10,$BN126&lt;-6,$BR126&lt;70),"-",COUNTIFS(S$4:S$200,"&lt;&gt;-",$D$4:$D$200,"&lt;&gt;是",$E$4:$E$200,"&lt;&gt;封闭期",$H$4:$H$200,"&gt;10",$BN$4:$BN$200,"&gt;-6",$BR$4:$BR$200,"&gt;=70",$K$4:$K$200,"&lt;=30",$C$4:$C$200,"&lt;20190630",S$4:S$200,"&gt;="&amp;S126)/COUNTIFS(S$4:S$200,"&lt;&gt;-",$D$4:$D$200,"&lt;&gt;是",$E$4:$E$200,"&lt;&gt;封闭期",$H$4:$H$200,"&gt;10",$BN$4:$BN$200,"&gt;-6",$BR$4:$BR$200,"&gt;=70",$C$4:$C$200,"&lt;20190630",$K$4:$K$200,"&lt;=30"))</f>
        <v>0.25641025641025639</v>
      </c>
      <c r="X126" s="19">
        <f>[1]!f_risk_calmar(A126,$L$2,$E$1)</f>
        <v>7.6605745663048381</v>
      </c>
      <c r="Y126" s="12" t="str">
        <f>IFERROR(RANK(X126,X:X)&amp;"/"&amp;COUNT(X:X),"-")</f>
        <v>13/197</v>
      </c>
      <c r="Z126" s="26">
        <f>IFERROR(RANK(X126,X:X)/COUNT(X:X),"-")</f>
        <v>6.5989847715736044E-2</v>
      </c>
      <c r="AA126" s="13" t="str">
        <f>IF(OR($C126&gt;20190630,$K126&gt;30,X126="-",$D126="是",$E126="封闭期",$H126&lt;10,$BN126&lt;-6,$BR126&lt;70),"-",COUNTIFS(X$4:X$200,"&lt;&gt;-",$D$4:$D$200,"&lt;&gt;是",$E$4:$E$200,"&lt;&gt;封闭期",$H$4:$H$200,"&gt;10",$BN$4:$BN$200,"&gt;-6",$BR$4:$BR$200,"&gt;=70",$K$4:$K$200,"&lt;=30",$C$4:$C$200,"&lt;20190630",X$4:X$200,"&gt;="&amp;X126)&amp;"/"&amp;COUNTIFS(X$4:X$200,"&lt;&gt;-",$D$4:$D$200,"&lt;&gt;是",$E$4:$E$200,"&lt;&gt;封闭期",$H$4:$H$200,"&gt;10",$BN$4:$BN$200,"&gt;-6",$BR$4:$BR$200,"&gt;=70",$C$4:$C$200,"&lt;20190630",$K$4:$K$200,"&lt;=30"))</f>
        <v>3/39</v>
      </c>
      <c r="AB126" s="33">
        <f>IF(OR($C126&gt;20190630,$K126&gt;30,X126="-",$D126="是",$E126="封闭期",$H126&lt;10,$BN126&lt;-6,$BR126&lt;70),"-",COUNTIFS(X$4:X$200,"&lt;&gt;-",$D$4:$D$200,"&lt;&gt;是",$E$4:$E$200,"&lt;&gt;封闭期",$H$4:$H$200,"&gt;10",$BN$4:$BN$200,"&gt;-6",$BR$4:$BR$200,"&gt;=70",$K$4:$K$200,"&lt;=30",$C$4:$C$200,"&lt;20190630",X$4:X$200,"&gt;="&amp;X126)/COUNTIFS(X$4:X$200,"&lt;&gt;-",$D$4:$D$200,"&lt;&gt;是",$E$4:$E$200,"&lt;&gt;封闭期",$H$4:$H$200,"&gt;10",$BN$4:$BN$200,"&gt;-6",$BR$4:$BR$200,"&gt;=70",$C$4:$C$200,"&lt;20190630",$K$4:$K$200,"&lt;=30"))</f>
        <v>7.6923076923076927E-2</v>
      </c>
      <c r="AC126" s="20">
        <v>1</v>
      </c>
      <c r="AD126" s="12" t="str">
        <f>IFERROR(RANK(AC126,AC:AC)&amp;"/"&amp;COUNT(AC:AC),"-")</f>
        <v>1/197</v>
      </c>
      <c r="AE126" s="26">
        <f>IFERROR(RANK(AC126,AC:AC)/COUNT(AC:AC),"-")</f>
        <v>5.076142131979695E-3</v>
      </c>
      <c r="AF126" s="13" t="str">
        <f>IF(OR($C126&gt;20190630,$K126&gt;30,AC126="-",$D126="是",$E126="封闭期",$H126&lt;10,$BN126&lt;-6,$BR126&lt;70),"-",COUNTIFS(AC$4:AC$200,"&lt;&gt;-",$D$4:$D$200,"&lt;&gt;是",$E$4:$E$200,"&lt;&gt;封闭期",$H$4:$H$200,"&gt;10",$BN$4:$BN$200,"&gt;-6",$BR$4:$BR$200,"&gt;=70",$K$4:$K$200,"&lt;=30",$C$4:$C$200,"&lt;20190630",AC$4:AC$200,"&gt;="&amp;AC126)&amp;"/"&amp;COUNTIFS(AC$4:AC$200,"&lt;&gt;-",$D$4:$D$200,"&lt;&gt;是",$E$4:$E$200,"&lt;&gt;封闭期",$H$4:$H$200,"&gt;10",$BN$4:$BN$200,"&gt;-6",$BR$4:$BR$200,"&gt;=70",$C$4:$C$200,"&lt;20190630",$K$4:$K$200,"&lt;=30"))</f>
        <v>28/39</v>
      </c>
      <c r="AG126" s="33">
        <f>IF(OR($C126&gt;20190630,$K126&gt;30,AC126="-",$D126="是",$E126="封闭期",$H126&lt;10,$BN126&lt;-6,$BR126&lt;70),"-",COUNTIFS(AC$4:AC$200,"&lt;&gt;-",$D$4:$D$200,"&lt;&gt;是",$E$4:$E$200,"&lt;&gt;封闭期",$H$4:$H$200,"&gt;10",$BN$4:$BN$200,"&gt;-6",$BR$4:$BR$200,"&gt;=70",$K$4:$K$200,"&lt;=30",$C$4:$C$200,"&lt;20190630",AC$4:AC$200,"&gt;="&amp;AC126)/COUNTIFS(AC$4:AC$200,"&lt;&gt;-",$D$4:$D$200,"&lt;&gt;是",$E$4:$E$200,"&lt;&gt;封闭期",$H$4:$H$200,"&gt;10",$BN$4:$BN$200,"&gt;-6",$BR$4:$BR$200,"&gt;=70",$C$4:$C$200,"&lt;20190630",$K$4:$K$200,"&lt;=30"))</f>
        <v>0.71794871794871795</v>
      </c>
      <c r="AH126" s="21">
        <f>[1]!f_risk_maxdownside(A126,$L$2,$E$1)</f>
        <v>-0.95347400017658113</v>
      </c>
      <c r="AI126" s="19" t="str">
        <f>IFERROR(RANK(AH126,AH:AH)&amp;"/"&amp;COUNT(AH:AH),"-")</f>
        <v>22/197</v>
      </c>
      <c r="AJ126" s="26">
        <f>IFERROR(RANK(AH126,AH:AH)/COUNT(AH:AH),"-")</f>
        <v>0.1116751269035533</v>
      </c>
      <c r="AK126" s="34" t="str">
        <f>IF(OR($C126&gt;20190630,$K126&gt;30,AH126="-",$D126="是",$E126="封闭期",$H126&lt;10,$BN126&lt;-6,$BR126&lt;70),"-",COUNTIFS(AH$4:AH$200,"&lt;&gt;-",$D$4:$D$200,"&lt;&gt;是",$E$4:$E$200,"&lt;&gt;封闭期",$H$4:$H$200,"&gt;10",$BN$4:$BN$200,"&gt;-6",$BR$4:$BR$200,"&gt;=70",$K$4:$K$200,"&lt;=30",$C$4:$C$200,"&lt;20190630",AH$4:AH$200,"&gt;="&amp;AH126)&amp;"/"&amp;COUNTIFS(AH$4:AH$200,"&lt;&gt;-",$D$4:$D$200,"&lt;&gt;是",$E$4:$E$200,"&lt;&gt;封闭期",$H$4:$H$200,"&gt;10",$BN$4:$BN$200,"&gt;-6",$BR$4:$BR$200,"&gt;=70",$C$4:$C$200,"&lt;20190630",$K$4:$K$200,"&lt;=30"))</f>
        <v>4/39</v>
      </c>
      <c r="AL126" s="33">
        <f>IF(OR($C126&gt;20190630,$K126&gt;30,AH126="-",$D126="是",$E126="封闭期",$H126&lt;10,$BN126&lt;-6,$BR126&lt;70),"-",COUNTIFS(AH$4:AH$200,"&lt;&gt;-",$D$4:$D$200,"&lt;&gt;是",$E$4:$E$200,"&lt;&gt;封闭期",$H$4:$H$200,"&gt;10",$BN$4:$BN$200,"&gt;-6",$BR$4:$BR$200,"&gt;=70",$K$4:$K$200,"&lt;=30",$C$4:$C$200,"&lt;20190630",AH$4:AH$200,"&gt;="&amp;AH126)/COUNTIFS(AH$4:AH$200,"&lt;&gt;-",$D$4:$D$200,"&lt;&gt;是",$E$4:$E$200,"&lt;&gt;封闭期",$H$4:$H$200,"&gt;10",$BN$4:$BN$200,"&gt;-6",$BR$4:$BR$200,"&gt;=70",$C$4:$C$200,"&lt;20190630",$K$4:$K$200,"&lt;=30"))</f>
        <v>0.10256410256410256</v>
      </c>
      <c r="AM126" s="19">
        <f>[1]!f_return($A126,"1",AM$2,$L$2)</f>
        <v>5.8845298232499621</v>
      </c>
      <c r="AN126" s="19">
        <f>[1]!f_risk_stdevyearly($A126,AM$2,$L$2,1,1)</f>
        <v>4.5338670247595454</v>
      </c>
      <c r="AO126" s="12">
        <f>IFERROR(AM126/AN126,"-")</f>
        <v>1.2979052519878544</v>
      </c>
      <c r="AP126" s="12" t="str">
        <f>IFERROR(RANK(AO126,AO:AO)&amp;"/"&amp;COUNT(AO:AO),"-")</f>
        <v>135/197</v>
      </c>
      <c r="AQ126" s="26">
        <f>IF(AP126="-","-",RANK(AO126,AO:AO)/COUNT(AO:AO))</f>
        <v>0.68527918781725883</v>
      </c>
      <c r="AR126" s="60">
        <v>0.62436548223350252</v>
      </c>
      <c r="AS126" s="35">
        <f>IF(OR($C126&gt;20190630,$K126&gt;30,AO126="-",$D126="是",$E126="封闭期",$H126&lt;10,$BN126&lt;-6,$BR126&lt;70),"-",COUNTIFS(AO$4:AO$200,"&lt;&gt;-",$D$4:$D$200,"&lt;&gt;是",$E$4:$E$200,"&lt;&gt;封闭期",$H$4:$H$200,"&gt;10",$BN$4:$BN$200,"&gt;-6",$BR$4:$BR$200,"&gt;=70",$K$4:$K$200,"&lt;=30",$C$4:$C$200,"&lt;20190630",AO$4:AO$200,"&gt;="&amp;AO126)/COUNTIFS(AO$4:AO$200,"&lt;&gt;-",$D$4:$D$200,"&lt;&gt;是",$E$4:$E$200,"&lt;&gt;封闭期",$H$4:$H$200,"&gt;10",$BN$4:$BN$200,"&gt;-6",$BR$4:$BR$200,"&gt;=70",$C$4:$C$200,"&lt;20190630",$K$4:$K$200,"&lt;=30"))</f>
        <v>0.87179487179487181</v>
      </c>
      <c r="AT126" s="12">
        <f>IFERROR((AM126-3)/AN126,"-")</f>
        <v>0.63621844387969095</v>
      </c>
      <c r="AU126" s="12" t="str">
        <f>IFERROR(RANK(AT126,AT:AT)&amp;"/"&amp;COUNT(AT:AT),"-")</f>
        <v>125/197</v>
      </c>
      <c r="AV126" s="26">
        <f>IFERROR(RANK(AT126,AT:AT)/COUNT(AT:AT),"-")</f>
        <v>0.63451776649746194</v>
      </c>
      <c r="AW126" s="13" t="str">
        <f>IF(OR($C126&gt;20190630,$K126&gt;30,AT126="-",$D126="是",$E126="封闭期",$H126&lt;10,$BN126&lt;-6,$BR126&lt;70),"-",COUNTIFS(AT$4:AT$200,"&lt;&gt;-",$D$4:$D$200,"&lt;&gt;是",$E$4:$E$200,"&lt;&gt;封闭期",$H$4:$H$200,"&gt;10",$BN$4:$BN$200,"&gt;-6",$BR$4:$BR$200,"&gt;=70",$K$4:$K$200,"&lt;=30",$C$4:$C$200,"&lt;20190630",AT$4:AT$200,"&gt;="&amp;AT126)&amp;"/"&amp;COUNTIFS(AT$4:AT$200,"&lt;&gt;-",$D$4:$D$200,"&lt;&gt;是",$E$4:$E$200,"&lt;&gt;封闭期",$H$4:$H$200,"&gt;10",$BN$4:$BN$200,"&gt;-6",$BR$4:$BR$200,"&gt;=70",$C$4:$C$200,"&lt;20190630",$K$4:$K$200,"&lt;=30"))</f>
        <v>31/39</v>
      </c>
      <c r="AX126" s="33">
        <f>IF(OR($C126&gt;20190630,$K126&gt;30,AT126="-",$D126="是",$E126="封闭期",$H126&lt;10,$BN126&lt;-6,$BR126&lt;70),"-",COUNTIFS(AT$4:AT$200,"&lt;&gt;-",$D$4:$D$200,"&lt;&gt;是",$E$4:$E$200,"&lt;&gt;封闭期",$H$4:$H$200,"&gt;10",$BN$4:$BN$200,"&gt;-6",$BR$4:$BR$200,"&gt;=70",$K$4:$K$200,"&lt;=30",$C$4:$C$200,"&lt;20190630",AT$4:AT$200,"&gt;="&amp;AT126)/COUNTIFS(AT$4:AT$200,"&lt;&gt;-",$D$4:$D$200,"&lt;&gt;是",$E$4:$E$200,"&lt;&gt;封闭期",$H$4:$H$200,"&gt;10",$BN$4:$BN$200,"&gt;-6",$BR$4:$BR$200,"&gt;=70",$C$4:$C$200,"&lt;20190630",$K$4:$K$200,"&lt;=30"))</f>
        <v>0.79487179487179482</v>
      </c>
      <c r="AY126" s="19">
        <f>[1]!f_risk_calmar(A126,$AM$2,$L$2)</f>
        <v>1.6047663596803803</v>
      </c>
      <c r="AZ126" s="12" t="str">
        <f>IFERROR(RANK(AY126,AY:AY)&amp;"/"&amp;COUNT(AY:AY),"-")</f>
        <v>137/197</v>
      </c>
      <c r="BA126" s="26">
        <f>IFERROR(RANK(AY126,AY:AY)/COUNT(AY:AY),"-")</f>
        <v>0.69543147208121825</v>
      </c>
      <c r="BB126" s="13" t="str">
        <f>IF(OR($C126&gt;20190630,$K126&gt;30,AY126="-",$D126="是",$E126="封闭期",$H126&lt;10,$BN126&lt;-6,$BR126&lt;70),"-",COUNTIFS(AY$4:AY$200,"&lt;&gt;-",$D$4:$D$200,"&lt;&gt;是",$E$4:$E$200,"&lt;&gt;封闭期",$H$4:$H$200,"&gt;10",$BN$4:$BN$200,"&gt;-6",$BR$4:$BR$200,"&gt;=70",$K$4:$K$200,"&lt;=30",$C$4:$C$200,"&lt;20190630",AY$4:AY$200,"&gt;="&amp;AY126)&amp;"/"&amp;COUNTIFS(AY$4:AY$200,"&lt;&gt;-",$D$4:$D$200,"&lt;&gt;是",$E$4:$E$200,"&lt;&gt;封闭期",$H$4:$H$200,"&gt;10",$BN$4:$BN$200,"&gt;-6",$BR$4:$BR$200,"&gt;=70",$C$4:$C$200,"&lt;20190630",$K$4:$K$200,"&lt;=30"))</f>
        <v>34/39</v>
      </c>
      <c r="BC126" s="33">
        <f>IF(OR($C126&gt;20190630,$K126&gt;30,AY126="-",$D126="是",$E126="封闭期",$H126&lt;10,$BN126&lt;-6,$BR126&lt;70),"-",COUNTIFS(AY$4:AY$200,"&lt;&gt;-",$D$4:$D$200,"&lt;&gt;是",$E$4:$E$200,"&lt;&gt;封闭期",$H$4:$H$200,"&gt;10",$BN$4:$BN$200,"&gt;-6",$BR$4:$BR$200,"&gt;=70",$K$4:$K$200,"&lt;=30",$C$4:$C$200,"&lt;20190630",AY$4:AY$200,"&gt;="&amp;AY126)/COUNTIFS(AY$4:AY$200,"&lt;&gt;-",$D$4:$D$200,"&lt;&gt;是",$E$4:$E$200,"&lt;&gt;封闭期",$H$4:$H$200,"&gt;10",$BN$4:$BN$200,"&gt;-6",$BR$4:$BR$200,"&gt;=70",$C$4:$C$200,"&lt;20190630",$K$4:$K$200,"&lt;=30"))</f>
        <v>0.87179487179487181</v>
      </c>
      <c r="BD126" s="20">
        <v>0.98333333333333328</v>
      </c>
      <c r="BE126" s="12" t="str">
        <f>IFERROR(RANK(BD126,BD:BD)&amp;"/"&amp;COUNT(BD:BD),"-")</f>
        <v>147/197</v>
      </c>
      <c r="BF126" s="26">
        <f>IFERROR(RANK(BD126,BD:BD)/COUNT(BD:BD),"-")</f>
        <v>0.74619289340101524</v>
      </c>
      <c r="BG126" s="13" t="str">
        <f>IF(OR($C126&gt;20190630,$K126&gt;30,BD126="-",$D126="是",$E126="封闭期",$H126&lt;10,$BN126&lt;-6,$BR126&lt;70),"-",COUNTIFS(BD$4:BD$200,"&lt;&gt;-",$D$4:$D$200,"&lt;&gt;是",$E$4:$E$200,"&lt;&gt;封闭期",$H$4:$H$200,"&gt;10",$BN$4:$BN$200,"&gt;-6",$BR$4:$BR$200,"&gt;=70",$K$4:$K$200,"&lt;=30",$C$4:$C$200,"&lt;20190630",BD$4:BD$200,"&gt;="&amp;BD126)&amp;"/"&amp;COUNTIFS(BD$4:BD$200,"&lt;&gt;-",$D$4:$D$200,"&lt;&gt;是",$E$4:$E$200,"&lt;&gt;封闭期",$H$4:$H$200,"&gt;10",$BN$4:$BN$200,"&gt;-6",$BR$4:$BR$200,"&gt;=70",$C$4:$C$200,"&lt;20190630",$K$4:$K$200,"&lt;=30"))</f>
        <v>38/39</v>
      </c>
      <c r="BH126" s="33">
        <f>IF(OR($C126&gt;20190630,$K126&gt;30,BD126="-",$D126="是",$E126="封闭期",$H126&lt;10,$BN126&lt;-6,$BR126&lt;70),"-",COUNTIFS(BD$4:BD$200,"&lt;&gt;-",$D$4:$D$200,"&lt;&gt;是",$E$4:$E$200,"&lt;&gt;封闭期",$H$4:$H$200,"&gt;10",$BN$4:$BN$200,"&gt;-6",$BR$4:$BR$200,"&gt;=70",$K$4:$K$200,"&lt;=30",$C$4:$C$200,"&lt;20190630",BD$4:BD$200,"&gt;="&amp;BD126)/COUNTIFS(BD$4:BD$200,"&lt;&gt;-",$D$4:$D$200,"&lt;&gt;是",$E$4:$E$200,"&lt;&gt;封闭期",$H$4:$H$200,"&gt;10",$BN$4:$BN$200,"&gt;-6",$BR$4:$BR$200,"&gt;=70",$C$4:$C$200,"&lt;20190630",$K$4:$K$200,"&lt;=30"))</f>
        <v>0.97435897435897434</v>
      </c>
      <c r="BI126" s="21">
        <f>[1]!f_risk_maxdownside(A126,$AM$2,$L$2)</f>
        <v>-3.6669075144508749</v>
      </c>
      <c r="BJ126" s="19" t="str">
        <f>IFERROR(RANK(BI126,BI:BI)&amp;"/"&amp;COUNT(BI:BI),"-")</f>
        <v>117/197</v>
      </c>
      <c r="BK126" s="26">
        <f>IFERROR(RANK(BI126,BI:BI)/COUNT(BI:BI),"-")</f>
        <v>0.59390862944162437</v>
      </c>
      <c r="BL126" s="34" t="str">
        <f>IF(OR($C126&gt;20190630,$K126&gt;30,BI126="-",$D126="是",$E126="封闭期",$H126&lt;10,$BN126&lt;-6,$BR126&lt;70),"-",COUNTIFS(BI$4:BI$200,"&lt;&gt;-",$D$4:$D$200,"&lt;&gt;是",$E$4:$E$200,"&lt;&gt;封闭期",$H$4:$H$200,"&gt;10",$BN$4:$BN$200,"&gt;-6",$BR$4:$BR$200,"&gt;=70",$K$4:$K$200,"&lt;=30",$C$4:$C$200,"&lt;20190630",BI$4:BI$200,"&gt;="&amp;BI126)&amp;"/"&amp;COUNTIFS(BI$4:BI$200,"&lt;&gt;-",$D$4:$D$200,"&lt;&gt;是",$E$4:$E$200,"&lt;&gt;封闭期",$H$4:$H$200,"&gt;10",$BN$4:$BN$200,"&gt;-6",$BR$4:$BR$200,"&gt;=70",$C$4:$C$200,"&lt;20190630",$K$4:$K$200,"&lt;=30"))</f>
        <v>29/39</v>
      </c>
      <c r="BM126" s="33">
        <f>IF(OR($C126&gt;20190630,$K126&gt;30,BI126="-",$D126="是",$E126="封闭期",$H126&lt;10,$BN126&lt;-6,$BR126&lt;70),"-",COUNTIFS(BI$4:BI$200,"&lt;&gt;-",$D$4:$D$200,"&lt;&gt;是",$E$4:$E$200,"&lt;&gt;封闭期",$H$4:$H$200,"&gt;10",$BN$4:$BN$200,"&gt;-6",$BR$4:$BR$200,"&gt;=70",$K$4:$K$200,"&lt;=30",$C$4:$C$200,"&lt;20190630",BI$4:BI$200,"&gt;="&amp;BI126)/COUNTIFS(BI$4:BI$200,"&lt;&gt;-",$D$4:$D$200,"&lt;&gt;是",$E$4:$E$200,"&lt;&gt;封闭期",$H$4:$H$200,"&gt;10",$BN$4:$BN$200,"&gt;-6",$BR$4:$BR$200,"&gt;=70",$C$4:$C$200,"&lt;20190630",$K$4:$K$200,"&lt;=30"))</f>
        <v>0.74358974358974361</v>
      </c>
      <c r="BN126" s="21">
        <f>[1]!f_risk_maxdownside(A126,$AM$2,$E$1)</f>
        <v>-3.6669075144508749</v>
      </c>
      <c r="BO126" s="14">
        <f>IF(C126&lt;20190930,[1]!f_return_2y(A126,"0","20210930"),"-")</f>
        <v>13.884378625387786</v>
      </c>
      <c r="BP126" s="12" t="str">
        <f>IFERROR(RANK(BO126,BO:BO)&amp;"/"&amp;COUNT(BO:BO),"-")</f>
        <v>91/197</v>
      </c>
      <c r="BQ126" s="25">
        <f>IFERROR(RANK(BO126,BO:BO)/COUNT(BO:BO),"-")</f>
        <v>0.46192893401015228</v>
      </c>
      <c r="BR126" s="12">
        <f>IF(C126&lt;20190930,[1]!f_absolute_profitmonthper(A126,"20190930","20210930"),"-")</f>
        <v>70.833333333333343</v>
      </c>
      <c r="BS126" s="12" t="str">
        <f>IFERROR(RANK(BR126,BR:BR)&amp;"/"&amp;COUNT(BR:BR),"-")</f>
        <v>55/198</v>
      </c>
      <c r="BT126" s="25">
        <f>IFERROR(RANK(BR126,BR:BR)/COUNT(BR:BR),"-")</f>
        <v>0.27777777777777779</v>
      </c>
      <c r="BV126" s="12">
        <f>X126-3/M126</f>
        <v>6.5436474738943247</v>
      </c>
      <c r="BW126" s="76">
        <f>IFERROR(RANK(BV126,BV:BV)/COUNT(BV:BV),"-")</f>
        <v>3.553299492385787E-2</v>
      </c>
      <c r="BX126" s="76">
        <f>IFERROR(RANK(L126,L:L)/COUNT(L:L),"-")</f>
        <v>0.32828282828282829</v>
      </c>
      <c r="BY126" s="12">
        <f>AY126-3/AN126</f>
        <v>0.94307955157221668</v>
      </c>
      <c r="BZ126" s="76">
        <f>IFERROR(RANK(BY126,BY:BY)/COUNT(BY:BY),"-")</f>
        <v>0.70558375634517767</v>
      </c>
      <c r="CA126" s="76">
        <f>IFERROR(RANK(AM126,AM:AM)/COUNT(AM:AM),"-")</f>
        <v>0.6262626262626263</v>
      </c>
      <c r="CB126" s="2"/>
      <c r="CC126" s="77">
        <f>AV126+BF126+BZ126+CA126</f>
        <v>2.7125570425062815</v>
      </c>
      <c r="CD126" s="77">
        <f>BW126+BX126+AE126+U126</f>
        <v>0.50087166077013801</v>
      </c>
      <c r="CE126" s="77">
        <f>CC126+CD126</f>
        <v>3.2134287032764197</v>
      </c>
    </row>
    <row r="127" spans="1:83" s="2" customFormat="1" hidden="1" x14ac:dyDescent="0.35">
      <c r="A127" s="15" t="s">
        <v>103</v>
      </c>
      <c r="B127" s="15" t="s">
        <v>104</v>
      </c>
      <c r="C127" s="16">
        <v>20110810</v>
      </c>
      <c r="D127" s="16" t="str">
        <f>[1]!f_info_regulopenfundornot(A127)</f>
        <v>否</v>
      </c>
      <c r="E127" s="16" t="str">
        <f>[1]!f_dq_status(A127,$E$1)</f>
        <v>开放申购|开放赎回</v>
      </c>
      <c r="F127" s="17" t="str">
        <f>[1]!f_info_fundmanager(A127)</f>
        <v>陈圆明,唐瑭</v>
      </c>
      <c r="G127" s="16">
        <v>20191115</v>
      </c>
      <c r="H127" s="18">
        <f>[1]!f_netasset_total(A127,$E$1,100000000)</f>
        <v>5.7242317241999991</v>
      </c>
      <c r="I127" s="18">
        <f>[1]!f_prt_convertiblebondtonav(A127,$E$1)</f>
        <v>14.625189781188965</v>
      </c>
      <c r="J127" s="18">
        <f>[1]!f_prt_stocktonav(A127,$E$1)+0.5*I127</f>
        <v>19.669186115264893</v>
      </c>
      <c r="K127" s="19">
        <v>5.3268283796218023</v>
      </c>
      <c r="L127" s="19">
        <f>[1]!f_return($A127,"1",L$2,$E$1)</f>
        <v>4.7274763398497344</v>
      </c>
      <c r="M127" s="19">
        <f>[1]!f_risk_stdevyearly($A127,L$2,$E$1,1,1)</f>
        <v>1.7590382790621881</v>
      </c>
      <c r="N127" s="19">
        <f>IFERROR(L127/M127,"-")</f>
        <v>2.6875346580690311</v>
      </c>
      <c r="O127" s="19" t="str">
        <f>IFERROR(RANK(N127,N:N)&amp;"/"&amp;COUNT(N:N),"-")</f>
        <v>28/197</v>
      </c>
      <c r="P127" s="26">
        <f>IF(O127="-","-",RANK(N127,N:N)/COUNT(N:N))</f>
        <v>0.14213197969543148</v>
      </c>
      <c r="Q127" s="56">
        <v>0.6091370558375635</v>
      </c>
      <c r="R127" s="33" t="str">
        <f>IF(OR($C127&gt;20190630,$K127&gt;30,N127="-",$D127="是",$E127="封闭期",$H127&lt;10,$BN127&lt;-6,$BR127&lt;70),"-",COUNTIFS(N$4:N$200,"&lt;&gt;-",$D$4:$D$200,"&lt;&gt;是",$E$4:$E$200,"&lt;&gt;封闭期",$H$4:$H$200,"&gt;10",$BN$4:$BN$200,"&gt;-6",$BR$4:$BR$200,"&gt;=70",$K$4:$K$200,"&lt;=30",$C$4:$C$200,"&lt;20190630",N$4:N$200,"&gt;="&amp;N127)/COUNTIFS(N$4:N$200,"&lt;&gt;-",$D$4:$D$200,"&lt;&gt;是",$E$4:$E$200,"&lt;&gt;封闭期",$H$4:$H$200,"&gt;10",$BN$4:$BN$200,"&gt;-6",$BR$4:$BR$200,"&gt;=70",$C$4:$C$200,"&lt;20190630",$K$4:$K$200,"&lt;=30"))</f>
        <v>-</v>
      </c>
      <c r="S127" s="19">
        <f>IFERROR((L127-3)/M127,"-")</f>
        <v>0.98205727550779587</v>
      </c>
      <c r="T127" s="19" t="str">
        <f>IFERROR(RANK(S127,S:S)&amp;"/"&amp;COUNT(S:S),"-")</f>
        <v>74/197</v>
      </c>
      <c r="U127" s="26">
        <f>IFERROR(RANK(S127,S:S)/COUNT(S:S),"-")</f>
        <v>0.37563451776649748</v>
      </c>
      <c r="V127" s="34" t="str">
        <f>IF(OR($C127&gt;20190630,$K127&gt;30,S127="-",$D127="是",$E127="封闭期",$H127&lt;10,$BN127&lt;-6,$BR127&lt;70),"-",COUNTIFS(S$4:S$200,"&lt;&gt;-",$D$4:$D$200,"&lt;&gt;是",$E$4:$E$200,"&lt;&gt;封闭期",$H$4:$H$200,"&gt;10",$BN$4:$BN$200,"&gt;-6",$BR$4:$BR$200,"&gt;=70",$K$4:$K$200,"&lt;=30",$C$4:$C$200,"&lt;20190630",S$4:S$200,"&gt;="&amp;S127)&amp;"/"&amp;COUNTIFS(S$4:S$200,"&lt;&gt;-",$D$4:$D$200,"&lt;&gt;是",$E$4:$E$200,"&lt;&gt;封闭期",$H$4:$H$200,"&gt;10",$BN$4:$BN$200,"&gt;-6",$BR$4:$BR$200,"&gt;=70",$C$4:$C$200,"&lt;20190630",$K$4:$K$200,"&lt;=30"))</f>
        <v>-</v>
      </c>
      <c r="W127" s="33" t="str">
        <f>IF(OR($C127&gt;20190630,$K127&gt;30,S127="-",$D127="是",$E127="封闭期",$H127&lt;10,$BN127&lt;-6,$BR127&lt;70),"-",COUNTIFS(S$4:S$200,"&lt;&gt;-",$D$4:$D$200,"&lt;&gt;是",$E$4:$E$200,"&lt;&gt;封闭期",$H$4:$H$200,"&gt;10",$BN$4:$BN$200,"&gt;-6",$BR$4:$BR$200,"&gt;=70",$K$4:$K$200,"&lt;=30",$C$4:$C$200,"&lt;20190630",S$4:S$200,"&gt;="&amp;S127)/COUNTIFS(S$4:S$200,"&lt;&gt;-",$D$4:$D$200,"&lt;&gt;是",$E$4:$E$200,"&lt;&gt;封闭期",$H$4:$H$200,"&gt;10",$BN$4:$BN$200,"&gt;-6",$BR$4:$BR$200,"&gt;=70",$C$4:$C$200,"&lt;20190630",$K$4:$K$200,"&lt;=30"))</f>
        <v>-</v>
      </c>
      <c r="X127" s="19">
        <f>[1]!f_risk_calmar(A127,$L$2,$E$1)</f>
        <v>6.8275667908213684</v>
      </c>
      <c r="Y127" s="19" t="str">
        <f>IFERROR(RANK(X127,X:X)&amp;"/"&amp;COUNT(X:X),"-")</f>
        <v>18/197</v>
      </c>
      <c r="Z127" s="26">
        <f>IFERROR(RANK(X127,X:X)/COUNT(X:X),"-")</f>
        <v>9.1370558375634514E-2</v>
      </c>
      <c r="AA127" s="34" t="str">
        <f>IF(OR($C127&gt;20190630,$K127&gt;30,X127="-",$D127="是",$E127="封闭期",$H127&lt;10,$BN127&lt;-6,$BR127&lt;70),"-",COUNTIFS(X$4:X$200,"&lt;&gt;-",$D$4:$D$200,"&lt;&gt;是",$E$4:$E$200,"&lt;&gt;封闭期",$H$4:$H$200,"&gt;10",$BN$4:$BN$200,"&gt;-6",$BR$4:$BR$200,"&gt;=70",$K$4:$K$200,"&lt;=30",$C$4:$C$200,"&lt;20190630",X$4:X$200,"&gt;="&amp;X127)&amp;"/"&amp;COUNTIFS(X$4:X$200,"&lt;&gt;-",$D$4:$D$200,"&lt;&gt;是",$E$4:$E$200,"&lt;&gt;封闭期",$H$4:$H$200,"&gt;10",$BN$4:$BN$200,"&gt;-6",$BR$4:$BR$200,"&gt;=70",$C$4:$C$200,"&lt;20190630",$K$4:$K$200,"&lt;=30"))</f>
        <v>-</v>
      </c>
      <c r="AB127" s="33" t="str">
        <f>IF(OR($C127&gt;20190630,$K127&gt;30,X127="-",$D127="是",$E127="封闭期",$H127&lt;10,$BN127&lt;-6,$BR127&lt;70),"-",COUNTIFS(X$4:X$200,"&lt;&gt;-",$D$4:$D$200,"&lt;&gt;是",$E$4:$E$200,"&lt;&gt;封闭期",$H$4:$H$200,"&gt;10",$BN$4:$BN$200,"&gt;-6",$BR$4:$BR$200,"&gt;=70",$K$4:$K$200,"&lt;=30",$C$4:$C$200,"&lt;20190630",X$4:X$200,"&gt;="&amp;X127)/COUNTIFS(X$4:X$200,"&lt;&gt;-",$D$4:$D$200,"&lt;&gt;是",$E$4:$E$200,"&lt;&gt;封闭期",$H$4:$H$200,"&gt;10",$BN$4:$BN$200,"&gt;-6",$BR$4:$BR$200,"&gt;=70",$C$4:$C$200,"&lt;20190630",$K$4:$K$200,"&lt;=30"))</f>
        <v>-</v>
      </c>
      <c r="AC127" s="20">
        <v>1</v>
      </c>
      <c r="AD127" s="19" t="str">
        <f>IFERROR(RANK(AC127,AC:AC)&amp;"/"&amp;COUNT(AC:AC),"-")</f>
        <v>1/197</v>
      </c>
      <c r="AE127" s="26">
        <f>IFERROR(RANK(AC127,AC:AC)/COUNT(AC:AC),"-")</f>
        <v>5.076142131979695E-3</v>
      </c>
      <c r="AF127" s="34" t="str">
        <f>IF(OR($C127&gt;20190630,$K127&gt;30,AC127="-",$D127="是",$E127="封闭期",$H127&lt;10,$BN127&lt;-6,$BR127&lt;70),"-",COUNTIFS(AC$4:AC$200,"&lt;&gt;-",$D$4:$D$200,"&lt;&gt;是",$E$4:$E$200,"&lt;&gt;封闭期",$H$4:$H$200,"&gt;10",$BN$4:$BN$200,"&gt;-6",$BR$4:$BR$200,"&gt;=70",$K$4:$K$200,"&lt;=30",$C$4:$C$200,"&lt;20190630",AC$4:AC$200,"&gt;="&amp;AC127)&amp;"/"&amp;COUNTIFS(AC$4:AC$200,"&lt;&gt;-",$D$4:$D$200,"&lt;&gt;是",$E$4:$E$200,"&lt;&gt;封闭期",$H$4:$H$200,"&gt;10",$BN$4:$BN$200,"&gt;-6",$BR$4:$BR$200,"&gt;=70",$C$4:$C$200,"&lt;20190630",$K$4:$K$200,"&lt;=30"))</f>
        <v>-</v>
      </c>
      <c r="AG127" s="33" t="str">
        <f>IF(OR($C127&gt;20190630,$K127&gt;30,AC127="-",$D127="是",$E127="封闭期",$H127&lt;10,$BN127&lt;-6,$BR127&lt;70),"-",COUNTIFS(AC$4:AC$200,"&lt;&gt;-",$D$4:$D$200,"&lt;&gt;是",$E$4:$E$200,"&lt;&gt;封闭期",$H$4:$H$200,"&gt;10",$BN$4:$BN$200,"&gt;-6",$BR$4:$BR$200,"&gt;=70",$K$4:$K$200,"&lt;=30",$C$4:$C$200,"&lt;20190630",AC$4:AC$200,"&gt;="&amp;AC127)/COUNTIFS(AC$4:AC$200,"&lt;&gt;-",$D$4:$D$200,"&lt;&gt;是",$E$4:$E$200,"&lt;&gt;封闭期",$H$4:$H$200,"&gt;10",$BN$4:$BN$200,"&gt;-6",$BR$4:$BR$200,"&gt;=70",$C$4:$C$200,"&lt;20190630",$K$4:$K$200,"&lt;=30"))</f>
        <v>-</v>
      </c>
      <c r="AH127" s="21">
        <f>[1]!f_risk_maxdownside(A127,$L$2,$E$1)</f>
        <v>-0.69241011984022061</v>
      </c>
      <c r="AI127" s="19" t="str">
        <f>IFERROR(RANK(AH127,AH:AH)&amp;"/"&amp;COUNT(AH:AH),"-")</f>
        <v>11/197</v>
      </c>
      <c r="AJ127" s="26">
        <f>IFERROR(RANK(AH127,AH:AH)/COUNT(AH:AH),"-")</f>
        <v>5.5837563451776651E-2</v>
      </c>
      <c r="AK127" s="34" t="str">
        <f>IF(OR($C127&gt;20190630,$K127&gt;30,AH127="-",$D127="是",$E127="封闭期",$H127&lt;10,$BN127&lt;-6,$BR127&lt;70),"-",COUNTIFS(AH$4:AH$200,"&lt;&gt;-",$D$4:$D$200,"&lt;&gt;是",$E$4:$E$200,"&lt;&gt;封闭期",$H$4:$H$200,"&gt;10",$BN$4:$BN$200,"&gt;-6",$BR$4:$BR$200,"&gt;=70",$K$4:$K$200,"&lt;=30",$C$4:$C$200,"&lt;20190630",AH$4:AH$200,"&gt;="&amp;AH127)&amp;"/"&amp;COUNTIFS(AH$4:AH$200,"&lt;&gt;-",$D$4:$D$200,"&lt;&gt;是",$E$4:$E$200,"&lt;&gt;封闭期",$H$4:$H$200,"&gt;10",$BN$4:$BN$200,"&gt;-6",$BR$4:$BR$200,"&gt;=70",$C$4:$C$200,"&lt;20190630",$K$4:$K$200,"&lt;=30"))</f>
        <v>-</v>
      </c>
      <c r="AL127" s="33" t="str">
        <f>IF(OR($C127&gt;20190630,$K127&gt;30,AH127="-",$D127="是",$E127="封闭期",$H127&lt;10,$BN127&lt;-6,$BR127&lt;70),"-",COUNTIFS(AH$4:AH$200,"&lt;&gt;-",$D$4:$D$200,"&lt;&gt;是",$E$4:$E$200,"&lt;&gt;封闭期",$H$4:$H$200,"&gt;10",$BN$4:$BN$200,"&gt;-6",$BR$4:$BR$200,"&gt;=70",$K$4:$K$200,"&lt;=30",$C$4:$C$200,"&lt;20190630",AH$4:AH$200,"&gt;="&amp;AH127)/COUNTIFS(AH$4:AH$200,"&lt;&gt;-",$D$4:$D$200,"&lt;&gt;是",$E$4:$E$200,"&lt;&gt;封闭期",$H$4:$H$200,"&gt;10",$BN$4:$BN$200,"&gt;-6",$BR$4:$BR$200,"&gt;=70",$C$4:$C$200,"&lt;20190630",$K$4:$K$200,"&lt;=30"))</f>
        <v>-</v>
      </c>
      <c r="AM127" s="19">
        <f>[1]!f_return($A127,"1",AM$2,$L$2)</f>
        <v>5.8468358099858841</v>
      </c>
      <c r="AN127" s="19">
        <f>[1]!f_risk_stdevyearly($A127,AM$2,$L$2,1,1)</f>
        <v>2.5000817400961126</v>
      </c>
      <c r="AO127" s="19">
        <f>IFERROR(AM127/AN127,"-")</f>
        <v>2.338657859147081</v>
      </c>
      <c r="AP127" s="19" t="str">
        <f>IFERROR(RANK(AO127,AO:AO)&amp;"/"&amp;COUNT(AO:AO),"-")</f>
        <v>25/197</v>
      </c>
      <c r="AQ127" s="26">
        <f>IF(AP127="-","-",RANK(AO127,AO:AO)/COUNT(AO:AO))</f>
        <v>0.12690355329949238</v>
      </c>
      <c r="AR127" s="57">
        <v>0.62944162436548223</v>
      </c>
      <c r="AS127" s="33" t="str">
        <f>IF(OR($C127&gt;20190630,$K127&gt;30,AO127="-",$D127="是",$E127="封闭期",$H127&lt;10,$BN127&lt;-6,$BR127&lt;70),"-",COUNTIFS(AO$4:AO$200,"&lt;&gt;-",$D$4:$D$200,"&lt;&gt;是",$E$4:$E$200,"&lt;&gt;封闭期",$H$4:$H$200,"&gt;10",$BN$4:$BN$200,"&gt;-6",$BR$4:$BR$200,"&gt;=70",$K$4:$K$200,"&lt;=30",$C$4:$C$200,"&lt;20190630",AO$4:AO$200,"&gt;="&amp;AO127)/COUNTIFS(AO$4:AO$200,"&lt;&gt;-",$D$4:$D$200,"&lt;&gt;是",$E$4:$E$200,"&lt;&gt;封闭期",$H$4:$H$200,"&gt;10",$BN$4:$BN$200,"&gt;-6",$BR$4:$BR$200,"&gt;=70",$C$4:$C$200,"&lt;20190630",$K$4:$K$200,"&lt;=30"))</f>
        <v>-</v>
      </c>
      <c r="AT127" s="19">
        <f>IFERROR((AM127-3)/AN127,"-")</f>
        <v>1.1386970931104201</v>
      </c>
      <c r="AU127" s="19" t="str">
        <f>IFERROR(RANK(AT127,AT:AT)&amp;"/"&amp;COUNT(AT:AT),"-")</f>
        <v>62/197</v>
      </c>
      <c r="AV127" s="26">
        <f>IFERROR(RANK(AT127,AT:AT)/COUNT(AT:AT),"-")</f>
        <v>0.31472081218274112</v>
      </c>
      <c r="AW127" s="34" t="str">
        <f>IF(OR($C127&gt;20190630,$K127&gt;30,AT127="-",$D127="是",$E127="封闭期",$H127&lt;10,$BN127&lt;-6,$BR127&lt;70),"-",COUNTIFS(AT$4:AT$200,"&lt;&gt;-",$D$4:$D$200,"&lt;&gt;是",$E$4:$E$200,"&lt;&gt;封闭期",$H$4:$H$200,"&gt;10",$BN$4:$BN$200,"&gt;-6",$BR$4:$BR$200,"&gt;=70",$K$4:$K$200,"&lt;=30",$C$4:$C$200,"&lt;20190630",AT$4:AT$200,"&gt;="&amp;AT127)&amp;"/"&amp;COUNTIFS(AT$4:AT$200,"&lt;&gt;-",$D$4:$D$200,"&lt;&gt;是",$E$4:$E$200,"&lt;&gt;封闭期",$H$4:$H$200,"&gt;10",$BN$4:$BN$200,"&gt;-6",$BR$4:$BR$200,"&gt;=70",$C$4:$C$200,"&lt;20190630",$K$4:$K$200,"&lt;=30"))</f>
        <v>-</v>
      </c>
      <c r="AX127" s="33" t="str">
        <f>IF(OR($C127&gt;20190630,$K127&gt;30,AT127="-",$D127="是",$E127="封闭期",$H127&lt;10,$BN127&lt;-6,$BR127&lt;70),"-",COUNTIFS(AT$4:AT$200,"&lt;&gt;-",$D$4:$D$200,"&lt;&gt;是",$E$4:$E$200,"&lt;&gt;封闭期",$H$4:$H$200,"&gt;10",$BN$4:$BN$200,"&gt;-6",$BR$4:$BR$200,"&gt;=70",$K$4:$K$200,"&lt;=30",$C$4:$C$200,"&lt;20190630",AT$4:AT$200,"&gt;="&amp;AT127)/COUNTIFS(AT$4:AT$200,"&lt;&gt;-",$D$4:$D$200,"&lt;&gt;是",$E$4:$E$200,"&lt;&gt;封闭期",$H$4:$H$200,"&gt;10",$BN$4:$BN$200,"&gt;-6",$BR$4:$BR$200,"&gt;=70",$C$4:$C$200,"&lt;20190630",$K$4:$K$200,"&lt;=30"))</f>
        <v>-</v>
      </c>
      <c r="AY127" s="19">
        <f>[1]!f_risk_calmar(A127,$AM$2,$L$2)</f>
        <v>3.324807823694333</v>
      </c>
      <c r="AZ127" s="19" t="str">
        <f>IFERROR(RANK(AY127,AY:AY)&amp;"/"&amp;COUNT(AY:AY),"-")</f>
        <v>37/197</v>
      </c>
      <c r="BA127" s="26">
        <f>IFERROR(RANK(AY127,AY:AY)/COUNT(AY:AY),"-")</f>
        <v>0.18781725888324874</v>
      </c>
      <c r="BB127" s="34" t="str">
        <f>IF(OR($C127&gt;20190630,$K127&gt;30,AY127="-",$D127="是",$E127="封闭期",$H127&lt;10,$BN127&lt;-6,$BR127&lt;70),"-",COUNTIFS(AY$4:AY$200,"&lt;&gt;-",$D$4:$D$200,"&lt;&gt;是",$E$4:$E$200,"&lt;&gt;封闭期",$H$4:$H$200,"&gt;10",$BN$4:$BN$200,"&gt;-6",$BR$4:$BR$200,"&gt;=70",$K$4:$K$200,"&lt;=30",$C$4:$C$200,"&lt;20190630",AY$4:AY$200,"&gt;="&amp;AY127)&amp;"/"&amp;COUNTIFS(AY$4:AY$200,"&lt;&gt;-",$D$4:$D$200,"&lt;&gt;是",$E$4:$E$200,"&lt;&gt;封闭期",$H$4:$H$200,"&gt;10",$BN$4:$BN$200,"&gt;-6",$BR$4:$BR$200,"&gt;=70",$C$4:$C$200,"&lt;20190630",$K$4:$K$200,"&lt;=30"))</f>
        <v>-</v>
      </c>
      <c r="BC127" s="33" t="str">
        <f>IF(OR($C127&gt;20190630,$K127&gt;30,AY127="-",$D127="是",$E127="封闭期",$H127&lt;10,$BN127&lt;-6,$BR127&lt;70),"-",COUNTIFS(AY$4:AY$200,"&lt;&gt;-",$D$4:$D$200,"&lt;&gt;是",$E$4:$E$200,"&lt;&gt;封闭期",$H$4:$H$200,"&gt;10",$BN$4:$BN$200,"&gt;-6",$BR$4:$BR$200,"&gt;=70",$K$4:$K$200,"&lt;=30",$C$4:$C$200,"&lt;20190630",AY$4:AY$200,"&gt;="&amp;AY127)/COUNTIFS(AY$4:AY$200,"&lt;&gt;-",$D$4:$D$200,"&lt;&gt;是",$E$4:$E$200,"&lt;&gt;封闭期",$H$4:$H$200,"&gt;10",$BN$4:$BN$200,"&gt;-6",$BR$4:$BR$200,"&gt;=70",$C$4:$C$200,"&lt;20190630",$K$4:$K$200,"&lt;=30"))</f>
        <v>-</v>
      </c>
      <c r="BD127" s="20">
        <v>1</v>
      </c>
      <c r="BE127" s="19" t="str">
        <f>IFERROR(RANK(BD127,BD:BD)&amp;"/"&amp;COUNT(BD:BD),"-")</f>
        <v>1/197</v>
      </c>
      <c r="BF127" s="26">
        <f>IFERROR(RANK(BD127,BD:BD)/COUNT(BD:BD),"-")</f>
        <v>5.076142131979695E-3</v>
      </c>
      <c r="BG127" s="34" t="str">
        <f>IF(OR($C127&gt;20190630,$K127&gt;30,BD127="-",$D127="是",$E127="封闭期",$H127&lt;10,$BN127&lt;-6,$BR127&lt;70),"-",COUNTIFS(BD$4:BD$200,"&lt;&gt;-",$D$4:$D$200,"&lt;&gt;是",$E$4:$E$200,"&lt;&gt;封闭期",$H$4:$H$200,"&gt;10",$BN$4:$BN$200,"&gt;-6",$BR$4:$BR$200,"&gt;=70",$K$4:$K$200,"&lt;=30",$C$4:$C$200,"&lt;20190630",BD$4:BD$200,"&gt;="&amp;BD127)&amp;"/"&amp;COUNTIFS(BD$4:BD$200,"&lt;&gt;-",$D$4:$D$200,"&lt;&gt;是",$E$4:$E$200,"&lt;&gt;封闭期",$H$4:$H$200,"&gt;10",$BN$4:$BN$200,"&gt;-6",$BR$4:$BR$200,"&gt;=70",$C$4:$C$200,"&lt;20190630",$K$4:$K$200,"&lt;=30"))</f>
        <v>-</v>
      </c>
      <c r="BH127" s="33" t="str">
        <f>IF(OR($C127&gt;20190630,$K127&gt;30,BD127="-",$D127="是",$E127="封闭期",$H127&lt;10,$BN127&lt;-6,$BR127&lt;70),"-",COUNTIFS(BD$4:BD$200,"&lt;&gt;-",$D$4:$D$200,"&lt;&gt;是",$E$4:$E$200,"&lt;&gt;封闭期",$H$4:$H$200,"&gt;10",$BN$4:$BN$200,"&gt;-6",$BR$4:$BR$200,"&gt;=70",$K$4:$K$200,"&lt;=30",$C$4:$C$200,"&lt;20190630",BD$4:BD$200,"&gt;="&amp;BD127)/COUNTIFS(BD$4:BD$200,"&lt;&gt;-",$D$4:$D$200,"&lt;&gt;是",$E$4:$E$200,"&lt;&gt;封闭期",$H$4:$H$200,"&gt;10",$BN$4:$BN$200,"&gt;-6",$BR$4:$BR$200,"&gt;=70",$C$4:$C$200,"&lt;20190630",$K$4:$K$200,"&lt;=30"))</f>
        <v>-</v>
      </c>
      <c r="BI127" s="21">
        <f>[1]!f_risk_maxdownside(A127,$AM$2,$L$2)</f>
        <v>-1.7585484996510927</v>
      </c>
      <c r="BJ127" s="19" t="str">
        <f>IFERROR(RANK(BI127,BI:BI)&amp;"/"&amp;COUNT(BI:BI),"-")</f>
        <v>27/197</v>
      </c>
      <c r="BK127" s="26">
        <f>IFERROR(RANK(BI127,BI:BI)/COUNT(BI:BI),"-")</f>
        <v>0.13705583756345177</v>
      </c>
      <c r="BL127" s="34" t="str">
        <f>IF(OR($C127&gt;20190630,$K127&gt;30,BI127="-",$D127="是",$E127="封闭期",$H127&lt;10,$BN127&lt;-6,$BR127&lt;70),"-",COUNTIFS(BI$4:BI$200,"&lt;&gt;-",$D$4:$D$200,"&lt;&gt;是",$E$4:$E$200,"&lt;&gt;封闭期",$H$4:$H$200,"&gt;10",$BN$4:$BN$200,"&gt;-6",$BR$4:$BR$200,"&gt;=70",$K$4:$K$200,"&lt;=30",$C$4:$C$200,"&lt;20190630",BI$4:BI$200,"&gt;="&amp;BI127)&amp;"/"&amp;COUNTIFS(BI$4:BI$200,"&lt;&gt;-",$D$4:$D$200,"&lt;&gt;是",$E$4:$E$200,"&lt;&gt;封闭期",$H$4:$H$200,"&gt;10",$BN$4:$BN$200,"&gt;-6",$BR$4:$BR$200,"&gt;=70",$C$4:$C$200,"&lt;20190630",$K$4:$K$200,"&lt;=30"))</f>
        <v>-</v>
      </c>
      <c r="BM127" s="33" t="str">
        <f>IF(OR($C127&gt;20190630,$K127&gt;30,BI127="-",$D127="是",$E127="封闭期",$H127&lt;10,$BN127&lt;-6,$BR127&lt;70),"-",COUNTIFS(BI$4:BI$200,"&lt;&gt;-",$D$4:$D$200,"&lt;&gt;是",$E$4:$E$200,"&lt;&gt;封闭期",$H$4:$H$200,"&gt;10",$BN$4:$BN$200,"&gt;-6",$BR$4:$BR$200,"&gt;=70",$K$4:$K$200,"&lt;=30",$C$4:$C$200,"&lt;20190630",BI$4:BI$200,"&gt;="&amp;BI127)/COUNTIFS(BI$4:BI$200,"&lt;&gt;-",$D$4:$D$200,"&lt;&gt;是",$E$4:$E$200,"&lt;&gt;封闭期",$H$4:$H$200,"&gt;10",$BN$4:$BN$200,"&gt;-6",$BR$4:$BR$200,"&gt;=70",$C$4:$C$200,"&lt;20190630",$K$4:$K$200,"&lt;=30"))</f>
        <v>-</v>
      </c>
      <c r="BN127" s="21">
        <f>[1]!f_risk_maxdownside(A127,$AM$2,$E$1)</f>
        <v>-1.7585484996510927</v>
      </c>
      <c r="BO127" s="21">
        <f>IF(C127&lt;20190930,[1]!f_return_2y(A127,"0","20210930"),"-")</f>
        <v>11.110304789550076</v>
      </c>
      <c r="BP127" s="19" t="str">
        <f>IFERROR(RANK(BO127,BO:BO)&amp;"/"&amp;COUNT(BO:BO),"-")</f>
        <v>128/197</v>
      </c>
      <c r="BQ127" s="25">
        <f>IFERROR(RANK(BO127,BO:BO)/COUNT(BO:BO),"-")</f>
        <v>0.64974619289340096</v>
      </c>
      <c r="BR127" s="19">
        <f>IF(C127&lt;20190930,[1]!f_absolute_profitmonthper(A127,"20190930","20210930"),"-")</f>
        <v>95.833333333333343</v>
      </c>
      <c r="BS127" s="19" t="str">
        <f>IFERROR(RANK(BR127,BR:BR)&amp;"/"&amp;COUNT(BR:BR),"-")</f>
        <v>1/198</v>
      </c>
      <c r="BT127" s="25">
        <f>IFERROR(RANK(BR127,BR:BR)/COUNT(BR:BR),"-")</f>
        <v>5.0505050505050509E-3</v>
      </c>
      <c r="BU127" s="17"/>
      <c r="BV127" s="12">
        <f>X127-3/M127</f>
        <v>5.1220894082601331</v>
      </c>
      <c r="BW127" s="76">
        <f>IFERROR(RANK(BV127,BV:BV)/COUNT(BV:BV),"-")</f>
        <v>9.6446700507614211E-2</v>
      </c>
      <c r="BX127" s="76">
        <f>IFERROR(RANK(L127,L:L)/COUNT(L:L),"-")</f>
        <v>0.61111111111111116</v>
      </c>
      <c r="BY127" s="12">
        <f>AY127-3/AN127</f>
        <v>2.1248470576576719</v>
      </c>
      <c r="BZ127" s="76">
        <f>IFERROR(RANK(BY127,BY:BY)/COUNT(BY:BY),"-")</f>
        <v>0.29441624365482233</v>
      </c>
      <c r="CA127" s="76">
        <f>IFERROR(RANK(AM127,AM:AM)/COUNT(AM:AM),"-")</f>
        <v>0.63131313131313127</v>
      </c>
      <c r="CC127" s="77">
        <f>AV127+BF127+BZ127+CA127</f>
        <v>1.2455263292826744</v>
      </c>
      <c r="CD127" s="77">
        <f>BW127+BX127+AE127+U127</f>
        <v>1.0882684715172024</v>
      </c>
      <c r="CE127" s="77">
        <f>CC127+CD127</f>
        <v>2.3337948007998768</v>
      </c>
    </row>
    <row r="128" spans="1:83" s="17" customFormat="1" hidden="1" x14ac:dyDescent="0.35">
      <c r="A128" s="15" t="s">
        <v>43</v>
      </c>
      <c r="B128" s="15" t="s">
        <v>44</v>
      </c>
      <c r="C128" s="16">
        <v>20081008</v>
      </c>
      <c r="D128" s="16" t="str">
        <f>[1]!f_info_regulopenfundornot(A128)</f>
        <v>否</v>
      </c>
      <c r="E128" s="16" t="str">
        <f>[1]!f_dq_status(A128,$E$1)</f>
        <v>开放申购|开放赎回</v>
      </c>
      <c r="F128" s="17" t="str">
        <f>[1]!f_info_fundmanager(A128)</f>
        <v>杨哲</v>
      </c>
      <c r="G128" s="16">
        <v>20211102</v>
      </c>
      <c r="H128" s="18">
        <f>[1]!f_netasset_total(A128,$E$1,100000000)</f>
        <v>2.3305477147999998</v>
      </c>
      <c r="I128" s="18">
        <f>[1]!f_prt_convertiblebondtonav(A128,$E$1)</f>
        <v>8.6793642044067383</v>
      </c>
      <c r="J128" s="18">
        <f>[1]!f_prt_stocktonav(A128,$E$1)+0.5*I128</f>
        <v>19.524817943572998</v>
      </c>
      <c r="K128" s="19">
        <v>35.236266684652392</v>
      </c>
      <c r="L128" s="19">
        <f>[1]!f_return($A128,"1",L$2,$E$1)</f>
        <v>3.7635511397988042</v>
      </c>
      <c r="M128" s="19">
        <f>[1]!f_risk_stdevyearly($A128,L$2,$E$1,1,1)</f>
        <v>4.698269794705217</v>
      </c>
      <c r="N128" s="19">
        <f>IFERROR(L128/M128,"-")</f>
        <v>0.80105045138961417</v>
      </c>
      <c r="O128" s="19" t="str">
        <f>IFERROR(RANK(N128,N:N)&amp;"/"&amp;COUNT(N:N),"-")</f>
        <v>157/197</v>
      </c>
      <c r="P128" s="26">
        <f>IF(O128="-","-",RANK(N128,N:N)/COUNT(N:N))</f>
        <v>0.79695431472081213</v>
      </c>
      <c r="Q128" s="56">
        <v>0.76142131979695427</v>
      </c>
      <c r="R128" s="33" t="str">
        <f>IF(OR($C128&gt;20190630,$K128&gt;30,N128="-",$D128="是",$E128="封闭期",$H128&lt;10,$BN128&lt;-6,$BR128&lt;70),"-",COUNTIFS(N$4:N$200,"&lt;&gt;-",$D$4:$D$200,"&lt;&gt;是",$E$4:$E$200,"&lt;&gt;封闭期",$H$4:$H$200,"&gt;10",$BN$4:$BN$200,"&gt;-6",$BR$4:$BR$200,"&gt;=70",$K$4:$K$200,"&lt;=30",$C$4:$C$200,"&lt;20190630",N$4:N$200,"&gt;="&amp;N128)/COUNTIFS(N$4:N$200,"&lt;&gt;-",$D$4:$D$200,"&lt;&gt;是",$E$4:$E$200,"&lt;&gt;封闭期",$H$4:$H$200,"&gt;10",$BN$4:$BN$200,"&gt;-6",$BR$4:$BR$200,"&gt;=70",$C$4:$C$200,"&lt;20190630",$K$4:$K$200,"&lt;=30"))</f>
        <v>-</v>
      </c>
      <c r="S128" s="19">
        <f>IFERROR((L128-3)/M128,"-")</f>
        <v>0.16251751669503933</v>
      </c>
      <c r="T128" s="19" t="str">
        <f>IFERROR(RANK(S128,S:S)&amp;"/"&amp;COUNT(S:S),"-")</f>
        <v>155/197</v>
      </c>
      <c r="U128" s="26">
        <f>IFERROR(RANK(S128,S:S)/COUNT(S:S),"-")</f>
        <v>0.78680203045685282</v>
      </c>
      <c r="V128" s="34" t="str">
        <f>IF(OR($C128&gt;20190630,$K128&gt;30,S128="-",$D128="是",$E128="封闭期",$H128&lt;10,$BN128&lt;-6,$BR128&lt;70),"-",COUNTIFS(S$4:S$200,"&lt;&gt;-",$D$4:$D$200,"&lt;&gt;是",$E$4:$E$200,"&lt;&gt;封闭期",$H$4:$H$200,"&gt;10",$BN$4:$BN$200,"&gt;-6",$BR$4:$BR$200,"&gt;=70",$K$4:$K$200,"&lt;=30",$C$4:$C$200,"&lt;20190630",S$4:S$200,"&gt;="&amp;S128)&amp;"/"&amp;COUNTIFS(S$4:S$200,"&lt;&gt;-",$D$4:$D$200,"&lt;&gt;是",$E$4:$E$200,"&lt;&gt;封闭期",$H$4:$H$200,"&gt;10",$BN$4:$BN$200,"&gt;-6",$BR$4:$BR$200,"&gt;=70",$C$4:$C$200,"&lt;20190630",$K$4:$K$200,"&lt;=30"))</f>
        <v>-</v>
      </c>
      <c r="W128" s="33" t="str">
        <f>IF(OR($C128&gt;20190630,$K128&gt;30,S128="-",$D128="是",$E128="封闭期",$H128&lt;10,$BN128&lt;-6,$BR128&lt;70),"-",COUNTIFS(S$4:S$200,"&lt;&gt;-",$D$4:$D$200,"&lt;&gt;是",$E$4:$E$200,"&lt;&gt;封闭期",$H$4:$H$200,"&gt;10",$BN$4:$BN$200,"&gt;-6",$BR$4:$BR$200,"&gt;=70",$K$4:$K$200,"&lt;=30",$C$4:$C$200,"&lt;20190630",S$4:S$200,"&gt;="&amp;S128)/COUNTIFS(S$4:S$200,"&lt;&gt;-",$D$4:$D$200,"&lt;&gt;是",$E$4:$E$200,"&lt;&gt;封闭期",$H$4:$H$200,"&gt;10",$BN$4:$BN$200,"&gt;-6",$BR$4:$BR$200,"&gt;=70",$C$4:$C$200,"&lt;20190630",$K$4:$K$200,"&lt;=30"))</f>
        <v>-</v>
      </c>
      <c r="X128" s="19">
        <f>[1]!f_risk_calmar(A128,$L$2,$E$1)</f>
        <v>0.84096815257616753</v>
      </c>
      <c r="Y128" s="19" t="str">
        <f>IFERROR(RANK(X128,X:X)&amp;"/"&amp;COUNT(X:X),"-")</f>
        <v>167/197</v>
      </c>
      <c r="Z128" s="26">
        <f>IFERROR(RANK(X128,X:X)/COUNT(X:X),"-")</f>
        <v>0.84771573604060912</v>
      </c>
      <c r="AA128" s="34" t="str">
        <f>IF(OR($C128&gt;20190630,$K128&gt;30,X128="-",$D128="是",$E128="封闭期",$H128&lt;10,$BN128&lt;-6,$BR128&lt;70),"-",COUNTIFS(X$4:X$200,"&lt;&gt;-",$D$4:$D$200,"&lt;&gt;是",$E$4:$E$200,"&lt;&gt;封闭期",$H$4:$H$200,"&gt;10",$BN$4:$BN$200,"&gt;-6",$BR$4:$BR$200,"&gt;=70",$K$4:$K$200,"&lt;=30",$C$4:$C$200,"&lt;20190630",X$4:X$200,"&gt;="&amp;X128)&amp;"/"&amp;COUNTIFS(X$4:X$200,"&lt;&gt;-",$D$4:$D$200,"&lt;&gt;是",$E$4:$E$200,"&lt;&gt;封闭期",$H$4:$H$200,"&gt;10",$BN$4:$BN$200,"&gt;-6",$BR$4:$BR$200,"&gt;=70",$C$4:$C$200,"&lt;20190630",$K$4:$K$200,"&lt;=30"))</f>
        <v>-</v>
      </c>
      <c r="AB128" s="33" t="str">
        <f>IF(OR($C128&gt;20190630,$K128&gt;30,X128="-",$D128="是",$E128="封闭期",$H128&lt;10,$BN128&lt;-6,$BR128&lt;70),"-",COUNTIFS(X$4:X$200,"&lt;&gt;-",$D$4:$D$200,"&lt;&gt;是",$E$4:$E$200,"&lt;&gt;封闭期",$H$4:$H$200,"&gt;10",$BN$4:$BN$200,"&gt;-6",$BR$4:$BR$200,"&gt;=70",$K$4:$K$200,"&lt;=30",$C$4:$C$200,"&lt;20190630",X$4:X$200,"&gt;="&amp;X128)/COUNTIFS(X$4:X$200,"&lt;&gt;-",$D$4:$D$200,"&lt;&gt;是",$E$4:$E$200,"&lt;&gt;封闭期",$H$4:$H$200,"&gt;10",$BN$4:$BN$200,"&gt;-6",$BR$4:$BR$200,"&gt;=70",$C$4:$C$200,"&lt;20190630",$K$4:$K$200,"&lt;=30"))</f>
        <v>-</v>
      </c>
      <c r="AC128" s="20">
        <v>0.59663865546218486</v>
      </c>
      <c r="AD128" s="19" t="str">
        <f>IFERROR(RANK(AC128,AC:AC)&amp;"/"&amp;COUNT(AC:AC),"-")</f>
        <v>179/197</v>
      </c>
      <c r="AE128" s="26">
        <f>IFERROR(RANK(AC128,AC:AC)/COUNT(AC:AC),"-")</f>
        <v>0.90862944162436543</v>
      </c>
      <c r="AF128" s="34" t="str">
        <f>IF(OR($C128&gt;20190630,$K128&gt;30,AC128="-",$D128="是",$E128="封闭期",$H128&lt;10,$BN128&lt;-6,$BR128&lt;70),"-",COUNTIFS(AC$4:AC$200,"&lt;&gt;-",$D$4:$D$200,"&lt;&gt;是",$E$4:$E$200,"&lt;&gt;封闭期",$H$4:$H$200,"&gt;10",$BN$4:$BN$200,"&gt;-6",$BR$4:$BR$200,"&gt;=70",$K$4:$K$200,"&lt;=30",$C$4:$C$200,"&lt;20190630",AC$4:AC$200,"&gt;="&amp;AC128)&amp;"/"&amp;COUNTIFS(AC$4:AC$200,"&lt;&gt;-",$D$4:$D$200,"&lt;&gt;是",$E$4:$E$200,"&lt;&gt;封闭期",$H$4:$H$200,"&gt;10",$BN$4:$BN$200,"&gt;-6",$BR$4:$BR$200,"&gt;=70",$C$4:$C$200,"&lt;20190630",$K$4:$K$200,"&lt;=30"))</f>
        <v>-</v>
      </c>
      <c r="AG128" s="33" t="str">
        <f>IF(OR($C128&gt;20190630,$K128&gt;30,AC128="-",$D128="是",$E128="封闭期",$H128&lt;10,$BN128&lt;-6,$BR128&lt;70),"-",COUNTIFS(AC$4:AC$200,"&lt;&gt;-",$D$4:$D$200,"&lt;&gt;是",$E$4:$E$200,"&lt;&gt;封闭期",$H$4:$H$200,"&gt;10",$BN$4:$BN$200,"&gt;-6",$BR$4:$BR$200,"&gt;=70",$K$4:$K$200,"&lt;=30",$C$4:$C$200,"&lt;20190630",AC$4:AC$200,"&gt;="&amp;AC128)/COUNTIFS(AC$4:AC$200,"&lt;&gt;-",$D$4:$D$200,"&lt;&gt;是",$E$4:$E$200,"&lt;&gt;封闭期",$H$4:$H$200,"&gt;10",$BN$4:$BN$200,"&gt;-6",$BR$4:$BR$200,"&gt;=70",$C$4:$C$200,"&lt;20190630",$K$4:$K$200,"&lt;=30"))</f>
        <v>-</v>
      </c>
      <c r="AH128" s="21">
        <f>[1]!f_risk_maxdownside(A128,$L$2,$E$1)</f>
        <v>-4.4752600063031931</v>
      </c>
      <c r="AI128" s="19" t="str">
        <f>IFERROR(RANK(AH128,AH:AH)&amp;"/"&amp;COUNT(AH:AH),"-")</f>
        <v>142/197</v>
      </c>
      <c r="AJ128" s="26">
        <f>IFERROR(RANK(AH128,AH:AH)/COUNT(AH:AH),"-")</f>
        <v>0.7208121827411168</v>
      </c>
      <c r="AK128" s="34" t="str">
        <f>IF(OR($C128&gt;20190630,$K128&gt;30,AH128="-",$D128="是",$E128="封闭期",$H128&lt;10,$BN128&lt;-6,$BR128&lt;70),"-",COUNTIFS(AH$4:AH$200,"&lt;&gt;-",$D$4:$D$200,"&lt;&gt;是",$E$4:$E$200,"&lt;&gt;封闭期",$H$4:$H$200,"&gt;10",$BN$4:$BN$200,"&gt;-6",$BR$4:$BR$200,"&gt;=70",$K$4:$K$200,"&lt;=30",$C$4:$C$200,"&lt;20190630",AH$4:AH$200,"&gt;="&amp;AH128)&amp;"/"&amp;COUNTIFS(AH$4:AH$200,"&lt;&gt;-",$D$4:$D$200,"&lt;&gt;是",$E$4:$E$200,"&lt;&gt;封闭期",$H$4:$H$200,"&gt;10",$BN$4:$BN$200,"&gt;-6",$BR$4:$BR$200,"&gt;=70",$C$4:$C$200,"&lt;20190630",$K$4:$K$200,"&lt;=30"))</f>
        <v>-</v>
      </c>
      <c r="AL128" s="33" t="str">
        <f>IF(OR($C128&gt;20190630,$K128&gt;30,AH128="-",$D128="是",$E128="封闭期",$H128&lt;10,$BN128&lt;-6,$BR128&lt;70),"-",COUNTIFS(AH$4:AH$200,"&lt;&gt;-",$D$4:$D$200,"&lt;&gt;是",$E$4:$E$200,"&lt;&gt;封闭期",$H$4:$H$200,"&gt;10",$BN$4:$BN$200,"&gt;-6",$BR$4:$BR$200,"&gt;=70",$K$4:$K$200,"&lt;=30",$C$4:$C$200,"&lt;20190630",AH$4:AH$200,"&gt;="&amp;AH128)/COUNTIFS(AH$4:AH$200,"&lt;&gt;-",$D$4:$D$200,"&lt;&gt;是",$E$4:$E$200,"&lt;&gt;封闭期",$H$4:$H$200,"&gt;10",$BN$4:$BN$200,"&gt;-6",$BR$4:$BR$200,"&gt;=70",$C$4:$C$200,"&lt;20190630",$K$4:$K$200,"&lt;=30"))</f>
        <v>-</v>
      </c>
      <c r="AM128" s="19">
        <f>[1]!f_return($A128,"1",AM$2,$L$2)</f>
        <v>5.8355251287758758</v>
      </c>
      <c r="AN128" s="19">
        <f>[1]!f_risk_stdevyearly($A128,AM$2,$L$2,1,1)</f>
        <v>7.1262554239546789</v>
      </c>
      <c r="AO128" s="19">
        <f>IFERROR(AM128/AN128,"-")</f>
        <v>0.81887678473605441</v>
      </c>
      <c r="AP128" s="19" t="str">
        <f>IFERROR(RANK(AO128,AO:AO)&amp;"/"&amp;COUNT(AO:AO),"-")</f>
        <v>174/197</v>
      </c>
      <c r="AQ128" s="26">
        <f>IF(AP128="-","-",RANK(AO128,AO:AO)/COUNT(AO:AO))</f>
        <v>0.88324873096446699</v>
      </c>
      <c r="AR128" s="57">
        <v>0.63451776649746194</v>
      </c>
      <c r="AS128" s="33" t="str">
        <f>IF(OR($C128&gt;20190630,$K128&gt;30,AO128="-",$D128="是",$E128="封闭期",$H128&lt;10,$BN128&lt;-6,$BR128&lt;70),"-",COUNTIFS(AO$4:AO$200,"&lt;&gt;-",$D$4:$D$200,"&lt;&gt;是",$E$4:$E$200,"&lt;&gt;封闭期",$H$4:$H$200,"&gt;10",$BN$4:$BN$200,"&gt;-6",$BR$4:$BR$200,"&gt;=70",$K$4:$K$200,"&lt;=30",$C$4:$C$200,"&lt;20190630",AO$4:AO$200,"&gt;="&amp;AO128)/COUNTIFS(AO$4:AO$200,"&lt;&gt;-",$D$4:$D$200,"&lt;&gt;是",$E$4:$E$200,"&lt;&gt;封闭期",$H$4:$H$200,"&gt;10",$BN$4:$BN$200,"&gt;-6",$BR$4:$BR$200,"&gt;=70",$C$4:$C$200,"&lt;20190630",$K$4:$K$200,"&lt;=30"))</f>
        <v>-</v>
      </c>
      <c r="AT128" s="19">
        <f>IFERROR((AM128-3)/AN128,"-")</f>
        <v>0.39789832949915732</v>
      </c>
      <c r="AU128" s="19" t="str">
        <f>IFERROR(RANK(AT128,AT:AT)&amp;"/"&amp;COUNT(AT:AT),"-")</f>
        <v>145/197</v>
      </c>
      <c r="AV128" s="26">
        <f>IFERROR(RANK(AT128,AT:AT)/COUNT(AT:AT),"-")</f>
        <v>0.73604060913705582</v>
      </c>
      <c r="AW128" s="34" t="str">
        <f>IF(OR($C128&gt;20190630,$K128&gt;30,AT128="-",$D128="是",$E128="封闭期",$H128&lt;10,$BN128&lt;-6,$BR128&lt;70),"-",COUNTIFS(AT$4:AT$200,"&lt;&gt;-",$D$4:$D$200,"&lt;&gt;是",$E$4:$E$200,"&lt;&gt;封闭期",$H$4:$H$200,"&gt;10",$BN$4:$BN$200,"&gt;-6",$BR$4:$BR$200,"&gt;=70",$K$4:$K$200,"&lt;=30",$C$4:$C$200,"&lt;20190630",AT$4:AT$200,"&gt;="&amp;AT128)&amp;"/"&amp;COUNTIFS(AT$4:AT$200,"&lt;&gt;-",$D$4:$D$200,"&lt;&gt;是",$E$4:$E$200,"&lt;&gt;封闭期",$H$4:$H$200,"&gt;10",$BN$4:$BN$200,"&gt;-6",$BR$4:$BR$200,"&gt;=70",$C$4:$C$200,"&lt;20190630",$K$4:$K$200,"&lt;=30"))</f>
        <v>-</v>
      </c>
      <c r="AX128" s="33" t="str">
        <f>IF(OR($C128&gt;20190630,$K128&gt;30,AT128="-",$D128="是",$E128="封闭期",$H128&lt;10,$BN128&lt;-6,$BR128&lt;70),"-",COUNTIFS(AT$4:AT$200,"&lt;&gt;-",$D$4:$D$200,"&lt;&gt;是",$E$4:$E$200,"&lt;&gt;封闭期",$H$4:$H$200,"&gt;10",$BN$4:$BN$200,"&gt;-6",$BR$4:$BR$200,"&gt;=70",$K$4:$K$200,"&lt;=30",$C$4:$C$200,"&lt;20190630",AT$4:AT$200,"&gt;="&amp;AT128)/COUNTIFS(AT$4:AT$200,"&lt;&gt;-",$D$4:$D$200,"&lt;&gt;是",$E$4:$E$200,"&lt;&gt;封闭期",$H$4:$H$200,"&gt;10",$BN$4:$BN$200,"&gt;-6",$BR$4:$BR$200,"&gt;=70",$C$4:$C$200,"&lt;20190630",$K$4:$K$200,"&lt;=30"))</f>
        <v>-</v>
      </c>
      <c r="AY128" s="19">
        <f>[1]!f_risk_calmar(A128,$AM$2,$L$2)</f>
        <v>1.0212588797309512</v>
      </c>
      <c r="AZ128" s="19" t="str">
        <f>IFERROR(RANK(AY128,AY:AY)&amp;"/"&amp;COUNT(AY:AY),"-")</f>
        <v>168/197</v>
      </c>
      <c r="BA128" s="26">
        <f>IFERROR(RANK(AY128,AY:AY)/COUNT(AY:AY),"-")</f>
        <v>0.85279187817258884</v>
      </c>
      <c r="BB128" s="34" t="str">
        <f>IF(OR($C128&gt;20190630,$K128&gt;30,AY128="-",$D128="是",$E128="封闭期",$H128&lt;10,$BN128&lt;-6,$BR128&lt;70),"-",COUNTIFS(AY$4:AY$200,"&lt;&gt;-",$D$4:$D$200,"&lt;&gt;是",$E$4:$E$200,"&lt;&gt;封闭期",$H$4:$H$200,"&gt;10",$BN$4:$BN$200,"&gt;-6",$BR$4:$BR$200,"&gt;=70",$K$4:$K$200,"&lt;=30",$C$4:$C$200,"&lt;20190630",AY$4:AY$200,"&gt;="&amp;AY128)&amp;"/"&amp;COUNTIFS(AY$4:AY$200,"&lt;&gt;-",$D$4:$D$200,"&lt;&gt;是",$E$4:$E$200,"&lt;&gt;封闭期",$H$4:$H$200,"&gt;10",$BN$4:$BN$200,"&gt;-6",$BR$4:$BR$200,"&gt;=70",$C$4:$C$200,"&lt;20190630",$K$4:$K$200,"&lt;=30"))</f>
        <v>-</v>
      </c>
      <c r="BC128" s="33" t="str">
        <f>IF(OR($C128&gt;20190630,$K128&gt;30,AY128="-",$D128="是",$E128="封闭期",$H128&lt;10,$BN128&lt;-6,$BR128&lt;70),"-",COUNTIFS(AY$4:AY$200,"&lt;&gt;-",$D$4:$D$200,"&lt;&gt;是",$E$4:$E$200,"&lt;&gt;封闭期",$H$4:$H$200,"&gt;10",$BN$4:$BN$200,"&gt;-6",$BR$4:$BR$200,"&gt;=70",$K$4:$K$200,"&lt;=30",$C$4:$C$200,"&lt;20190630",AY$4:AY$200,"&gt;="&amp;AY128)/COUNTIFS(AY$4:AY$200,"&lt;&gt;-",$D$4:$D$200,"&lt;&gt;是",$E$4:$E$200,"&lt;&gt;封闭期",$H$4:$H$200,"&gt;10",$BN$4:$BN$200,"&gt;-6",$BR$4:$BR$200,"&gt;=70",$C$4:$C$200,"&lt;20190630",$K$4:$K$200,"&lt;=30"))</f>
        <v>-</v>
      </c>
      <c r="BD128" s="20">
        <v>1</v>
      </c>
      <c r="BE128" s="19" t="str">
        <f>IFERROR(RANK(BD128,BD:BD)&amp;"/"&amp;COUNT(BD:BD),"-")</f>
        <v>1/197</v>
      </c>
      <c r="BF128" s="26">
        <f>IFERROR(RANK(BD128,BD:BD)/COUNT(BD:BD),"-")</f>
        <v>5.076142131979695E-3</v>
      </c>
      <c r="BG128" s="34" t="str">
        <f>IF(OR($C128&gt;20190630,$K128&gt;30,BD128="-",$D128="是",$E128="封闭期",$H128&lt;10,$BN128&lt;-6,$BR128&lt;70),"-",COUNTIFS(BD$4:BD$200,"&lt;&gt;-",$D$4:$D$200,"&lt;&gt;是",$E$4:$E$200,"&lt;&gt;封闭期",$H$4:$H$200,"&gt;10",$BN$4:$BN$200,"&gt;-6",$BR$4:$BR$200,"&gt;=70",$K$4:$K$200,"&lt;=30",$C$4:$C$200,"&lt;20190630",BD$4:BD$200,"&gt;="&amp;BD128)&amp;"/"&amp;COUNTIFS(BD$4:BD$200,"&lt;&gt;-",$D$4:$D$200,"&lt;&gt;是",$E$4:$E$200,"&lt;&gt;封闭期",$H$4:$H$200,"&gt;10",$BN$4:$BN$200,"&gt;-6",$BR$4:$BR$200,"&gt;=70",$C$4:$C$200,"&lt;20190630",$K$4:$K$200,"&lt;=30"))</f>
        <v>-</v>
      </c>
      <c r="BH128" s="33" t="str">
        <f>IF(OR($C128&gt;20190630,$K128&gt;30,BD128="-",$D128="是",$E128="封闭期",$H128&lt;10,$BN128&lt;-6,$BR128&lt;70),"-",COUNTIFS(BD$4:BD$200,"&lt;&gt;-",$D$4:$D$200,"&lt;&gt;是",$E$4:$E$200,"&lt;&gt;封闭期",$H$4:$H$200,"&gt;10",$BN$4:$BN$200,"&gt;-6",$BR$4:$BR$200,"&gt;=70",$K$4:$K$200,"&lt;=30",$C$4:$C$200,"&lt;20190630",BD$4:BD$200,"&gt;="&amp;BD128)/COUNTIFS(BD$4:BD$200,"&lt;&gt;-",$D$4:$D$200,"&lt;&gt;是",$E$4:$E$200,"&lt;&gt;封闭期",$H$4:$H$200,"&gt;10",$BN$4:$BN$200,"&gt;-6",$BR$4:$BR$200,"&gt;=70",$C$4:$C$200,"&lt;20190630",$K$4:$K$200,"&lt;=30"))</f>
        <v>-</v>
      </c>
      <c r="BI128" s="21">
        <f>[1]!f_risk_maxdownside(A128,$AM$2,$L$2)</f>
        <v>-5.7140508098330898</v>
      </c>
      <c r="BJ128" s="19" t="str">
        <f>IFERROR(RANK(BI128,BI:BI)&amp;"/"&amp;COUNT(BI:BI),"-")</f>
        <v>165/197</v>
      </c>
      <c r="BK128" s="26">
        <f>IFERROR(RANK(BI128,BI:BI)/COUNT(BI:BI),"-")</f>
        <v>0.8375634517766497</v>
      </c>
      <c r="BL128" s="34" t="str">
        <f>IF(OR($C128&gt;20190630,$K128&gt;30,BI128="-",$D128="是",$E128="封闭期",$H128&lt;10,$BN128&lt;-6,$BR128&lt;70),"-",COUNTIFS(BI$4:BI$200,"&lt;&gt;-",$D$4:$D$200,"&lt;&gt;是",$E$4:$E$200,"&lt;&gt;封闭期",$H$4:$H$200,"&gt;10",$BN$4:$BN$200,"&gt;-6",$BR$4:$BR$200,"&gt;=70",$K$4:$K$200,"&lt;=30",$C$4:$C$200,"&lt;20190630",BI$4:BI$200,"&gt;="&amp;BI128)&amp;"/"&amp;COUNTIFS(BI$4:BI$200,"&lt;&gt;-",$D$4:$D$200,"&lt;&gt;是",$E$4:$E$200,"&lt;&gt;封闭期",$H$4:$H$200,"&gt;10",$BN$4:$BN$200,"&gt;-6",$BR$4:$BR$200,"&gt;=70",$C$4:$C$200,"&lt;20190630",$K$4:$K$200,"&lt;=30"))</f>
        <v>-</v>
      </c>
      <c r="BM128" s="33" t="str">
        <f>IF(OR($C128&gt;20190630,$K128&gt;30,BI128="-",$D128="是",$E128="封闭期",$H128&lt;10,$BN128&lt;-6,$BR128&lt;70),"-",COUNTIFS(BI$4:BI$200,"&lt;&gt;-",$D$4:$D$200,"&lt;&gt;是",$E$4:$E$200,"&lt;&gt;封闭期",$H$4:$H$200,"&gt;10",$BN$4:$BN$200,"&gt;-6",$BR$4:$BR$200,"&gt;=70",$K$4:$K$200,"&lt;=30",$C$4:$C$200,"&lt;20190630",BI$4:BI$200,"&gt;="&amp;BI128)/COUNTIFS(BI$4:BI$200,"&lt;&gt;-",$D$4:$D$200,"&lt;&gt;是",$E$4:$E$200,"&lt;&gt;封闭期",$H$4:$H$200,"&gt;10",$BN$4:$BN$200,"&gt;-6",$BR$4:$BR$200,"&gt;=70",$C$4:$C$200,"&lt;20190630",$K$4:$K$200,"&lt;=30"))</f>
        <v>-</v>
      </c>
      <c r="BN128" s="21">
        <f>[1]!f_risk_maxdownside(A128,$AM$2,$E$1)</f>
        <v>-5.7140508098330898</v>
      </c>
      <c r="BO128" s="21">
        <f>IF(C128&lt;20190930,[1]!f_return_2y(A128,"0","20210930"),"-")</f>
        <v>10.006154928339059</v>
      </c>
      <c r="BP128" s="19" t="str">
        <f>IFERROR(RANK(BO128,BO:BO)&amp;"/"&amp;COUNT(BO:BO),"-")</f>
        <v>144/197</v>
      </c>
      <c r="BQ128" s="25">
        <f>IFERROR(RANK(BO128,BO:BO)/COUNT(BO:BO),"-")</f>
        <v>0.73096446700507611</v>
      </c>
      <c r="BR128" s="19">
        <f>IF(C128&lt;20190930,[1]!f_absolute_profitmonthper(A128,"20190930","20210930"),"-")</f>
        <v>58.333333333333336</v>
      </c>
      <c r="BS128" s="19" t="str">
        <f>IFERROR(RANK(BR128,BR:BR)&amp;"/"&amp;COUNT(BR:BR),"-")</f>
        <v>165/198</v>
      </c>
      <c r="BT128" s="25">
        <f>IFERROR(RANK(BR128,BR:BR)/COUNT(BR:BR),"-")</f>
        <v>0.83333333333333337</v>
      </c>
      <c r="BV128" s="12">
        <f>X128-3/M128</f>
        <v>0.20243521788159269</v>
      </c>
      <c r="BW128" s="76">
        <f>IFERROR(RANK(BV128,BV:BV)/COUNT(BV:BV),"-")</f>
        <v>0.8324873096446701</v>
      </c>
      <c r="BX128" s="76">
        <f>IFERROR(RANK(L128,L:L)/COUNT(L:L),"-")</f>
        <v>0.76262626262626265</v>
      </c>
      <c r="BY128" s="12">
        <f>AY128-3/AN128</f>
        <v>0.60028042449405405</v>
      </c>
      <c r="BZ128" s="76">
        <f>IFERROR(RANK(BY128,BY:BY)/COUNT(BY:BY),"-")</f>
        <v>0.7766497461928934</v>
      </c>
      <c r="CA128" s="76">
        <f>IFERROR(RANK(AM128,AM:AM)/COUNT(AM:AM),"-")</f>
        <v>0.63636363636363635</v>
      </c>
      <c r="CB128" s="2"/>
      <c r="CC128" s="77">
        <f>AV128+BF128+BZ128+CA128</f>
        <v>2.1541301338255652</v>
      </c>
      <c r="CD128" s="77">
        <f>BW128+BX128+AE128+U128</f>
        <v>3.2905450443521511</v>
      </c>
      <c r="CE128" s="77">
        <f>CC128+CD128</f>
        <v>5.4446751781777163</v>
      </c>
    </row>
    <row r="129" spans="1:83" s="2" customFormat="1" hidden="1" x14ac:dyDescent="0.35">
      <c r="A129" s="15" t="s">
        <v>309</v>
      </c>
      <c r="B129" s="15" t="s">
        <v>310</v>
      </c>
      <c r="C129" s="16">
        <v>20161230</v>
      </c>
      <c r="D129" s="16" t="str">
        <f>[1]!f_info_regulopenfundornot(A129)</f>
        <v>否</v>
      </c>
      <c r="E129" s="16" t="str">
        <f>[1]!f_dq_status(A129,$E$1)</f>
        <v>开放申购|开放赎回</v>
      </c>
      <c r="F129" s="17" t="str">
        <f>[1]!f_info_fundmanager(A129)</f>
        <v>唐赟</v>
      </c>
      <c r="G129" s="16">
        <v>20200714</v>
      </c>
      <c r="H129" s="18">
        <f>[1]!f_netasset_total(A129,$E$1,100000000)</f>
        <v>0.1292483995</v>
      </c>
      <c r="I129" s="18">
        <f>[1]!f_prt_convertiblebondtonav(A129,$E$1)</f>
        <v>0</v>
      </c>
      <c r="J129" s="18">
        <f>[1]!f_prt_stocktonav(A129,$E$1)+0.5*I129</f>
        <v>11.354643821716309</v>
      </c>
      <c r="K129" s="19">
        <v>0</v>
      </c>
      <c r="L129" s="19">
        <f>[1]!f_return($A129,"1",L$2,$E$1)</f>
        <v>1.7434337055417748</v>
      </c>
      <c r="M129" s="19">
        <f>[1]!f_risk_stdevyearly($A129,L$2,$E$1,1,1)</f>
        <v>4.4536619551901202</v>
      </c>
      <c r="N129" s="19">
        <f>IFERROR(L129/M129,"-")</f>
        <v>0.39146071773814056</v>
      </c>
      <c r="O129" s="19" t="str">
        <f>IFERROR(RANK(N129,N:N)&amp;"/"&amp;COUNT(N:N),"-")</f>
        <v>178/197</v>
      </c>
      <c r="P129" s="26">
        <f>IF(O129="-","-",RANK(N129,N:N)/COUNT(N:N))</f>
        <v>0.90355329949238583</v>
      </c>
      <c r="Q129" s="56">
        <v>0.89340101522842641</v>
      </c>
      <c r="R129" s="33" t="str">
        <f>IF(OR($C129&gt;20190630,$K129&gt;30,N129="-",$D129="是",$E129="封闭期",$H129&lt;10,$BN129&lt;-6,$BR129&lt;70),"-",COUNTIFS(N$4:N$200,"&lt;&gt;-",$D$4:$D$200,"&lt;&gt;是",$E$4:$E$200,"&lt;&gt;封闭期",$H$4:$H$200,"&gt;10",$BN$4:$BN$200,"&gt;-6",$BR$4:$BR$200,"&gt;=70",$K$4:$K$200,"&lt;=30",$C$4:$C$200,"&lt;20190630",N$4:N$200,"&gt;="&amp;N129)/COUNTIFS(N$4:N$200,"&lt;&gt;-",$D$4:$D$200,"&lt;&gt;是",$E$4:$E$200,"&lt;&gt;封闭期",$H$4:$H$200,"&gt;10",$BN$4:$BN$200,"&gt;-6",$BR$4:$BR$200,"&gt;=70",$C$4:$C$200,"&lt;20190630",$K$4:$K$200,"&lt;=30"))</f>
        <v>-</v>
      </c>
      <c r="S129" s="19">
        <f>IFERROR((L129-3)/M129,"-")</f>
        <v>-0.28214227013657223</v>
      </c>
      <c r="T129" s="19" t="str">
        <f>IFERROR(RANK(S129,S:S)&amp;"/"&amp;COUNT(S:S),"-")</f>
        <v>176/197</v>
      </c>
      <c r="U129" s="26">
        <f>IFERROR(RANK(S129,S:S)/COUNT(S:S),"-")</f>
        <v>0.89340101522842641</v>
      </c>
      <c r="V129" s="34" t="str">
        <f>IF(OR($C129&gt;20190630,$K129&gt;30,S129="-",$D129="是",$E129="封闭期",$H129&lt;10,$BN129&lt;-6,$BR129&lt;70),"-",COUNTIFS(S$4:S$200,"&lt;&gt;-",$D$4:$D$200,"&lt;&gt;是",$E$4:$E$200,"&lt;&gt;封闭期",$H$4:$H$200,"&gt;10",$BN$4:$BN$200,"&gt;-6",$BR$4:$BR$200,"&gt;=70",$K$4:$K$200,"&lt;=30",$C$4:$C$200,"&lt;20190630",S$4:S$200,"&gt;="&amp;S129)&amp;"/"&amp;COUNTIFS(S$4:S$200,"&lt;&gt;-",$D$4:$D$200,"&lt;&gt;是",$E$4:$E$200,"&lt;&gt;封闭期",$H$4:$H$200,"&gt;10",$BN$4:$BN$200,"&gt;-6",$BR$4:$BR$200,"&gt;=70",$C$4:$C$200,"&lt;20190630",$K$4:$K$200,"&lt;=30"))</f>
        <v>-</v>
      </c>
      <c r="W129" s="33" t="str">
        <f>IF(OR($C129&gt;20190630,$K129&gt;30,S129="-",$D129="是",$E129="封闭期",$H129&lt;10,$BN129&lt;-6,$BR129&lt;70),"-",COUNTIFS(S$4:S$200,"&lt;&gt;-",$D$4:$D$200,"&lt;&gt;是",$E$4:$E$200,"&lt;&gt;封闭期",$H$4:$H$200,"&gt;10",$BN$4:$BN$200,"&gt;-6",$BR$4:$BR$200,"&gt;=70",$K$4:$K$200,"&lt;=30",$C$4:$C$200,"&lt;20190630",S$4:S$200,"&gt;="&amp;S129)/COUNTIFS(S$4:S$200,"&lt;&gt;-",$D$4:$D$200,"&lt;&gt;是",$E$4:$E$200,"&lt;&gt;封闭期",$H$4:$H$200,"&gt;10",$BN$4:$BN$200,"&gt;-6",$BR$4:$BR$200,"&gt;=70",$C$4:$C$200,"&lt;20190630",$K$4:$K$200,"&lt;=30"))</f>
        <v>-</v>
      </c>
      <c r="X129" s="19">
        <f>[1]!f_risk_calmar(A129,$L$2,$E$1)</f>
        <v>0.37583449452322054</v>
      </c>
      <c r="Y129" s="19" t="str">
        <f>IFERROR(RANK(X129,X:X)&amp;"/"&amp;COUNT(X:X),"-")</f>
        <v>181/197</v>
      </c>
      <c r="Z129" s="26">
        <f>IFERROR(RANK(X129,X:X)/COUNT(X:X),"-")</f>
        <v>0.91878172588832485</v>
      </c>
      <c r="AA129" s="34" t="str">
        <f>IF(OR($C129&gt;20190630,$K129&gt;30,X129="-",$D129="是",$E129="封闭期",$H129&lt;10,$BN129&lt;-6,$BR129&lt;70),"-",COUNTIFS(X$4:X$200,"&lt;&gt;-",$D$4:$D$200,"&lt;&gt;是",$E$4:$E$200,"&lt;&gt;封闭期",$H$4:$H$200,"&gt;10",$BN$4:$BN$200,"&gt;-6",$BR$4:$BR$200,"&gt;=70",$K$4:$K$200,"&lt;=30",$C$4:$C$200,"&lt;20190630",X$4:X$200,"&gt;="&amp;X129)&amp;"/"&amp;COUNTIFS(X$4:X$200,"&lt;&gt;-",$D$4:$D$200,"&lt;&gt;是",$E$4:$E$200,"&lt;&gt;封闭期",$H$4:$H$200,"&gt;10",$BN$4:$BN$200,"&gt;-6",$BR$4:$BR$200,"&gt;=70",$C$4:$C$200,"&lt;20190630",$K$4:$K$200,"&lt;=30"))</f>
        <v>-</v>
      </c>
      <c r="AB129" s="33" t="str">
        <f>IF(OR($C129&gt;20190630,$K129&gt;30,X129="-",$D129="是",$E129="封闭期",$H129&lt;10,$BN129&lt;-6,$BR129&lt;70),"-",COUNTIFS(X$4:X$200,"&lt;&gt;-",$D$4:$D$200,"&lt;&gt;是",$E$4:$E$200,"&lt;&gt;封闭期",$H$4:$H$200,"&gt;10",$BN$4:$BN$200,"&gt;-6",$BR$4:$BR$200,"&gt;=70",$K$4:$K$200,"&lt;=30",$C$4:$C$200,"&lt;20190630",X$4:X$200,"&gt;="&amp;X129)/COUNTIFS(X$4:X$200,"&lt;&gt;-",$D$4:$D$200,"&lt;&gt;是",$E$4:$E$200,"&lt;&gt;封闭期",$H$4:$H$200,"&gt;10",$BN$4:$BN$200,"&gt;-6",$BR$4:$BR$200,"&gt;=70",$C$4:$C$200,"&lt;20190630",$K$4:$K$200,"&lt;=30"))</f>
        <v>-</v>
      </c>
      <c r="AC129" s="20">
        <v>0.6470588235294118</v>
      </c>
      <c r="AD129" s="19" t="str">
        <f>IFERROR(RANK(AC129,AC:AC)&amp;"/"&amp;COUNT(AC:AC),"-")</f>
        <v>174/197</v>
      </c>
      <c r="AE129" s="26">
        <f>IFERROR(RANK(AC129,AC:AC)/COUNT(AC:AC),"-")</f>
        <v>0.88324873096446699</v>
      </c>
      <c r="AF129" s="34" t="str">
        <f>IF(OR($C129&gt;20190630,$K129&gt;30,AC129="-",$D129="是",$E129="封闭期",$H129&lt;10,$BN129&lt;-6,$BR129&lt;70),"-",COUNTIFS(AC$4:AC$200,"&lt;&gt;-",$D$4:$D$200,"&lt;&gt;是",$E$4:$E$200,"&lt;&gt;封闭期",$H$4:$H$200,"&gt;10",$BN$4:$BN$200,"&gt;-6",$BR$4:$BR$200,"&gt;=70",$K$4:$K$200,"&lt;=30",$C$4:$C$200,"&lt;20190630",AC$4:AC$200,"&gt;="&amp;AC129)&amp;"/"&amp;COUNTIFS(AC$4:AC$200,"&lt;&gt;-",$D$4:$D$200,"&lt;&gt;是",$E$4:$E$200,"&lt;&gt;封闭期",$H$4:$H$200,"&gt;10",$BN$4:$BN$200,"&gt;-6",$BR$4:$BR$200,"&gt;=70",$C$4:$C$200,"&lt;20190630",$K$4:$K$200,"&lt;=30"))</f>
        <v>-</v>
      </c>
      <c r="AG129" s="33" t="str">
        <f>IF(OR($C129&gt;20190630,$K129&gt;30,AC129="-",$D129="是",$E129="封闭期",$H129&lt;10,$BN129&lt;-6,$BR129&lt;70),"-",COUNTIFS(AC$4:AC$200,"&lt;&gt;-",$D$4:$D$200,"&lt;&gt;是",$E$4:$E$200,"&lt;&gt;封闭期",$H$4:$H$200,"&gt;10",$BN$4:$BN$200,"&gt;-6",$BR$4:$BR$200,"&gt;=70",$K$4:$K$200,"&lt;=30",$C$4:$C$200,"&lt;20190630",AC$4:AC$200,"&gt;="&amp;AC129)/COUNTIFS(AC$4:AC$200,"&lt;&gt;-",$D$4:$D$200,"&lt;&gt;是",$E$4:$E$200,"&lt;&gt;封闭期",$H$4:$H$200,"&gt;10",$BN$4:$BN$200,"&gt;-6",$BR$4:$BR$200,"&gt;=70",$C$4:$C$200,"&lt;20190630",$K$4:$K$200,"&lt;=30"))</f>
        <v>-</v>
      </c>
      <c r="AH129" s="21">
        <f>[1]!f_risk_maxdownside(A129,$L$2,$E$1)</f>
        <v>-4.638833664678585</v>
      </c>
      <c r="AI129" s="19" t="str">
        <f>IFERROR(RANK(AH129,AH:AH)&amp;"/"&amp;COUNT(AH:AH),"-")</f>
        <v>146/197</v>
      </c>
      <c r="AJ129" s="26">
        <f>IFERROR(RANK(AH129,AH:AH)/COUNT(AH:AH),"-")</f>
        <v>0.74111675126903553</v>
      </c>
      <c r="AK129" s="34" t="str">
        <f>IF(OR($C129&gt;20190630,$K129&gt;30,AH129="-",$D129="是",$E129="封闭期",$H129&lt;10,$BN129&lt;-6,$BR129&lt;70),"-",COUNTIFS(AH$4:AH$200,"&lt;&gt;-",$D$4:$D$200,"&lt;&gt;是",$E$4:$E$200,"&lt;&gt;封闭期",$H$4:$H$200,"&gt;10",$BN$4:$BN$200,"&gt;-6",$BR$4:$BR$200,"&gt;=70",$K$4:$K$200,"&lt;=30",$C$4:$C$200,"&lt;20190630",AH$4:AH$200,"&gt;="&amp;AH129)&amp;"/"&amp;COUNTIFS(AH$4:AH$200,"&lt;&gt;-",$D$4:$D$200,"&lt;&gt;是",$E$4:$E$200,"&lt;&gt;封闭期",$H$4:$H$200,"&gt;10",$BN$4:$BN$200,"&gt;-6",$BR$4:$BR$200,"&gt;=70",$C$4:$C$200,"&lt;20190630",$K$4:$K$200,"&lt;=30"))</f>
        <v>-</v>
      </c>
      <c r="AL129" s="33" t="str">
        <f>IF(OR($C129&gt;20190630,$K129&gt;30,AH129="-",$D129="是",$E129="封闭期",$H129&lt;10,$BN129&lt;-6,$BR129&lt;70),"-",COUNTIFS(AH$4:AH$200,"&lt;&gt;-",$D$4:$D$200,"&lt;&gt;是",$E$4:$E$200,"&lt;&gt;封闭期",$H$4:$H$200,"&gt;10",$BN$4:$BN$200,"&gt;-6",$BR$4:$BR$200,"&gt;=70",$K$4:$K$200,"&lt;=30",$C$4:$C$200,"&lt;20190630",AH$4:AH$200,"&gt;="&amp;AH129)/COUNTIFS(AH$4:AH$200,"&lt;&gt;-",$D$4:$D$200,"&lt;&gt;是",$E$4:$E$200,"&lt;&gt;封闭期",$H$4:$H$200,"&gt;10",$BN$4:$BN$200,"&gt;-6",$BR$4:$BR$200,"&gt;=70",$C$4:$C$200,"&lt;20190630",$K$4:$K$200,"&lt;=30"))</f>
        <v>-</v>
      </c>
      <c r="AM129" s="19">
        <f>[1]!f_return($A129,"1",AM$2,$L$2)</f>
        <v>5.7284330624956414</v>
      </c>
      <c r="AN129" s="19">
        <f>[1]!f_risk_stdevyearly($A129,AM$2,$L$2,1,1)</f>
        <v>3.2178214071891102</v>
      </c>
      <c r="AO129" s="19">
        <f>IFERROR(AM129/AN129,"-")</f>
        <v>1.7802209438029832</v>
      </c>
      <c r="AP129" s="19" t="str">
        <f>IFERROR(RANK(AO129,AO:AO)&amp;"/"&amp;COUNT(AO:AO),"-")</f>
        <v>71/197</v>
      </c>
      <c r="AQ129" s="26">
        <f>IF(AP129="-","-",RANK(AO129,AO:AO)/COUNT(AO:AO))</f>
        <v>0.3604060913705584</v>
      </c>
      <c r="AR129" s="57">
        <v>0.63959390862944165</v>
      </c>
      <c r="AS129" s="33" t="str">
        <f>IF(OR($C129&gt;20190630,$K129&gt;30,AO129="-",$D129="是",$E129="封闭期",$H129&lt;10,$BN129&lt;-6,$BR129&lt;70),"-",COUNTIFS(AO$4:AO$200,"&lt;&gt;-",$D$4:$D$200,"&lt;&gt;是",$E$4:$E$200,"&lt;&gt;封闭期",$H$4:$H$200,"&gt;10",$BN$4:$BN$200,"&gt;-6",$BR$4:$BR$200,"&gt;=70",$K$4:$K$200,"&lt;=30",$C$4:$C$200,"&lt;20190630",AO$4:AO$200,"&gt;="&amp;AO129)/COUNTIFS(AO$4:AO$200,"&lt;&gt;-",$D$4:$D$200,"&lt;&gt;是",$E$4:$E$200,"&lt;&gt;封闭期",$H$4:$H$200,"&gt;10",$BN$4:$BN$200,"&gt;-6",$BR$4:$BR$200,"&gt;=70",$C$4:$C$200,"&lt;20190630",$K$4:$K$200,"&lt;=30"))</f>
        <v>-</v>
      </c>
      <c r="AT129" s="19">
        <f>IFERROR((AM129-3)/AN129,"-")</f>
        <v>0.84791314284872998</v>
      </c>
      <c r="AU129" s="19" t="str">
        <f>IFERROR(RANK(AT129,AT:AT)&amp;"/"&amp;COUNT(AT:AT),"-")</f>
        <v>104/197</v>
      </c>
      <c r="AV129" s="26">
        <f>IFERROR(RANK(AT129,AT:AT)/COUNT(AT:AT),"-")</f>
        <v>0.52791878172588835</v>
      </c>
      <c r="AW129" s="34" t="str">
        <f>IF(OR($C129&gt;20190630,$K129&gt;30,AT129="-",$D129="是",$E129="封闭期",$H129&lt;10,$BN129&lt;-6,$BR129&lt;70),"-",COUNTIFS(AT$4:AT$200,"&lt;&gt;-",$D$4:$D$200,"&lt;&gt;是",$E$4:$E$200,"&lt;&gt;封闭期",$H$4:$H$200,"&gt;10",$BN$4:$BN$200,"&gt;-6",$BR$4:$BR$200,"&gt;=70",$K$4:$K$200,"&lt;=30",$C$4:$C$200,"&lt;20190630",AT$4:AT$200,"&gt;="&amp;AT129)&amp;"/"&amp;COUNTIFS(AT$4:AT$200,"&lt;&gt;-",$D$4:$D$200,"&lt;&gt;是",$E$4:$E$200,"&lt;&gt;封闭期",$H$4:$H$200,"&gt;10",$BN$4:$BN$200,"&gt;-6",$BR$4:$BR$200,"&gt;=70",$C$4:$C$200,"&lt;20190630",$K$4:$K$200,"&lt;=30"))</f>
        <v>-</v>
      </c>
      <c r="AX129" s="33" t="str">
        <f>IF(OR($C129&gt;20190630,$K129&gt;30,AT129="-",$D129="是",$E129="封闭期",$H129&lt;10,$BN129&lt;-6,$BR129&lt;70),"-",COUNTIFS(AT$4:AT$200,"&lt;&gt;-",$D$4:$D$200,"&lt;&gt;是",$E$4:$E$200,"&lt;&gt;封闭期",$H$4:$H$200,"&gt;10",$BN$4:$BN$200,"&gt;-6",$BR$4:$BR$200,"&gt;=70",$K$4:$K$200,"&lt;=30",$C$4:$C$200,"&lt;20190630",AT$4:AT$200,"&gt;="&amp;AT129)/COUNTIFS(AT$4:AT$200,"&lt;&gt;-",$D$4:$D$200,"&lt;&gt;是",$E$4:$E$200,"&lt;&gt;封闭期",$H$4:$H$200,"&gt;10",$BN$4:$BN$200,"&gt;-6",$BR$4:$BR$200,"&gt;=70",$C$4:$C$200,"&lt;20190630",$K$4:$K$200,"&lt;=30"))</f>
        <v>-</v>
      </c>
      <c r="AY129" s="19">
        <f>[1]!f_risk_calmar(A129,$AM$2,$L$2)</f>
        <v>2.6997550659051917</v>
      </c>
      <c r="AZ129" s="19" t="str">
        <f>IFERROR(RANK(AY129,AY:AY)&amp;"/"&amp;COUNT(AY:AY),"-")</f>
        <v>68/197</v>
      </c>
      <c r="BA129" s="26">
        <f>IFERROR(RANK(AY129,AY:AY)/COUNT(AY:AY),"-")</f>
        <v>0.34517766497461927</v>
      </c>
      <c r="BB129" s="34" t="str">
        <f>IF(OR($C129&gt;20190630,$K129&gt;30,AY129="-",$D129="是",$E129="封闭期",$H129&lt;10,$BN129&lt;-6,$BR129&lt;70),"-",COUNTIFS(AY$4:AY$200,"&lt;&gt;-",$D$4:$D$200,"&lt;&gt;是",$E$4:$E$200,"&lt;&gt;封闭期",$H$4:$H$200,"&gt;10",$BN$4:$BN$200,"&gt;-6",$BR$4:$BR$200,"&gt;=70",$K$4:$K$200,"&lt;=30",$C$4:$C$200,"&lt;20190630",AY$4:AY$200,"&gt;="&amp;AY129)&amp;"/"&amp;COUNTIFS(AY$4:AY$200,"&lt;&gt;-",$D$4:$D$200,"&lt;&gt;是",$E$4:$E$200,"&lt;&gt;封闭期",$H$4:$H$200,"&gt;10",$BN$4:$BN$200,"&gt;-6",$BR$4:$BR$200,"&gt;=70",$C$4:$C$200,"&lt;20190630",$K$4:$K$200,"&lt;=30"))</f>
        <v>-</v>
      </c>
      <c r="BC129" s="33" t="str">
        <f>IF(OR($C129&gt;20190630,$K129&gt;30,AY129="-",$D129="是",$E129="封闭期",$H129&lt;10,$BN129&lt;-6,$BR129&lt;70),"-",COUNTIFS(AY$4:AY$200,"&lt;&gt;-",$D$4:$D$200,"&lt;&gt;是",$E$4:$E$200,"&lt;&gt;封闭期",$H$4:$H$200,"&gt;10",$BN$4:$BN$200,"&gt;-6",$BR$4:$BR$200,"&gt;=70",$K$4:$K$200,"&lt;=30",$C$4:$C$200,"&lt;20190630",AY$4:AY$200,"&gt;="&amp;AY129)/COUNTIFS(AY$4:AY$200,"&lt;&gt;-",$D$4:$D$200,"&lt;&gt;是",$E$4:$E$200,"&lt;&gt;封闭期",$H$4:$H$200,"&gt;10",$BN$4:$BN$200,"&gt;-6",$BR$4:$BR$200,"&gt;=70",$C$4:$C$200,"&lt;20190630",$K$4:$K$200,"&lt;=30"))</f>
        <v>-</v>
      </c>
      <c r="BD129" s="20">
        <v>1</v>
      </c>
      <c r="BE129" s="19" t="str">
        <f>IFERROR(RANK(BD129,BD:BD)&amp;"/"&amp;COUNT(BD:BD),"-")</f>
        <v>1/197</v>
      </c>
      <c r="BF129" s="26">
        <f>IFERROR(RANK(BD129,BD:BD)/COUNT(BD:BD),"-")</f>
        <v>5.076142131979695E-3</v>
      </c>
      <c r="BG129" s="34" t="str">
        <f>IF(OR($C129&gt;20190630,$K129&gt;30,BD129="-",$D129="是",$E129="封闭期",$H129&lt;10,$BN129&lt;-6,$BR129&lt;70),"-",COUNTIFS(BD$4:BD$200,"&lt;&gt;-",$D$4:$D$200,"&lt;&gt;是",$E$4:$E$200,"&lt;&gt;封闭期",$H$4:$H$200,"&gt;10",$BN$4:$BN$200,"&gt;-6",$BR$4:$BR$200,"&gt;=70",$K$4:$K$200,"&lt;=30",$C$4:$C$200,"&lt;20190630",BD$4:BD$200,"&gt;="&amp;BD129)&amp;"/"&amp;COUNTIFS(BD$4:BD$200,"&lt;&gt;-",$D$4:$D$200,"&lt;&gt;是",$E$4:$E$200,"&lt;&gt;封闭期",$H$4:$H$200,"&gt;10",$BN$4:$BN$200,"&gt;-6",$BR$4:$BR$200,"&gt;=70",$C$4:$C$200,"&lt;20190630",$K$4:$K$200,"&lt;=30"))</f>
        <v>-</v>
      </c>
      <c r="BH129" s="33" t="str">
        <f>IF(OR($C129&gt;20190630,$K129&gt;30,BD129="-",$D129="是",$E129="封闭期",$H129&lt;10,$BN129&lt;-6,$BR129&lt;70),"-",COUNTIFS(BD$4:BD$200,"&lt;&gt;-",$D$4:$D$200,"&lt;&gt;是",$E$4:$E$200,"&lt;&gt;封闭期",$H$4:$H$200,"&gt;10",$BN$4:$BN$200,"&gt;-6",$BR$4:$BR$200,"&gt;=70",$K$4:$K$200,"&lt;=30",$C$4:$C$200,"&lt;20190630",BD$4:BD$200,"&gt;="&amp;BD129)/COUNTIFS(BD$4:BD$200,"&lt;&gt;-",$D$4:$D$200,"&lt;&gt;是",$E$4:$E$200,"&lt;&gt;封闭期",$H$4:$H$200,"&gt;10",$BN$4:$BN$200,"&gt;-6",$BR$4:$BR$200,"&gt;=70",$C$4:$C$200,"&lt;20190630",$K$4:$K$200,"&lt;=30"))</f>
        <v>-</v>
      </c>
      <c r="BI129" s="21">
        <f>[1]!f_risk_maxdownside(A129,$AM$2,$L$2)</f>
        <v>-2.1218343600273881</v>
      </c>
      <c r="BJ129" s="19" t="str">
        <f>IFERROR(RANK(BI129,BI:BI)&amp;"/"&amp;COUNT(BI:BI),"-")</f>
        <v>40/197</v>
      </c>
      <c r="BK129" s="26">
        <f>IFERROR(RANK(BI129,BI:BI)/COUNT(BI:BI),"-")</f>
        <v>0.20304568527918782</v>
      </c>
      <c r="BL129" s="34" t="str">
        <f>IF(OR($C129&gt;20190630,$K129&gt;30,BI129="-",$D129="是",$E129="封闭期",$H129&lt;10,$BN129&lt;-6,$BR129&lt;70),"-",COUNTIFS(BI$4:BI$200,"&lt;&gt;-",$D$4:$D$200,"&lt;&gt;是",$E$4:$E$200,"&lt;&gt;封闭期",$H$4:$H$200,"&gt;10",$BN$4:$BN$200,"&gt;-6",$BR$4:$BR$200,"&gt;=70",$K$4:$K$200,"&lt;=30",$C$4:$C$200,"&lt;20190630",BI$4:BI$200,"&gt;="&amp;BI129)&amp;"/"&amp;COUNTIFS(BI$4:BI$200,"&lt;&gt;-",$D$4:$D$200,"&lt;&gt;是",$E$4:$E$200,"&lt;&gt;封闭期",$H$4:$H$200,"&gt;10",$BN$4:$BN$200,"&gt;-6",$BR$4:$BR$200,"&gt;=70",$C$4:$C$200,"&lt;20190630",$K$4:$K$200,"&lt;=30"))</f>
        <v>-</v>
      </c>
      <c r="BM129" s="33" t="str">
        <f>IF(OR($C129&gt;20190630,$K129&gt;30,BI129="-",$D129="是",$E129="封闭期",$H129&lt;10,$BN129&lt;-6,$BR129&lt;70),"-",COUNTIFS(BI$4:BI$200,"&lt;&gt;-",$D$4:$D$200,"&lt;&gt;是",$E$4:$E$200,"&lt;&gt;封闭期",$H$4:$H$200,"&gt;10",$BN$4:$BN$200,"&gt;-6",$BR$4:$BR$200,"&gt;=70",$K$4:$K$200,"&lt;=30",$C$4:$C$200,"&lt;20190630",BI$4:BI$200,"&gt;="&amp;BI129)/COUNTIFS(BI$4:BI$200,"&lt;&gt;-",$D$4:$D$200,"&lt;&gt;是",$E$4:$E$200,"&lt;&gt;封闭期",$H$4:$H$200,"&gt;10",$BN$4:$BN$200,"&gt;-6",$BR$4:$BR$200,"&gt;=70",$C$4:$C$200,"&lt;20190630",$K$4:$K$200,"&lt;=30"))</f>
        <v>-</v>
      </c>
      <c r="BN129" s="21">
        <f>[1]!f_risk_maxdownside(A129,$AM$2,$E$1)</f>
        <v>-4.638833664678585</v>
      </c>
      <c r="BO129" s="21">
        <f>IF(C129&lt;20190930,[1]!f_return_2y(A129,"0","20210930"),"-")</f>
        <v>7.4593796159527308</v>
      </c>
      <c r="BP129" s="19" t="str">
        <f>IFERROR(RANK(BO129,BO:BO)&amp;"/"&amp;COUNT(BO:BO),"-")</f>
        <v>167/197</v>
      </c>
      <c r="BQ129" s="25">
        <f>IFERROR(RANK(BO129,BO:BO)/COUNT(BO:BO),"-")</f>
        <v>0.84771573604060912</v>
      </c>
      <c r="BR129" s="19">
        <f>IF(C129&lt;20190930,[1]!f_absolute_profitmonthper(A129,"20190930","20210930"),"-")</f>
        <v>54.166666666666664</v>
      </c>
      <c r="BS129" s="19" t="str">
        <f>IFERROR(RANK(BR129,BR:BR)&amp;"/"&amp;COUNT(BR:BR),"-")</f>
        <v>184/198</v>
      </c>
      <c r="BT129" s="25">
        <f>IFERROR(RANK(BR129,BR:BR)/COUNT(BR:BR),"-")</f>
        <v>0.92929292929292928</v>
      </c>
      <c r="BU129" s="17"/>
      <c r="BV129" s="12">
        <f>X129-3/M129</f>
        <v>-0.29776849335149219</v>
      </c>
      <c r="BW129" s="76">
        <f>IFERROR(RANK(BV129,BV:BV)/COUNT(BV:BV),"-")</f>
        <v>0.90355329949238583</v>
      </c>
      <c r="BX129" s="76">
        <f>IFERROR(RANK(L129,L:L)/COUNT(L:L),"-")</f>
        <v>0.89393939393939392</v>
      </c>
      <c r="BY129" s="12">
        <f>AY129-3/AN129</f>
        <v>1.7674472649509383</v>
      </c>
      <c r="BZ129" s="76">
        <f>IFERROR(RANK(BY129,BY:BY)/COUNT(BY:BY),"-")</f>
        <v>0.43147208121827413</v>
      </c>
      <c r="CA129" s="76">
        <f>IFERROR(RANK(AM129,AM:AM)/COUNT(AM:AM),"-")</f>
        <v>0.64141414141414144</v>
      </c>
      <c r="CC129" s="77">
        <f>AV129+BF129+BZ129+CA129</f>
        <v>1.6058811464902836</v>
      </c>
      <c r="CD129" s="77">
        <f>BW129+BX129+AE129+U129</f>
        <v>3.5741424396246728</v>
      </c>
      <c r="CE129" s="77">
        <f>CC129+CD129</f>
        <v>5.1800235861149559</v>
      </c>
    </row>
    <row r="130" spans="1:83" s="17" customFormat="1" hidden="1" x14ac:dyDescent="0.35">
      <c r="A130" s="15" t="s">
        <v>115</v>
      </c>
      <c r="B130" s="15" t="s">
        <v>116</v>
      </c>
      <c r="C130" s="16">
        <v>20120810</v>
      </c>
      <c r="D130" s="16" t="str">
        <f>[1]!f_info_regulopenfundornot(A130)</f>
        <v>否</v>
      </c>
      <c r="E130" s="16" t="str">
        <f>[1]!f_dq_status(A130,$E$1)</f>
        <v>开放申购|开放赎回</v>
      </c>
      <c r="F130" s="17" t="str">
        <f>[1]!f_info_fundmanager(A130)</f>
        <v>刘洋</v>
      </c>
      <c r="G130" s="16">
        <v>20170713</v>
      </c>
      <c r="H130" s="18">
        <f>[1]!f_netasset_total(A130,$E$1,100000000)</f>
        <v>0.54878157989999998</v>
      </c>
      <c r="I130" s="18">
        <f>[1]!f_prt_convertiblebondtonav(A130,$E$1)</f>
        <v>1.6506804227828979</v>
      </c>
      <c r="J130" s="18">
        <f>[1]!f_prt_stocktonav(A130,$E$1)+0.5*I130</f>
        <v>3.9579610228538513</v>
      </c>
      <c r="K130" s="19">
        <v>0</v>
      </c>
      <c r="L130" s="19">
        <f>[1]!f_return($A130,"1",L$2,$E$1)</f>
        <v>5.564111572229713</v>
      </c>
      <c r="M130" s="19">
        <f>[1]!f_risk_stdevyearly($A130,L$2,$E$1,1,1)</f>
        <v>1.5217004484186099</v>
      </c>
      <c r="N130" s="19">
        <f>IFERROR(L130/M130,"-")</f>
        <v>3.6565091230748341</v>
      </c>
      <c r="O130" s="19" t="str">
        <f>IFERROR(RANK(N130,N:N)&amp;"/"&amp;COUNT(N:N),"-")</f>
        <v>14/197</v>
      </c>
      <c r="P130" s="26">
        <f>IF(O130="-","-",RANK(N130,N:N)/COUNT(N:N))</f>
        <v>7.1065989847715741E-2</v>
      </c>
      <c r="Q130" s="56">
        <v>0.51269035532994922</v>
      </c>
      <c r="R130" s="33" t="str">
        <f>IF(OR($C130&gt;20190630,$K130&gt;30,N130="-",$D130="是",$E130="封闭期",$H130&lt;10,$BN130&lt;-6,$BR130&lt;70),"-",COUNTIFS(N$4:N$200,"&lt;&gt;-",$D$4:$D$200,"&lt;&gt;是",$E$4:$E$200,"&lt;&gt;封闭期",$H$4:$H$200,"&gt;10",$BN$4:$BN$200,"&gt;-6",$BR$4:$BR$200,"&gt;=70",$K$4:$K$200,"&lt;=30",$C$4:$C$200,"&lt;20190630",N$4:N$200,"&gt;="&amp;N130)/COUNTIFS(N$4:N$200,"&lt;&gt;-",$D$4:$D$200,"&lt;&gt;是",$E$4:$E$200,"&lt;&gt;封闭期",$H$4:$H$200,"&gt;10",$BN$4:$BN$200,"&gt;-6",$BR$4:$BR$200,"&gt;=70",$C$4:$C$200,"&lt;20190630",$K$4:$K$200,"&lt;=30"))</f>
        <v>-</v>
      </c>
      <c r="S130" s="19">
        <f>IFERROR((L130-3)/M130,"-")</f>
        <v>1.6850304374257126</v>
      </c>
      <c r="T130" s="19" t="str">
        <f>IFERROR(RANK(S130,S:S)&amp;"/"&amp;COUNT(S:S),"-")</f>
        <v>22/197</v>
      </c>
      <c r="U130" s="26">
        <f>IFERROR(RANK(S130,S:S)/COUNT(S:S),"-")</f>
        <v>0.1116751269035533</v>
      </c>
      <c r="V130" s="34" t="str">
        <f>IF(OR($C130&gt;20190630,$K130&gt;30,S130="-",$D130="是",$E130="封闭期",$H130&lt;10,$BN130&lt;-6,$BR130&lt;70),"-",COUNTIFS(S$4:S$200,"&lt;&gt;-",$D$4:$D$200,"&lt;&gt;是",$E$4:$E$200,"&lt;&gt;封闭期",$H$4:$H$200,"&gt;10",$BN$4:$BN$200,"&gt;-6",$BR$4:$BR$200,"&gt;=70",$K$4:$K$200,"&lt;=30",$C$4:$C$200,"&lt;20190630",S$4:S$200,"&gt;="&amp;S130)&amp;"/"&amp;COUNTIFS(S$4:S$200,"&lt;&gt;-",$D$4:$D$200,"&lt;&gt;是",$E$4:$E$200,"&lt;&gt;封闭期",$H$4:$H$200,"&gt;10",$BN$4:$BN$200,"&gt;-6",$BR$4:$BR$200,"&gt;=70",$C$4:$C$200,"&lt;20190630",$K$4:$K$200,"&lt;=30"))</f>
        <v>-</v>
      </c>
      <c r="W130" s="33" t="str">
        <f>IF(OR($C130&gt;20190630,$K130&gt;30,S130="-",$D130="是",$E130="封闭期",$H130&lt;10,$BN130&lt;-6,$BR130&lt;70),"-",COUNTIFS(S$4:S$200,"&lt;&gt;-",$D$4:$D$200,"&lt;&gt;是",$E$4:$E$200,"&lt;&gt;封闭期",$H$4:$H$200,"&gt;10",$BN$4:$BN$200,"&gt;-6",$BR$4:$BR$200,"&gt;=70",$K$4:$K$200,"&lt;=30",$C$4:$C$200,"&lt;20190630",S$4:S$200,"&gt;="&amp;S130)/COUNTIFS(S$4:S$200,"&lt;&gt;-",$D$4:$D$200,"&lt;&gt;是",$E$4:$E$200,"&lt;&gt;封闭期",$H$4:$H$200,"&gt;10",$BN$4:$BN$200,"&gt;-6",$BR$4:$BR$200,"&gt;=70",$C$4:$C$200,"&lt;20190630",$K$4:$K$200,"&lt;=30"))</f>
        <v>-</v>
      </c>
      <c r="X130" s="19">
        <f>[1]!f_risk_calmar(A130,$L$2,$E$1)</f>
        <v>8.0192758034760772</v>
      </c>
      <c r="Y130" s="19" t="str">
        <f>IFERROR(RANK(X130,X:X)&amp;"/"&amp;COUNT(X:X),"-")</f>
        <v>12/197</v>
      </c>
      <c r="Z130" s="26">
        <f>IFERROR(RANK(X130,X:X)/COUNT(X:X),"-")</f>
        <v>6.0913705583756347E-2</v>
      </c>
      <c r="AA130" s="34" t="str">
        <f>IF(OR($C130&gt;20190630,$K130&gt;30,X130="-",$D130="是",$E130="封闭期",$H130&lt;10,$BN130&lt;-6,$BR130&lt;70),"-",COUNTIFS(X$4:X$200,"&lt;&gt;-",$D$4:$D$200,"&lt;&gt;是",$E$4:$E$200,"&lt;&gt;封闭期",$H$4:$H$200,"&gt;10",$BN$4:$BN$200,"&gt;-6",$BR$4:$BR$200,"&gt;=70",$K$4:$K$200,"&lt;=30",$C$4:$C$200,"&lt;20190630",X$4:X$200,"&gt;="&amp;X130)&amp;"/"&amp;COUNTIFS(X$4:X$200,"&lt;&gt;-",$D$4:$D$200,"&lt;&gt;是",$E$4:$E$200,"&lt;&gt;封闭期",$H$4:$H$200,"&gt;10",$BN$4:$BN$200,"&gt;-6",$BR$4:$BR$200,"&gt;=70",$C$4:$C$200,"&lt;20190630",$K$4:$K$200,"&lt;=30"))</f>
        <v>-</v>
      </c>
      <c r="AB130" s="33" t="str">
        <f>IF(OR($C130&gt;20190630,$K130&gt;30,X130="-",$D130="是",$E130="封闭期",$H130&lt;10,$BN130&lt;-6,$BR130&lt;70),"-",COUNTIFS(X$4:X$200,"&lt;&gt;-",$D$4:$D$200,"&lt;&gt;是",$E$4:$E$200,"&lt;&gt;封闭期",$H$4:$H$200,"&gt;10",$BN$4:$BN$200,"&gt;-6",$BR$4:$BR$200,"&gt;=70",$K$4:$K$200,"&lt;=30",$C$4:$C$200,"&lt;20190630",X$4:X$200,"&gt;="&amp;X130)/COUNTIFS(X$4:X$200,"&lt;&gt;-",$D$4:$D$200,"&lt;&gt;是",$E$4:$E$200,"&lt;&gt;封闭期",$H$4:$H$200,"&gt;10",$BN$4:$BN$200,"&gt;-6",$BR$4:$BR$200,"&gt;=70",$C$4:$C$200,"&lt;20190630",$K$4:$K$200,"&lt;=30"))</f>
        <v>-</v>
      </c>
      <c r="AC130" s="20">
        <v>1</v>
      </c>
      <c r="AD130" s="19" t="str">
        <f>IFERROR(RANK(AC130,AC:AC)&amp;"/"&amp;COUNT(AC:AC),"-")</f>
        <v>1/197</v>
      </c>
      <c r="AE130" s="26">
        <f>IFERROR(RANK(AC130,AC:AC)/COUNT(AC:AC),"-")</f>
        <v>5.076142131979695E-3</v>
      </c>
      <c r="AF130" s="34" t="str">
        <f>IF(OR($C130&gt;20190630,$K130&gt;30,AC130="-",$D130="是",$E130="封闭期",$H130&lt;10,$BN130&lt;-6,$BR130&lt;70),"-",COUNTIFS(AC$4:AC$200,"&lt;&gt;-",$D$4:$D$200,"&lt;&gt;是",$E$4:$E$200,"&lt;&gt;封闭期",$H$4:$H$200,"&gt;10",$BN$4:$BN$200,"&gt;-6",$BR$4:$BR$200,"&gt;=70",$K$4:$K$200,"&lt;=30",$C$4:$C$200,"&lt;20190630",AC$4:AC$200,"&gt;="&amp;AC130)&amp;"/"&amp;COUNTIFS(AC$4:AC$200,"&lt;&gt;-",$D$4:$D$200,"&lt;&gt;是",$E$4:$E$200,"&lt;&gt;封闭期",$H$4:$H$200,"&gt;10",$BN$4:$BN$200,"&gt;-6",$BR$4:$BR$200,"&gt;=70",$C$4:$C$200,"&lt;20190630",$K$4:$K$200,"&lt;=30"))</f>
        <v>-</v>
      </c>
      <c r="AG130" s="33" t="str">
        <f>IF(OR($C130&gt;20190630,$K130&gt;30,AC130="-",$D130="是",$E130="封闭期",$H130&lt;10,$BN130&lt;-6,$BR130&lt;70),"-",COUNTIFS(AC$4:AC$200,"&lt;&gt;-",$D$4:$D$200,"&lt;&gt;是",$E$4:$E$200,"&lt;&gt;封闭期",$H$4:$H$200,"&gt;10",$BN$4:$BN$200,"&gt;-6",$BR$4:$BR$200,"&gt;=70",$K$4:$K$200,"&lt;=30",$C$4:$C$200,"&lt;20190630",AC$4:AC$200,"&gt;="&amp;AC130)/COUNTIFS(AC$4:AC$200,"&lt;&gt;-",$D$4:$D$200,"&lt;&gt;是",$E$4:$E$200,"&lt;&gt;封闭期",$H$4:$H$200,"&gt;10",$BN$4:$BN$200,"&gt;-6",$BR$4:$BR$200,"&gt;=70",$C$4:$C$200,"&lt;20190630",$K$4:$K$200,"&lt;=30"))</f>
        <v>-</v>
      </c>
      <c r="AH130" s="21">
        <f>[1]!f_risk_maxdownside(A130,$L$2,$E$1)</f>
        <v>-0.69384215091066748</v>
      </c>
      <c r="AI130" s="19" t="str">
        <f>IFERROR(RANK(AH130,AH:AH)&amp;"/"&amp;COUNT(AH:AH),"-")</f>
        <v>12/197</v>
      </c>
      <c r="AJ130" s="26">
        <f>IFERROR(RANK(AH130,AH:AH)/COUNT(AH:AH),"-")</f>
        <v>6.0913705583756347E-2</v>
      </c>
      <c r="AK130" s="34" t="str">
        <f>IF(OR($C130&gt;20190630,$K130&gt;30,AH130="-",$D130="是",$E130="封闭期",$H130&lt;10,$BN130&lt;-6,$BR130&lt;70),"-",COUNTIFS(AH$4:AH$200,"&lt;&gt;-",$D$4:$D$200,"&lt;&gt;是",$E$4:$E$200,"&lt;&gt;封闭期",$H$4:$H$200,"&gt;10",$BN$4:$BN$200,"&gt;-6",$BR$4:$BR$200,"&gt;=70",$K$4:$K$200,"&lt;=30",$C$4:$C$200,"&lt;20190630",AH$4:AH$200,"&gt;="&amp;AH130)&amp;"/"&amp;COUNTIFS(AH$4:AH$200,"&lt;&gt;-",$D$4:$D$200,"&lt;&gt;是",$E$4:$E$200,"&lt;&gt;封闭期",$H$4:$H$200,"&gt;10",$BN$4:$BN$200,"&gt;-6",$BR$4:$BR$200,"&gt;=70",$C$4:$C$200,"&lt;20190630",$K$4:$K$200,"&lt;=30"))</f>
        <v>-</v>
      </c>
      <c r="AL130" s="33" t="str">
        <f>IF(OR($C130&gt;20190630,$K130&gt;30,AH130="-",$D130="是",$E130="封闭期",$H130&lt;10,$BN130&lt;-6,$BR130&lt;70),"-",COUNTIFS(AH$4:AH$200,"&lt;&gt;-",$D$4:$D$200,"&lt;&gt;是",$E$4:$E$200,"&lt;&gt;封闭期",$H$4:$H$200,"&gt;10",$BN$4:$BN$200,"&gt;-6",$BR$4:$BR$200,"&gt;=70",$K$4:$K$200,"&lt;=30",$C$4:$C$200,"&lt;20190630",AH$4:AH$200,"&gt;="&amp;AH130)/COUNTIFS(AH$4:AH$200,"&lt;&gt;-",$D$4:$D$200,"&lt;&gt;是",$E$4:$E$200,"&lt;&gt;封闭期",$H$4:$H$200,"&gt;10",$BN$4:$BN$200,"&gt;-6",$BR$4:$BR$200,"&gt;=70",$C$4:$C$200,"&lt;20190630",$K$4:$K$200,"&lt;=30"))</f>
        <v>-</v>
      </c>
      <c r="AM130" s="19">
        <f>[1]!f_return($A130,"1",AM$2,$L$2)</f>
        <v>5.4888878679122399</v>
      </c>
      <c r="AN130" s="19">
        <f>[1]!f_risk_stdevyearly($A130,AM$2,$L$2,1,1)</f>
        <v>1.9381699023531811</v>
      </c>
      <c r="AO130" s="19">
        <f>IFERROR(AM130/AN130,"-")</f>
        <v>2.8319952039540199</v>
      </c>
      <c r="AP130" s="19" t="str">
        <f>IFERROR(RANK(AO130,AO:AO)&amp;"/"&amp;COUNT(AO:AO),"-")</f>
        <v>15/197</v>
      </c>
      <c r="AQ130" s="26">
        <f>IF(AP130="-","-",RANK(AO130,AO:AO)/COUNT(AO:AO))</f>
        <v>7.6142131979695438E-2</v>
      </c>
      <c r="AR130" s="57">
        <v>0.64467005076142136</v>
      </c>
      <c r="AS130" s="33" t="str">
        <f>IF(OR($C130&gt;20190630,$K130&gt;30,AO130="-",$D130="是",$E130="封闭期",$H130&lt;10,$BN130&lt;-6,$BR130&lt;70),"-",COUNTIFS(AO$4:AO$200,"&lt;&gt;-",$D$4:$D$200,"&lt;&gt;是",$E$4:$E$200,"&lt;&gt;封闭期",$H$4:$H$200,"&gt;10",$BN$4:$BN$200,"&gt;-6",$BR$4:$BR$200,"&gt;=70",$K$4:$K$200,"&lt;=30",$C$4:$C$200,"&lt;20190630",AO$4:AO$200,"&gt;="&amp;AO130)/COUNTIFS(AO$4:AO$200,"&lt;&gt;-",$D$4:$D$200,"&lt;&gt;是",$E$4:$E$200,"&lt;&gt;封闭期",$H$4:$H$200,"&gt;10",$BN$4:$BN$200,"&gt;-6",$BR$4:$BR$200,"&gt;=70",$C$4:$C$200,"&lt;20190630",$K$4:$K$200,"&lt;=30"))</f>
        <v>-</v>
      </c>
      <c r="AT130" s="19">
        <f>IFERROR((AM130-3)/AN130,"-")</f>
        <v>1.2841432863498801</v>
      </c>
      <c r="AU130" s="19" t="str">
        <f>IFERROR(RANK(AT130,AT:AT)&amp;"/"&amp;COUNT(AT:AT),"-")</f>
        <v>45/197</v>
      </c>
      <c r="AV130" s="26">
        <f>IFERROR(RANK(AT130,AT:AT)/COUNT(AT:AT),"-")</f>
        <v>0.22842639593908629</v>
      </c>
      <c r="AW130" s="34" t="str">
        <f>IF(OR($C130&gt;20190630,$K130&gt;30,AT130="-",$D130="是",$E130="封闭期",$H130&lt;10,$BN130&lt;-6,$BR130&lt;70),"-",COUNTIFS(AT$4:AT$200,"&lt;&gt;-",$D$4:$D$200,"&lt;&gt;是",$E$4:$E$200,"&lt;&gt;封闭期",$H$4:$H$200,"&gt;10",$BN$4:$BN$200,"&gt;-6",$BR$4:$BR$200,"&gt;=70",$K$4:$K$200,"&lt;=30",$C$4:$C$200,"&lt;20190630",AT$4:AT$200,"&gt;="&amp;AT130)&amp;"/"&amp;COUNTIFS(AT$4:AT$200,"&lt;&gt;-",$D$4:$D$200,"&lt;&gt;是",$E$4:$E$200,"&lt;&gt;封闭期",$H$4:$H$200,"&gt;10",$BN$4:$BN$200,"&gt;-6",$BR$4:$BR$200,"&gt;=70",$C$4:$C$200,"&lt;20190630",$K$4:$K$200,"&lt;=30"))</f>
        <v>-</v>
      </c>
      <c r="AX130" s="33" t="str">
        <f>IF(OR($C130&gt;20190630,$K130&gt;30,AT130="-",$D130="是",$E130="封闭期",$H130&lt;10,$BN130&lt;-6,$BR130&lt;70),"-",COUNTIFS(AT$4:AT$200,"&lt;&gt;-",$D$4:$D$200,"&lt;&gt;是",$E$4:$E$200,"&lt;&gt;封闭期",$H$4:$H$200,"&gt;10",$BN$4:$BN$200,"&gt;-6",$BR$4:$BR$200,"&gt;=70",$K$4:$K$200,"&lt;=30",$C$4:$C$200,"&lt;20190630",AT$4:AT$200,"&gt;="&amp;AT130)/COUNTIFS(AT$4:AT$200,"&lt;&gt;-",$D$4:$D$200,"&lt;&gt;是",$E$4:$E$200,"&lt;&gt;封闭期",$H$4:$H$200,"&gt;10",$BN$4:$BN$200,"&gt;-6",$BR$4:$BR$200,"&gt;=70",$C$4:$C$200,"&lt;20190630",$K$4:$K$200,"&lt;=30"))</f>
        <v>-</v>
      </c>
      <c r="AY130" s="19">
        <f>[1]!f_risk_calmar(A130,$AM$2,$L$2)</f>
        <v>3.1862994073230566</v>
      </c>
      <c r="AZ130" s="19" t="str">
        <f>IFERROR(RANK(AY130,AY:AY)&amp;"/"&amp;COUNT(AY:AY),"-")</f>
        <v>40/197</v>
      </c>
      <c r="BA130" s="26">
        <f>IFERROR(RANK(AY130,AY:AY)/COUNT(AY:AY),"-")</f>
        <v>0.20304568527918782</v>
      </c>
      <c r="BB130" s="34" t="str">
        <f>IF(OR($C130&gt;20190630,$K130&gt;30,AY130="-",$D130="是",$E130="封闭期",$H130&lt;10,$BN130&lt;-6,$BR130&lt;70),"-",COUNTIFS(AY$4:AY$200,"&lt;&gt;-",$D$4:$D$200,"&lt;&gt;是",$E$4:$E$200,"&lt;&gt;封闭期",$H$4:$H$200,"&gt;10",$BN$4:$BN$200,"&gt;-6",$BR$4:$BR$200,"&gt;=70",$K$4:$K$200,"&lt;=30",$C$4:$C$200,"&lt;20190630",AY$4:AY$200,"&gt;="&amp;AY130)&amp;"/"&amp;COUNTIFS(AY$4:AY$200,"&lt;&gt;-",$D$4:$D$200,"&lt;&gt;是",$E$4:$E$200,"&lt;&gt;封闭期",$H$4:$H$200,"&gt;10",$BN$4:$BN$200,"&gt;-6",$BR$4:$BR$200,"&gt;=70",$C$4:$C$200,"&lt;20190630",$K$4:$K$200,"&lt;=30"))</f>
        <v>-</v>
      </c>
      <c r="BC130" s="33" t="str">
        <f>IF(OR($C130&gt;20190630,$K130&gt;30,AY130="-",$D130="是",$E130="封闭期",$H130&lt;10,$BN130&lt;-6,$BR130&lt;70),"-",COUNTIFS(AY$4:AY$200,"&lt;&gt;-",$D$4:$D$200,"&lt;&gt;是",$E$4:$E$200,"&lt;&gt;封闭期",$H$4:$H$200,"&gt;10",$BN$4:$BN$200,"&gt;-6",$BR$4:$BR$200,"&gt;=70",$K$4:$K$200,"&lt;=30",$C$4:$C$200,"&lt;20190630",AY$4:AY$200,"&gt;="&amp;AY130)/COUNTIFS(AY$4:AY$200,"&lt;&gt;-",$D$4:$D$200,"&lt;&gt;是",$E$4:$E$200,"&lt;&gt;封闭期",$H$4:$H$200,"&gt;10",$BN$4:$BN$200,"&gt;-6",$BR$4:$BR$200,"&gt;=70",$C$4:$C$200,"&lt;20190630",$K$4:$K$200,"&lt;=30"))</f>
        <v>-</v>
      </c>
      <c r="BD130" s="20">
        <v>1</v>
      </c>
      <c r="BE130" s="19" t="str">
        <f>IFERROR(RANK(BD130,BD:BD)&amp;"/"&amp;COUNT(BD:BD),"-")</f>
        <v>1/197</v>
      </c>
      <c r="BF130" s="26">
        <f>IFERROR(RANK(BD130,BD:BD)/COUNT(BD:BD),"-")</f>
        <v>5.076142131979695E-3</v>
      </c>
      <c r="BG130" s="34" t="str">
        <f>IF(OR($C130&gt;20190630,$K130&gt;30,BD130="-",$D130="是",$E130="封闭期",$H130&lt;10,$BN130&lt;-6,$BR130&lt;70),"-",COUNTIFS(BD$4:BD$200,"&lt;&gt;-",$D$4:$D$200,"&lt;&gt;是",$E$4:$E$200,"&lt;&gt;封闭期",$H$4:$H$200,"&gt;10",$BN$4:$BN$200,"&gt;-6",$BR$4:$BR$200,"&gt;=70",$K$4:$K$200,"&lt;=30",$C$4:$C$200,"&lt;20190630",BD$4:BD$200,"&gt;="&amp;BD130)&amp;"/"&amp;COUNTIFS(BD$4:BD$200,"&lt;&gt;-",$D$4:$D$200,"&lt;&gt;是",$E$4:$E$200,"&lt;&gt;封闭期",$H$4:$H$200,"&gt;10",$BN$4:$BN$200,"&gt;-6",$BR$4:$BR$200,"&gt;=70",$C$4:$C$200,"&lt;20190630",$K$4:$K$200,"&lt;=30"))</f>
        <v>-</v>
      </c>
      <c r="BH130" s="33" t="str">
        <f>IF(OR($C130&gt;20190630,$K130&gt;30,BD130="-",$D130="是",$E130="封闭期",$H130&lt;10,$BN130&lt;-6,$BR130&lt;70),"-",COUNTIFS(BD$4:BD$200,"&lt;&gt;-",$D$4:$D$200,"&lt;&gt;是",$E$4:$E$200,"&lt;&gt;封闭期",$H$4:$H$200,"&gt;10",$BN$4:$BN$200,"&gt;-6",$BR$4:$BR$200,"&gt;=70",$K$4:$K$200,"&lt;=30",$C$4:$C$200,"&lt;20190630",BD$4:BD$200,"&gt;="&amp;BD130)/COUNTIFS(BD$4:BD$200,"&lt;&gt;-",$D$4:$D$200,"&lt;&gt;是",$E$4:$E$200,"&lt;&gt;封闭期",$H$4:$H$200,"&gt;10",$BN$4:$BN$200,"&gt;-6",$BR$4:$BR$200,"&gt;=70",$C$4:$C$200,"&lt;20190630",$K$4:$K$200,"&lt;=30"))</f>
        <v>-</v>
      </c>
      <c r="BI130" s="21">
        <f>[1]!f_risk_maxdownside(A130,$AM$2,$L$2)</f>
        <v>-1.7226528854435823</v>
      </c>
      <c r="BJ130" s="19" t="str">
        <f>IFERROR(RANK(BI130,BI:BI)&amp;"/"&amp;COUNT(BI:BI),"-")</f>
        <v>26/197</v>
      </c>
      <c r="BK130" s="26">
        <f>IFERROR(RANK(BI130,BI:BI)/COUNT(BI:BI),"-")</f>
        <v>0.13197969543147209</v>
      </c>
      <c r="BL130" s="34" t="str">
        <f>IF(OR($C130&gt;20190630,$K130&gt;30,BI130="-",$D130="是",$E130="封闭期",$H130&lt;10,$BN130&lt;-6,$BR130&lt;70),"-",COUNTIFS(BI$4:BI$200,"&lt;&gt;-",$D$4:$D$200,"&lt;&gt;是",$E$4:$E$200,"&lt;&gt;封闭期",$H$4:$H$200,"&gt;10",$BN$4:$BN$200,"&gt;-6",$BR$4:$BR$200,"&gt;=70",$K$4:$K$200,"&lt;=30",$C$4:$C$200,"&lt;20190630",BI$4:BI$200,"&gt;="&amp;BI130)&amp;"/"&amp;COUNTIFS(BI$4:BI$200,"&lt;&gt;-",$D$4:$D$200,"&lt;&gt;是",$E$4:$E$200,"&lt;&gt;封闭期",$H$4:$H$200,"&gt;10",$BN$4:$BN$200,"&gt;-6",$BR$4:$BR$200,"&gt;=70",$C$4:$C$200,"&lt;20190630",$K$4:$K$200,"&lt;=30"))</f>
        <v>-</v>
      </c>
      <c r="BM130" s="33" t="str">
        <f>IF(OR($C130&gt;20190630,$K130&gt;30,BI130="-",$D130="是",$E130="封闭期",$H130&lt;10,$BN130&lt;-6,$BR130&lt;70),"-",COUNTIFS(BI$4:BI$200,"&lt;&gt;-",$D$4:$D$200,"&lt;&gt;是",$E$4:$E$200,"&lt;&gt;封闭期",$H$4:$H$200,"&gt;10",$BN$4:$BN$200,"&gt;-6",$BR$4:$BR$200,"&gt;=70",$K$4:$K$200,"&lt;=30",$C$4:$C$200,"&lt;20190630",BI$4:BI$200,"&gt;="&amp;BI130)/COUNTIFS(BI$4:BI$200,"&lt;&gt;-",$D$4:$D$200,"&lt;&gt;是",$E$4:$E$200,"&lt;&gt;封闭期",$H$4:$H$200,"&gt;10",$BN$4:$BN$200,"&gt;-6",$BR$4:$BR$200,"&gt;=70",$C$4:$C$200,"&lt;20190630",$K$4:$K$200,"&lt;=30"))</f>
        <v>-</v>
      </c>
      <c r="BN130" s="21">
        <f>[1]!f_risk_maxdownside(A130,$AM$2,$E$1)</f>
        <v>-1.7226528854435823</v>
      </c>
      <c r="BO130" s="21">
        <f>IF(C130&lt;20190930,[1]!f_return_2y(A130,"0","20210930"),"-")</f>
        <v>11.407543698252081</v>
      </c>
      <c r="BP130" s="19" t="str">
        <f>IFERROR(RANK(BO130,BO:BO)&amp;"/"&amp;COUNT(BO:BO),"-")</f>
        <v>123/197</v>
      </c>
      <c r="BQ130" s="25">
        <f>IFERROR(RANK(BO130,BO:BO)/COUNT(BO:BO),"-")</f>
        <v>0.62436548223350252</v>
      </c>
      <c r="BR130" s="19">
        <f>IF(C130&lt;20190930,[1]!f_absolute_profitmonthper(A130,"20190930","20210930"),"-")</f>
        <v>70.833333333333343</v>
      </c>
      <c r="BS130" s="19" t="str">
        <f>IFERROR(RANK(BR130,BR:BR)&amp;"/"&amp;COUNT(BR:BR),"-")</f>
        <v>55/198</v>
      </c>
      <c r="BT130" s="25">
        <f>IFERROR(RANK(BR130,BR:BR)/COUNT(BR:BR),"-")</f>
        <v>0.27777777777777779</v>
      </c>
      <c r="BV130" s="12">
        <f>X130-3/M130</f>
        <v>6.0477971178269554</v>
      </c>
      <c r="BW130" s="76">
        <f>IFERROR(RANK(BV130,BV:BV)/COUNT(BV:BV),"-")</f>
        <v>5.5837563451776651E-2</v>
      </c>
      <c r="BX130" s="76">
        <f>IFERROR(RANK(L130,L:L)/COUNT(L:L),"-")</f>
        <v>0.51515151515151514</v>
      </c>
      <c r="BY130" s="12">
        <f>AY130-3/AN130</f>
        <v>1.6384474897189167</v>
      </c>
      <c r="BZ130" s="76">
        <f>IFERROR(RANK(BY130,BY:BY)/COUNT(BY:BY),"-")</f>
        <v>0.48223350253807107</v>
      </c>
      <c r="CA130" s="76">
        <f>IFERROR(RANK(AM130,AM:AM)/COUNT(AM:AM),"-")</f>
        <v>0.64646464646464652</v>
      </c>
      <c r="CB130" s="2"/>
      <c r="CC130" s="77">
        <f>AV130+BF130+BZ130+CA130</f>
        <v>1.3622006870737837</v>
      </c>
      <c r="CD130" s="77">
        <f>BW130+BX130+AE130+U130</f>
        <v>0.68774034763882486</v>
      </c>
      <c r="CE130" s="77">
        <f>CC130+CD130</f>
        <v>2.0499410347126084</v>
      </c>
    </row>
    <row r="131" spans="1:83" s="17" customFormat="1" x14ac:dyDescent="0.35">
      <c r="A131" s="3" t="s">
        <v>35</v>
      </c>
      <c r="B131" s="3" t="s">
        <v>36</v>
      </c>
      <c r="C131" s="4">
        <v>20131113</v>
      </c>
      <c r="D131" s="4" t="str">
        <f>[1]!f_info_regulopenfundornot(A131)</f>
        <v>否</v>
      </c>
      <c r="E131" s="4" t="str">
        <f>[1]!f_dq_status(A131,$E$1)</f>
        <v>开放申购|开放赎回</v>
      </c>
      <c r="F131" s="17" t="str">
        <f>[1]!f_info_fundmanager(A131)</f>
        <v>董晗,李怡文</v>
      </c>
      <c r="G131" s="4">
        <v>20201030</v>
      </c>
      <c r="H131" s="11">
        <f>[1]!f_netasset_total(A131,$E$1,100000000)</f>
        <v>206.29594375419998</v>
      </c>
      <c r="I131" s="11">
        <f>[1]!f_prt_convertiblebondtonav(A131,$E$1)</f>
        <v>8.5740022659301758</v>
      </c>
      <c r="J131" s="11">
        <f>[1]!f_prt_stocktonav(A131,$E$1)+0.5*I131</f>
        <v>17.89761209487915</v>
      </c>
      <c r="K131" s="12">
        <v>6.7706081592385337</v>
      </c>
      <c r="L131" s="19">
        <f>[1]!f_return($A131,"1",L$2,$E$1)</f>
        <v>12.04785078111259</v>
      </c>
      <c r="M131" s="19">
        <f>[1]!f_risk_stdevyearly($A131,L$2,$E$1,1,1)</f>
        <v>3.5546745848289047</v>
      </c>
      <c r="N131" s="12">
        <f>IFERROR(L131/M131,"-")</f>
        <v>3.3892978087310581</v>
      </c>
      <c r="O131" s="12" t="str">
        <f>IFERROR(RANK(N131,N:N)&amp;"/"&amp;COUNT(N:N),"-")</f>
        <v>16/197</v>
      </c>
      <c r="P131" s="26">
        <f>IF(O131="-","-",RANK(N131,N:N)/COUNT(N:N))</f>
        <v>8.1218274111675121E-2</v>
      </c>
      <c r="Q131" s="58">
        <v>9.1370558375634514E-2</v>
      </c>
      <c r="R131" s="33">
        <f>IF(OR($C131&gt;20190630,$K131&gt;30,N131="-",$D131="是",$E131="封闭期",$H131&lt;10,$BN131&lt;-6,$BR131&lt;70),"-",COUNTIFS(N$4:N$200,"&lt;&gt;-",$D$4:$D$200,"&lt;&gt;是",$E$4:$E$200,"&lt;&gt;封闭期",$H$4:$H$200,"&gt;10",$BN$4:$BN$200,"&gt;-6",$BR$4:$BR$200,"&gt;=70",$K$4:$K$200,"&lt;=30",$C$4:$C$200,"&lt;20190630",N$4:N$200,"&gt;="&amp;N131)/COUNTIFS(N$4:N$200,"&lt;&gt;-",$D$4:$D$200,"&lt;&gt;是",$E$4:$E$200,"&lt;&gt;封闭期",$H$4:$H$200,"&gt;10",$BN$4:$BN$200,"&gt;-6",$BR$4:$BR$200,"&gt;=70",$C$4:$C$200,"&lt;20190630",$K$4:$K$200,"&lt;=30"))</f>
        <v>0.12820512820512819</v>
      </c>
      <c r="S131" s="12">
        <f>IFERROR((L131-3)/M131,"-")</f>
        <v>2.545338698436185</v>
      </c>
      <c r="T131" s="12" t="str">
        <f>IFERROR(RANK(S131,S:S)&amp;"/"&amp;COUNT(S:S),"-")</f>
        <v>4/197</v>
      </c>
      <c r="U131" s="26">
        <f>IFERROR(RANK(S131,S:S)/COUNT(S:S),"-")</f>
        <v>2.030456852791878E-2</v>
      </c>
      <c r="V131" s="13" t="str">
        <f>IF(OR($C131&gt;20190630,$K131&gt;30,S131="-",$D131="是",$E131="封闭期",$H131&lt;10,$BN131&lt;-6,$BR131&lt;70),"-",COUNTIFS(S$4:S$200,"&lt;&gt;-",$D$4:$D$200,"&lt;&gt;是",$E$4:$E$200,"&lt;&gt;封闭期",$H$4:$H$200,"&gt;10",$BN$4:$BN$200,"&gt;-6",$BR$4:$BR$200,"&gt;=70",$K$4:$K$200,"&lt;=30",$C$4:$C$200,"&lt;20190630",S$4:S$200,"&gt;="&amp;S131)&amp;"/"&amp;COUNTIFS(S$4:S$200,"&lt;&gt;-",$D$4:$D$200,"&lt;&gt;是",$E$4:$E$200,"&lt;&gt;封闭期",$H$4:$H$200,"&gt;10",$BN$4:$BN$200,"&gt;-6",$BR$4:$BR$200,"&gt;=70",$C$4:$C$200,"&lt;20190630",$K$4:$K$200,"&lt;=30"))</f>
        <v>2/39</v>
      </c>
      <c r="W131" s="33">
        <f>IF(OR($C131&gt;20190630,$K131&gt;30,S131="-",$D131="是",$E131="封闭期",$H131&lt;10,$BN131&lt;-6,$BR131&lt;70),"-",COUNTIFS(S$4:S$200,"&lt;&gt;-",$D$4:$D$200,"&lt;&gt;是",$E$4:$E$200,"&lt;&gt;封闭期",$H$4:$H$200,"&gt;10",$BN$4:$BN$200,"&gt;-6",$BR$4:$BR$200,"&gt;=70",$K$4:$K$200,"&lt;=30",$C$4:$C$200,"&lt;20190630",S$4:S$200,"&gt;="&amp;S131)/COUNTIFS(S$4:S$200,"&lt;&gt;-",$D$4:$D$200,"&lt;&gt;是",$E$4:$E$200,"&lt;&gt;封闭期",$H$4:$H$200,"&gt;10",$BN$4:$BN$200,"&gt;-6",$BR$4:$BR$200,"&gt;=70",$C$4:$C$200,"&lt;20190630",$K$4:$K$200,"&lt;=30"))</f>
        <v>5.128205128205128E-2</v>
      </c>
      <c r="X131" s="19">
        <f>[1]!f_risk_calmar(A131,$L$2,$E$1)</f>
        <v>5.2098814188594682</v>
      </c>
      <c r="Y131" s="12" t="str">
        <f>IFERROR(RANK(X131,X:X)&amp;"/"&amp;COUNT(X:X),"-")</f>
        <v>31/197</v>
      </c>
      <c r="Z131" s="26">
        <f>IFERROR(RANK(X131,X:X)/COUNT(X:X),"-")</f>
        <v>0.15736040609137056</v>
      </c>
      <c r="AA131" s="13" t="str">
        <f>IF(OR($C131&gt;20190630,$K131&gt;30,X131="-",$D131="是",$E131="封闭期",$H131&lt;10,$BN131&lt;-6,$BR131&lt;70),"-",COUNTIFS(X$4:X$200,"&lt;&gt;-",$D$4:$D$200,"&lt;&gt;是",$E$4:$E$200,"&lt;&gt;封闭期",$H$4:$H$200,"&gt;10",$BN$4:$BN$200,"&gt;-6",$BR$4:$BR$200,"&gt;=70",$K$4:$K$200,"&lt;=30",$C$4:$C$200,"&lt;20190630",X$4:X$200,"&gt;="&amp;X131)&amp;"/"&amp;COUNTIFS(X$4:X$200,"&lt;&gt;-",$D$4:$D$200,"&lt;&gt;是",$E$4:$E$200,"&lt;&gt;封闭期",$H$4:$H$200,"&gt;10",$BN$4:$BN$200,"&gt;-6",$BR$4:$BR$200,"&gt;=70",$C$4:$C$200,"&lt;20190630",$K$4:$K$200,"&lt;=30"))</f>
        <v>9/39</v>
      </c>
      <c r="AB131" s="33">
        <f>IF(OR($C131&gt;20190630,$K131&gt;30,X131="-",$D131="是",$E131="封闭期",$H131&lt;10,$BN131&lt;-6,$BR131&lt;70),"-",COUNTIFS(X$4:X$200,"&lt;&gt;-",$D$4:$D$200,"&lt;&gt;是",$E$4:$E$200,"&lt;&gt;封闭期",$H$4:$H$200,"&gt;10",$BN$4:$BN$200,"&gt;-6",$BR$4:$BR$200,"&gt;=70",$K$4:$K$200,"&lt;=30",$C$4:$C$200,"&lt;20190630",X$4:X$200,"&gt;="&amp;X131)/COUNTIFS(X$4:X$200,"&lt;&gt;-",$D$4:$D$200,"&lt;&gt;是",$E$4:$E$200,"&lt;&gt;封闭期",$H$4:$H$200,"&gt;10",$BN$4:$BN$200,"&gt;-6",$BR$4:$BR$200,"&gt;=70",$C$4:$C$200,"&lt;20190630",$K$4:$K$200,"&lt;=30"))</f>
        <v>0.23076923076923078</v>
      </c>
      <c r="AC131" s="20">
        <v>1</v>
      </c>
      <c r="AD131" s="12" t="str">
        <f>IFERROR(RANK(AC131,AC:AC)&amp;"/"&amp;COUNT(AC:AC),"-")</f>
        <v>1/197</v>
      </c>
      <c r="AE131" s="26">
        <f>IFERROR(RANK(AC131,AC:AC)/COUNT(AC:AC),"-")</f>
        <v>5.076142131979695E-3</v>
      </c>
      <c r="AF131" s="13" t="str">
        <f>IF(OR($C131&gt;20190630,$K131&gt;30,AC131="-",$D131="是",$E131="封闭期",$H131&lt;10,$BN131&lt;-6,$BR131&lt;70),"-",COUNTIFS(AC$4:AC$200,"&lt;&gt;-",$D$4:$D$200,"&lt;&gt;是",$E$4:$E$200,"&lt;&gt;封闭期",$H$4:$H$200,"&gt;10",$BN$4:$BN$200,"&gt;-6",$BR$4:$BR$200,"&gt;=70",$K$4:$K$200,"&lt;=30",$C$4:$C$200,"&lt;20190630",AC$4:AC$200,"&gt;="&amp;AC131)&amp;"/"&amp;COUNTIFS(AC$4:AC$200,"&lt;&gt;-",$D$4:$D$200,"&lt;&gt;是",$E$4:$E$200,"&lt;&gt;封闭期",$H$4:$H$200,"&gt;10",$BN$4:$BN$200,"&gt;-6",$BR$4:$BR$200,"&gt;=70",$C$4:$C$200,"&lt;20190630",$K$4:$K$200,"&lt;=30"))</f>
        <v>28/39</v>
      </c>
      <c r="AG131" s="33">
        <f>IF(OR($C131&gt;20190630,$K131&gt;30,AC131="-",$D131="是",$E131="封闭期",$H131&lt;10,$BN131&lt;-6,$BR131&lt;70),"-",COUNTIFS(AC$4:AC$200,"&lt;&gt;-",$D$4:$D$200,"&lt;&gt;是",$E$4:$E$200,"&lt;&gt;封闭期",$H$4:$H$200,"&gt;10",$BN$4:$BN$200,"&gt;-6",$BR$4:$BR$200,"&gt;=70",$K$4:$K$200,"&lt;=30",$C$4:$C$200,"&lt;20190630",AC$4:AC$200,"&gt;="&amp;AC131)/COUNTIFS(AC$4:AC$200,"&lt;&gt;-",$D$4:$D$200,"&lt;&gt;是",$E$4:$E$200,"&lt;&gt;封闭期",$H$4:$H$200,"&gt;10",$BN$4:$BN$200,"&gt;-6",$BR$4:$BR$200,"&gt;=70",$C$4:$C$200,"&lt;20190630",$K$4:$K$200,"&lt;=30"))</f>
        <v>0.71794871794871795</v>
      </c>
      <c r="AH131" s="21">
        <f>[1]!f_risk_maxdownside(A131,$L$2,$E$1)</f>
        <v>-2.3125000000000133</v>
      </c>
      <c r="AI131" s="19" t="str">
        <f>IFERROR(RANK(AH131,AH:AH)&amp;"/"&amp;COUNT(AH:AH),"-")</f>
        <v>68/197</v>
      </c>
      <c r="AJ131" s="26">
        <f>IFERROR(RANK(AH131,AH:AH)/COUNT(AH:AH),"-")</f>
        <v>0.34517766497461927</v>
      </c>
      <c r="AK131" s="34" t="str">
        <f>IF(OR($C131&gt;20190630,$K131&gt;30,AH131="-",$D131="是",$E131="封闭期",$H131&lt;10,$BN131&lt;-6,$BR131&lt;70),"-",COUNTIFS(AH$4:AH$200,"&lt;&gt;-",$D$4:$D$200,"&lt;&gt;是",$E$4:$E$200,"&lt;&gt;封闭期",$H$4:$H$200,"&gt;10",$BN$4:$BN$200,"&gt;-6",$BR$4:$BR$200,"&gt;=70",$K$4:$K$200,"&lt;=30",$C$4:$C$200,"&lt;20190630",AH$4:AH$200,"&gt;="&amp;AH131)&amp;"/"&amp;COUNTIFS(AH$4:AH$200,"&lt;&gt;-",$D$4:$D$200,"&lt;&gt;是",$E$4:$E$200,"&lt;&gt;封闭期",$H$4:$H$200,"&gt;10",$BN$4:$BN$200,"&gt;-6",$BR$4:$BR$200,"&gt;=70",$C$4:$C$200,"&lt;20190630",$K$4:$K$200,"&lt;=30"))</f>
        <v>17/39</v>
      </c>
      <c r="AL131" s="33">
        <f>IF(OR($C131&gt;20190630,$K131&gt;30,AH131="-",$D131="是",$E131="封闭期",$H131&lt;10,$BN131&lt;-6,$BR131&lt;70),"-",COUNTIFS(AH$4:AH$200,"&lt;&gt;-",$D$4:$D$200,"&lt;&gt;是",$E$4:$E$200,"&lt;&gt;封闭期",$H$4:$H$200,"&gt;10",$BN$4:$BN$200,"&gt;-6",$BR$4:$BR$200,"&gt;=70",$K$4:$K$200,"&lt;=30",$C$4:$C$200,"&lt;20190630",AH$4:AH$200,"&gt;="&amp;AH131)/COUNTIFS(AH$4:AH$200,"&lt;&gt;-",$D$4:$D$200,"&lt;&gt;是",$E$4:$E$200,"&lt;&gt;封闭期",$H$4:$H$200,"&gt;10",$BN$4:$BN$200,"&gt;-6",$BR$4:$BR$200,"&gt;=70",$C$4:$C$200,"&lt;20190630",$K$4:$K$200,"&lt;=30"))</f>
        <v>0.4358974358974359</v>
      </c>
      <c r="AM131" s="19">
        <f>[1]!f_return($A131,"1",AM$2,$L$2)</f>
        <v>5.4766617431179831</v>
      </c>
      <c r="AN131" s="19">
        <f>[1]!f_risk_stdevyearly($A131,AM$2,$L$2,1,1)</f>
        <v>4.2736472530367244</v>
      </c>
      <c r="AO131" s="12">
        <f>IFERROR(AM131/AN131,"-")</f>
        <v>1.2814959726089776</v>
      </c>
      <c r="AP131" s="12" t="str">
        <f>IFERROR(RANK(AO131,AO:AO)&amp;"/"&amp;COUNT(AO:AO),"-")</f>
        <v>138/197</v>
      </c>
      <c r="AQ131" s="26">
        <f>IF(AP131="-","-",RANK(AO131,AO:AO)/COUNT(AO:AO))</f>
        <v>0.70050761421319796</v>
      </c>
      <c r="AR131" s="60">
        <v>0.64974619289340096</v>
      </c>
      <c r="AS131" s="35">
        <f>IF(OR($C131&gt;20190630,$K131&gt;30,AO131="-",$D131="是",$E131="封闭期",$H131&lt;10,$BN131&lt;-6,$BR131&lt;70),"-",COUNTIFS(AO$4:AO$200,"&lt;&gt;-",$D$4:$D$200,"&lt;&gt;是",$E$4:$E$200,"&lt;&gt;封闭期",$H$4:$H$200,"&gt;10",$BN$4:$BN$200,"&gt;-6",$BR$4:$BR$200,"&gt;=70",$K$4:$K$200,"&lt;=30",$C$4:$C$200,"&lt;20190630",AO$4:AO$200,"&gt;="&amp;AO131)/COUNTIFS(AO$4:AO$200,"&lt;&gt;-",$D$4:$D$200,"&lt;&gt;是",$E$4:$E$200,"&lt;&gt;封闭期",$H$4:$H$200,"&gt;10",$BN$4:$BN$200,"&gt;-6",$BR$4:$BR$200,"&gt;=70",$C$4:$C$200,"&lt;20190630",$K$4:$K$200,"&lt;=30"))</f>
        <v>0.89743589743589747</v>
      </c>
      <c r="AT131" s="12">
        <f>IFERROR((AM131-3)/AN131,"-")</f>
        <v>0.57951945878503242</v>
      </c>
      <c r="AU131" s="12" t="str">
        <f>IFERROR(RANK(AT131,AT:AT)&amp;"/"&amp;COUNT(AT:AT),"-")</f>
        <v>133/197</v>
      </c>
      <c r="AV131" s="26">
        <f>IFERROR(RANK(AT131,AT:AT)/COUNT(AT:AT),"-")</f>
        <v>0.67512690355329952</v>
      </c>
      <c r="AW131" s="13" t="str">
        <f>IF(OR($C131&gt;20190630,$K131&gt;30,AT131="-",$D131="是",$E131="封闭期",$H131&lt;10,$BN131&lt;-6,$BR131&lt;70),"-",COUNTIFS(AT$4:AT$200,"&lt;&gt;-",$D$4:$D$200,"&lt;&gt;是",$E$4:$E$200,"&lt;&gt;封闭期",$H$4:$H$200,"&gt;10",$BN$4:$BN$200,"&gt;-6",$BR$4:$BR$200,"&gt;=70",$K$4:$K$200,"&lt;=30",$C$4:$C$200,"&lt;20190630",AT$4:AT$200,"&gt;="&amp;AT131)&amp;"/"&amp;COUNTIFS(AT$4:AT$200,"&lt;&gt;-",$D$4:$D$200,"&lt;&gt;是",$E$4:$E$200,"&lt;&gt;封闭期",$H$4:$H$200,"&gt;10",$BN$4:$BN$200,"&gt;-6",$BR$4:$BR$200,"&gt;=70",$C$4:$C$200,"&lt;20190630",$K$4:$K$200,"&lt;=30"))</f>
        <v>33/39</v>
      </c>
      <c r="AX131" s="33">
        <f>IF(OR($C131&gt;20190630,$K131&gt;30,AT131="-",$D131="是",$E131="封闭期",$H131&lt;10,$BN131&lt;-6,$BR131&lt;70),"-",COUNTIFS(AT$4:AT$200,"&lt;&gt;-",$D$4:$D$200,"&lt;&gt;是",$E$4:$E$200,"&lt;&gt;封闭期",$H$4:$H$200,"&gt;10",$BN$4:$BN$200,"&gt;-6",$BR$4:$BR$200,"&gt;=70",$K$4:$K$200,"&lt;=30",$C$4:$C$200,"&lt;20190630",AT$4:AT$200,"&gt;="&amp;AT131)/COUNTIFS(AT$4:AT$200,"&lt;&gt;-",$D$4:$D$200,"&lt;&gt;是",$E$4:$E$200,"&lt;&gt;封闭期",$H$4:$H$200,"&gt;10",$BN$4:$BN$200,"&gt;-6",$BR$4:$BR$200,"&gt;=70",$C$4:$C$200,"&lt;20190630",$K$4:$K$200,"&lt;=30"))</f>
        <v>0.84615384615384615</v>
      </c>
      <c r="AY131" s="19">
        <f>[1]!f_risk_calmar(A131,$AM$2,$L$2)</f>
        <v>1.6309498671005385</v>
      </c>
      <c r="AZ131" s="12" t="str">
        <f>IFERROR(RANK(AY131,AY:AY)&amp;"/"&amp;COUNT(AY:AY),"-")</f>
        <v>135/197</v>
      </c>
      <c r="BA131" s="26">
        <f>IFERROR(RANK(AY131,AY:AY)/COUNT(AY:AY),"-")</f>
        <v>0.68527918781725883</v>
      </c>
      <c r="BB131" s="13" t="str">
        <f>IF(OR($C131&gt;20190630,$K131&gt;30,AY131="-",$D131="是",$E131="封闭期",$H131&lt;10,$BN131&lt;-6,$BR131&lt;70),"-",COUNTIFS(AY$4:AY$200,"&lt;&gt;-",$D$4:$D$200,"&lt;&gt;是",$E$4:$E$200,"&lt;&gt;封闭期",$H$4:$H$200,"&gt;10",$BN$4:$BN$200,"&gt;-6",$BR$4:$BR$200,"&gt;=70",$K$4:$K$200,"&lt;=30",$C$4:$C$200,"&lt;20190630",AY$4:AY$200,"&gt;="&amp;AY131)&amp;"/"&amp;COUNTIFS(AY$4:AY$200,"&lt;&gt;-",$D$4:$D$200,"&lt;&gt;是",$E$4:$E$200,"&lt;&gt;封闭期",$H$4:$H$200,"&gt;10",$BN$4:$BN$200,"&gt;-6",$BR$4:$BR$200,"&gt;=70",$C$4:$C$200,"&lt;20190630",$K$4:$K$200,"&lt;=30"))</f>
        <v>33/39</v>
      </c>
      <c r="BC131" s="33">
        <f>IF(OR($C131&gt;20190630,$K131&gt;30,AY131="-",$D131="是",$E131="封闭期",$H131&lt;10,$BN131&lt;-6,$BR131&lt;70),"-",COUNTIFS(AY$4:AY$200,"&lt;&gt;-",$D$4:$D$200,"&lt;&gt;是",$E$4:$E$200,"&lt;&gt;封闭期",$H$4:$H$200,"&gt;10",$BN$4:$BN$200,"&gt;-6",$BR$4:$BR$200,"&gt;=70",$K$4:$K$200,"&lt;=30",$C$4:$C$200,"&lt;20190630",AY$4:AY$200,"&gt;="&amp;AY131)/COUNTIFS(AY$4:AY$200,"&lt;&gt;-",$D$4:$D$200,"&lt;&gt;是",$E$4:$E$200,"&lt;&gt;封闭期",$H$4:$H$200,"&gt;10",$BN$4:$BN$200,"&gt;-6",$BR$4:$BR$200,"&gt;=70",$C$4:$C$200,"&lt;20190630",$K$4:$K$200,"&lt;=30"))</f>
        <v>0.84615384615384615</v>
      </c>
      <c r="BD131" s="20">
        <v>1</v>
      </c>
      <c r="BE131" s="12" t="str">
        <f>IFERROR(RANK(BD131,BD:BD)&amp;"/"&amp;COUNT(BD:BD),"-")</f>
        <v>1/197</v>
      </c>
      <c r="BF131" s="26">
        <f>IFERROR(RANK(BD131,BD:BD)/COUNT(BD:BD),"-")</f>
        <v>5.076142131979695E-3</v>
      </c>
      <c r="BG131" s="13" t="str">
        <f>IF(OR($C131&gt;20190630,$K131&gt;30,BD131="-",$D131="是",$E131="封闭期",$H131&lt;10,$BN131&lt;-6,$BR131&lt;70),"-",COUNTIFS(BD$4:BD$200,"&lt;&gt;-",$D$4:$D$200,"&lt;&gt;是",$E$4:$E$200,"&lt;&gt;封闭期",$H$4:$H$200,"&gt;10",$BN$4:$BN$200,"&gt;-6",$BR$4:$BR$200,"&gt;=70",$K$4:$K$200,"&lt;=30",$C$4:$C$200,"&lt;20190630",BD$4:BD$200,"&gt;="&amp;BD131)&amp;"/"&amp;COUNTIFS(BD$4:BD$200,"&lt;&gt;-",$D$4:$D$200,"&lt;&gt;是",$E$4:$E$200,"&lt;&gt;封闭期",$H$4:$H$200,"&gt;10",$BN$4:$BN$200,"&gt;-6",$BR$4:$BR$200,"&gt;=70",$C$4:$C$200,"&lt;20190630",$K$4:$K$200,"&lt;=30"))</f>
        <v>35/39</v>
      </c>
      <c r="BH131" s="33">
        <f>IF(OR($C131&gt;20190630,$K131&gt;30,BD131="-",$D131="是",$E131="封闭期",$H131&lt;10,$BN131&lt;-6,$BR131&lt;70),"-",COUNTIFS(BD$4:BD$200,"&lt;&gt;-",$D$4:$D$200,"&lt;&gt;是",$E$4:$E$200,"&lt;&gt;封闭期",$H$4:$H$200,"&gt;10",$BN$4:$BN$200,"&gt;-6",$BR$4:$BR$200,"&gt;=70",$K$4:$K$200,"&lt;=30",$C$4:$C$200,"&lt;20190630",BD$4:BD$200,"&gt;="&amp;BD131)/COUNTIFS(BD$4:BD$200,"&lt;&gt;-",$D$4:$D$200,"&lt;&gt;是",$E$4:$E$200,"&lt;&gt;封闭期",$H$4:$H$200,"&gt;10",$BN$4:$BN$200,"&gt;-6",$BR$4:$BR$200,"&gt;=70",$C$4:$C$200,"&lt;20190630",$K$4:$K$200,"&lt;=30"))</f>
        <v>0.89743589743589747</v>
      </c>
      <c r="BI131" s="21">
        <f>[1]!f_risk_maxdownside(A131,$AM$2,$L$2)</f>
        <v>-3.3579583613163133</v>
      </c>
      <c r="BJ131" s="19" t="str">
        <f>IFERROR(RANK(BI131,BI:BI)&amp;"/"&amp;COUNT(BI:BI),"-")</f>
        <v>103/197</v>
      </c>
      <c r="BK131" s="26">
        <f>IFERROR(RANK(BI131,BI:BI)/COUNT(BI:BI),"-")</f>
        <v>0.52284263959390864</v>
      </c>
      <c r="BL131" s="34" t="str">
        <f>IF(OR($C131&gt;20190630,$K131&gt;30,BI131="-",$D131="是",$E131="封闭期",$H131&lt;10,$BN131&lt;-6,$BR131&lt;70),"-",COUNTIFS(BI$4:BI$200,"&lt;&gt;-",$D$4:$D$200,"&lt;&gt;是",$E$4:$E$200,"&lt;&gt;封闭期",$H$4:$H$200,"&gt;10",$BN$4:$BN$200,"&gt;-6",$BR$4:$BR$200,"&gt;=70",$K$4:$K$200,"&lt;=30",$C$4:$C$200,"&lt;20190630",BI$4:BI$200,"&gt;="&amp;BI131)&amp;"/"&amp;COUNTIFS(BI$4:BI$200,"&lt;&gt;-",$D$4:$D$200,"&lt;&gt;是",$E$4:$E$200,"&lt;&gt;封闭期",$H$4:$H$200,"&gt;10",$BN$4:$BN$200,"&gt;-6",$BR$4:$BR$200,"&gt;=70",$C$4:$C$200,"&lt;20190630",$K$4:$K$200,"&lt;=30"))</f>
        <v>24/39</v>
      </c>
      <c r="BM131" s="33">
        <f>IF(OR($C131&gt;20190630,$K131&gt;30,BI131="-",$D131="是",$E131="封闭期",$H131&lt;10,$BN131&lt;-6,$BR131&lt;70),"-",COUNTIFS(BI$4:BI$200,"&lt;&gt;-",$D$4:$D$200,"&lt;&gt;是",$E$4:$E$200,"&lt;&gt;封闭期",$H$4:$H$200,"&gt;10",$BN$4:$BN$200,"&gt;-6",$BR$4:$BR$200,"&gt;=70",$K$4:$K$200,"&lt;=30",$C$4:$C$200,"&lt;20190630",BI$4:BI$200,"&gt;="&amp;BI131)/COUNTIFS(BI$4:BI$200,"&lt;&gt;-",$D$4:$D$200,"&lt;&gt;是",$E$4:$E$200,"&lt;&gt;封闭期",$H$4:$H$200,"&gt;10",$BN$4:$BN$200,"&gt;-6",$BR$4:$BR$200,"&gt;=70",$C$4:$C$200,"&lt;20190630",$K$4:$K$200,"&lt;=30"))</f>
        <v>0.61538461538461542</v>
      </c>
      <c r="BN131" s="21">
        <f>[1]!f_risk_maxdownside(A131,$AM$2,$E$1)</f>
        <v>-3.3579583613163133</v>
      </c>
      <c r="BO131" s="14">
        <f>IF(C131&lt;20190930,[1]!f_return_2y(A131,"0","20210930"),"-")</f>
        <v>18.405787067893392</v>
      </c>
      <c r="BP131" s="12" t="str">
        <f>IFERROR(RANK(BO131,BO:BO)&amp;"/"&amp;COUNT(BO:BO),"-")</f>
        <v>51/197</v>
      </c>
      <c r="BQ131" s="25">
        <f>IFERROR(RANK(BO131,BO:BO)/COUNT(BO:BO),"-")</f>
        <v>0.25888324873096447</v>
      </c>
      <c r="BR131" s="12">
        <f>IF(C131&lt;20190930,[1]!f_absolute_profitmonthper(A131,"20190930","20210930"),"-")</f>
        <v>70.833333333333343</v>
      </c>
      <c r="BS131" s="12" t="str">
        <f>IFERROR(RANK(BR131,BR:BR)&amp;"/"&amp;COUNT(BR:BR),"-")</f>
        <v>55/198</v>
      </c>
      <c r="BT131" s="25">
        <f>IFERROR(RANK(BR131,BR:BR)/COUNT(BR:BR),"-")</f>
        <v>0.27777777777777779</v>
      </c>
      <c r="BV131" s="12">
        <f>X131-3/M131</f>
        <v>4.3659223085645955</v>
      </c>
      <c r="BW131" s="76">
        <f>IFERROR(RANK(BV131,BV:BV)/COUNT(BV:BV),"-")</f>
        <v>0.14213197969543148</v>
      </c>
      <c r="BX131" s="76">
        <f>IFERROR(RANK(L131,L:L)/COUNT(L:L),"-")</f>
        <v>9.5959595959595953E-2</v>
      </c>
      <c r="BY131" s="12">
        <f>AY131-3/AN131</f>
        <v>0.92897335327659314</v>
      </c>
      <c r="BZ131" s="76">
        <f>IFERROR(RANK(BY131,BY:BY)/COUNT(BY:BY),"-")</f>
        <v>0.71065989847715738</v>
      </c>
      <c r="CA131" s="76">
        <f>IFERROR(RANK(AM131,AM:AM)/COUNT(AM:AM),"-")</f>
        <v>0.65151515151515149</v>
      </c>
      <c r="CB131" s="2"/>
      <c r="CC131" s="77">
        <f>AV131+BF131+BZ131+CA131</f>
        <v>2.0423780956775879</v>
      </c>
      <c r="CD131" s="77">
        <f>BW131+BX131+AE131+U131</f>
        <v>0.26347228631492586</v>
      </c>
      <c r="CE131" s="77">
        <f>CC131+CD131</f>
        <v>2.3058503819925136</v>
      </c>
    </row>
    <row r="132" spans="1:83" s="2" customFormat="1" x14ac:dyDescent="0.35">
      <c r="A132" s="15" t="s">
        <v>55</v>
      </c>
      <c r="B132" s="15" t="s">
        <v>56</v>
      </c>
      <c r="C132" s="16">
        <v>20090323</v>
      </c>
      <c r="D132" s="16" t="str">
        <f>[1]!f_info_regulopenfundornot(A132)</f>
        <v>否</v>
      </c>
      <c r="E132" s="16" t="str">
        <f>[1]!f_dq_status(A132,$E$1)</f>
        <v>开放申购|开放赎回</v>
      </c>
      <c r="F132" s="17" t="str">
        <f>[1]!f_info_fundmanager(A132)</f>
        <v>周博洋,张博</v>
      </c>
      <c r="G132" s="16">
        <v>20180126</v>
      </c>
      <c r="H132" s="18">
        <f>[1]!f_netasset_total(A132,$E$1,100000000)</f>
        <v>32.030452746900004</v>
      </c>
      <c r="I132" s="18">
        <f>[1]!f_prt_convertiblebondtonav(A132,$E$1)</f>
        <v>3.030303955078125</v>
      </c>
      <c r="J132" s="18">
        <f>[1]!f_prt_stocktonav(A132,$E$1)+0.5*I132</f>
        <v>16.219552993774414</v>
      </c>
      <c r="K132" s="19">
        <v>3.8587340921043358</v>
      </c>
      <c r="L132" s="19">
        <f>[1]!f_return($A132,"1",L$2,$E$1)</f>
        <v>3.1630043997235902</v>
      </c>
      <c r="M132" s="19">
        <f>[1]!f_risk_stdevyearly($A132,L$2,$E$1,1,1)</f>
        <v>4.3292846748079175</v>
      </c>
      <c r="N132" s="19">
        <f>IFERROR(L132/M132,"-")</f>
        <v>0.73060670233331948</v>
      </c>
      <c r="O132" s="19" t="str">
        <f>IFERROR(RANK(N132,N:N)&amp;"/"&amp;COUNT(N:N),"-")</f>
        <v>163/197</v>
      </c>
      <c r="P132" s="26">
        <f>IF(O132="-","-",RANK(N132,N:N)/COUNT(N:N))</f>
        <v>0.82741116751269039</v>
      </c>
      <c r="Q132" s="56">
        <v>0.81725888324873097</v>
      </c>
      <c r="R132" s="33" t="str">
        <f>IF(OR($C132&gt;20190630,$K132&gt;30,N132="-",$D132="是",$E132="封闭期",$H132&lt;10,$BN132&lt;-6,$BR132&lt;70),"-",COUNTIFS(N$4:N$200,"&lt;&gt;-",$D$4:$D$200,"&lt;&gt;是",$E$4:$E$200,"&lt;&gt;封闭期",$H$4:$H$200,"&gt;10",$BN$4:$BN$200,"&gt;-6",$BR$4:$BR$200,"&gt;=70",$K$4:$K$200,"&lt;=30",$C$4:$C$200,"&lt;20190630",N$4:N$200,"&gt;="&amp;N132)/COUNTIFS(N$4:N$200,"&lt;&gt;-",$D$4:$D$200,"&lt;&gt;是",$E$4:$E$200,"&lt;&gt;封闭期",$H$4:$H$200,"&gt;10",$BN$4:$BN$200,"&gt;-6",$BR$4:$BR$200,"&gt;=70",$C$4:$C$200,"&lt;20190630",$K$4:$K$200,"&lt;=30"))</f>
        <v>-</v>
      </c>
      <c r="S132" s="19">
        <f>IFERROR((L132-3)/M132,"-")</f>
        <v>3.7651578024450974E-2</v>
      </c>
      <c r="T132" s="19" t="str">
        <f>IFERROR(RANK(S132,S:S)&amp;"/"&amp;COUNT(S:S),"-")</f>
        <v>159/197</v>
      </c>
      <c r="U132" s="26">
        <f>IFERROR(RANK(S132,S:S)/COUNT(S:S),"-")</f>
        <v>0.80710659898477155</v>
      </c>
      <c r="V132" s="34" t="str">
        <f>IF(OR($C132&gt;20190630,$K132&gt;30,S132="-",$D132="是",$E132="封闭期",$H132&lt;10,$BN132&lt;-6,$BR132&lt;70),"-",COUNTIFS(S$4:S$200,"&lt;&gt;-",$D$4:$D$200,"&lt;&gt;是",$E$4:$E$200,"&lt;&gt;封闭期",$H$4:$H$200,"&gt;10",$BN$4:$BN$200,"&gt;-6",$BR$4:$BR$200,"&gt;=70",$K$4:$K$200,"&lt;=30",$C$4:$C$200,"&lt;20190630",S$4:S$200,"&gt;="&amp;S132)&amp;"/"&amp;COUNTIFS(S$4:S$200,"&lt;&gt;-",$D$4:$D$200,"&lt;&gt;是",$E$4:$E$200,"&lt;&gt;封闭期",$H$4:$H$200,"&gt;10",$BN$4:$BN$200,"&gt;-6",$BR$4:$BR$200,"&gt;=70",$C$4:$C$200,"&lt;20190630",$K$4:$K$200,"&lt;=30"))</f>
        <v>-</v>
      </c>
      <c r="W132" s="33" t="str">
        <f>IF(OR($C132&gt;20190630,$K132&gt;30,S132="-",$D132="是",$E132="封闭期",$H132&lt;10,$BN132&lt;-6,$BR132&lt;70),"-",COUNTIFS(S$4:S$200,"&lt;&gt;-",$D$4:$D$200,"&lt;&gt;是",$E$4:$E$200,"&lt;&gt;封闭期",$H$4:$H$200,"&gt;10",$BN$4:$BN$200,"&gt;-6",$BR$4:$BR$200,"&gt;=70",$K$4:$K$200,"&lt;=30",$C$4:$C$200,"&lt;20190630",S$4:S$200,"&gt;="&amp;S132)/COUNTIFS(S$4:S$200,"&lt;&gt;-",$D$4:$D$200,"&lt;&gt;是",$E$4:$E$200,"&lt;&gt;封闭期",$H$4:$H$200,"&gt;10",$BN$4:$BN$200,"&gt;-6",$BR$4:$BR$200,"&gt;=70",$C$4:$C$200,"&lt;20190630",$K$4:$K$200,"&lt;=30"))</f>
        <v>-</v>
      </c>
      <c r="X132" s="19">
        <f>[1]!f_risk_calmar(A132,$L$2,$E$1)</f>
        <v>0.97636951601993927</v>
      </c>
      <c r="Y132" s="19" t="str">
        <f>IFERROR(RANK(X132,X:X)&amp;"/"&amp;COUNT(X:X),"-")</f>
        <v>162/197</v>
      </c>
      <c r="Z132" s="26">
        <f>IFERROR(RANK(X132,X:X)/COUNT(X:X),"-")</f>
        <v>0.82233502538071068</v>
      </c>
      <c r="AA132" s="34" t="str">
        <f>IF(OR($C132&gt;20190630,$K132&gt;30,X132="-",$D132="是",$E132="封闭期",$H132&lt;10,$BN132&lt;-6,$BR132&lt;70),"-",COUNTIFS(X$4:X$200,"&lt;&gt;-",$D$4:$D$200,"&lt;&gt;是",$E$4:$E$200,"&lt;&gt;封闭期",$H$4:$H$200,"&gt;10",$BN$4:$BN$200,"&gt;-6",$BR$4:$BR$200,"&gt;=70",$K$4:$K$200,"&lt;=30",$C$4:$C$200,"&lt;20190630",X$4:X$200,"&gt;="&amp;X132)&amp;"/"&amp;COUNTIFS(X$4:X$200,"&lt;&gt;-",$D$4:$D$200,"&lt;&gt;是",$E$4:$E$200,"&lt;&gt;封闭期",$H$4:$H$200,"&gt;10",$BN$4:$BN$200,"&gt;-6",$BR$4:$BR$200,"&gt;=70",$C$4:$C$200,"&lt;20190630",$K$4:$K$200,"&lt;=30"))</f>
        <v>-</v>
      </c>
      <c r="AB132" s="33" t="str">
        <f>IF(OR($C132&gt;20190630,$K132&gt;30,X132="-",$D132="是",$E132="封闭期",$H132&lt;10,$BN132&lt;-6,$BR132&lt;70),"-",COUNTIFS(X$4:X$200,"&lt;&gt;-",$D$4:$D$200,"&lt;&gt;是",$E$4:$E$200,"&lt;&gt;封闭期",$H$4:$H$200,"&gt;10",$BN$4:$BN$200,"&gt;-6",$BR$4:$BR$200,"&gt;=70",$K$4:$K$200,"&lt;=30",$C$4:$C$200,"&lt;20190630",X$4:X$200,"&gt;="&amp;X132)/COUNTIFS(X$4:X$200,"&lt;&gt;-",$D$4:$D$200,"&lt;&gt;是",$E$4:$E$200,"&lt;&gt;封闭期",$H$4:$H$200,"&gt;10",$BN$4:$BN$200,"&gt;-6",$BR$4:$BR$200,"&gt;=70",$C$4:$C$200,"&lt;20190630",$K$4:$K$200,"&lt;=30"))</f>
        <v>-</v>
      </c>
      <c r="AC132" s="20">
        <v>0.94117647058823528</v>
      </c>
      <c r="AD132" s="19" t="str">
        <f>IFERROR(RANK(AC132,AC:AC)&amp;"/"&amp;COUNT(AC:AC),"-")</f>
        <v>115/197</v>
      </c>
      <c r="AE132" s="26">
        <f>IFERROR(RANK(AC132,AC:AC)/COUNT(AC:AC),"-")</f>
        <v>0.58375634517766495</v>
      </c>
      <c r="AF132" s="34" t="str">
        <f>IF(OR($C132&gt;20190630,$K132&gt;30,AC132="-",$D132="是",$E132="封闭期",$H132&lt;10,$BN132&lt;-6,$BR132&lt;70),"-",COUNTIFS(AC$4:AC$200,"&lt;&gt;-",$D$4:$D$200,"&lt;&gt;是",$E$4:$E$200,"&lt;&gt;封闭期",$H$4:$H$200,"&gt;10",$BN$4:$BN$200,"&gt;-6",$BR$4:$BR$200,"&gt;=70",$K$4:$K$200,"&lt;=30",$C$4:$C$200,"&lt;20190630",AC$4:AC$200,"&gt;="&amp;AC132)&amp;"/"&amp;COUNTIFS(AC$4:AC$200,"&lt;&gt;-",$D$4:$D$200,"&lt;&gt;是",$E$4:$E$200,"&lt;&gt;封闭期",$H$4:$H$200,"&gt;10",$BN$4:$BN$200,"&gt;-6",$BR$4:$BR$200,"&gt;=70",$C$4:$C$200,"&lt;20190630",$K$4:$K$200,"&lt;=30"))</f>
        <v>-</v>
      </c>
      <c r="AG132" s="33" t="str">
        <f>IF(OR($C132&gt;20190630,$K132&gt;30,AC132="-",$D132="是",$E132="封闭期",$H132&lt;10,$BN132&lt;-6,$BR132&lt;70),"-",COUNTIFS(AC$4:AC$200,"&lt;&gt;-",$D$4:$D$200,"&lt;&gt;是",$E$4:$E$200,"&lt;&gt;封闭期",$H$4:$H$200,"&gt;10",$BN$4:$BN$200,"&gt;-6",$BR$4:$BR$200,"&gt;=70",$K$4:$K$200,"&lt;=30",$C$4:$C$200,"&lt;20190630",AC$4:AC$200,"&gt;="&amp;AC132)/COUNTIFS(AC$4:AC$200,"&lt;&gt;-",$D$4:$D$200,"&lt;&gt;是",$E$4:$E$200,"&lt;&gt;封闭期",$H$4:$H$200,"&gt;10",$BN$4:$BN$200,"&gt;-6",$BR$4:$BR$200,"&gt;=70",$C$4:$C$200,"&lt;20190630",$K$4:$K$200,"&lt;=30"))</f>
        <v>-</v>
      </c>
      <c r="AH132" s="21">
        <f>[1]!f_risk_maxdownside(A132,$L$2,$E$1)</f>
        <v>-3.239556692242116</v>
      </c>
      <c r="AI132" s="19" t="str">
        <f>IFERROR(RANK(AH132,AH:AH)&amp;"/"&amp;COUNT(AH:AH),"-")</f>
        <v>99/197</v>
      </c>
      <c r="AJ132" s="26">
        <f>IFERROR(RANK(AH132,AH:AH)/COUNT(AH:AH),"-")</f>
        <v>0.5025380710659898</v>
      </c>
      <c r="AK132" s="34" t="str">
        <f>IF(OR($C132&gt;20190630,$K132&gt;30,AH132="-",$D132="是",$E132="封闭期",$H132&lt;10,$BN132&lt;-6,$BR132&lt;70),"-",COUNTIFS(AH$4:AH$200,"&lt;&gt;-",$D$4:$D$200,"&lt;&gt;是",$E$4:$E$200,"&lt;&gt;封闭期",$H$4:$H$200,"&gt;10",$BN$4:$BN$200,"&gt;-6",$BR$4:$BR$200,"&gt;=70",$K$4:$K$200,"&lt;=30",$C$4:$C$200,"&lt;20190630",AH$4:AH$200,"&gt;="&amp;AH132)&amp;"/"&amp;COUNTIFS(AH$4:AH$200,"&lt;&gt;-",$D$4:$D$200,"&lt;&gt;是",$E$4:$E$200,"&lt;&gt;封闭期",$H$4:$H$200,"&gt;10",$BN$4:$BN$200,"&gt;-6",$BR$4:$BR$200,"&gt;=70",$C$4:$C$200,"&lt;20190630",$K$4:$K$200,"&lt;=30"))</f>
        <v>-</v>
      </c>
      <c r="AL132" s="33" t="str">
        <f>IF(OR($C132&gt;20190630,$K132&gt;30,AH132="-",$D132="是",$E132="封闭期",$H132&lt;10,$BN132&lt;-6,$BR132&lt;70),"-",COUNTIFS(AH$4:AH$200,"&lt;&gt;-",$D$4:$D$200,"&lt;&gt;是",$E$4:$E$200,"&lt;&gt;封闭期",$H$4:$H$200,"&gt;10",$BN$4:$BN$200,"&gt;-6",$BR$4:$BR$200,"&gt;=70",$K$4:$K$200,"&lt;=30",$C$4:$C$200,"&lt;20190630",AH$4:AH$200,"&gt;="&amp;AH132)/COUNTIFS(AH$4:AH$200,"&lt;&gt;-",$D$4:$D$200,"&lt;&gt;是",$E$4:$E$200,"&lt;&gt;封闭期",$H$4:$H$200,"&gt;10",$BN$4:$BN$200,"&gt;-6",$BR$4:$BR$200,"&gt;=70",$C$4:$C$200,"&lt;20190630",$K$4:$K$200,"&lt;=30"))</f>
        <v>-</v>
      </c>
      <c r="AM132" s="19">
        <f>[1]!f_return($A132,"1",AM$2,$L$2)</f>
        <v>5.4525895826635695</v>
      </c>
      <c r="AN132" s="19">
        <f>[1]!f_risk_stdevyearly($A132,AM$2,$L$2,1,1)</f>
        <v>6.9611580537005615</v>
      </c>
      <c r="AO132" s="19">
        <f>IFERROR(AM132/AN132,"-")</f>
        <v>0.78328771457285973</v>
      </c>
      <c r="AP132" s="19" t="str">
        <f>IFERROR(RANK(AO132,AO:AO)&amp;"/"&amp;COUNT(AO:AO),"-")</f>
        <v>178/197</v>
      </c>
      <c r="AQ132" s="26">
        <f>IF(AP132="-","-",RANK(AO132,AO:AO)/COUNT(AO:AO))</f>
        <v>0.90355329949238583</v>
      </c>
      <c r="AR132" s="57">
        <v>0.65482233502538068</v>
      </c>
      <c r="AS132" s="33" t="str">
        <f>IF(OR($C132&gt;20190630,$K132&gt;30,AO132="-",$D132="是",$E132="封闭期",$H132&lt;10,$BN132&lt;-6,$BR132&lt;70),"-",COUNTIFS(AO$4:AO$200,"&lt;&gt;-",$D$4:$D$200,"&lt;&gt;是",$E$4:$E$200,"&lt;&gt;封闭期",$H$4:$H$200,"&gt;10",$BN$4:$BN$200,"&gt;-6",$BR$4:$BR$200,"&gt;=70",$K$4:$K$200,"&lt;=30",$C$4:$C$200,"&lt;20190630",AO$4:AO$200,"&gt;="&amp;AO132)/COUNTIFS(AO$4:AO$200,"&lt;&gt;-",$D$4:$D$200,"&lt;&gt;是",$E$4:$E$200,"&lt;&gt;封闭期",$H$4:$H$200,"&gt;10",$BN$4:$BN$200,"&gt;-6",$BR$4:$BR$200,"&gt;=70",$C$4:$C$200,"&lt;20190630",$K$4:$K$200,"&lt;=30"))</f>
        <v>-</v>
      </c>
      <c r="AT132" s="19">
        <f>IFERROR((AM132-3)/AN132,"-")</f>
        <v>0.35232493842885371</v>
      </c>
      <c r="AU132" s="19" t="str">
        <f>IFERROR(RANK(AT132,AT:AT)&amp;"/"&amp;COUNT(AT:AT),"-")</f>
        <v>152/197</v>
      </c>
      <c r="AV132" s="26">
        <f>IFERROR(RANK(AT132,AT:AT)/COUNT(AT:AT),"-")</f>
        <v>0.77157360406091369</v>
      </c>
      <c r="AW132" s="34" t="str">
        <f>IF(OR($C132&gt;20190630,$K132&gt;30,AT132="-",$D132="是",$E132="封闭期",$H132&lt;10,$BN132&lt;-6,$BR132&lt;70),"-",COUNTIFS(AT$4:AT$200,"&lt;&gt;-",$D$4:$D$200,"&lt;&gt;是",$E$4:$E$200,"&lt;&gt;封闭期",$H$4:$H$200,"&gt;10",$BN$4:$BN$200,"&gt;-6",$BR$4:$BR$200,"&gt;=70",$K$4:$K$200,"&lt;=30",$C$4:$C$200,"&lt;20190630",AT$4:AT$200,"&gt;="&amp;AT132)&amp;"/"&amp;COUNTIFS(AT$4:AT$200,"&lt;&gt;-",$D$4:$D$200,"&lt;&gt;是",$E$4:$E$200,"&lt;&gt;封闭期",$H$4:$H$200,"&gt;10",$BN$4:$BN$200,"&gt;-6",$BR$4:$BR$200,"&gt;=70",$C$4:$C$200,"&lt;20190630",$K$4:$K$200,"&lt;=30"))</f>
        <v>-</v>
      </c>
      <c r="AX132" s="33" t="str">
        <f>IF(OR($C132&gt;20190630,$K132&gt;30,AT132="-",$D132="是",$E132="封闭期",$H132&lt;10,$BN132&lt;-6,$BR132&lt;70),"-",COUNTIFS(AT$4:AT$200,"&lt;&gt;-",$D$4:$D$200,"&lt;&gt;是",$E$4:$E$200,"&lt;&gt;封闭期",$H$4:$H$200,"&gt;10",$BN$4:$BN$200,"&gt;-6",$BR$4:$BR$200,"&gt;=70",$K$4:$K$200,"&lt;=30",$C$4:$C$200,"&lt;20190630",AT$4:AT$200,"&gt;="&amp;AT132)/COUNTIFS(AT$4:AT$200,"&lt;&gt;-",$D$4:$D$200,"&lt;&gt;是",$E$4:$E$200,"&lt;&gt;封闭期",$H$4:$H$200,"&gt;10",$BN$4:$BN$200,"&gt;-6",$BR$4:$BR$200,"&gt;=70",$C$4:$C$200,"&lt;20190630",$K$4:$K$200,"&lt;=30"))</f>
        <v>-</v>
      </c>
      <c r="AY132" s="19">
        <f>[1]!f_risk_calmar(A132,$AM$2,$L$2)</f>
        <v>1.0157646722542601</v>
      </c>
      <c r="AZ132" s="19" t="str">
        <f>IFERROR(RANK(AY132,AY:AY)&amp;"/"&amp;COUNT(AY:AY),"-")</f>
        <v>169/197</v>
      </c>
      <c r="BA132" s="26">
        <f>IFERROR(RANK(AY132,AY:AY)/COUNT(AY:AY),"-")</f>
        <v>0.85786802030456855</v>
      </c>
      <c r="BB132" s="34" t="str">
        <f>IF(OR($C132&gt;20190630,$K132&gt;30,AY132="-",$D132="是",$E132="封闭期",$H132&lt;10,$BN132&lt;-6,$BR132&lt;70),"-",COUNTIFS(AY$4:AY$200,"&lt;&gt;-",$D$4:$D$200,"&lt;&gt;是",$E$4:$E$200,"&lt;&gt;封闭期",$H$4:$H$200,"&gt;10",$BN$4:$BN$200,"&gt;-6",$BR$4:$BR$200,"&gt;=70",$K$4:$K$200,"&lt;=30",$C$4:$C$200,"&lt;20190630",AY$4:AY$200,"&gt;="&amp;AY132)&amp;"/"&amp;COUNTIFS(AY$4:AY$200,"&lt;&gt;-",$D$4:$D$200,"&lt;&gt;是",$E$4:$E$200,"&lt;&gt;封闭期",$H$4:$H$200,"&gt;10",$BN$4:$BN$200,"&gt;-6",$BR$4:$BR$200,"&gt;=70",$C$4:$C$200,"&lt;20190630",$K$4:$K$200,"&lt;=30"))</f>
        <v>-</v>
      </c>
      <c r="BC132" s="33" t="str">
        <f>IF(OR($C132&gt;20190630,$K132&gt;30,AY132="-",$D132="是",$E132="封闭期",$H132&lt;10,$BN132&lt;-6,$BR132&lt;70),"-",COUNTIFS(AY$4:AY$200,"&lt;&gt;-",$D$4:$D$200,"&lt;&gt;是",$E$4:$E$200,"&lt;&gt;封闭期",$H$4:$H$200,"&gt;10",$BN$4:$BN$200,"&gt;-6",$BR$4:$BR$200,"&gt;=70",$K$4:$K$200,"&lt;=30",$C$4:$C$200,"&lt;20190630",AY$4:AY$200,"&gt;="&amp;AY132)/COUNTIFS(AY$4:AY$200,"&lt;&gt;-",$D$4:$D$200,"&lt;&gt;是",$E$4:$E$200,"&lt;&gt;封闭期",$H$4:$H$200,"&gt;10",$BN$4:$BN$200,"&gt;-6",$BR$4:$BR$200,"&gt;=70",$C$4:$C$200,"&lt;20190630",$K$4:$K$200,"&lt;=30"))</f>
        <v>-</v>
      </c>
      <c r="BD132" s="20">
        <v>0.98333333333333328</v>
      </c>
      <c r="BE132" s="19" t="str">
        <f>IFERROR(RANK(BD132,BD:BD)&amp;"/"&amp;COUNT(BD:BD),"-")</f>
        <v>147/197</v>
      </c>
      <c r="BF132" s="26">
        <f>IFERROR(RANK(BD132,BD:BD)/COUNT(BD:BD),"-")</f>
        <v>0.74619289340101524</v>
      </c>
      <c r="BG132" s="34" t="str">
        <f>IF(OR($C132&gt;20190630,$K132&gt;30,BD132="-",$D132="是",$E132="封闭期",$H132&lt;10,$BN132&lt;-6,$BR132&lt;70),"-",COUNTIFS(BD$4:BD$200,"&lt;&gt;-",$D$4:$D$200,"&lt;&gt;是",$E$4:$E$200,"&lt;&gt;封闭期",$H$4:$H$200,"&gt;10",$BN$4:$BN$200,"&gt;-6",$BR$4:$BR$200,"&gt;=70",$K$4:$K$200,"&lt;=30",$C$4:$C$200,"&lt;20190630",BD$4:BD$200,"&gt;="&amp;BD132)&amp;"/"&amp;COUNTIFS(BD$4:BD$200,"&lt;&gt;-",$D$4:$D$200,"&lt;&gt;是",$E$4:$E$200,"&lt;&gt;封闭期",$H$4:$H$200,"&gt;10",$BN$4:$BN$200,"&gt;-6",$BR$4:$BR$200,"&gt;=70",$C$4:$C$200,"&lt;20190630",$K$4:$K$200,"&lt;=30"))</f>
        <v>-</v>
      </c>
      <c r="BH132" s="33" t="str">
        <f>IF(OR($C132&gt;20190630,$K132&gt;30,BD132="-",$D132="是",$E132="封闭期",$H132&lt;10,$BN132&lt;-6,$BR132&lt;70),"-",COUNTIFS(BD$4:BD$200,"&lt;&gt;-",$D$4:$D$200,"&lt;&gt;是",$E$4:$E$200,"&lt;&gt;封闭期",$H$4:$H$200,"&gt;10",$BN$4:$BN$200,"&gt;-6",$BR$4:$BR$200,"&gt;=70",$K$4:$K$200,"&lt;=30",$C$4:$C$200,"&lt;20190630",BD$4:BD$200,"&gt;="&amp;BD132)/COUNTIFS(BD$4:BD$200,"&lt;&gt;-",$D$4:$D$200,"&lt;&gt;是",$E$4:$E$200,"&lt;&gt;封闭期",$H$4:$H$200,"&gt;10",$BN$4:$BN$200,"&gt;-6",$BR$4:$BR$200,"&gt;=70",$C$4:$C$200,"&lt;20190630",$K$4:$K$200,"&lt;=30"))</f>
        <v>-</v>
      </c>
      <c r="BI132" s="21">
        <f>[1]!f_risk_maxdownside(A132,$AM$2,$L$2)</f>
        <v>-5.3679653679653763</v>
      </c>
      <c r="BJ132" s="19" t="str">
        <f>IFERROR(RANK(BI132,BI:BI)&amp;"/"&amp;COUNT(BI:BI),"-")</f>
        <v>160/197</v>
      </c>
      <c r="BK132" s="26">
        <f>IFERROR(RANK(BI132,BI:BI)/COUNT(BI:BI),"-")</f>
        <v>0.81218274111675126</v>
      </c>
      <c r="BL132" s="34" t="str">
        <f>IF(OR($C132&gt;20190630,$K132&gt;30,BI132="-",$D132="是",$E132="封闭期",$H132&lt;10,$BN132&lt;-6,$BR132&lt;70),"-",COUNTIFS(BI$4:BI$200,"&lt;&gt;-",$D$4:$D$200,"&lt;&gt;是",$E$4:$E$200,"&lt;&gt;封闭期",$H$4:$H$200,"&gt;10",$BN$4:$BN$200,"&gt;-6",$BR$4:$BR$200,"&gt;=70",$K$4:$K$200,"&lt;=30",$C$4:$C$200,"&lt;20190630",BI$4:BI$200,"&gt;="&amp;BI132)&amp;"/"&amp;COUNTIFS(BI$4:BI$200,"&lt;&gt;-",$D$4:$D$200,"&lt;&gt;是",$E$4:$E$200,"&lt;&gt;封闭期",$H$4:$H$200,"&gt;10",$BN$4:$BN$200,"&gt;-6",$BR$4:$BR$200,"&gt;=70",$C$4:$C$200,"&lt;20190630",$K$4:$K$200,"&lt;=30"))</f>
        <v>-</v>
      </c>
      <c r="BM132" s="33" t="str">
        <f>IF(OR($C132&gt;20190630,$K132&gt;30,BI132="-",$D132="是",$E132="封闭期",$H132&lt;10,$BN132&lt;-6,$BR132&lt;70),"-",COUNTIFS(BI$4:BI$200,"&lt;&gt;-",$D$4:$D$200,"&lt;&gt;是",$E$4:$E$200,"&lt;&gt;封闭期",$H$4:$H$200,"&gt;10",$BN$4:$BN$200,"&gt;-6",$BR$4:$BR$200,"&gt;=70",$K$4:$K$200,"&lt;=30",$C$4:$C$200,"&lt;20190630",BI$4:BI$200,"&gt;="&amp;BI132)/COUNTIFS(BI$4:BI$200,"&lt;&gt;-",$D$4:$D$200,"&lt;&gt;是",$E$4:$E$200,"&lt;&gt;封闭期",$H$4:$H$200,"&gt;10",$BN$4:$BN$200,"&gt;-6",$BR$4:$BR$200,"&gt;=70",$C$4:$C$200,"&lt;20190630",$K$4:$K$200,"&lt;=30"))</f>
        <v>-</v>
      </c>
      <c r="BN132" s="21">
        <f>[1]!f_risk_maxdownside(A132,$AM$2,$E$1)</f>
        <v>-5.3679653679653763</v>
      </c>
      <c r="BO132" s="21">
        <f>IF(C132&lt;20190930,[1]!f_return_2y(A132,"0","20210930"),"-")</f>
        <v>9.133271202236724</v>
      </c>
      <c r="BP132" s="19" t="str">
        <f>IFERROR(RANK(BO132,BO:BO)&amp;"/"&amp;COUNT(BO:BO),"-")</f>
        <v>152/197</v>
      </c>
      <c r="BQ132" s="25">
        <f>IFERROR(RANK(BO132,BO:BO)/COUNT(BO:BO),"-")</f>
        <v>0.77157360406091369</v>
      </c>
      <c r="BR132" s="19">
        <f>IF(C132&lt;20190930,[1]!f_absolute_profitmonthper(A132,"20190930","20210930"),"-")</f>
        <v>58.333333333333336</v>
      </c>
      <c r="BS132" s="19" t="str">
        <f>IFERROR(RANK(BR132,BR:BR)&amp;"/"&amp;COUNT(BR:BR),"-")</f>
        <v>165/198</v>
      </c>
      <c r="BT132" s="25">
        <f>IFERROR(RANK(BR132,BR:BR)/COUNT(BR:BR),"-")</f>
        <v>0.83333333333333337</v>
      </c>
      <c r="BU132" s="17"/>
      <c r="BV132" s="12">
        <f>X132-3/M132</f>
        <v>0.28341439171107075</v>
      </c>
      <c r="BW132" s="76">
        <f>IFERROR(RANK(BV132,BV:BV)/COUNT(BV:BV),"-")</f>
        <v>0.80710659898477155</v>
      </c>
      <c r="BX132" s="76">
        <f>IFERROR(RANK(L132,L:L)/COUNT(L:L),"-")</f>
        <v>0.81818181818181823</v>
      </c>
      <c r="BY132" s="12">
        <f>AY132-3/AN132</f>
        <v>0.58480189611025413</v>
      </c>
      <c r="BZ132" s="76">
        <f>IFERROR(RANK(BY132,BY:BY)/COUNT(BY:BY),"-")</f>
        <v>0.78680203045685282</v>
      </c>
      <c r="CA132" s="76">
        <f>IFERROR(RANK(AM132,AM:AM)/COUNT(AM:AM),"-")</f>
        <v>0.65656565656565657</v>
      </c>
      <c r="CC132" s="77">
        <f>AV132+BF132+BZ132+CA132</f>
        <v>2.9611341844844383</v>
      </c>
      <c r="CD132" s="77">
        <f>BW132+BX132+AE132+U132</f>
        <v>3.0161513613290265</v>
      </c>
      <c r="CE132" s="77">
        <f>CC132+CD132</f>
        <v>5.9772855458134648</v>
      </c>
    </row>
    <row r="133" spans="1:83" s="17" customFormat="1" x14ac:dyDescent="0.35">
      <c r="A133" s="3" t="s">
        <v>143</v>
      </c>
      <c r="B133" s="3" t="s">
        <v>144</v>
      </c>
      <c r="C133" s="4">
        <v>20160204</v>
      </c>
      <c r="D133" s="4" t="str">
        <f>[1]!f_info_regulopenfundornot(A133)</f>
        <v>否</v>
      </c>
      <c r="E133" s="4" t="str">
        <f>[1]!f_dq_status(A133,$E$1)</f>
        <v>开放申购|开放赎回</v>
      </c>
      <c r="F133" s="17" t="str">
        <f>[1]!f_info_fundmanager(A133)</f>
        <v>赵晓东</v>
      </c>
      <c r="G133" s="4">
        <v>20160204</v>
      </c>
      <c r="H133" s="11">
        <f>[1]!f_netasset_total(A133,$E$1,100000000)</f>
        <v>26.162112746799998</v>
      </c>
      <c r="I133" s="11">
        <f>[1]!f_prt_convertiblebondtonav(A133,$E$1)</f>
        <v>11.298450469970703</v>
      </c>
      <c r="J133" s="11">
        <f>[1]!f_prt_stocktonav(A133,$E$1)+0.5*I133</f>
        <v>19.695982933044434</v>
      </c>
      <c r="K133" s="12">
        <v>0</v>
      </c>
      <c r="L133" s="19">
        <f>[1]!f_return($A133,"1",L$2,$E$1)</f>
        <v>10.19433103082199</v>
      </c>
      <c r="M133" s="19">
        <f>[1]!f_risk_stdevyearly($A133,L$2,$E$1,1,1)</f>
        <v>3.9755131350918593</v>
      </c>
      <c r="N133" s="12">
        <f>IFERROR(L133/M133,"-")</f>
        <v>2.5642805555933439</v>
      </c>
      <c r="O133" s="12" t="str">
        <f>IFERROR(RANK(N133,N:N)&amp;"/"&amp;COUNT(N:N),"-")</f>
        <v>29/197</v>
      </c>
      <c r="P133" s="26">
        <f>IF(O133="-","-",RANK(N133,N:N)/COUNT(N:N))</f>
        <v>0.14720812182741116</v>
      </c>
      <c r="Q133" s="58">
        <v>0.14720812182741116</v>
      </c>
      <c r="R133" s="33">
        <f>IF(OR($C133&gt;20190630,$K133&gt;30,N133="-",$D133="是",$E133="封闭期",$H133&lt;10,$BN133&lt;-6,$BR133&lt;70),"-",COUNTIFS(N$4:N$200,"&lt;&gt;-",$D$4:$D$200,"&lt;&gt;是",$E$4:$E$200,"&lt;&gt;封闭期",$H$4:$H$200,"&gt;10",$BN$4:$BN$200,"&gt;-6",$BR$4:$BR$200,"&gt;=70",$K$4:$K$200,"&lt;=30",$C$4:$C$200,"&lt;20190630",N$4:N$200,"&gt;="&amp;N133)/COUNTIFS(N$4:N$200,"&lt;&gt;-",$D$4:$D$200,"&lt;&gt;是",$E$4:$E$200,"&lt;&gt;封闭期",$H$4:$H$200,"&gt;10",$BN$4:$BN$200,"&gt;-6",$BR$4:$BR$200,"&gt;=70",$C$4:$C$200,"&lt;20190630",$K$4:$K$200,"&lt;=30"))</f>
        <v>0.23076923076923078</v>
      </c>
      <c r="S133" s="12">
        <f>IFERROR((L133-3)/M133,"-")</f>
        <v>1.8096609887457349</v>
      </c>
      <c r="T133" s="12" t="str">
        <f>IFERROR(RANK(S133,S:S)&amp;"/"&amp;COUNT(S:S),"-")</f>
        <v>18/197</v>
      </c>
      <c r="U133" s="26">
        <f>IFERROR(RANK(S133,S:S)/COUNT(S:S),"-")</f>
        <v>9.1370558375634514E-2</v>
      </c>
      <c r="V133" s="13" t="str">
        <f>IF(OR($C133&gt;20190630,$K133&gt;30,S133="-",$D133="是",$E133="封闭期",$H133&lt;10,$BN133&lt;-6,$BR133&lt;70),"-",COUNTIFS(S$4:S$200,"&lt;&gt;-",$D$4:$D$200,"&lt;&gt;是",$E$4:$E$200,"&lt;&gt;封闭期",$H$4:$H$200,"&gt;10",$BN$4:$BN$200,"&gt;-6",$BR$4:$BR$200,"&gt;=70",$K$4:$K$200,"&lt;=30",$C$4:$C$200,"&lt;20190630",S$4:S$200,"&gt;="&amp;S133)&amp;"/"&amp;COUNTIFS(S$4:S$200,"&lt;&gt;-",$D$4:$D$200,"&lt;&gt;是",$E$4:$E$200,"&lt;&gt;封闭期",$H$4:$H$200,"&gt;10",$BN$4:$BN$200,"&gt;-6",$BR$4:$BR$200,"&gt;=70",$C$4:$C$200,"&lt;20190630",$K$4:$K$200,"&lt;=30"))</f>
        <v>6/39</v>
      </c>
      <c r="W133" s="33">
        <f>IF(OR($C133&gt;20190630,$K133&gt;30,S133="-",$D133="是",$E133="封闭期",$H133&lt;10,$BN133&lt;-6,$BR133&lt;70),"-",COUNTIFS(S$4:S$200,"&lt;&gt;-",$D$4:$D$200,"&lt;&gt;是",$E$4:$E$200,"&lt;&gt;封闭期",$H$4:$H$200,"&gt;10",$BN$4:$BN$200,"&gt;-6",$BR$4:$BR$200,"&gt;=70",$K$4:$K$200,"&lt;=30",$C$4:$C$200,"&lt;20190630",S$4:S$200,"&gt;="&amp;S133)/COUNTIFS(S$4:S$200,"&lt;&gt;-",$D$4:$D$200,"&lt;&gt;是",$E$4:$E$200,"&lt;&gt;封闭期",$H$4:$H$200,"&gt;10",$BN$4:$BN$200,"&gt;-6",$BR$4:$BR$200,"&gt;=70",$C$4:$C$200,"&lt;20190630",$K$4:$K$200,"&lt;=30"))</f>
        <v>0.15384615384615385</v>
      </c>
      <c r="X133" s="19">
        <f>[1]!f_risk_calmar(A133,$L$2,$E$1)</f>
        <v>5.6068820669521306</v>
      </c>
      <c r="Y133" s="12" t="str">
        <f>IFERROR(RANK(X133,X:X)&amp;"/"&amp;COUNT(X:X),"-")</f>
        <v>28/197</v>
      </c>
      <c r="Z133" s="26">
        <f>IFERROR(RANK(X133,X:X)/COUNT(X:X),"-")</f>
        <v>0.14213197969543148</v>
      </c>
      <c r="AA133" s="13" t="str">
        <f>IF(OR($C133&gt;20190630,$K133&gt;30,X133="-",$D133="是",$E133="封闭期",$H133&lt;10,$BN133&lt;-6,$BR133&lt;70),"-",COUNTIFS(X$4:X$200,"&lt;&gt;-",$D$4:$D$200,"&lt;&gt;是",$E$4:$E$200,"&lt;&gt;封闭期",$H$4:$H$200,"&gt;10",$BN$4:$BN$200,"&gt;-6",$BR$4:$BR$200,"&gt;=70",$K$4:$K$200,"&lt;=30",$C$4:$C$200,"&lt;20190630",X$4:X$200,"&gt;="&amp;X133)&amp;"/"&amp;COUNTIFS(X$4:X$200,"&lt;&gt;-",$D$4:$D$200,"&lt;&gt;是",$E$4:$E$200,"&lt;&gt;封闭期",$H$4:$H$200,"&gt;10",$BN$4:$BN$200,"&gt;-6",$BR$4:$BR$200,"&gt;=70",$C$4:$C$200,"&lt;20190630",$K$4:$K$200,"&lt;=30"))</f>
        <v>7/39</v>
      </c>
      <c r="AB133" s="33">
        <f>IF(OR($C133&gt;20190630,$K133&gt;30,X133="-",$D133="是",$E133="封闭期",$H133&lt;10,$BN133&lt;-6,$BR133&lt;70),"-",COUNTIFS(X$4:X$200,"&lt;&gt;-",$D$4:$D$200,"&lt;&gt;是",$E$4:$E$200,"&lt;&gt;封闭期",$H$4:$H$200,"&gt;10",$BN$4:$BN$200,"&gt;-6",$BR$4:$BR$200,"&gt;=70",$K$4:$K$200,"&lt;=30",$C$4:$C$200,"&lt;20190630",X$4:X$200,"&gt;="&amp;X133)/COUNTIFS(X$4:X$200,"&lt;&gt;-",$D$4:$D$200,"&lt;&gt;是",$E$4:$E$200,"&lt;&gt;封闭期",$H$4:$H$200,"&gt;10",$BN$4:$BN$200,"&gt;-6",$BR$4:$BR$200,"&gt;=70",$C$4:$C$200,"&lt;20190630",$K$4:$K$200,"&lt;=30"))</f>
        <v>0.17948717948717949</v>
      </c>
      <c r="AC133" s="20">
        <v>1</v>
      </c>
      <c r="AD133" s="12" t="str">
        <f>IFERROR(RANK(AC133,AC:AC)&amp;"/"&amp;COUNT(AC:AC),"-")</f>
        <v>1/197</v>
      </c>
      <c r="AE133" s="26">
        <f>IFERROR(RANK(AC133,AC:AC)/COUNT(AC:AC),"-")</f>
        <v>5.076142131979695E-3</v>
      </c>
      <c r="AF133" s="13" t="str">
        <f>IF(OR($C133&gt;20190630,$K133&gt;30,AC133="-",$D133="是",$E133="封闭期",$H133&lt;10,$BN133&lt;-6,$BR133&lt;70),"-",COUNTIFS(AC$4:AC$200,"&lt;&gt;-",$D$4:$D$200,"&lt;&gt;是",$E$4:$E$200,"&lt;&gt;封闭期",$H$4:$H$200,"&gt;10",$BN$4:$BN$200,"&gt;-6",$BR$4:$BR$200,"&gt;=70",$K$4:$K$200,"&lt;=30",$C$4:$C$200,"&lt;20190630",AC$4:AC$200,"&gt;="&amp;AC133)&amp;"/"&amp;COUNTIFS(AC$4:AC$200,"&lt;&gt;-",$D$4:$D$200,"&lt;&gt;是",$E$4:$E$200,"&lt;&gt;封闭期",$H$4:$H$200,"&gt;10",$BN$4:$BN$200,"&gt;-6",$BR$4:$BR$200,"&gt;=70",$C$4:$C$200,"&lt;20190630",$K$4:$K$200,"&lt;=30"))</f>
        <v>28/39</v>
      </c>
      <c r="AG133" s="33">
        <f>IF(OR($C133&gt;20190630,$K133&gt;30,AC133="-",$D133="是",$E133="封闭期",$H133&lt;10,$BN133&lt;-6,$BR133&lt;70),"-",COUNTIFS(AC$4:AC$200,"&lt;&gt;-",$D$4:$D$200,"&lt;&gt;是",$E$4:$E$200,"&lt;&gt;封闭期",$H$4:$H$200,"&gt;10",$BN$4:$BN$200,"&gt;-6",$BR$4:$BR$200,"&gt;=70",$K$4:$K$200,"&lt;=30",$C$4:$C$200,"&lt;20190630",AC$4:AC$200,"&gt;="&amp;AC133)/COUNTIFS(AC$4:AC$200,"&lt;&gt;-",$D$4:$D$200,"&lt;&gt;是",$E$4:$E$200,"&lt;&gt;封闭期",$H$4:$H$200,"&gt;10",$BN$4:$BN$200,"&gt;-6",$BR$4:$BR$200,"&gt;=70",$C$4:$C$200,"&lt;20190630",$K$4:$K$200,"&lt;=30"))</f>
        <v>0.71794871794871795</v>
      </c>
      <c r="AH133" s="21">
        <f>[1]!f_risk_maxdownside(A133,$L$2,$E$1)</f>
        <v>-1.8181818181818066</v>
      </c>
      <c r="AI133" s="19" t="str">
        <f>IFERROR(RANK(AH133,AH:AH)&amp;"/"&amp;COUNT(AH:AH),"-")</f>
        <v>53/197</v>
      </c>
      <c r="AJ133" s="26">
        <f>IFERROR(RANK(AH133,AH:AH)/COUNT(AH:AH),"-")</f>
        <v>0.26903553299492383</v>
      </c>
      <c r="AK133" s="34" t="str">
        <f>IF(OR($C133&gt;20190630,$K133&gt;30,AH133="-",$D133="是",$E133="封闭期",$H133&lt;10,$BN133&lt;-6,$BR133&lt;70),"-",COUNTIFS(AH$4:AH$200,"&lt;&gt;-",$D$4:$D$200,"&lt;&gt;是",$E$4:$E$200,"&lt;&gt;封闭期",$H$4:$H$200,"&gt;10",$BN$4:$BN$200,"&gt;-6",$BR$4:$BR$200,"&gt;=70",$K$4:$K$200,"&lt;=30",$C$4:$C$200,"&lt;20190630",AH$4:AH$200,"&gt;="&amp;AH133)&amp;"/"&amp;COUNTIFS(AH$4:AH$200,"&lt;&gt;-",$D$4:$D$200,"&lt;&gt;是",$E$4:$E$200,"&lt;&gt;封闭期",$H$4:$H$200,"&gt;10",$BN$4:$BN$200,"&gt;-6",$BR$4:$BR$200,"&gt;=70",$C$4:$C$200,"&lt;20190630",$K$4:$K$200,"&lt;=30"))</f>
        <v>12/39</v>
      </c>
      <c r="AL133" s="33">
        <f>IF(OR($C133&gt;20190630,$K133&gt;30,AH133="-",$D133="是",$E133="封闭期",$H133&lt;10,$BN133&lt;-6,$BR133&lt;70),"-",COUNTIFS(AH$4:AH$200,"&lt;&gt;-",$D$4:$D$200,"&lt;&gt;是",$E$4:$E$200,"&lt;&gt;封闭期",$H$4:$H$200,"&gt;10",$BN$4:$BN$200,"&gt;-6",$BR$4:$BR$200,"&gt;=70",$K$4:$K$200,"&lt;=30",$C$4:$C$200,"&lt;20190630",AH$4:AH$200,"&gt;="&amp;AH133)/COUNTIFS(AH$4:AH$200,"&lt;&gt;-",$D$4:$D$200,"&lt;&gt;是",$E$4:$E$200,"&lt;&gt;封闭期",$H$4:$H$200,"&gt;10",$BN$4:$BN$200,"&gt;-6",$BR$4:$BR$200,"&gt;=70",$C$4:$C$200,"&lt;20190630",$K$4:$K$200,"&lt;=30"))</f>
        <v>0.30769230769230771</v>
      </c>
      <c r="AM133" s="19">
        <f>[1]!f_return($A133,"1",AM$2,$L$2)</f>
        <v>5.3570746680042802</v>
      </c>
      <c r="AN133" s="19">
        <f>[1]!f_risk_stdevyearly($A133,AM$2,$L$2,1,1)</f>
        <v>4.4347909762214091</v>
      </c>
      <c r="AO133" s="12">
        <f>IFERROR(AM133/AN133,"-")</f>
        <v>1.2079655381117167</v>
      </c>
      <c r="AP133" s="12" t="str">
        <f>IFERROR(RANK(AO133,AO:AO)&amp;"/"&amp;COUNT(AO:AO),"-")</f>
        <v>143/197</v>
      </c>
      <c r="AQ133" s="26">
        <f>IF(AP133="-","-",RANK(AO133,AO:AO)/COUNT(AO:AO))</f>
        <v>0.7258883248730964</v>
      </c>
      <c r="AR133" s="60">
        <v>0.65989847715736039</v>
      </c>
      <c r="AS133" s="35">
        <f>IF(OR($C133&gt;20190630,$K133&gt;30,AO133="-",$D133="是",$E133="封闭期",$H133&lt;10,$BN133&lt;-6,$BR133&lt;70),"-",COUNTIFS(AO$4:AO$200,"&lt;&gt;-",$D$4:$D$200,"&lt;&gt;是",$E$4:$E$200,"&lt;&gt;封闭期",$H$4:$H$200,"&gt;10",$BN$4:$BN$200,"&gt;-6",$BR$4:$BR$200,"&gt;=70",$K$4:$K$200,"&lt;=30",$C$4:$C$200,"&lt;20190630",AO$4:AO$200,"&gt;="&amp;AO133)/COUNTIFS(AO$4:AO$200,"&lt;&gt;-",$D$4:$D$200,"&lt;&gt;是",$E$4:$E$200,"&lt;&gt;封闭期",$H$4:$H$200,"&gt;10",$BN$4:$BN$200,"&gt;-6",$BR$4:$BR$200,"&gt;=70",$C$4:$C$200,"&lt;20190630",$K$4:$K$200,"&lt;=30"))</f>
        <v>0.94871794871794868</v>
      </c>
      <c r="AT133" s="12">
        <f>IFERROR((AM133-3)/AN133,"-")</f>
        <v>0.53149622623535397</v>
      </c>
      <c r="AU133" s="12" t="str">
        <f>IFERROR(RANK(AT133,AT:AT)&amp;"/"&amp;COUNT(AT:AT),"-")</f>
        <v>136/197</v>
      </c>
      <c r="AV133" s="26">
        <f>IFERROR(RANK(AT133,AT:AT)/COUNT(AT:AT),"-")</f>
        <v>0.69035532994923854</v>
      </c>
      <c r="AW133" s="13" t="str">
        <f>IF(OR($C133&gt;20190630,$K133&gt;30,AT133="-",$D133="是",$E133="封闭期",$H133&lt;10,$BN133&lt;-6,$BR133&lt;70),"-",COUNTIFS(AT$4:AT$200,"&lt;&gt;-",$D$4:$D$200,"&lt;&gt;是",$E$4:$E$200,"&lt;&gt;封闭期",$H$4:$H$200,"&gt;10",$BN$4:$BN$200,"&gt;-6",$BR$4:$BR$200,"&gt;=70",$K$4:$K$200,"&lt;=30",$C$4:$C$200,"&lt;20190630",AT$4:AT$200,"&gt;="&amp;AT133)&amp;"/"&amp;COUNTIFS(AT$4:AT$200,"&lt;&gt;-",$D$4:$D$200,"&lt;&gt;是",$E$4:$E$200,"&lt;&gt;封闭期",$H$4:$H$200,"&gt;10",$BN$4:$BN$200,"&gt;-6",$BR$4:$BR$200,"&gt;=70",$C$4:$C$200,"&lt;20190630",$K$4:$K$200,"&lt;=30"))</f>
        <v>35/39</v>
      </c>
      <c r="AX133" s="33">
        <f>IF(OR($C133&gt;20190630,$K133&gt;30,AT133="-",$D133="是",$E133="封闭期",$H133&lt;10,$BN133&lt;-6,$BR133&lt;70),"-",COUNTIFS(AT$4:AT$200,"&lt;&gt;-",$D$4:$D$200,"&lt;&gt;是",$E$4:$E$200,"&lt;&gt;封闭期",$H$4:$H$200,"&gt;10",$BN$4:$BN$200,"&gt;-6",$BR$4:$BR$200,"&gt;=70",$K$4:$K$200,"&lt;=30",$C$4:$C$200,"&lt;20190630",AT$4:AT$200,"&gt;="&amp;AT133)/COUNTIFS(AT$4:AT$200,"&lt;&gt;-",$D$4:$D$200,"&lt;&gt;是",$E$4:$E$200,"&lt;&gt;封闭期",$H$4:$H$200,"&gt;10",$BN$4:$BN$200,"&gt;-6",$BR$4:$BR$200,"&gt;=70",$C$4:$C$200,"&lt;20190630",$K$4:$K$200,"&lt;=30"))</f>
        <v>0.89743589743589747</v>
      </c>
      <c r="AY133" s="19">
        <f>[1]!f_risk_calmar(A133,$AM$2,$L$2)</f>
        <v>1.6909125426444216</v>
      </c>
      <c r="AZ133" s="12" t="str">
        <f>IFERROR(RANK(AY133,AY:AY)&amp;"/"&amp;COUNT(AY:AY),"-")</f>
        <v>132/197</v>
      </c>
      <c r="BA133" s="26">
        <f>IFERROR(RANK(AY133,AY:AY)/COUNT(AY:AY),"-")</f>
        <v>0.67005076142131981</v>
      </c>
      <c r="BB133" s="13" t="str">
        <f>IF(OR($C133&gt;20190630,$K133&gt;30,AY133="-",$D133="是",$E133="封闭期",$H133&lt;10,$BN133&lt;-6,$BR133&lt;70),"-",COUNTIFS(AY$4:AY$200,"&lt;&gt;-",$D$4:$D$200,"&lt;&gt;是",$E$4:$E$200,"&lt;&gt;封闭期",$H$4:$H$200,"&gt;10",$BN$4:$BN$200,"&gt;-6",$BR$4:$BR$200,"&gt;=70",$K$4:$K$200,"&lt;=30",$C$4:$C$200,"&lt;20190630",AY$4:AY$200,"&gt;="&amp;AY133)&amp;"/"&amp;COUNTIFS(AY$4:AY$200,"&lt;&gt;-",$D$4:$D$200,"&lt;&gt;是",$E$4:$E$200,"&lt;&gt;封闭期",$H$4:$H$200,"&gt;10",$BN$4:$BN$200,"&gt;-6",$BR$4:$BR$200,"&gt;=70",$C$4:$C$200,"&lt;20190630",$K$4:$K$200,"&lt;=30"))</f>
        <v>31/39</v>
      </c>
      <c r="BC133" s="33">
        <f>IF(OR($C133&gt;20190630,$K133&gt;30,AY133="-",$D133="是",$E133="封闭期",$H133&lt;10,$BN133&lt;-6,$BR133&lt;70),"-",COUNTIFS(AY$4:AY$200,"&lt;&gt;-",$D$4:$D$200,"&lt;&gt;是",$E$4:$E$200,"&lt;&gt;封闭期",$H$4:$H$200,"&gt;10",$BN$4:$BN$200,"&gt;-6",$BR$4:$BR$200,"&gt;=70",$K$4:$K$200,"&lt;=30",$C$4:$C$200,"&lt;20190630",AY$4:AY$200,"&gt;="&amp;AY133)/COUNTIFS(AY$4:AY$200,"&lt;&gt;-",$D$4:$D$200,"&lt;&gt;是",$E$4:$E$200,"&lt;&gt;封闭期",$H$4:$H$200,"&gt;10",$BN$4:$BN$200,"&gt;-6",$BR$4:$BR$200,"&gt;=70",$C$4:$C$200,"&lt;20190630",$K$4:$K$200,"&lt;=30"))</f>
        <v>0.79487179487179482</v>
      </c>
      <c r="BD133" s="20">
        <v>1</v>
      </c>
      <c r="BE133" s="12" t="str">
        <f>IFERROR(RANK(BD133,BD:BD)&amp;"/"&amp;COUNT(BD:BD),"-")</f>
        <v>1/197</v>
      </c>
      <c r="BF133" s="26">
        <f>IFERROR(RANK(BD133,BD:BD)/COUNT(BD:BD),"-")</f>
        <v>5.076142131979695E-3</v>
      </c>
      <c r="BG133" s="13" t="str">
        <f>IF(OR($C133&gt;20190630,$K133&gt;30,BD133="-",$D133="是",$E133="封闭期",$H133&lt;10,$BN133&lt;-6,$BR133&lt;70),"-",COUNTIFS(BD$4:BD$200,"&lt;&gt;-",$D$4:$D$200,"&lt;&gt;是",$E$4:$E$200,"&lt;&gt;封闭期",$H$4:$H$200,"&gt;10",$BN$4:$BN$200,"&gt;-6",$BR$4:$BR$200,"&gt;=70",$K$4:$K$200,"&lt;=30",$C$4:$C$200,"&lt;20190630",BD$4:BD$200,"&gt;="&amp;BD133)&amp;"/"&amp;COUNTIFS(BD$4:BD$200,"&lt;&gt;-",$D$4:$D$200,"&lt;&gt;是",$E$4:$E$200,"&lt;&gt;封闭期",$H$4:$H$200,"&gt;10",$BN$4:$BN$200,"&gt;-6",$BR$4:$BR$200,"&gt;=70",$C$4:$C$200,"&lt;20190630",$K$4:$K$200,"&lt;=30"))</f>
        <v>35/39</v>
      </c>
      <c r="BH133" s="33">
        <f>IF(OR($C133&gt;20190630,$K133&gt;30,BD133="-",$D133="是",$E133="封闭期",$H133&lt;10,$BN133&lt;-6,$BR133&lt;70),"-",COUNTIFS(BD$4:BD$200,"&lt;&gt;-",$D$4:$D$200,"&lt;&gt;是",$E$4:$E$200,"&lt;&gt;封闭期",$H$4:$H$200,"&gt;10",$BN$4:$BN$200,"&gt;-6",$BR$4:$BR$200,"&gt;=70",$K$4:$K$200,"&lt;=30",$C$4:$C$200,"&lt;20190630",BD$4:BD$200,"&gt;="&amp;BD133)/COUNTIFS(BD$4:BD$200,"&lt;&gt;-",$D$4:$D$200,"&lt;&gt;是",$E$4:$E$200,"&lt;&gt;封闭期",$H$4:$H$200,"&gt;10",$BN$4:$BN$200,"&gt;-6",$BR$4:$BR$200,"&gt;=70",$C$4:$C$200,"&lt;20190630",$K$4:$K$200,"&lt;=30"))</f>
        <v>0.89743589743589747</v>
      </c>
      <c r="BI133" s="21">
        <f>[1]!f_risk_maxdownside(A133,$AM$2,$L$2)</f>
        <v>-3.1681559707554952</v>
      </c>
      <c r="BJ133" s="19" t="str">
        <f>IFERROR(RANK(BI133,BI:BI)&amp;"/"&amp;COUNT(BI:BI),"-")</f>
        <v>96/197</v>
      </c>
      <c r="BK133" s="26">
        <f>IFERROR(RANK(BI133,BI:BI)/COUNT(BI:BI),"-")</f>
        <v>0.48730964467005078</v>
      </c>
      <c r="BL133" s="34" t="str">
        <f>IF(OR($C133&gt;20190630,$K133&gt;30,BI133="-",$D133="是",$E133="封闭期",$H133&lt;10,$BN133&lt;-6,$BR133&lt;70),"-",COUNTIFS(BI$4:BI$200,"&lt;&gt;-",$D$4:$D$200,"&lt;&gt;是",$E$4:$E$200,"&lt;&gt;封闭期",$H$4:$H$200,"&gt;10",$BN$4:$BN$200,"&gt;-6",$BR$4:$BR$200,"&gt;=70",$K$4:$K$200,"&lt;=30",$C$4:$C$200,"&lt;20190630",BI$4:BI$200,"&gt;="&amp;BI133)&amp;"/"&amp;COUNTIFS(BI$4:BI$200,"&lt;&gt;-",$D$4:$D$200,"&lt;&gt;是",$E$4:$E$200,"&lt;&gt;封闭期",$H$4:$H$200,"&gt;10",$BN$4:$BN$200,"&gt;-6",$BR$4:$BR$200,"&gt;=70",$C$4:$C$200,"&lt;20190630",$K$4:$K$200,"&lt;=30"))</f>
        <v>20/39</v>
      </c>
      <c r="BM133" s="33">
        <f>IF(OR($C133&gt;20190630,$K133&gt;30,BI133="-",$D133="是",$E133="封闭期",$H133&lt;10,$BN133&lt;-6,$BR133&lt;70),"-",COUNTIFS(BI$4:BI$200,"&lt;&gt;-",$D$4:$D$200,"&lt;&gt;是",$E$4:$E$200,"&lt;&gt;封闭期",$H$4:$H$200,"&gt;10",$BN$4:$BN$200,"&gt;-6",$BR$4:$BR$200,"&gt;=70",$K$4:$K$200,"&lt;=30",$C$4:$C$200,"&lt;20190630",BI$4:BI$200,"&gt;="&amp;BI133)/COUNTIFS(BI$4:BI$200,"&lt;&gt;-",$D$4:$D$200,"&lt;&gt;是",$E$4:$E$200,"&lt;&gt;封闭期",$H$4:$H$200,"&gt;10",$BN$4:$BN$200,"&gt;-6",$BR$4:$BR$200,"&gt;=70",$C$4:$C$200,"&lt;20190630",$K$4:$K$200,"&lt;=30"))</f>
        <v>0.51282051282051277</v>
      </c>
      <c r="BN133" s="21">
        <f>[1]!f_risk_maxdownside(A133,$AM$2,$E$1)</f>
        <v>-3.1681559707554952</v>
      </c>
      <c r="BO133" s="14">
        <f>IF(C133&lt;20190930,[1]!f_return_2y(A133,"0","20210930"),"-")</f>
        <v>16.357504215851602</v>
      </c>
      <c r="BP133" s="12" t="str">
        <f>IFERROR(RANK(BO133,BO:BO)&amp;"/"&amp;COUNT(BO:BO),"-")</f>
        <v>73/197</v>
      </c>
      <c r="BQ133" s="25">
        <f>IFERROR(RANK(BO133,BO:BO)/COUNT(BO:BO),"-")</f>
        <v>0.37055837563451777</v>
      </c>
      <c r="BR133" s="12">
        <f>IF(C133&lt;20190930,[1]!f_absolute_profitmonthper(A133,"20190930","20210930"),"-")</f>
        <v>70.833333333333343</v>
      </c>
      <c r="BS133" s="12" t="str">
        <f>IFERROR(RANK(BR133,BR:BR)&amp;"/"&amp;COUNT(BR:BR),"-")</f>
        <v>55/198</v>
      </c>
      <c r="BT133" s="25">
        <f>IFERROR(RANK(BR133,BR:BR)/COUNT(BR:BR),"-")</f>
        <v>0.27777777777777779</v>
      </c>
      <c r="BV133" s="12">
        <f>X133-3/M133</f>
        <v>4.852262500104521</v>
      </c>
      <c r="BW133" s="76">
        <f>IFERROR(RANK(BV133,BV:BV)/COUNT(BV:BV),"-")</f>
        <v>0.1065989847715736</v>
      </c>
      <c r="BX133" s="76">
        <f>IFERROR(RANK(L133,L:L)/COUNT(L:L),"-")</f>
        <v>0.15151515151515152</v>
      </c>
      <c r="BY133" s="12">
        <f>AY133-3/AN133</f>
        <v>1.0144432307680589</v>
      </c>
      <c r="BZ133" s="76">
        <f>IFERROR(RANK(BY133,BY:BY)/COUNT(BY:BY),"-")</f>
        <v>0.67512690355329952</v>
      </c>
      <c r="CA133" s="76">
        <f>IFERROR(RANK(AM133,AM:AM)/COUNT(AM:AM),"-")</f>
        <v>0.66161616161616166</v>
      </c>
      <c r="CB133" s="2"/>
      <c r="CC133" s="77">
        <f>AV133+BF133+BZ133+CA133</f>
        <v>2.0321745372506794</v>
      </c>
      <c r="CD133" s="77">
        <f>BW133+BX133+AE133+U133</f>
        <v>0.35456083679433936</v>
      </c>
      <c r="CE133" s="77">
        <f>CC133+CD133</f>
        <v>2.3867353740450188</v>
      </c>
    </row>
    <row r="134" spans="1:83" s="17" customFormat="1" hidden="1" x14ac:dyDescent="0.35">
      <c r="A134" s="15" t="s">
        <v>131</v>
      </c>
      <c r="B134" s="15" t="s">
        <v>132</v>
      </c>
      <c r="C134" s="16">
        <v>20121226</v>
      </c>
      <c r="D134" s="16" t="str">
        <f>[1]!f_info_regulopenfundornot(A134)</f>
        <v>否</v>
      </c>
      <c r="E134" s="16" t="str">
        <f>[1]!f_dq_status(A134,$E$1)</f>
        <v>开放申购|开放赎回</v>
      </c>
      <c r="F134" s="17" t="str">
        <f>[1]!f_info_fundmanager(A134)</f>
        <v>王维</v>
      </c>
      <c r="G134" s="16">
        <v>20200512</v>
      </c>
      <c r="H134" s="18">
        <f>[1]!f_netasset_total(A134,$E$1,100000000)</f>
        <v>1.2612579910999999</v>
      </c>
      <c r="I134" s="18">
        <f>[1]!f_prt_convertiblebondtonav(A134,$E$1)</f>
        <v>0</v>
      </c>
      <c r="J134" s="18">
        <f>[1]!f_prt_stocktonav(A134,$E$1)+0.5*I134</f>
        <v>14.200032234191895</v>
      </c>
      <c r="K134" s="19">
        <v>24.278141519082901</v>
      </c>
      <c r="L134" s="19">
        <f>[1]!f_return($A134,"1",L$2,$E$1)</f>
        <v>5.3923118070300591</v>
      </c>
      <c r="M134" s="19">
        <f>[1]!f_risk_stdevyearly($A134,L$2,$E$1,1,1)</f>
        <v>4.0862872752797514</v>
      </c>
      <c r="N134" s="19">
        <f>IFERROR(L134/M134,"-")</f>
        <v>1.3196115309002341</v>
      </c>
      <c r="O134" s="19" t="str">
        <f>IFERROR(RANK(N134,N:N)&amp;"/"&amp;COUNT(N:N),"-")</f>
        <v>109/197</v>
      </c>
      <c r="P134" s="26">
        <f>IF(O134="-","-",RANK(N134,N:N)/COUNT(N:N))</f>
        <v>0.5532994923857868</v>
      </c>
      <c r="Q134" s="56">
        <v>0.54314720812182737</v>
      </c>
      <c r="R134" s="33" t="str">
        <f>IF(OR($C134&gt;20190630,$K134&gt;30,N134="-",$D134="是",$E134="封闭期",$H134&lt;10,$BN134&lt;-6,$BR134&lt;70),"-",COUNTIFS(N$4:N$200,"&lt;&gt;-",$D$4:$D$200,"&lt;&gt;是",$E$4:$E$200,"&lt;&gt;封闭期",$H$4:$H$200,"&gt;10",$BN$4:$BN$200,"&gt;-6",$BR$4:$BR$200,"&gt;=70",$K$4:$K$200,"&lt;=30",$C$4:$C$200,"&lt;20190630",N$4:N$200,"&gt;="&amp;N134)/COUNTIFS(N$4:N$200,"&lt;&gt;-",$D$4:$D$200,"&lt;&gt;是",$E$4:$E$200,"&lt;&gt;封闭期",$H$4:$H$200,"&gt;10",$BN$4:$BN$200,"&gt;-6",$BR$4:$BR$200,"&gt;=70",$C$4:$C$200,"&lt;20190630",$K$4:$K$200,"&lt;=30"))</f>
        <v>-</v>
      </c>
      <c r="S134" s="19">
        <f>IFERROR((L134-3)/M134,"-")</f>
        <v>0.58544875723801848</v>
      </c>
      <c r="T134" s="19" t="str">
        <f>IFERROR(RANK(S134,S:S)&amp;"/"&amp;COUNT(S:S),"-")</f>
        <v>112/197</v>
      </c>
      <c r="U134" s="26">
        <f>IFERROR(RANK(S134,S:S)/COUNT(S:S),"-")</f>
        <v>0.56852791878172593</v>
      </c>
      <c r="V134" s="34" t="str">
        <f>IF(OR($C134&gt;20190630,$K134&gt;30,S134="-",$D134="是",$E134="封闭期",$H134&lt;10,$BN134&lt;-6,$BR134&lt;70),"-",COUNTIFS(S$4:S$200,"&lt;&gt;-",$D$4:$D$200,"&lt;&gt;是",$E$4:$E$200,"&lt;&gt;封闭期",$H$4:$H$200,"&gt;10",$BN$4:$BN$200,"&gt;-6",$BR$4:$BR$200,"&gt;=70",$K$4:$K$200,"&lt;=30",$C$4:$C$200,"&lt;20190630",S$4:S$200,"&gt;="&amp;S134)&amp;"/"&amp;COUNTIFS(S$4:S$200,"&lt;&gt;-",$D$4:$D$200,"&lt;&gt;是",$E$4:$E$200,"&lt;&gt;封闭期",$H$4:$H$200,"&gt;10",$BN$4:$BN$200,"&gt;-6",$BR$4:$BR$200,"&gt;=70",$C$4:$C$200,"&lt;20190630",$K$4:$K$200,"&lt;=30"))</f>
        <v>-</v>
      </c>
      <c r="W134" s="33" t="str">
        <f>IF(OR($C134&gt;20190630,$K134&gt;30,S134="-",$D134="是",$E134="封闭期",$H134&lt;10,$BN134&lt;-6,$BR134&lt;70),"-",COUNTIFS(S$4:S$200,"&lt;&gt;-",$D$4:$D$200,"&lt;&gt;是",$E$4:$E$200,"&lt;&gt;封闭期",$H$4:$H$200,"&gt;10",$BN$4:$BN$200,"&gt;-6",$BR$4:$BR$200,"&gt;=70",$K$4:$K$200,"&lt;=30",$C$4:$C$200,"&lt;20190630",S$4:S$200,"&gt;="&amp;S134)/COUNTIFS(S$4:S$200,"&lt;&gt;-",$D$4:$D$200,"&lt;&gt;是",$E$4:$E$200,"&lt;&gt;封闭期",$H$4:$H$200,"&gt;10",$BN$4:$BN$200,"&gt;-6",$BR$4:$BR$200,"&gt;=70",$C$4:$C$200,"&lt;20190630",$K$4:$K$200,"&lt;=30"))</f>
        <v>-</v>
      </c>
      <c r="X134" s="19">
        <f>[1]!f_risk_calmar(A134,$L$2,$E$1)</f>
        <v>2.5124094801746248</v>
      </c>
      <c r="Y134" s="19" t="str">
        <f>IFERROR(RANK(X134,X:X)&amp;"/"&amp;COUNT(X:X),"-")</f>
        <v>71/197</v>
      </c>
      <c r="Z134" s="26">
        <f>IFERROR(RANK(X134,X:X)/COUNT(X:X),"-")</f>
        <v>0.3604060913705584</v>
      </c>
      <c r="AA134" s="34" t="str">
        <f>IF(OR($C134&gt;20190630,$K134&gt;30,X134="-",$D134="是",$E134="封闭期",$H134&lt;10,$BN134&lt;-6,$BR134&lt;70),"-",COUNTIFS(X$4:X$200,"&lt;&gt;-",$D$4:$D$200,"&lt;&gt;是",$E$4:$E$200,"&lt;&gt;封闭期",$H$4:$H$200,"&gt;10",$BN$4:$BN$200,"&gt;-6",$BR$4:$BR$200,"&gt;=70",$K$4:$K$200,"&lt;=30",$C$4:$C$200,"&lt;20190630",X$4:X$200,"&gt;="&amp;X134)&amp;"/"&amp;COUNTIFS(X$4:X$200,"&lt;&gt;-",$D$4:$D$200,"&lt;&gt;是",$E$4:$E$200,"&lt;&gt;封闭期",$H$4:$H$200,"&gt;10",$BN$4:$BN$200,"&gt;-6",$BR$4:$BR$200,"&gt;=70",$C$4:$C$200,"&lt;20190630",$K$4:$K$200,"&lt;=30"))</f>
        <v>-</v>
      </c>
      <c r="AB134" s="33" t="str">
        <f>IF(OR($C134&gt;20190630,$K134&gt;30,X134="-",$D134="是",$E134="封闭期",$H134&lt;10,$BN134&lt;-6,$BR134&lt;70),"-",COUNTIFS(X$4:X$200,"&lt;&gt;-",$D$4:$D$200,"&lt;&gt;是",$E$4:$E$200,"&lt;&gt;封闭期",$H$4:$H$200,"&gt;10",$BN$4:$BN$200,"&gt;-6",$BR$4:$BR$200,"&gt;=70",$K$4:$K$200,"&lt;=30",$C$4:$C$200,"&lt;20190630",X$4:X$200,"&gt;="&amp;X134)/COUNTIFS(X$4:X$200,"&lt;&gt;-",$D$4:$D$200,"&lt;&gt;是",$E$4:$E$200,"&lt;&gt;封闭期",$H$4:$H$200,"&gt;10",$BN$4:$BN$200,"&gt;-6",$BR$4:$BR$200,"&gt;=70",$C$4:$C$200,"&lt;20190630",$K$4:$K$200,"&lt;=30"))</f>
        <v>-</v>
      </c>
      <c r="AC134" s="20">
        <v>0.94117647058823528</v>
      </c>
      <c r="AD134" s="19" t="str">
        <f>IFERROR(RANK(AC134,AC:AC)&amp;"/"&amp;COUNT(AC:AC),"-")</f>
        <v>115/197</v>
      </c>
      <c r="AE134" s="26">
        <f>IFERROR(RANK(AC134,AC:AC)/COUNT(AC:AC),"-")</f>
        <v>0.58375634517766495</v>
      </c>
      <c r="AF134" s="34" t="str">
        <f>IF(OR($C134&gt;20190630,$K134&gt;30,AC134="-",$D134="是",$E134="封闭期",$H134&lt;10,$BN134&lt;-6,$BR134&lt;70),"-",COUNTIFS(AC$4:AC$200,"&lt;&gt;-",$D$4:$D$200,"&lt;&gt;是",$E$4:$E$200,"&lt;&gt;封闭期",$H$4:$H$200,"&gt;10",$BN$4:$BN$200,"&gt;-6",$BR$4:$BR$200,"&gt;=70",$K$4:$K$200,"&lt;=30",$C$4:$C$200,"&lt;20190630",AC$4:AC$200,"&gt;="&amp;AC134)&amp;"/"&amp;COUNTIFS(AC$4:AC$200,"&lt;&gt;-",$D$4:$D$200,"&lt;&gt;是",$E$4:$E$200,"&lt;&gt;封闭期",$H$4:$H$200,"&gt;10",$BN$4:$BN$200,"&gt;-6",$BR$4:$BR$200,"&gt;=70",$C$4:$C$200,"&lt;20190630",$K$4:$K$200,"&lt;=30"))</f>
        <v>-</v>
      </c>
      <c r="AG134" s="33" t="str">
        <f>IF(OR($C134&gt;20190630,$K134&gt;30,AC134="-",$D134="是",$E134="封闭期",$H134&lt;10,$BN134&lt;-6,$BR134&lt;70),"-",COUNTIFS(AC$4:AC$200,"&lt;&gt;-",$D$4:$D$200,"&lt;&gt;是",$E$4:$E$200,"&lt;&gt;封闭期",$H$4:$H$200,"&gt;10",$BN$4:$BN$200,"&gt;-6",$BR$4:$BR$200,"&gt;=70",$K$4:$K$200,"&lt;=30",$C$4:$C$200,"&lt;20190630",AC$4:AC$200,"&gt;="&amp;AC134)/COUNTIFS(AC$4:AC$200,"&lt;&gt;-",$D$4:$D$200,"&lt;&gt;是",$E$4:$E$200,"&lt;&gt;封闭期",$H$4:$H$200,"&gt;10",$BN$4:$BN$200,"&gt;-6",$BR$4:$BR$200,"&gt;=70",$C$4:$C$200,"&lt;20190630",$K$4:$K$200,"&lt;=30"))</f>
        <v>-</v>
      </c>
      <c r="AH134" s="21">
        <f>[1]!f_risk_maxdownside(A134,$L$2,$E$1)</f>
        <v>-2.1462710794481108</v>
      </c>
      <c r="AI134" s="19" t="str">
        <f>IFERROR(RANK(AH134,AH:AH)&amp;"/"&amp;COUNT(AH:AH),"-")</f>
        <v>61/197</v>
      </c>
      <c r="AJ134" s="26">
        <f>IFERROR(RANK(AH134,AH:AH)/COUNT(AH:AH),"-")</f>
        <v>0.30964467005076141</v>
      </c>
      <c r="AK134" s="34" t="str">
        <f>IF(OR($C134&gt;20190630,$K134&gt;30,AH134="-",$D134="是",$E134="封闭期",$H134&lt;10,$BN134&lt;-6,$BR134&lt;70),"-",COUNTIFS(AH$4:AH$200,"&lt;&gt;-",$D$4:$D$200,"&lt;&gt;是",$E$4:$E$200,"&lt;&gt;封闭期",$H$4:$H$200,"&gt;10",$BN$4:$BN$200,"&gt;-6",$BR$4:$BR$200,"&gt;=70",$K$4:$K$200,"&lt;=30",$C$4:$C$200,"&lt;20190630",AH$4:AH$200,"&gt;="&amp;AH134)&amp;"/"&amp;COUNTIFS(AH$4:AH$200,"&lt;&gt;-",$D$4:$D$200,"&lt;&gt;是",$E$4:$E$200,"&lt;&gt;封闭期",$H$4:$H$200,"&gt;10",$BN$4:$BN$200,"&gt;-6",$BR$4:$BR$200,"&gt;=70",$C$4:$C$200,"&lt;20190630",$K$4:$K$200,"&lt;=30"))</f>
        <v>-</v>
      </c>
      <c r="AL134" s="33" t="str">
        <f>IF(OR($C134&gt;20190630,$K134&gt;30,AH134="-",$D134="是",$E134="封闭期",$H134&lt;10,$BN134&lt;-6,$BR134&lt;70),"-",COUNTIFS(AH$4:AH$200,"&lt;&gt;-",$D$4:$D$200,"&lt;&gt;是",$E$4:$E$200,"&lt;&gt;封闭期",$H$4:$H$200,"&gt;10",$BN$4:$BN$200,"&gt;-6",$BR$4:$BR$200,"&gt;=70",$K$4:$K$200,"&lt;=30",$C$4:$C$200,"&lt;20190630",AH$4:AH$200,"&gt;="&amp;AH134)/COUNTIFS(AH$4:AH$200,"&lt;&gt;-",$D$4:$D$200,"&lt;&gt;是",$E$4:$E$200,"&lt;&gt;封闭期",$H$4:$H$200,"&gt;10",$BN$4:$BN$200,"&gt;-6",$BR$4:$BR$200,"&gt;=70",$C$4:$C$200,"&lt;20190630",$K$4:$K$200,"&lt;=30"))</f>
        <v>-</v>
      </c>
      <c r="AM134" s="19">
        <f>[1]!f_return($A134,"1",AM$2,$L$2)</f>
        <v>5.3397725126469897</v>
      </c>
      <c r="AN134" s="19">
        <f>[1]!f_risk_stdevyearly($A134,AM$2,$L$2,1,1)</f>
        <v>2.4005807493488986</v>
      </c>
      <c r="AO134" s="19">
        <f>IFERROR(AM134/AN134,"-")</f>
        <v>2.2243669637421188</v>
      </c>
      <c r="AP134" s="19" t="str">
        <f>IFERROR(RANK(AO134,AO:AO)&amp;"/"&amp;COUNT(AO:AO),"-")</f>
        <v>30/197</v>
      </c>
      <c r="AQ134" s="26">
        <f>IF(AP134="-","-",RANK(AO134,AO:AO)/COUNT(AO:AO))</f>
        <v>0.15228426395939088</v>
      </c>
      <c r="AR134" s="57">
        <v>0.6649746192893401</v>
      </c>
      <c r="AS134" s="33" t="str">
        <f>IF(OR($C134&gt;20190630,$K134&gt;30,AO134="-",$D134="是",$E134="封闭期",$H134&lt;10,$BN134&lt;-6,$BR134&lt;70),"-",COUNTIFS(AO$4:AO$200,"&lt;&gt;-",$D$4:$D$200,"&lt;&gt;是",$E$4:$E$200,"&lt;&gt;封闭期",$H$4:$H$200,"&gt;10",$BN$4:$BN$200,"&gt;-6",$BR$4:$BR$200,"&gt;=70",$K$4:$K$200,"&lt;=30",$C$4:$C$200,"&lt;20190630",AO$4:AO$200,"&gt;="&amp;AO134)/COUNTIFS(AO$4:AO$200,"&lt;&gt;-",$D$4:$D$200,"&lt;&gt;是",$E$4:$E$200,"&lt;&gt;封闭期",$H$4:$H$200,"&gt;10",$BN$4:$BN$200,"&gt;-6",$BR$4:$BR$200,"&gt;=70",$C$4:$C$200,"&lt;20190630",$K$4:$K$200,"&lt;=30"))</f>
        <v>-</v>
      </c>
      <c r="AT134" s="19">
        <f>IFERROR((AM134-3)/AN134,"-")</f>
        <v>0.97466936418681116</v>
      </c>
      <c r="AU134" s="19" t="str">
        <f>IFERROR(RANK(AT134,AT:AT)&amp;"/"&amp;COUNT(AT:AT),"-")</f>
        <v>88/197</v>
      </c>
      <c r="AV134" s="26">
        <f>IFERROR(RANK(AT134,AT:AT)/COUNT(AT:AT),"-")</f>
        <v>0.4467005076142132</v>
      </c>
      <c r="AW134" s="34" t="str">
        <f>IF(OR($C134&gt;20190630,$K134&gt;30,AT134="-",$D134="是",$E134="封闭期",$H134&lt;10,$BN134&lt;-6,$BR134&lt;70),"-",COUNTIFS(AT$4:AT$200,"&lt;&gt;-",$D$4:$D$200,"&lt;&gt;是",$E$4:$E$200,"&lt;&gt;封闭期",$H$4:$H$200,"&gt;10",$BN$4:$BN$200,"&gt;-6",$BR$4:$BR$200,"&gt;=70",$K$4:$K$200,"&lt;=30",$C$4:$C$200,"&lt;20190630",AT$4:AT$200,"&gt;="&amp;AT134)&amp;"/"&amp;COUNTIFS(AT$4:AT$200,"&lt;&gt;-",$D$4:$D$200,"&lt;&gt;是",$E$4:$E$200,"&lt;&gt;封闭期",$H$4:$H$200,"&gt;10",$BN$4:$BN$200,"&gt;-6",$BR$4:$BR$200,"&gt;=70",$C$4:$C$200,"&lt;20190630",$K$4:$K$200,"&lt;=30"))</f>
        <v>-</v>
      </c>
      <c r="AX134" s="33" t="str">
        <f>IF(OR($C134&gt;20190630,$K134&gt;30,AT134="-",$D134="是",$E134="封闭期",$H134&lt;10,$BN134&lt;-6,$BR134&lt;70),"-",COUNTIFS(AT$4:AT$200,"&lt;&gt;-",$D$4:$D$200,"&lt;&gt;是",$E$4:$E$200,"&lt;&gt;封闭期",$H$4:$H$200,"&gt;10",$BN$4:$BN$200,"&gt;-6",$BR$4:$BR$200,"&gt;=70",$K$4:$K$200,"&lt;=30",$C$4:$C$200,"&lt;20190630",AT$4:AT$200,"&gt;="&amp;AT134)/COUNTIFS(AT$4:AT$200,"&lt;&gt;-",$D$4:$D$200,"&lt;&gt;是",$E$4:$E$200,"&lt;&gt;封闭期",$H$4:$H$200,"&gt;10",$BN$4:$BN$200,"&gt;-6",$BR$4:$BR$200,"&gt;=70",$C$4:$C$200,"&lt;20190630",$K$4:$K$200,"&lt;=30"))</f>
        <v>-</v>
      </c>
      <c r="AY134" s="19">
        <f>[1]!f_risk_calmar(A134,$AM$2,$L$2)</f>
        <v>4.7553407179557352</v>
      </c>
      <c r="AZ134" s="19" t="str">
        <f>IFERROR(RANK(AY134,AY:AY)&amp;"/"&amp;COUNT(AY:AY),"-")</f>
        <v>14/197</v>
      </c>
      <c r="BA134" s="26">
        <f>IFERROR(RANK(AY134,AY:AY)/COUNT(AY:AY),"-")</f>
        <v>7.1065989847715741E-2</v>
      </c>
      <c r="BB134" s="34" t="str">
        <f>IF(OR($C134&gt;20190630,$K134&gt;30,AY134="-",$D134="是",$E134="封闭期",$H134&lt;10,$BN134&lt;-6,$BR134&lt;70),"-",COUNTIFS(AY$4:AY$200,"&lt;&gt;-",$D$4:$D$200,"&lt;&gt;是",$E$4:$E$200,"&lt;&gt;封闭期",$H$4:$H$200,"&gt;10",$BN$4:$BN$200,"&gt;-6",$BR$4:$BR$200,"&gt;=70",$K$4:$K$200,"&lt;=30",$C$4:$C$200,"&lt;20190630",AY$4:AY$200,"&gt;="&amp;AY134)&amp;"/"&amp;COUNTIFS(AY$4:AY$200,"&lt;&gt;-",$D$4:$D$200,"&lt;&gt;是",$E$4:$E$200,"&lt;&gt;封闭期",$H$4:$H$200,"&gt;10",$BN$4:$BN$200,"&gt;-6",$BR$4:$BR$200,"&gt;=70",$C$4:$C$200,"&lt;20190630",$K$4:$K$200,"&lt;=30"))</f>
        <v>-</v>
      </c>
      <c r="BC134" s="33" t="str">
        <f>IF(OR($C134&gt;20190630,$K134&gt;30,AY134="-",$D134="是",$E134="封闭期",$H134&lt;10,$BN134&lt;-6,$BR134&lt;70),"-",COUNTIFS(AY$4:AY$200,"&lt;&gt;-",$D$4:$D$200,"&lt;&gt;是",$E$4:$E$200,"&lt;&gt;封闭期",$H$4:$H$200,"&gt;10",$BN$4:$BN$200,"&gt;-6",$BR$4:$BR$200,"&gt;=70",$K$4:$K$200,"&lt;=30",$C$4:$C$200,"&lt;20190630",AY$4:AY$200,"&gt;="&amp;AY134)/COUNTIFS(AY$4:AY$200,"&lt;&gt;-",$D$4:$D$200,"&lt;&gt;是",$E$4:$E$200,"&lt;&gt;封闭期",$H$4:$H$200,"&gt;10",$BN$4:$BN$200,"&gt;-6",$BR$4:$BR$200,"&gt;=70",$C$4:$C$200,"&lt;20190630",$K$4:$K$200,"&lt;=30"))</f>
        <v>-</v>
      </c>
      <c r="BD134" s="20">
        <v>1</v>
      </c>
      <c r="BE134" s="19" t="str">
        <f>IFERROR(RANK(BD134,BD:BD)&amp;"/"&amp;COUNT(BD:BD),"-")</f>
        <v>1/197</v>
      </c>
      <c r="BF134" s="26">
        <f>IFERROR(RANK(BD134,BD:BD)/COUNT(BD:BD),"-")</f>
        <v>5.076142131979695E-3</v>
      </c>
      <c r="BG134" s="34" t="str">
        <f>IF(OR($C134&gt;20190630,$K134&gt;30,BD134="-",$D134="是",$E134="封闭期",$H134&lt;10,$BN134&lt;-6,$BR134&lt;70),"-",COUNTIFS(BD$4:BD$200,"&lt;&gt;-",$D$4:$D$200,"&lt;&gt;是",$E$4:$E$200,"&lt;&gt;封闭期",$H$4:$H$200,"&gt;10",$BN$4:$BN$200,"&gt;-6",$BR$4:$BR$200,"&gt;=70",$K$4:$K$200,"&lt;=30",$C$4:$C$200,"&lt;20190630",BD$4:BD$200,"&gt;="&amp;BD134)&amp;"/"&amp;COUNTIFS(BD$4:BD$200,"&lt;&gt;-",$D$4:$D$200,"&lt;&gt;是",$E$4:$E$200,"&lt;&gt;封闭期",$H$4:$H$200,"&gt;10",$BN$4:$BN$200,"&gt;-6",$BR$4:$BR$200,"&gt;=70",$C$4:$C$200,"&lt;20190630",$K$4:$K$200,"&lt;=30"))</f>
        <v>-</v>
      </c>
      <c r="BH134" s="33" t="str">
        <f>IF(OR($C134&gt;20190630,$K134&gt;30,BD134="-",$D134="是",$E134="封闭期",$H134&lt;10,$BN134&lt;-6,$BR134&lt;70),"-",COUNTIFS(BD$4:BD$200,"&lt;&gt;-",$D$4:$D$200,"&lt;&gt;是",$E$4:$E$200,"&lt;&gt;封闭期",$H$4:$H$200,"&gt;10",$BN$4:$BN$200,"&gt;-6",$BR$4:$BR$200,"&gt;=70",$K$4:$K$200,"&lt;=30",$C$4:$C$200,"&lt;20190630",BD$4:BD$200,"&gt;="&amp;BD134)/COUNTIFS(BD$4:BD$200,"&lt;&gt;-",$D$4:$D$200,"&lt;&gt;是",$E$4:$E$200,"&lt;&gt;封闭期",$H$4:$H$200,"&gt;10",$BN$4:$BN$200,"&gt;-6",$BR$4:$BR$200,"&gt;=70",$C$4:$C$200,"&lt;20190630",$K$4:$K$200,"&lt;=30"))</f>
        <v>-</v>
      </c>
      <c r="BI134" s="21">
        <f>[1]!f_risk_maxdownside(A134,$AM$2,$L$2)</f>
        <v>-1.1229000884173226</v>
      </c>
      <c r="BJ134" s="19" t="str">
        <f>IFERROR(RANK(BI134,BI:BI)&amp;"/"&amp;COUNT(BI:BI),"-")</f>
        <v>6/197</v>
      </c>
      <c r="BK134" s="26">
        <f>IFERROR(RANK(BI134,BI:BI)/COUNT(BI:BI),"-")</f>
        <v>3.0456852791878174E-2</v>
      </c>
      <c r="BL134" s="34" t="str">
        <f>IF(OR($C134&gt;20190630,$K134&gt;30,BI134="-",$D134="是",$E134="封闭期",$H134&lt;10,$BN134&lt;-6,$BR134&lt;70),"-",COUNTIFS(BI$4:BI$200,"&lt;&gt;-",$D$4:$D$200,"&lt;&gt;是",$E$4:$E$200,"&lt;&gt;封闭期",$H$4:$H$200,"&gt;10",$BN$4:$BN$200,"&gt;-6",$BR$4:$BR$200,"&gt;=70",$K$4:$K$200,"&lt;=30",$C$4:$C$200,"&lt;20190630",BI$4:BI$200,"&gt;="&amp;BI134)&amp;"/"&amp;COUNTIFS(BI$4:BI$200,"&lt;&gt;-",$D$4:$D$200,"&lt;&gt;是",$E$4:$E$200,"&lt;&gt;封闭期",$H$4:$H$200,"&gt;10",$BN$4:$BN$200,"&gt;-6",$BR$4:$BR$200,"&gt;=70",$C$4:$C$200,"&lt;20190630",$K$4:$K$200,"&lt;=30"))</f>
        <v>-</v>
      </c>
      <c r="BM134" s="33" t="str">
        <f>IF(OR($C134&gt;20190630,$K134&gt;30,BI134="-",$D134="是",$E134="封闭期",$H134&lt;10,$BN134&lt;-6,$BR134&lt;70),"-",COUNTIFS(BI$4:BI$200,"&lt;&gt;-",$D$4:$D$200,"&lt;&gt;是",$E$4:$E$200,"&lt;&gt;封闭期",$H$4:$H$200,"&gt;10",$BN$4:$BN$200,"&gt;-6",$BR$4:$BR$200,"&gt;=70",$K$4:$K$200,"&lt;=30",$C$4:$C$200,"&lt;20190630",BI$4:BI$200,"&gt;="&amp;BI134)/COUNTIFS(BI$4:BI$200,"&lt;&gt;-",$D$4:$D$200,"&lt;&gt;是",$E$4:$E$200,"&lt;&gt;封闭期",$H$4:$H$200,"&gt;10",$BN$4:$BN$200,"&gt;-6",$BR$4:$BR$200,"&gt;=70",$C$4:$C$200,"&lt;20190630",$K$4:$K$200,"&lt;=30"))</f>
        <v>-</v>
      </c>
      <c r="BN134" s="21">
        <f>[1]!f_risk_maxdownside(A134,$AM$2,$E$1)</f>
        <v>-2.1462710794481108</v>
      </c>
      <c r="BO134" s="21">
        <f>IF(C134&lt;20190930,[1]!f_return_2y(A134,"0","20210930"),"-")</f>
        <v>11.007618871885057</v>
      </c>
      <c r="BP134" s="19" t="str">
        <f>IFERROR(RANK(BO134,BO:BO)&amp;"/"&amp;COUNT(BO:BO),"-")</f>
        <v>130/197</v>
      </c>
      <c r="BQ134" s="25">
        <f>IFERROR(RANK(BO134,BO:BO)/COUNT(BO:BO),"-")</f>
        <v>0.65989847715736039</v>
      </c>
      <c r="BR134" s="19">
        <f>IF(C134&lt;20190930,[1]!f_absolute_profitmonthper(A134,"20190930","20210930"),"-")</f>
        <v>83.333333333333343</v>
      </c>
      <c r="BS134" s="19" t="str">
        <f>IFERROR(RANK(BR134,BR:BR)&amp;"/"&amp;COUNT(BR:BR),"-")</f>
        <v>4/198</v>
      </c>
      <c r="BT134" s="25">
        <f>IFERROR(RANK(BR134,BR:BR)/COUNT(BR:BR),"-")</f>
        <v>2.0202020202020204E-2</v>
      </c>
      <c r="BV134" s="12">
        <f>X134-3/M134</f>
        <v>1.7782467065124092</v>
      </c>
      <c r="BW134" s="76">
        <f>IFERROR(RANK(BV134,BV:BV)/COUNT(BV:BV),"-")</f>
        <v>0.37563451776649748</v>
      </c>
      <c r="BX134" s="76">
        <f>IFERROR(RANK(L134,L:L)/COUNT(L:L),"-")</f>
        <v>0.54545454545454541</v>
      </c>
      <c r="BY134" s="12">
        <f>AY134-3/AN134</f>
        <v>3.5056431184004277</v>
      </c>
      <c r="BZ134" s="76">
        <f>IFERROR(RANK(BY134,BY:BY)/COUNT(BY:BY),"-")</f>
        <v>9.6446700507614211E-2</v>
      </c>
      <c r="CA134" s="76">
        <f>IFERROR(RANK(AM134,AM:AM)/COUNT(AM:AM),"-")</f>
        <v>0.66666666666666663</v>
      </c>
      <c r="CB134" s="2"/>
      <c r="CC134" s="77">
        <f>AV134+BF134+BZ134+CA134</f>
        <v>1.2148900169204737</v>
      </c>
      <c r="CD134" s="77">
        <f>BW134+BX134+AE134+U134</f>
        <v>2.0733733271804335</v>
      </c>
      <c r="CE134" s="77">
        <f>CC134+CD134</f>
        <v>3.2882633441009075</v>
      </c>
    </row>
    <row r="135" spans="1:83" s="17" customFormat="1" x14ac:dyDescent="0.35">
      <c r="A135" s="3" t="s">
        <v>287</v>
      </c>
      <c r="B135" s="3" t="s">
        <v>288</v>
      </c>
      <c r="C135" s="4">
        <v>20080310</v>
      </c>
      <c r="D135" s="4" t="str">
        <f>[1]!f_info_regulopenfundornot(A135)</f>
        <v>否</v>
      </c>
      <c r="E135" s="4" t="str">
        <f>[1]!f_dq_status(A135,$E$1)</f>
        <v>开放申购|开放赎回</v>
      </c>
      <c r="F135" s="17" t="str">
        <f>[1]!f_info_fundmanager(A135)</f>
        <v>何家琪</v>
      </c>
      <c r="G135" s="4">
        <v>20170908</v>
      </c>
      <c r="H135" s="11">
        <f>[1]!f_netasset_total(A135,$E$1,100000000)</f>
        <v>35.695800965499998</v>
      </c>
      <c r="I135" s="11">
        <f>[1]!f_prt_convertiblebondtonav(A135,$E$1)</f>
        <v>2.2299978733062744</v>
      </c>
      <c r="J135" s="11">
        <f>[1]!f_prt_stocktonav(A135,$E$1)+0.5*I135</f>
        <v>8.6122819185256958</v>
      </c>
      <c r="K135" s="12">
        <v>14.97940893711251</v>
      </c>
      <c r="L135" s="19">
        <f>[1]!f_return($A135,"1",L$2,$E$1)</f>
        <v>7.0810129338199079</v>
      </c>
      <c r="M135" s="19">
        <f>[1]!f_risk_stdevyearly($A135,L$2,$E$1,1,1)</f>
        <v>2.8940229885028672</v>
      </c>
      <c r="N135" s="12">
        <f>IFERROR(L135/M135,"-")</f>
        <v>2.4467714879773812</v>
      </c>
      <c r="O135" s="12" t="str">
        <f>IFERROR(RANK(N135,N:N)&amp;"/"&amp;COUNT(N:N),"-")</f>
        <v>32/197</v>
      </c>
      <c r="P135" s="26">
        <f>IF(O135="-","-",RANK(N135,N:N)/COUNT(N:N))</f>
        <v>0.16243654822335024</v>
      </c>
      <c r="Q135" s="58">
        <v>0.37055837563451777</v>
      </c>
      <c r="R135" s="33">
        <f>IF(OR($C135&gt;20190630,$K135&gt;30,N135="-",$D135="是",$E135="封闭期",$H135&lt;10,$BN135&lt;-6,$BR135&lt;70),"-",COUNTIFS(N$4:N$200,"&lt;&gt;-",$D$4:$D$200,"&lt;&gt;是",$E$4:$E$200,"&lt;&gt;封闭期",$H$4:$H$200,"&gt;10",$BN$4:$BN$200,"&gt;-6",$BR$4:$BR$200,"&gt;=70",$K$4:$K$200,"&lt;=30",$C$4:$C$200,"&lt;20190630",N$4:N$200,"&gt;="&amp;N135)/COUNTIFS(N$4:N$200,"&lt;&gt;-",$D$4:$D$200,"&lt;&gt;是",$E$4:$E$200,"&lt;&gt;封闭期",$H$4:$H$200,"&gt;10",$BN$4:$BN$200,"&gt;-6",$BR$4:$BR$200,"&gt;=70",$C$4:$C$200,"&lt;20190630",$K$4:$K$200,"&lt;=30"))</f>
        <v>0.25641025641025639</v>
      </c>
      <c r="S135" s="12">
        <f>IFERROR((L135-3)/M135,"-")</f>
        <v>1.4101522171843883</v>
      </c>
      <c r="T135" s="12" t="str">
        <f>IFERROR(RANK(S135,S:S)&amp;"/"&amp;COUNT(S:S),"-")</f>
        <v>33/197</v>
      </c>
      <c r="U135" s="26">
        <f>IFERROR(RANK(S135,S:S)/COUNT(S:S),"-")</f>
        <v>0.16751269035532995</v>
      </c>
      <c r="V135" s="13" t="str">
        <f>IF(OR($C135&gt;20190630,$K135&gt;30,S135="-",$D135="是",$E135="封闭期",$H135&lt;10,$BN135&lt;-6,$BR135&lt;70),"-",COUNTIFS(S$4:S$200,"&lt;&gt;-",$D$4:$D$200,"&lt;&gt;是",$E$4:$E$200,"&lt;&gt;封闭期",$H$4:$H$200,"&gt;10",$BN$4:$BN$200,"&gt;-6",$BR$4:$BR$200,"&gt;=70",$K$4:$K$200,"&lt;=30",$C$4:$C$200,"&lt;20190630",S$4:S$200,"&gt;="&amp;S135)&amp;"/"&amp;COUNTIFS(S$4:S$200,"&lt;&gt;-",$D$4:$D$200,"&lt;&gt;是",$E$4:$E$200,"&lt;&gt;封闭期",$H$4:$H$200,"&gt;10",$BN$4:$BN$200,"&gt;-6",$BR$4:$BR$200,"&gt;=70",$C$4:$C$200,"&lt;20190630",$K$4:$K$200,"&lt;=30"))</f>
        <v>11/39</v>
      </c>
      <c r="W135" s="33">
        <f>IF(OR($C135&gt;20190630,$K135&gt;30,S135="-",$D135="是",$E135="封闭期",$H135&lt;10,$BN135&lt;-6,$BR135&lt;70),"-",COUNTIFS(S$4:S$200,"&lt;&gt;-",$D$4:$D$200,"&lt;&gt;是",$E$4:$E$200,"&lt;&gt;封闭期",$H$4:$H$200,"&gt;10",$BN$4:$BN$200,"&gt;-6",$BR$4:$BR$200,"&gt;=70",$K$4:$K$200,"&lt;=30",$C$4:$C$200,"&lt;20190630",S$4:S$200,"&gt;="&amp;S135)/COUNTIFS(S$4:S$200,"&lt;&gt;-",$D$4:$D$200,"&lt;&gt;是",$E$4:$E$200,"&lt;&gt;封闭期",$H$4:$H$200,"&gt;10",$BN$4:$BN$200,"&gt;-6",$BR$4:$BR$200,"&gt;=70",$C$4:$C$200,"&lt;20190630",$K$4:$K$200,"&lt;=30"))</f>
        <v>0.28205128205128205</v>
      </c>
      <c r="X135" s="19">
        <f>[1]!f_risk_calmar(A135,$L$2,$E$1)</f>
        <v>4.2115167401623852</v>
      </c>
      <c r="Y135" s="12" t="str">
        <f>IFERROR(RANK(X135,X:X)&amp;"/"&amp;COUNT(X:X),"-")</f>
        <v>43/197</v>
      </c>
      <c r="Z135" s="26">
        <f>IFERROR(RANK(X135,X:X)/COUNT(X:X),"-")</f>
        <v>0.21827411167512689</v>
      </c>
      <c r="AA135" s="13" t="str">
        <f>IF(OR($C135&gt;20190630,$K135&gt;30,X135="-",$D135="是",$E135="封闭期",$H135&lt;10,$BN135&lt;-6,$BR135&lt;70),"-",COUNTIFS(X$4:X$200,"&lt;&gt;-",$D$4:$D$200,"&lt;&gt;是",$E$4:$E$200,"&lt;&gt;封闭期",$H$4:$H$200,"&gt;10",$BN$4:$BN$200,"&gt;-6",$BR$4:$BR$200,"&gt;=70",$K$4:$K$200,"&lt;=30",$C$4:$C$200,"&lt;20190630",X$4:X$200,"&gt;="&amp;X135)&amp;"/"&amp;COUNTIFS(X$4:X$200,"&lt;&gt;-",$D$4:$D$200,"&lt;&gt;是",$E$4:$E$200,"&lt;&gt;封闭期",$H$4:$H$200,"&gt;10",$BN$4:$BN$200,"&gt;-6",$BR$4:$BR$200,"&gt;=70",$C$4:$C$200,"&lt;20190630",$K$4:$K$200,"&lt;=30"))</f>
        <v>13/39</v>
      </c>
      <c r="AB135" s="33">
        <f>IF(OR($C135&gt;20190630,$K135&gt;30,X135="-",$D135="是",$E135="封闭期",$H135&lt;10,$BN135&lt;-6,$BR135&lt;70),"-",COUNTIFS(X$4:X$200,"&lt;&gt;-",$D$4:$D$200,"&lt;&gt;是",$E$4:$E$200,"&lt;&gt;封闭期",$H$4:$H$200,"&gt;10",$BN$4:$BN$200,"&gt;-6",$BR$4:$BR$200,"&gt;=70",$K$4:$K$200,"&lt;=30",$C$4:$C$200,"&lt;20190630",X$4:X$200,"&gt;="&amp;X135)/COUNTIFS(X$4:X$200,"&lt;&gt;-",$D$4:$D$200,"&lt;&gt;是",$E$4:$E$200,"&lt;&gt;封闭期",$H$4:$H$200,"&gt;10",$BN$4:$BN$200,"&gt;-6",$BR$4:$BR$200,"&gt;=70",$C$4:$C$200,"&lt;20190630",$K$4:$K$200,"&lt;=30"))</f>
        <v>0.33333333333333331</v>
      </c>
      <c r="AC135" s="20">
        <v>1</v>
      </c>
      <c r="AD135" s="12" t="str">
        <f>IFERROR(RANK(AC135,AC:AC)&amp;"/"&amp;COUNT(AC:AC),"-")</f>
        <v>1/197</v>
      </c>
      <c r="AE135" s="26">
        <f>IFERROR(RANK(AC135,AC:AC)/COUNT(AC:AC),"-")</f>
        <v>5.076142131979695E-3</v>
      </c>
      <c r="AF135" s="13" t="str">
        <f>IF(OR($C135&gt;20190630,$K135&gt;30,AC135="-",$D135="是",$E135="封闭期",$H135&lt;10,$BN135&lt;-6,$BR135&lt;70),"-",COUNTIFS(AC$4:AC$200,"&lt;&gt;-",$D$4:$D$200,"&lt;&gt;是",$E$4:$E$200,"&lt;&gt;封闭期",$H$4:$H$200,"&gt;10",$BN$4:$BN$200,"&gt;-6",$BR$4:$BR$200,"&gt;=70",$K$4:$K$200,"&lt;=30",$C$4:$C$200,"&lt;20190630",AC$4:AC$200,"&gt;="&amp;AC135)&amp;"/"&amp;COUNTIFS(AC$4:AC$200,"&lt;&gt;-",$D$4:$D$200,"&lt;&gt;是",$E$4:$E$200,"&lt;&gt;封闭期",$H$4:$H$200,"&gt;10",$BN$4:$BN$200,"&gt;-6",$BR$4:$BR$200,"&gt;=70",$C$4:$C$200,"&lt;20190630",$K$4:$K$200,"&lt;=30"))</f>
        <v>28/39</v>
      </c>
      <c r="AG135" s="33">
        <f>IF(OR($C135&gt;20190630,$K135&gt;30,AC135="-",$D135="是",$E135="封闭期",$H135&lt;10,$BN135&lt;-6,$BR135&lt;70),"-",COUNTIFS(AC$4:AC$200,"&lt;&gt;-",$D$4:$D$200,"&lt;&gt;是",$E$4:$E$200,"&lt;&gt;封闭期",$H$4:$H$200,"&gt;10",$BN$4:$BN$200,"&gt;-6",$BR$4:$BR$200,"&gt;=70",$K$4:$K$200,"&lt;=30",$C$4:$C$200,"&lt;20190630",AC$4:AC$200,"&gt;="&amp;AC135)/COUNTIFS(AC$4:AC$200,"&lt;&gt;-",$D$4:$D$200,"&lt;&gt;是",$E$4:$E$200,"&lt;&gt;封闭期",$H$4:$H$200,"&gt;10",$BN$4:$BN$200,"&gt;-6",$BR$4:$BR$200,"&gt;=70",$C$4:$C$200,"&lt;20190630",$K$4:$K$200,"&lt;=30"))</f>
        <v>0.71794871794871795</v>
      </c>
      <c r="AH135" s="21">
        <f>[1]!f_risk_maxdownside(A135,$L$2,$E$1)</f>
        <v>-1.6813450760608595</v>
      </c>
      <c r="AI135" s="19" t="str">
        <f>IFERROR(RANK(AH135,AH:AH)&amp;"/"&amp;COUNT(AH:AH),"-")</f>
        <v>49/197</v>
      </c>
      <c r="AJ135" s="26">
        <f>IFERROR(RANK(AH135,AH:AH)/COUNT(AH:AH),"-")</f>
        <v>0.24873096446700507</v>
      </c>
      <c r="AK135" s="34" t="str">
        <f>IF(OR($C135&gt;20190630,$K135&gt;30,AH135="-",$D135="是",$E135="封闭期",$H135&lt;10,$BN135&lt;-6,$BR135&lt;70),"-",COUNTIFS(AH$4:AH$200,"&lt;&gt;-",$D$4:$D$200,"&lt;&gt;是",$E$4:$E$200,"&lt;&gt;封闭期",$H$4:$H$200,"&gt;10",$BN$4:$BN$200,"&gt;-6",$BR$4:$BR$200,"&gt;=70",$K$4:$K$200,"&lt;=30",$C$4:$C$200,"&lt;20190630",AH$4:AH$200,"&gt;="&amp;AH135)&amp;"/"&amp;COUNTIFS(AH$4:AH$200,"&lt;&gt;-",$D$4:$D$200,"&lt;&gt;是",$E$4:$E$200,"&lt;&gt;封闭期",$H$4:$H$200,"&gt;10",$BN$4:$BN$200,"&gt;-6",$BR$4:$BR$200,"&gt;=70",$C$4:$C$200,"&lt;20190630",$K$4:$K$200,"&lt;=30"))</f>
        <v>10/39</v>
      </c>
      <c r="AL135" s="33">
        <f>IF(OR($C135&gt;20190630,$K135&gt;30,AH135="-",$D135="是",$E135="封闭期",$H135&lt;10,$BN135&lt;-6,$BR135&lt;70),"-",COUNTIFS(AH$4:AH$200,"&lt;&gt;-",$D$4:$D$200,"&lt;&gt;是",$E$4:$E$200,"&lt;&gt;封闭期",$H$4:$H$200,"&gt;10",$BN$4:$BN$200,"&gt;-6",$BR$4:$BR$200,"&gt;=70",$K$4:$K$200,"&lt;=30",$C$4:$C$200,"&lt;20190630",AH$4:AH$200,"&gt;="&amp;AH135)/COUNTIFS(AH$4:AH$200,"&lt;&gt;-",$D$4:$D$200,"&lt;&gt;是",$E$4:$E$200,"&lt;&gt;封闭期",$H$4:$H$200,"&gt;10",$BN$4:$BN$200,"&gt;-6",$BR$4:$BR$200,"&gt;=70",$C$4:$C$200,"&lt;20190630",$K$4:$K$200,"&lt;=30"))</f>
        <v>0.25641025641025639</v>
      </c>
      <c r="AM135" s="19">
        <f>[1]!f_return($A135,"1",AM$2,$L$2)</f>
        <v>5.3396878526160041</v>
      </c>
      <c r="AN135" s="19">
        <f>[1]!f_risk_stdevyearly($A135,AM$2,$L$2,1,1)</f>
        <v>3.0924959695157681</v>
      </c>
      <c r="AO135" s="12">
        <f>IFERROR(AM135/AN135,"-")</f>
        <v>1.7266595996411622</v>
      </c>
      <c r="AP135" s="12" t="str">
        <f>IFERROR(RANK(AO135,AO:AO)&amp;"/"&amp;COUNT(AO:AO),"-")</f>
        <v>78/197</v>
      </c>
      <c r="AQ135" s="26">
        <f>IF(AP135="-","-",RANK(AO135,AO:AO)/COUNT(AO:AO))</f>
        <v>0.39593908629441626</v>
      </c>
      <c r="AR135" s="60">
        <v>0.67005076142131981</v>
      </c>
      <c r="AS135" s="35">
        <f>IF(OR($C135&gt;20190630,$K135&gt;30,AO135="-",$D135="是",$E135="封闭期",$H135&lt;10,$BN135&lt;-6,$BR135&lt;70),"-",COUNTIFS(AO$4:AO$200,"&lt;&gt;-",$D$4:$D$200,"&lt;&gt;是",$E$4:$E$200,"&lt;&gt;封闭期",$H$4:$H$200,"&gt;10",$BN$4:$BN$200,"&gt;-6",$BR$4:$BR$200,"&gt;=70",$K$4:$K$200,"&lt;=30",$C$4:$C$200,"&lt;20190630",AO$4:AO$200,"&gt;="&amp;AO135)/COUNTIFS(AO$4:AO$200,"&lt;&gt;-",$D$4:$D$200,"&lt;&gt;是",$E$4:$E$200,"&lt;&gt;封闭期",$H$4:$H$200,"&gt;10",$BN$4:$BN$200,"&gt;-6",$BR$4:$BR$200,"&gt;=70",$C$4:$C$200,"&lt;20190630",$K$4:$K$200,"&lt;=30"))</f>
        <v>0.64102564102564108</v>
      </c>
      <c r="AT135" s="12">
        <f>IFERROR((AM135-3)/AN135,"-")</f>
        <v>0.75656941049541904</v>
      </c>
      <c r="AU135" s="12" t="str">
        <f>IFERROR(RANK(AT135,AT:AT)&amp;"/"&amp;COUNT(AT:AT),"-")</f>
        <v>114/197</v>
      </c>
      <c r="AV135" s="26">
        <f>IFERROR(RANK(AT135,AT:AT)/COUNT(AT:AT),"-")</f>
        <v>0.57868020304568524</v>
      </c>
      <c r="AW135" s="13" t="str">
        <f>IF(OR($C135&gt;20190630,$K135&gt;30,AT135="-",$D135="是",$E135="封闭期",$H135&lt;10,$BN135&lt;-6,$BR135&lt;70),"-",COUNTIFS(AT$4:AT$200,"&lt;&gt;-",$D$4:$D$200,"&lt;&gt;是",$E$4:$E$200,"&lt;&gt;封闭期",$H$4:$H$200,"&gt;10",$BN$4:$BN$200,"&gt;-6",$BR$4:$BR$200,"&gt;=70",$K$4:$K$200,"&lt;=30",$C$4:$C$200,"&lt;20190630",AT$4:AT$200,"&gt;="&amp;AT135)&amp;"/"&amp;COUNTIFS(AT$4:AT$200,"&lt;&gt;-",$D$4:$D$200,"&lt;&gt;是",$E$4:$E$200,"&lt;&gt;封闭期",$H$4:$H$200,"&gt;10",$BN$4:$BN$200,"&gt;-6",$BR$4:$BR$200,"&gt;=70",$C$4:$C$200,"&lt;20190630",$K$4:$K$200,"&lt;=30"))</f>
        <v>28/39</v>
      </c>
      <c r="AX135" s="33">
        <f>IF(OR($C135&gt;20190630,$K135&gt;30,AT135="-",$D135="是",$E135="封闭期",$H135&lt;10,$BN135&lt;-6,$BR135&lt;70),"-",COUNTIFS(AT$4:AT$200,"&lt;&gt;-",$D$4:$D$200,"&lt;&gt;是",$E$4:$E$200,"&lt;&gt;封闭期",$H$4:$H$200,"&gt;10",$BN$4:$BN$200,"&gt;-6",$BR$4:$BR$200,"&gt;=70",$K$4:$K$200,"&lt;=30",$C$4:$C$200,"&lt;20190630",AT$4:AT$200,"&gt;="&amp;AT135)/COUNTIFS(AT$4:AT$200,"&lt;&gt;-",$D$4:$D$200,"&lt;&gt;是",$E$4:$E$200,"&lt;&gt;封闭期",$H$4:$H$200,"&gt;10",$BN$4:$BN$200,"&gt;-6",$BR$4:$BR$200,"&gt;=70",$C$4:$C$200,"&lt;20190630",$K$4:$K$200,"&lt;=30"))</f>
        <v>0.71794871794871795</v>
      </c>
      <c r="AY135" s="19">
        <f>[1]!f_risk_calmar(A135,$AM$2,$L$2)</f>
        <v>3.4117795016188674</v>
      </c>
      <c r="AZ135" s="12" t="str">
        <f>IFERROR(RANK(AY135,AY:AY)&amp;"/"&amp;COUNT(AY:AY),"-")</f>
        <v>34/197</v>
      </c>
      <c r="BA135" s="26">
        <f>IFERROR(RANK(AY135,AY:AY)/COUNT(AY:AY),"-")</f>
        <v>0.17258883248730963</v>
      </c>
      <c r="BB135" s="13" t="str">
        <f>IF(OR($C135&gt;20190630,$K135&gt;30,AY135="-",$D135="是",$E135="封闭期",$H135&lt;10,$BN135&lt;-6,$BR135&lt;70),"-",COUNTIFS(AY$4:AY$200,"&lt;&gt;-",$D$4:$D$200,"&lt;&gt;是",$E$4:$E$200,"&lt;&gt;封闭期",$H$4:$H$200,"&gt;10",$BN$4:$BN$200,"&gt;-6",$BR$4:$BR$200,"&gt;=70",$K$4:$K$200,"&lt;=30",$C$4:$C$200,"&lt;20190630",AY$4:AY$200,"&gt;="&amp;AY135)&amp;"/"&amp;COUNTIFS(AY$4:AY$200,"&lt;&gt;-",$D$4:$D$200,"&lt;&gt;是",$E$4:$E$200,"&lt;&gt;封闭期",$H$4:$H$200,"&gt;10",$BN$4:$BN$200,"&gt;-6",$BR$4:$BR$200,"&gt;=70",$C$4:$C$200,"&lt;20190630",$K$4:$K$200,"&lt;=30"))</f>
        <v>13/39</v>
      </c>
      <c r="BC135" s="33">
        <f>IF(OR($C135&gt;20190630,$K135&gt;30,AY135="-",$D135="是",$E135="封闭期",$H135&lt;10,$BN135&lt;-6,$BR135&lt;70),"-",COUNTIFS(AY$4:AY$200,"&lt;&gt;-",$D$4:$D$200,"&lt;&gt;是",$E$4:$E$200,"&lt;&gt;封闭期",$H$4:$H$200,"&gt;10",$BN$4:$BN$200,"&gt;-6",$BR$4:$BR$200,"&gt;=70",$K$4:$K$200,"&lt;=30",$C$4:$C$200,"&lt;20190630",AY$4:AY$200,"&gt;="&amp;AY135)/COUNTIFS(AY$4:AY$200,"&lt;&gt;-",$D$4:$D$200,"&lt;&gt;是",$E$4:$E$200,"&lt;&gt;封闭期",$H$4:$H$200,"&gt;10",$BN$4:$BN$200,"&gt;-6",$BR$4:$BR$200,"&gt;=70",$C$4:$C$200,"&lt;20190630",$K$4:$K$200,"&lt;=30"))</f>
        <v>0.33333333333333331</v>
      </c>
      <c r="BD135" s="20">
        <v>1</v>
      </c>
      <c r="BE135" s="12" t="str">
        <f>IFERROR(RANK(BD135,BD:BD)&amp;"/"&amp;COUNT(BD:BD),"-")</f>
        <v>1/197</v>
      </c>
      <c r="BF135" s="26">
        <f>IFERROR(RANK(BD135,BD:BD)/COUNT(BD:BD),"-")</f>
        <v>5.076142131979695E-3</v>
      </c>
      <c r="BG135" s="13" t="str">
        <f>IF(OR($C135&gt;20190630,$K135&gt;30,BD135="-",$D135="是",$E135="封闭期",$H135&lt;10,$BN135&lt;-6,$BR135&lt;70),"-",COUNTIFS(BD$4:BD$200,"&lt;&gt;-",$D$4:$D$200,"&lt;&gt;是",$E$4:$E$200,"&lt;&gt;封闭期",$H$4:$H$200,"&gt;10",$BN$4:$BN$200,"&gt;-6",$BR$4:$BR$200,"&gt;=70",$K$4:$K$200,"&lt;=30",$C$4:$C$200,"&lt;20190630",BD$4:BD$200,"&gt;="&amp;BD135)&amp;"/"&amp;COUNTIFS(BD$4:BD$200,"&lt;&gt;-",$D$4:$D$200,"&lt;&gt;是",$E$4:$E$200,"&lt;&gt;封闭期",$H$4:$H$200,"&gt;10",$BN$4:$BN$200,"&gt;-6",$BR$4:$BR$200,"&gt;=70",$C$4:$C$200,"&lt;20190630",$K$4:$K$200,"&lt;=30"))</f>
        <v>35/39</v>
      </c>
      <c r="BH135" s="33">
        <f>IF(OR($C135&gt;20190630,$K135&gt;30,BD135="-",$D135="是",$E135="封闭期",$H135&lt;10,$BN135&lt;-6,$BR135&lt;70),"-",COUNTIFS(BD$4:BD$200,"&lt;&gt;-",$D$4:$D$200,"&lt;&gt;是",$E$4:$E$200,"&lt;&gt;封闭期",$H$4:$H$200,"&gt;10",$BN$4:$BN$200,"&gt;-6",$BR$4:$BR$200,"&gt;=70",$K$4:$K$200,"&lt;=30",$C$4:$C$200,"&lt;20190630",BD$4:BD$200,"&gt;="&amp;BD135)/COUNTIFS(BD$4:BD$200,"&lt;&gt;-",$D$4:$D$200,"&lt;&gt;是",$E$4:$E$200,"&lt;&gt;封闭期",$H$4:$H$200,"&gt;10",$BN$4:$BN$200,"&gt;-6",$BR$4:$BR$200,"&gt;=70",$C$4:$C$200,"&lt;20190630",$K$4:$K$200,"&lt;=30"))</f>
        <v>0.89743589743589747</v>
      </c>
      <c r="BI135" s="21">
        <f>[1]!f_risk_maxdownside(A135,$AM$2,$L$2)</f>
        <v>-1.565074135090605</v>
      </c>
      <c r="BJ135" s="19" t="str">
        <f>IFERROR(RANK(BI135,BI:BI)&amp;"/"&amp;COUNT(BI:BI),"-")</f>
        <v>19/197</v>
      </c>
      <c r="BK135" s="26">
        <f>IFERROR(RANK(BI135,BI:BI)/COUNT(BI:BI),"-")</f>
        <v>9.6446700507614211E-2</v>
      </c>
      <c r="BL135" s="34" t="str">
        <f>IF(OR($C135&gt;20190630,$K135&gt;30,BI135="-",$D135="是",$E135="封闭期",$H135&lt;10,$BN135&lt;-6,$BR135&lt;70),"-",COUNTIFS(BI$4:BI$200,"&lt;&gt;-",$D$4:$D$200,"&lt;&gt;是",$E$4:$E$200,"&lt;&gt;封闭期",$H$4:$H$200,"&gt;10",$BN$4:$BN$200,"&gt;-6",$BR$4:$BR$200,"&gt;=70",$K$4:$K$200,"&lt;=30",$C$4:$C$200,"&lt;20190630",BI$4:BI$200,"&gt;="&amp;BI135)&amp;"/"&amp;COUNTIFS(BI$4:BI$200,"&lt;&gt;-",$D$4:$D$200,"&lt;&gt;是",$E$4:$E$200,"&lt;&gt;封闭期",$H$4:$H$200,"&gt;10",$BN$4:$BN$200,"&gt;-6",$BR$4:$BR$200,"&gt;=70",$C$4:$C$200,"&lt;20190630",$K$4:$K$200,"&lt;=30"))</f>
        <v>5/39</v>
      </c>
      <c r="BM135" s="33">
        <f>IF(OR($C135&gt;20190630,$K135&gt;30,BI135="-",$D135="是",$E135="封闭期",$H135&lt;10,$BN135&lt;-6,$BR135&lt;70),"-",COUNTIFS(BI$4:BI$200,"&lt;&gt;-",$D$4:$D$200,"&lt;&gt;是",$E$4:$E$200,"&lt;&gt;封闭期",$H$4:$H$200,"&gt;10",$BN$4:$BN$200,"&gt;-6",$BR$4:$BR$200,"&gt;=70",$K$4:$K$200,"&lt;=30",$C$4:$C$200,"&lt;20190630",BI$4:BI$200,"&gt;="&amp;BI135)/COUNTIFS(BI$4:BI$200,"&lt;&gt;-",$D$4:$D$200,"&lt;&gt;是",$E$4:$E$200,"&lt;&gt;封闭期",$H$4:$H$200,"&gt;10",$BN$4:$BN$200,"&gt;-6",$BR$4:$BR$200,"&gt;=70",$C$4:$C$200,"&lt;20190630",$K$4:$K$200,"&lt;=30"))</f>
        <v>0.12820512820512819</v>
      </c>
      <c r="BN135" s="21">
        <f>[1]!f_risk_maxdownside(A135,$AM$2,$E$1)</f>
        <v>-1.6813450760608595</v>
      </c>
      <c r="BO135" s="14">
        <f>IF(C135&lt;20190930,[1]!f_return_2y(A135,"0","20210930"),"-")</f>
        <v>12.951541850220263</v>
      </c>
      <c r="BP135" s="12" t="str">
        <f>IFERROR(RANK(BO135,BO:BO)&amp;"/"&amp;COUNT(BO:BO),"-")</f>
        <v>107/197</v>
      </c>
      <c r="BQ135" s="25">
        <f>IFERROR(RANK(BO135,BO:BO)/COUNT(BO:BO),"-")</f>
        <v>0.54314720812182737</v>
      </c>
      <c r="BR135" s="12">
        <f>IF(C135&lt;20190930,[1]!f_absolute_profitmonthper(A135,"20190930","20210930"),"-")</f>
        <v>83.333333333333343</v>
      </c>
      <c r="BS135" s="12" t="str">
        <f>IFERROR(RANK(BR135,BR:BR)&amp;"/"&amp;COUNT(BR:BR),"-")</f>
        <v>4/198</v>
      </c>
      <c r="BT135" s="25">
        <f>IFERROR(RANK(BR135,BR:BR)/COUNT(BR:BR),"-")</f>
        <v>2.0202020202020204E-2</v>
      </c>
      <c r="BV135" s="12">
        <f>X135-3/M135</f>
        <v>3.1748974693693923</v>
      </c>
      <c r="BW135" s="76">
        <f>IFERROR(RANK(BV135,BV:BV)/COUNT(BV:BV),"-")</f>
        <v>0.19796954314720813</v>
      </c>
      <c r="BX135" s="76">
        <f>IFERROR(RANK(L135,L:L)/COUNT(L:L),"-")</f>
        <v>0.37373737373737376</v>
      </c>
      <c r="BY135" s="12">
        <f>AY135-3/AN135</f>
        <v>2.441689312473124</v>
      </c>
      <c r="BZ135" s="76">
        <f>IFERROR(RANK(BY135,BY:BY)/COUNT(BY:BY),"-")</f>
        <v>0.20812182741116753</v>
      </c>
      <c r="CA135" s="76">
        <f>IFERROR(RANK(AM135,AM:AM)/COUNT(AM:AM),"-")</f>
        <v>0.67171717171717171</v>
      </c>
      <c r="CB135" s="2"/>
      <c r="CC135" s="77">
        <f>AV135+BF135+BZ135+CA135</f>
        <v>1.4635953443060041</v>
      </c>
      <c r="CD135" s="77">
        <f>BW135+BX135+AE135+U135</f>
        <v>0.74429574937189158</v>
      </c>
      <c r="CE135" s="77">
        <f>CC135+CD135</f>
        <v>2.2078910936778957</v>
      </c>
    </row>
    <row r="136" spans="1:83" s="17" customFormat="1" hidden="1" x14ac:dyDescent="0.35">
      <c r="A136" s="15" t="s">
        <v>271</v>
      </c>
      <c r="B136" s="15" t="s">
        <v>272</v>
      </c>
      <c r="C136" s="16">
        <v>20160826</v>
      </c>
      <c r="D136" s="16" t="str">
        <f>[1]!f_info_regulopenfundornot(A136)</f>
        <v>否</v>
      </c>
      <c r="E136" s="16" t="str">
        <f>[1]!f_dq_status(A136,$E$1)</f>
        <v>开放申购|开放赎回</v>
      </c>
      <c r="F136" s="17" t="str">
        <f>[1]!f_info_fundmanager(A136)</f>
        <v>范文静</v>
      </c>
      <c r="G136" s="16">
        <v>20210915</v>
      </c>
      <c r="H136" s="18">
        <f>[1]!f_netasset_total(A136,$E$1,100000000)</f>
        <v>3.2319529773000002</v>
      </c>
      <c r="I136" s="18">
        <f>[1]!f_prt_convertiblebondtonav(A136,$E$1)</f>
        <v>7.3651442527770996</v>
      </c>
      <c r="J136" s="18">
        <f>[1]!f_prt_stocktonav(A136,$E$1)+0.5*I136</f>
        <v>16.409516096115112</v>
      </c>
      <c r="K136" s="19">
        <v>23.689236983874981</v>
      </c>
      <c r="L136" s="19">
        <f>[1]!f_return($A136,"1",L$2,$E$1)</f>
        <v>5.6244611438091674</v>
      </c>
      <c r="M136" s="19">
        <f>[1]!f_risk_stdevyearly($A136,L$2,$E$1,1,1)</f>
        <v>3.5545464408052605</v>
      </c>
      <c r="N136" s="19">
        <f>IFERROR(L136/M136,"-")</f>
        <v>1.5823287830036004</v>
      </c>
      <c r="O136" s="19" t="str">
        <f>IFERROR(RANK(N136,N:N)&amp;"/"&amp;COUNT(N:N),"-")</f>
        <v>83/197</v>
      </c>
      <c r="P136" s="26">
        <f>IF(O136="-","-",RANK(N136,N:N)/COUNT(N:N))</f>
        <v>0.42131979695431471</v>
      </c>
      <c r="Q136" s="56">
        <v>0.50761421319796951</v>
      </c>
      <c r="R136" s="33" t="str">
        <f>IF(OR($C136&gt;20190630,$K136&gt;30,N136="-",$D136="是",$E136="封闭期",$H136&lt;10,$BN136&lt;-6,$BR136&lt;70),"-",COUNTIFS(N$4:N$200,"&lt;&gt;-",$D$4:$D$200,"&lt;&gt;是",$E$4:$E$200,"&lt;&gt;封闭期",$H$4:$H$200,"&gt;10",$BN$4:$BN$200,"&gt;-6",$BR$4:$BR$200,"&gt;=70",$K$4:$K$200,"&lt;=30",$C$4:$C$200,"&lt;20190630",N$4:N$200,"&gt;="&amp;N136)/COUNTIFS(N$4:N$200,"&lt;&gt;-",$D$4:$D$200,"&lt;&gt;是",$E$4:$E$200,"&lt;&gt;封闭期",$H$4:$H$200,"&gt;10",$BN$4:$BN$200,"&gt;-6",$BR$4:$BR$200,"&gt;=70",$C$4:$C$200,"&lt;20190630",$K$4:$K$200,"&lt;=30"))</f>
        <v>-</v>
      </c>
      <c r="S136" s="19">
        <f>IFERROR((L136-3)/M136,"-")</f>
        <v>0.73833924735967493</v>
      </c>
      <c r="T136" s="19" t="str">
        <f>IFERROR(RANK(S136,S:S)&amp;"/"&amp;COUNT(S:S),"-")</f>
        <v>98/197</v>
      </c>
      <c r="U136" s="26">
        <f>IFERROR(RANK(S136,S:S)/COUNT(S:S),"-")</f>
        <v>0.49746192893401014</v>
      </c>
      <c r="V136" s="34" t="str">
        <f>IF(OR($C136&gt;20190630,$K136&gt;30,S136="-",$D136="是",$E136="封闭期",$H136&lt;10,$BN136&lt;-6,$BR136&lt;70),"-",COUNTIFS(S$4:S$200,"&lt;&gt;-",$D$4:$D$200,"&lt;&gt;是",$E$4:$E$200,"&lt;&gt;封闭期",$H$4:$H$200,"&gt;10",$BN$4:$BN$200,"&gt;-6",$BR$4:$BR$200,"&gt;=70",$K$4:$K$200,"&lt;=30",$C$4:$C$200,"&lt;20190630",S$4:S$200,"&gt;="&amp;S136)&amp;"/"&amp;COUNTIFS(S$4:S$200,"&lt;&gt;-",$D$4:$D$200,"&lt;&gt;是",$E$4:$E$200,"&lt;&gt;封闭期",$H$4:$H$200,"&gt;10",$BN$4:$BN$200,"&gt;-6",$BR$4:$BR$200,"&gt;=70",$C$4:$C$200,"&lt;20190630",$K$4:$K$200,"&lt;=30"))</f>
        <v>-</v>
      </c>
      <c r="W136" s="33" t="str">
        <f>IF(OR($C136&gt;20190630,$K136&gt;30,S136="-",$D136="是",$E136="封闭期",$H136&lt;10,$BN136&lt;-6,$BR136&lt;70),"-",COUNTIFS(S$4:S$200,"&lt;&gt;-",$D$4:$D$200,"&lt;&gt;是",$E$4:$E$200,"&lt;&gt;封闭期",$H$4:$H$200,"&gt;10",$BN$4:$BN$200,"&gt;-6",$BR$4:$BR$200,"&gt;=70",$K$4:$K$200,"&lt;=30",$C$4:$C$200,"&lt;20190630",S$4:S$200,"&gt;="&amp;S136)/COUNTIFS(S$4:S$200,"&lt;&gt;-",$D$4:$D$200,"&lt;&gt;是",$E$4:$E$200,"&lt;&gt;封闭期",$H$4:$H$200,"&gt;10",$BN$4:$BN$200,"&gt;-6",$BR$4:$BR$200,"&gt;=70",$C$4:$C$200,"&lt;20190630",$K$4:$K$200,"&lt;=30"))</f>
        <v>-</v>
      </c>
      <c r="X136" s="19">
        <f>[1]!f_risk_calmar(A136,$L$2,$E$1)</f>
        <v>2.9879949826486309</v>
      </c>
      <c r="Y136" s="19" t="str">
        <f>IFERROR(RANK(X136,X:X)&amp;"/"&amp;COUNT(X:X),"-")</f>
        <v>63/197</v>
      </c>
      <c r="Z136" s="26">
        <f>IFERROR(RANK(X136,X:X)/COUNT(X:X),"-")</f>
        <v>0.31979695431472083</v>
      </c>
      <c r="AA136" s="34" t="str">
        <f>IF(OR($C136&gt;20190630,$K136&gt;30,X136="-",$D136="是",$E136="封闭期",$H136&lt;10,$BN136&lt;-6,$BR136&lt;70),"-",COUNTIFS(X$4:X$200,"&lt;&gt;-",$D$4:$D$200,"&lt;&gt;是",$E$4:$E$200,"&lt;&gt;封闭期",$H$4:$H$200,"&gt;10",$BN$4:$BN$200,"&gt;-6",$BR$4:$BR$200,"&gt;=70",$K$4:$K$200,"&lt;=30",$C$4:$C$200,"&lt;20190630",X$4:X$200,"&gt;="&amp;X136)&amp;"/"&amp;COUNTIFS(X$4:X$200,"&lt;&gt;-",$D$4:$D$200,"&lt;&gt;是",$E$4:$E$200,"&lt;&gt;封闭期",$H$4:$H$200,"&gt;10",$BN$4:$BN$200,"&gt;-6",$BR$4:$BR$200,"&gt;=70",$C$4:$C$200,"&lt;20190630",$K$4:$K$200,"&lt;=30"))</f>
        <v>-</v>
      </c>
      <c r="AB136" s="33" t="str">
        <f>IF(OR($C136&gt;20190630,$K136&gt;30,X136="-",$D136="是",$E136="封闭期",$H136&lt;10,$BN136&lt;-6,$BR136&lt;70),"-",COUNTIFS(X$4:X$200,"&lt;&gt;-",$D$4:$D$200,"&lt;&gt;是",$E$4:$E$200,"&lt;&gt;封闭期",$H$4:$H$200,"&gt;10",$BN$4:$BN$200,"&gt;-6",$BR$4:$BR$200,"&gt;=70",$K$4:$K$200,"&lt;=30",$C$4:$C$200,"&lt;20190630",X$4:X$200,"&gt;="&amp;X136)/COUNTIFS(X$4:X$200,"&lt;&gt;-",$D$4:$D$200,"&lt;&gt;是",$E$4:$E$200,"&lt;&gt;封闭期",$H$4:$H$200,"&gt;10",$BN$4:$BN$200,"&gt;-6",$BR$4:$BR$200,"&gt;=70",$C$4:$C$200,"&lt;20190630",$K$4:$K$200,"&lt;=30"))</f>
        <v>-</v>
      </c>
      <c r="AC136" s="20">
        <v>1</v>
      </c>
      <c r="AD136" s="19" t="str">
        <f>IFERROR(RANK(AC136,AC:AC)&amp;"/"&amp;COUNT(AC:AC),"-")</f>
        <v>1/197</v>
      </c>
      <c r="AE136" s="26">
        <f>IFERROR(RANK(AC136,AC:AC)/COUNT(AC:AC),"-")</f>
        <v>5.076142131979695E-3</v>
      </c>
      <c r="AF136" s="34" t="str">
        <f>IF(OR($C136&gt;20190630,$K136&gt;30,AC136="-",$D136="是",$E136="封闭期",$H136&lt;10,$BN136&lt;-6,$BR136&lt;70),"-",COUNTIFS(AC$4:AC$200,"&lt;&gt;-",$D$4:$D$200,"&lt;&gt;是",$E$4:$E$200,"&lt;&gt;封闭期",$H$4:$H$200,"&gt;10",$BN$4:$BN$200,"&gt;-6",$BR$4:$BR$200,"&gt;=70",$K$4:$K$200,"&lt;=30",$C$4:$C$200,"&lt;20190630",AC$4:AC$200,"&gt;="&amp;AC136)&amp;"/"&amp;COUNTIFS(AC$4:AC$200,"&lt;&gt;-",$D$4:$D$200,"&lt;&gt;是",$E$4:$E$200,"&lt;&gt;封闭期",$H$4:$H$200,"&gt;10",$BN$4:$BN$200,"&gt;-6",$BR$4:$BR$200,"&gt;=70",$C$4:$C$200,"&lt;20190630",$K$4:$K$200,"&lt;=30"))</f>
        <v>-</v>
      </c>
      <c r="AG136" s="33" t="str">
        <f>IF(OR($C136&gt;20190630,$K136&gt;30,AC136="-",$D136="是",$E136="封闭期",$H136&lt;10,$BN136&lt;-6,$BR136&lt;70),"-",COUNTIFS(AC$4:AC$200,"&lt;&gt;-",$D$4:$D$200,"&lt;&gt;是",$E$4:$E$200,"&lt;&gt;封闭期",$H$4:$H$200,"&gt;10",$BN$4:$BN$200,"&gt;-6",$BR$4:$BR$200,"&gt;=70",$K$4:$K$200,"&lt;=30",$C$4:$C$200,"&lt;20190630",AC$4:AC$200,"&gt;="&amp;AC136)/COUNTIFS(AC$4:AC$200,"&lt;&gt;-",$D$4:$D$200,"&lt;&gt;是",$E$4:$E$200,"&lt;&gt;封闭期",$H$4:$H$200,"&gt;10",$BN$4:$BN$200,"&gt;-6",$BR$4:$BR$200,"&gt;=70",$C$4:$C$200,"&lt;20190630",$K$4:$K$200,"&lt;=30"))</f>
        <v>-</v>
      </c>
      <c r="AH136" s="21">
        <f>[1]!f_risk_maxdownside(A136,$L$2,$E$1)</f>
        <v>-1.8823529411764639</v>
      </c>
      <c r="AI136" s="19" t="str">
        <f>IFERROR(RANK(AH136,AH:AH)&amp;"/"&amp;COUNT(AH:AH),"-")</f>
        <v>54/197</v>
      </c>
      <c r="AJ136" s="26">
        <f>IFERROR(RANK(AH136,AH:AH)/COUNT(AH:AH),"-")</f>
        <v>0.27411167512690354</v>
      </c>
      <c r="AK136" s="34" t="str">
        <f>IF(OR($C136&gt;20190630,$K136&gt;30,AH136="-",$D136="是",$E136="封闭期",$H136&lt;10,$BN136&lt;-6,$BR136&lt;70),"-",COUNTIFS(AH$4:AH$200,"&lt;&gt;-",$D$4:$D$200,"&lt;&gt;是",$E$4:$E$200,"&lt;&gt;封闭期",$H$4:$H$200,"&gt;10",$BN$4:$BN$200,"&gt;-6",$BR$4:$BR$200,"&gt;=70",$K$4:$K$200,"&lt;=30",$C$4:$C$200,"&lt;20190630",AH$4:AH$200,"&gt;="&amp;AH136)&amp;"/"&amp;COUNTIFS(AH$4:AH$200,"&lt;&gt;-",$D$4:$D$200,"&lt;&gt;是",$E$4:$E$200,"&lt;&gt;封闭期",$H$4:$H$200,"&gt;10",$BN$4:$BN$200,"&gt;-6",$BR$4:$BR$200,"&gt;=70",$C$4:$C$200,"&lt;20190630",$K$4:$K$200,"&lt;=30"))</f>
        <v>-</v>
      </c>
      <c r="AL136" s="33" t="str">
        <f>IF(OR($C136&gt;20190630,$K136&gt;30,AH136="-",$D136="是",$E136="封闭期",$H136&lt;10,$BN136&lt;-6,$BR136&lt;70),"-",COUNTIFS(AH$4:AH$200,"&lt;&gt;-",$D$4:$D$200,"&lt;&gt;是",$E$4:$E$200,"&lt;&gt;封闭期",$H$4:$H$200,"&gt;10",$BN$4:$BN$200,"&gt;-6",$BR$4:$BR$200,"&gt;=70",$K$4:$K$200,"&lt;=30",$C$4:$C$200,"&lt;20190630",AH$4:AH$200,"&gt;="&amp;AH136)/COUNTIFS(AH$4:AH$200,"&lt;&gt;-",$D$4:$D$200,"&lt;&gt;是",$E$4:$E$200,"&lt;&gt;封闭期",$H$4:$H$200,"&gt;10",$BN$4:$BN$200,"&gt;-6",$BR$4:$BR$200,"&gt;=70",$C$4:$C$200,"&lt;20190630",$K$4:$K$200,"&lt;=30"))</f>
        <v>-</v>
      </c>
      <c r="AM136" s="19">
        <f>[1]!f_return($A136,"1",AM$2,$L$2)</f>
        <v>5.3288657818675089</v>
      </c>
      <c r="AN136" s="19">
        <f>[1]!f_risk_stdevyearly($A136,AM$2,$L$2,1,1)</f>
        <v>2.7921871814463146</v>
      </c>
      <c r="AO136" s="19">
        <f>IFERROR(AM136/AN136,"-")</f>
        <v>1.9084916001609997</v>
      </c>
      <c r="AP136" s="19" t="str">
        <f>IFERROR(RANK(AO136,AO:AO)&amp;"/"&amp;COUNT(AO:AO),"-")</f>
        <v>60/197</v>
      </c>
      <c r="AQ136" s="26">
        <f>IF(AP136="-","-",RANK(AO136,AO:AO)/COUNT(AO:AO))</f>
        <v>0.30456852791878175</v>
      </c>
      <c r="AR136" s="57">
        <v>0.67512690355329952</v>
      </c>
      <c r="AS136" s="33" t="str">
        <f>IF(OR($C136&gt;20190630,$K136&gt;30,AO136="-",$D136="是",$E136="封闭期",$H136&lt;10,$BN136&lt;-6,$BR136&lt;70),"-",COUNTIFS(AO$4:AO$200,"&lt;&gt;-",$D$4:$D$200,"&lt;&gt;是",$E$4:$E$200,"&lt;&gt;封闭期",$H$4:$H$200,"&gt;10",$BN$4:$BN$200,"&gt;-6",$BR$4:$BR$200,"&gt;=70",$K$4:$K$200,"&lt;=30",$C$4:$C$200,"&lt;20190630",AO$4:AO$200,"&gt;="&amp;AO136)/COUNTIFS(AO$4:AO$200,"&lt;&gt;-",$D$4:$D$200,"&lt;&gt;是",$E$4:$E$200,"&lt;&gt;封闭期",$H$4:$H$200,"&gt;10",$BN$4:$BN$200,"&gt;-6",$BR$4:$BR$200,"&gt;=70",$C$4:$C$200,"&lt;20190630",$K$4:$K$200,"&lt;=30"))</f>
        <v>-</v>
      </c>
      <c r="AT136" s="19">
        <f>IFERROR((AM136-3)/AN136,"-")</f>
        <v>0.8340650645997123</v>
      </c>
      <c r="AU136" s="19" t="str">
        <f>IFERROR(RANK(AT136,AT:AT)&amp;"/"&amp;COUNT(AT:AT),"-")</f>
        <v>107/197</v>
      </c>
      <c r="AV136" s="26">
        <f>IFERROR(RANK(AT136,AT:AT)/COUNT(AT:AT),"-")</f>
        <v>0.54314720812182737</v>
      </c>
      <c r="AW136" s="34" t="str">
        <f>IF(OR($C136&gt;20190630,$K136&gt;30,AT136="-",$D136="是",$E136="封闭期",$H136&lt;10,$BN136&lt;-6,$BR136&lt;70),"-",COUNTIFS(AT$4:AT$200,"&lt;&gt;-",$D$4:$D$200,"&lt;&gt;是",$E$4:$E$200,"&lt;&gt;封闭期",$H$4:$H$200,"&gt;10",$BN$4:$BN$200,"&gt;-6",$BR$4:$BR$200,"&gt;=70",$K$4:$K$200,"&lt;=30",$C$4:$C$200,"&lt;20190630",AT$4:AT$200,"&gt;="&amp;AT136)&amp;"/"&amp;COUNTIFS(AT$4:AT$200,"&lt;&gt;-",$D$4:$D$200,"&lt;&gt;是",$E$4:$E$200,"&lt;&gt;封闭期",$H$4:$H$200,"&gt;10",$BN$4:$BN$200,"&gt;-6",$BR$4:$BR$200,"&gt;=70",$C$4:$C$200,"&lt;20190630",$K$4:$K$200,"&lt;=30"))</f>
        <v>-</v>
      </c>
      <c r="AX136" s="33" t="str">
        <f>IF(OR($C136&gt;20190630,$K136&gt;30,AT136="-",$D136="是",$E136="封闭期",$H136&lt;10,$BN136&lt;-6,$BR136&lt;70),"-",COUNTIFS(AT$4:AT$200,"&lt;&gt;-",$D$4:$D$200,"&lt;&gt;是",$E$4:$E$200,"&lt;&gt;封闭期",$H$4:$H$200,"&gt;10",$BN$4:$BN$200,"&gt;-6",$BR$4:$BR$200,"&gt;=70",$K$4:$K$200,"&lt;=30",$C$4:$C$200,"&lt;20190630",AT$4:AT$200,"&gt;="&amp;AT136)/COUNTIFS(AT$4:AT$200,"&lt;&gt;-",$D$4:$D$200,"&lt;&gt;是",$E$4:$E$200,"&lt;&gt;封闭期",$H$4:$H$200,"&gt;10",$BN$4:$BN$200,"&gt;-6",$BR$4:$BR$200,"&gt;=70",$C$4:$C$200,"&lt;20190630",$K$4:$K$200,"&lt;=30"))</f>
        <v>-</v>
      </c>
      <c r="AY136" s="19">
        <f>[1]!f_risk_calmar(A136,$AM$2,$L$2)</f>
        <v>2.9619154497874858</v>
      </c>
      <c r="AZ136" s="19" t="str">
        <f>IFERROR(RANK(AY136,AY:AY)&amp;"/"&amp;COUNT(AY:AY),"-")</f>
        <v>52/197</v>
      </c>
      <c r="BA136" s="26">
        <f>IFERROR(RANK(AY136,AY:AY)/COUNT(AY:AY),"-")</f>
        <v>0.26395939086294418</v>
      </c>
      <c r="BB136" s="34" t="str">
        <f>IF(OR($C136&gt;20190630,$K136&gt;30,AY136="-",$D136="是",$E136="封闭期",$H136&lt;10,$BN136&lt;-6,$BR136&lt;70),"-",COUNTIFS(AY$4:AY$200,"&lt;&gt;-",$D$4:$D$200,"&lt;&gt;是",$E$4:$E$200,"&lt;&gt;封闭期",$H$4:$H$200,"&gt;10",$BN$4:$BN$200,"&gt;-6",$BR$4:$BR$200,"&gt;=70",$K$4:$K$200,"&lt;=30",$C$4:$C$200,"&lt;20190630",AY$4:AY$200,"&gt;="&amp;AY136)&amp;"/"&amp;COUNTIFS(AY$4:AY$200,"&lt;&gt;-",$D$4:$D$200,"&lt;&gt;是",$E$4:$E$200,"&lt;&gt;封闭期",$H$4:$H$200,"&gt;10",$BN$4:$BN$200,"&gt;-6",$BR$4:$BR$200,"&gt;=70",$C$4:$C$200,"&lt;20190630",$K$4:$K$200,"&lt;=30"))</f>
        <v>-</v>
      </c>
      <c r="BC136" s="33" t="str">
        <f>IF(OR($C136&gt;20190630,$K136&gt;30,AY136="-",$D136="是",$E136="封闭期",$H136&lt;10,$BN136&lt;-6,$BR136&lt;70),"-",COUNTIFS(AY$4:AY$200,"&lt;&gt;-",$D$4:$D$200,"&lt;&gt;是",$E$4:$E$200,"&lt;&gt;封闭期",$H$4:$H$200,"&gt;10",$BN$4:$BN$200,"&gt;-6",$BR$4:$BR$200,"&gt;=70",$K$4:$K$200,"&lt;=30",$C$4:$C$200,"&lt;20190630",AY$4:AY$200,"&gt;="&amp;AY136)/COUNTIFS(AY$4:AY$200,"&lt;&gt;-",$D$4:$D$200,"&lt;&gt;是",$E$4:$E$200,"&lt;&gt;封闭期",$H$4:$H$200,"&gt;10",$BN$4:$BN$200,"&gt;-6",$BR$4:$BR$200,"&gt;=70",$C$4:$C$200,"&lt;20190630",$K$4:$K$200,"&lt;=30"))</f>
        <v>-</v>
      </c>
      <c r="BD136" s="20">
        <v>0.97499999999999998</v>
      </c>
      <c r="BE136" s="19" t="str">
        <f>IFERROR(RANK(BD136,BD:BD)&amp;"/"&amp;COUNT(BD:BD),"-")</f>
        <v>154/197</v>
      </c>
      <c r="BF136" s="26">
        <f>IFERROR(RANK(BD136,BD:BD)/COUNT(BD:BD),"-")</f>
        <v>0.78172588832487311</v>
      </c>
      <c r="BG136" s="34" t="str">
        <f>IF(OR($C136&gt;20190630,$K136&gt;30,BD136="-",$D136="是",$E136="封闭期",$H136&lt;10,$BN136&lt;-6,$BR136&lt;70),"-",COUNTIFS(BD$4:BD$200,"&lt;&gt;-",$D$4:$D$200,"&lt;&gt;是",$E$4:$E$200,"&lt;&gt;封闭期",$H$4:$H$200,"&gt;10",$BN$4:$BN$200,"&gt;-6",$BR$4:$BR$200,"&gt;=70",$K$4:$K$200,"&lt;=30",$C$4:$C$200,"&lt;20190630",BD$4:BD$200,"&gt;="&amp;BD136)&amp;"/"&amp;COUNTIFS(BD$4:BD$200,"&lt;&gt;-",$D$4:$D$200,"&lt;&gt;是",$E$4:$E$200,"&lt;&gt;封闭期",$H$4:$H$200,"&gt;10",$BN$4:$BN$200,"&gt;-6",$BR$4:$BR$200,"&gt;=70",$C$4:$C$200,"&lt;20190630",$K$4:$K$200,"&lt;=30"))</f>
        <v>-</v>
      </c>
      <c r="BH136" s="33" t="str">
        <f>IF(OR($C136&gt;20190630,$K136&gt;30,BD136="-",$D136="是",$E136="封闭期",$H136&lt;10,$BN136&lt;-6,$BR136&lt;70),"-",COUNTIFS(BD$4:BD$200,"&lt;&gt;-",$D$4:$D$200,"&lt;&gt;是",$E$4:$E$200,"&lt;&gt;封闭期",$H$4:$H$200,"&gt;10",$BN$4:$BN$200,"&gt;-6",$BR$4:$BR$200,"&gt;=70",$K$4:$K$200,"&lt;=30",$C$4:$C$200,"&lt;20190630",BD$4:BD$200,"&gt;="&amp;BD136)/COUNTIFS(BD$4:BD$200,"&lt;&gt;-",$D$4:$D$200,"&lt;&gt;是",$E$4:$E$200,"&lt;&gt;封闭期",$H$4:$H$200,"&gt;10",$BN$4:$BN$200,"&gt;-6",$BR$4:$BR$200,"&gt;=70",$C$4:$C$200,"&lt;20190630",$K$4:$K$200,"&lt;=30"))</f>
        <v>-</v>
      </c>
      <c r="BI136" s="21">
        <f>[1]!f_risk_maxdownside(A136,$AM$2,$L$2)</f>
        <v>-1.7991282574422742</v>
      </c>
      <c r="BJ136" s="19" t="str">
        <f>IFERROR(RANK(BI136,BI:BI)&amp;"/"&amp;COUNT(BI:BI),"-")</f>
        <v>28/197</v>
      </c>
      <c r="BK136" s="26">
        <f>IFERROR(RANK(BI136,BI:BI)/COUNT(BI:BI),"-")</f>
        <v>0.14213197969543148</v>
      </c>
      <c r="BL136" s="34" t="str">
        <f>IF(OR($C136&gt;20190630,$K136&gt;30,BI136="-",$D136="是",$E136="封闭期",$H136&lt;10,$BN136&lt;-6,$BR136&lt;70),"-",COUNTIFS(BI$4:BI$200,"&lt;&gt;-",$D$4:$D$200,"&lt;&gt;是",$E$4:$E$200,"&lt;&gt;封闭期",$H$4:$H$200,"&gt;10",$BN$4:$BN$200,"&gt;-6",$BR$4:$BR$200,"&gt;=70",$K$4:$K$200,"&lt;=30",$C$4:$C$200,"&lt;20190630",BI$4:BI$200,"&gt;="&amp;BI136)&amp;"/"&amp;COUNTIFS(BI$4:BI$200,"&lt;&gt;-",$D$4:$D$200,"&lt;&gt;是",$E$4:$E$200,"&lt;&gt;封闭期",$H$4:$H$200,"&gt;10",$BN$4:$BN$200,"&gt;-6",$BR$4:$BR$200,"&gt;=70",$C$4:$C$200,"&lt;20190630",$K$4:$K$200,"&lt;=30"))</f>
        <v>-</v>
      </c>
      <c r="BM136" s="33" t="str">
        <f>IF(OR($C136&gt;20190630,$K136&gt;30,BI136="-",$D136="是",$E136="封闭期",$H136&lt;10,$BN136&lt;-6,$BR136&lt;70),"-",COUNTIFS(BI$4:BI$200,"&lt;&gt;-",$D$4:$D$200,"&lt;&gt;是",$E$4:$E$200,"&lt;&gt;封闭期",$H$4:$H$200,"&gt;10",$BN$4:$BN$200,"&gt;-6",$BR$4:$BR$200,"&gt;=70",$K$4:$K$200,"&lt;=30",$C$4:$C$200,"&lt;20190630",BI$4:BI$200,"&gt;="&amp;BI136)/COUNTIFS(BI$4:BI$200,"&lt;&gt;-",$D$4:$D$200,"&lt;&gt;是",$E$4:$E$200,"&lt;&gt;封闭期",$H$4:$H$200,"&gt;10",$BN$4:$BN$200,"&gt;-6",$BR$4:$BR$200,"&gt;=70",$C$4:$C$200,"&lt;20190630",$K$4:$K$200,"&lt;=30"))</f>
        <v>-</v>
      </c>
      <c r="BN136" s="21">
        <f>[1]!f_risk_maxdownside(A136,$AM$2,$E$1)</f>
        <v>-1.8823529411764639</v>
      </c>
      <c r="BO136" s="21">
        <f>IF(C136&lt;20190930,[1]!f_return_2y(A136,"0","20210930"),"-")</f>
        <v>11.207764180540144</v>
      </c>
      <c r="BP136" s="19" t="str">
        <f>IFERROR(RANK(BO136,BO:BO)&amp;"/"&amp;COUNT(BO:BO),"-")</f>
        <v>126/197</v>
      </c>
      <c r="BQ136" s="25">
        <f>IFERROR(RANK(BO136,BO:BO)/COUNT(BO:BO),"-")</f>
        <v>0.63959390862944165</v>
      </c>
      <c r="BR136" s="19">
        <f>IF(C136&lt;20190930,[1]!f_absolute_profitmonthper(A136,"20190930","20210930"),"-")</f>
        <v>70.833333333333343</v>
      </c>
      <c r="BS136" s="19" t="str">
        <f>IFERROR(RANK(BR136,BR:BR)&amp;"/"&amp;COUNT(BR:BR),"-")</f>
        <v>55/198</v>
      </c>
      <c r="BT136" s="25">
        <f>IFERROR(RANK(BR136,BR:BR)/COUNT(BR:BR),"-")</f>
        <v>0.27777777777777779</v>
      </c>
      <c r="BV136" s="12">
        <f>X136-3/M136</f>
        <v>2.1440054470047052</v>
      </c>
      <c r="BW136" s="76">
        <f>IFERROR(RANK(BV136,BV:BV)/COUNT(BV:BV),"-")</f>
        <v>0.29441624365482233</v>
      </c>
      <c r="BX136" s="76">
        <f>IFERROR(RANK(L136,L:L)/COUNT(L:L),"-")</f>
        <v>0.51010101010101006</v>
      </c>
      <c r="BY136" s="12">
        <f>AY136-3/AN136</f>
        <v>1.8874889142261981</v>
      </c>
      <c r="BZ136" s="76">
        <f>IFERROR(RANK(BY136,BY:BY)/COUNT(BY:BY),"-")</f>
        <v>0.37055837563451777</v>
      </c>
      <c r="CA136" s="76">
        <f>IFERROR(RANK(AM136,AM:AM)/COUNT(AM:AM),"-")</f>
        <v>0.6767676767676768</v>
      </c>
      <c r="CB136" s="2"/>
      <c r="CC136" s="77">
        <f>AV136+BF136+BZ136+CA136</f>
        <v>2.3721991488488952</v>
      </c>
      <c r="CD136" s="77">
        <f>BW136+BX136+AE136+U136</f>
        <v>1.3070553248218222</v>
      </c>
      <c r="CE136" s="77">
        <f>CC136+CD136</f>
        <v>3.6792544736707171</v>
      </c>
    </row>
    <row r="137" spans="1:83" s="17" customFormat="1" hidden="1" x14ac:dyDescent="0.35">
      <c r="A137" s="15" t="s">
        <v>293</v>
      </c>
      <c r="B137" s="15" t="s">
        <v>294</v>
      </c>
      <c r="C137" s="16">
        <v>20161108</v>
      </c>
      <c r="D137" s="16" t="str">
        <f>[1]!f_info_regulopenfundornot(A137)</f>
        <v>是</v>
      </c>
      <c r="E137" s="16" t="str">
        <f>[1]!f_dq_status(A137,$E$1)</f>
        <v>暂停申购|暂停赎回</v>
      </c>
      <c r="F137" s="17" t="str">
        <f>[1]!f_info_fundmanager(A137)</f>
        <v>王立</v>
      </c>
      <c r="G137" s="16">
        <v>20201216</v>
      </c>
      <c r="H137" s="18">
        <f>[1]!f_netasset_total(A137,$E$1,100000000)</f>
        <v>1.3116538809</v>
      </c>
      <c r="I137" s="18">
        <f>[1]!f_prt_convertiblebondtonav(A137,$E$1)</f>
        <v>1.8681856393814087</v>
      </c>
      <c r="J137" s="18">
        <f>[1]!f_prt_stocktonav(A137,$E$1)+0.5*I137</f>
        <v>15.248957931995392</v>
      </c>
      <c r="K137" s="19">
        <v>35.779256009061378</v>
      </c>
      <c r="L137" s="19">
        <f>[1]!f_return($A137,"1",L$2,$E$1)</f>
        <v>7.049252730882527</v>
      </c>
      <c r="M137" s="19">
        <f>[1]!f_risk_stdevyearly($A137,L$2,$E$1,1,1)</f>
        <v>4.1840186143731151</v>
      </c>
      <c r="N137" s="19">
        <f>IFERROR(L137/M137,"-")</f>
        <v>1.6848043425683241</v>
      </c>
      <c r="O137" s="19" t="str">
        <f>IFERROR(RANK(N137,N:N)&amp;"/"&amp;COUNT(N:N),"-")</f>
        <v>70/197</v>
      </c>
      <c r="P137" s="26">
        <f>IF(O137="-","-",RANK(N137,N:N)/COUNT(N:N))</f>
        <v>0.35532994923857869</v>
      </c>
      <c r="Q137" s="56">
        <v>0.37563451776649748</v>
      </c>
      <c r="R137" s="33" t="str">
        <f>IF(OR($C137&gt;20190630,$K137&gt;30,N137="-",$D137="是",$E137="封闭期",$H137&lt;10,$BN137&lt;-6,$BR137&lt;70),"-",COUNTIFS(N$4:N$200,"&lt;&gt;-",$D$4:$D$200,"&lt;&gt;是",$E$4:$E$200,"&lt;&gt;封闭期",$H$4:$H$200,"&gt;10",$BN$4:$BN$200,"&gt;-6",$BR$4:$BR$200,"&gt;=70",$K$4:$K$200,"&lt;=30",$C$4:$C$200,"&lt;20190630",N$4:N$200,"&gt;="&amp;N137)/COUNTIFS(N$4:N$200,"&lt;&gt;-",$D$4:$D$200,"&lt;&gt;是",$E$4:$E$200,"&lt;&gt;封闭期",$H$4:$H$200,"&gt;10",$BN$4:$BN$200,"&gt;-6",$BR$4:$BR$200,"&gt;=70",$C$4:$C$200,"&lt;20190630",$K$4:$K$200,"&lt;=30"))</f>
        <v>-</v>
      </c>
      <c r="S137" s="19">
        <f>IFERROR((L137-3)/M137,"-")</f>
        <v>0.96779032410906718</v>
      </c>
      <c r="T137" s="19" t="str">
        <f>IFERROR(RANK(S137,S:S)&amp;"/"&amp;COUNT(S:S),"-")</f>
        <v>76/197</v>
      </c>
      <c r="U137" s="26">
        <f>IFERROR(RANK(S137,S:S)/COUNT(S:S),"-")</f>
        <v>0.38578680203045684</v>
      </c>
      <c r="V137" s="34" t="str">
        <f>IF(OR($C137&gt;20190630,$K137&gt;30,S137="-",$D137="是",$E137="封闭期",$H137&lt;10,$BN137&lt;-6,$BR137&lt;70),"-",COUNTIFS(S$4:S$200,"&lt;&gt;-",$D$4:$D$200,"&lt;&gt;是",$E$4:$E$200,"&lt;&gt;封闭期",$H$4:$H$200,"&gt;10",$BN$4:$BN$200,"&gt;-6",$BR$4:$BR$200,"&gt;=70",$K$4:$K$200,"&lt;=30",$C$4:$C$200,"&lt;20190630",S$4:S$200,"&gt;="&amp;S137)&amp;"/"&amp;COUNTIFS(S$4:S$200,"&lt;&gt;-",$D$4:$D$200,"&lt;&gt;是",$E$4:$E$200,"&lt;&gt;封闭期",$H$4:$H$200,"&gt;10",$BN$4:$BN$200,"&gt;-6",$BR$4:$BR$200,"&gt;=70",$C$4:$C$200,"&lt;20190630",$K$4:$K$200,"&lt;=30"))</f>
        <v>-</v>
      </c>
      <c r="W137" s="33" t="str">
        <f>IF(OR($C137&gt;20190630,$K137&gt;30,S137="-",$D137="是",$E137="封闭期",$H137&lt;10,$BN137&lt;-6,$BR137&lt;70),"-",COUNTIFS(S$4:S$200,"&lt;&gt;-",$D$4:$D$200,"&lt;&gt;是",$E$4:$E$200,"&lt;&gt;封闭期",$H$4:$H$200,"&gt;10",$BN$4:$BN$200,"&gt;-6",$BR$4:$BR$200,"&gt;=70",$K$4:$K$200,"&lt;=30",$C$4:$C$200,"&lt;20190630",S$4:S$200,"&gt;="&amp;S137)/COUNTIFS(S$4:S$200,"&lt;&gt;-",$D$4:$D$200,"&lt;&gt;是",$E$4:$E$200,"&lt;&gt;封闭期",$H$4:$H$200,"&gt;10",$BN$4:$BN$200,"&gt;-6",$BR$4:$BR$200,"&gt;=70",$C$4:$C$200,"&lt;20190630",$K$4:$K$200,"&lt;=30"))</f>
        <v>-</v>
      </c>
      <c r="X137" s="19">
        <f>[1]!f_risk_calmar(A137,$L$2,$E$1)</f>
        <v>2.8503063889070193</v>
      </c>
      <c r="Y137" s="19" t="str">
        <f>IFERROR(RANK(X137,X:X)&amp;"/"&amp;COUNT(X:X),"-")</f>
        <v>65/197</v>
      </c>
      <c r="Z137" s="26">
        <f>IFERROR(RANK(X137,X:X)/COUNT(X:X),"-")</f>
        <v>0.32994923857868019</v>
      </c>
      <c r="AA137" s="34" t="str">
        <f>IF(OR($C137&gt;20190630,$K137&gt;30,X137="-",$D137="是",$E137="封闭期",$H137&lt;10,$BN137&lt;-6,$BR137&lt;70),"-",COUNTIFS(X$4:X$200,"&lt;&gt;-",$D$4:$D$200,"&lt;&gt;是",$E$4:$E$200,"&lt;&gt;封闭期",$H$4:$H$200,"&gt;10",$BN$4:$BN$200,"&gt;-6",$BR$4:$BR$200,"&gt;=70",$K$4:$K$200,"&lt;=30",$C$4:$C$200,"&lt;20190630",X$4:X$200,"&gt;="&amp;X137)&amp;"/"&amp;COUNTIFS(X$4:X$200,"&lt;&gt;-",$D$4:$D$200,"&lt;&gt;是",$E$4:$E$200,"&lt;&gt;封闭期",$H$4:$H$200,"&gt;10",$BN$4:$BN$200,"&gt;-6",$BR$4:$BR$200,"&gt;=70",$C$4:$C$200,"&lt;20190630",$K$4:$K$200,"&lt;=30"))</f>
        <v>-</v>
      </c>
      <c r="AB137" s="33" t="str">
        <f>IF(OR($C137&gt;20190630,$K137&gt;30,X137="-",$D137="是",$E137="封闭期",$H137&lt;10,$BN137&lt;-6,$BR137&lt;70),"-",COUNTIFS(X$4:X$200,"&lt;&gt;-",$D$4:$D$200,"&lt;&gt;是",$E$4:$E$200,"&lt;&gt;封闭期",$H$4:$H$200,"&gt;10",$BN$4:$BN$200,"&gt;-6",$BR$4:$BR$200,"&gt;=70",$K$4:$K$200,"&lt;=30",$C$4:$C$200,"&lt;20190630",X$4:X$200,"&gt;="&amp;X137)/COUNTIFS(X$4:X$200,"&lt;&gt;-",$D$4:$D$200,"&lt;&gt;是",$E$4:$E$200,"&lt;&gt;封闭期",$H$4:$H$200,"&gt;10",$BN$4:$BN$200,"&gt;-6",$BR$4:$BR$200,"&gt;=70",$C$4:$C$200,"&lt;20190630",$K$4:$K$200,"&lt;=30"))</f>
        <v>-</v>
      </c>
      <c r="AC137" s="20">
        <v>0.95798319327731096</v>
      </c>
      <c r="AD137" s="19" t="str">
        <f>IFERROR(RANK(AC137,AC:AC)&amp;"/"&amp;COUNT(AC:AC),"-")</f>
        <v>107/197</v>
      </c>
      <c r="AE137" s="26">
        <f>IFERROR(RANK(AC137,AC:AC)/COUNT(AC:AC),"-")</f>
        <v>0.54314720812182737</v>
      </c>
      <c r="AF137" s="34" t="str">
        <f>IF(OR($C137&gt;20190630,$K137&gt;30,AC137="-",$D137="是",$E137="封闭期",$H137&lt;10,$BN137&lt;-6,$BR137&lt;70),"-",COUNTIFS(AC$4:AC$200,"&lt;&gt;-",$D$4:$D$200,"&lt;&gt;是",$E$4:$E$200,"&lt;&gt;封闭期",$H$4:$H$200,"&gt;10",$BN$4:$BN$200,"&gt;-6",$BR$4:$BR$200,"&gt;=70",$K$4:$K$200,"&lt;=30",$C$4:$C$200,"&lt;20190630",AC$4:AC$200,"&gt;="&amp;AC137)&amp;"/"&amp;COUNTIFS(AC$4:AC$200,"&lt;&gt;-",$D$4:$D$200,"&lt;&gt;是",$E$4:$E$200,"&lt;&gt;封闭期",$H$4:$H$200,"&gt;10",$BN$4:$BN$200,"&gt;-6",$BR$4:$BR$200,"&gt;=70",$C$4:$C$200,"&lt;20190630",$K$4:$K$200,"&lt;=30"))</f>
        <v>-</v>
      </c>
      <c r="AG137" s="33" t="str">
        <f>IF(OR($C137&gt;20190630,$K137&gt;30,AC137="-",$D137="是",$E137="封闭期",$H137&lt;10,$BN137&lt;-6,$BR137&lt;70),"-",COUNTIFS(AC$4:AC$200,"&lt;&gt;-",$D$4:$D$200,"&lt;&gt;是",$E$4:$E$200,"&lt;&gt;封闭期",$H$4:$H$200,"&gt;10",$BN$4:$BN$200,"&gt;-6",$BR$4:$BR$200,"&gt;=70",$K$4:$K$200,"&lt;=30",$C$4:$C$200,"&lt;20190630",AC$4:AC$200,"&gt;="&amp;AC137)/COUNTIFS(AC$4:AC$200,"&lt;&gt;-",$D$4:$D$200,"&lt;&gt;是",$E$4:$E$200,"&lt;&gt;封闭期",$H$4:$H$200,"&gt;10",$BN$4:$BN$200,"&gt;-6",$BR$4:$BR$200,"&gt;=70",$C$4:$C$200,"&lt;20190630",$K$4:$K$200,"&lt;=30"))</f>
        <v>-</v>
      </c>
      <c r="AH137" s="21">
        <f>[1]!f_risk_maxdownside(A137,$L$2,$E$1)</f>
        <v>-2.4731561344833666</v>
      </c>
      <c r="AI137" s="19" t="str">
        <f>IFERROR(RANK(AH137,AH:AH)&amp;"/"&amp;COUNT(AH:AH),"-")</f>
        <v>75/197</v>
      </c>
      <c r="AJ137" s="26">
        <f>IFERROR(RANK(AH137,AH:AH)/COUNT(AH:AH),"-")</f>
        <v>0.38071065989847713</v>
      </c>
      <c r="AK137" s="34" t="str">
        <f>IF(OR($C137&gt;20190630,$K137&gt;30,AH137="-",$D137="是",$E137="封闭期",$H137&lt;10,$BN137&lt;-6,$BR137&lt;70),"-",COUNTIFS(AH$4:AH$200,"&lt;&gt;-",$D$4:$D$200,"&lt;&gt;是",$E$4:$E$200,"&lt;&gt;封闭期",$H$4:$H$200,"&gt;10",$BN$4:$BN$200,"&gt;-6",$BR$4:$BR$200,"&gt;=70",$K$4:$K$200,"&lt;=30",$C$4:$C$200,"&lt;20190630",AH$4:AH$200,"&gt;="&amp;AH137)&amp;"/"&amp;COUNTIFS(AH$4:AH$200,"&lt;&gt;-",$D$4:$D$200,"&lt;&gt;是",$E$4:$E$200,"&lt;&gt;封闭期",$H$4:$H$200,"&gt;10",$BN$4:$BN$200,"&gt;-6",$BR$4:$BR$200,"&gt;=70",$C$4:$C$200,"&lt;20190630",$K$4:$K$200,"&lt;=30"))</f>
        <v>-</v>
      </c>
      <c r="AL137" s="33" t="str">
        <f>IF(OR($C137&gt;20190630,$K137&gt;30,AH137="-",$D137="是",$E137="封闭期",$H137&lt;10,$BN137&lt;-6,$BR137&lt;70),"-",COUNTIFS(AH$4:AH$200,"&lt;&gt;-",$D$4:$D$200,"&lt;&gt;是",$E$4:$E$200,"&lt;&gt;封闭期",$H$4:$H$200,"&gt;10",$BN$4:$BN$200,"&gt;-6",$BR$4:$BR$200,"&gt;=70",$K$4:$K$200,"&lt;=30",$C$4:$C$200,"&lt;20190630",AH$4:AH$200,"&gt;="&amp;AH137)/COUNTIFS(AH$4:AH$200,"&lt;&gt;-",$D$4:$D$200,"&lt;&gt;是",$E$4:$E$200,"&lt;&gt;封闭期",$H$4:$H$200,"&gt;10",$BN$4:$BN$200,"&gt;-6",$BR$4:$BR$200,"&gt;=70",$C$4:$C$200,"&lt;20190630",$K$4:$K$200,"&lt;=30"))</f>
        <v>-</v>
      </c>
      <c r="AM137" s="19">
        <f>[1]!f_return($A137,"1",AM$2,$L$2)</f>
        <v>5.2563287588629715</v>
      </c>
      <c r="AN137" s="19">
        <f>[1]!f_risk_stdevyearly($A137,AM$2,$L$2,1,1)</f>
        <v>5.4258512707680566</v>
      </c>
      <c r="AO137" s="19">
        <f>IFERROR(AM137/AN137,"-")</f>
        <v>0.96875651332015067</v>
      </c>
      <c r="AP137" s="19" t="str">
        <f>IFERROR(RANK(AO137,AO:AO)&amp;"/"&amp;COUNT(AO:AO),"-")</f>
        <v>162/197</v>
      </c>
      <c r="AQ137" s="26">
        <f>IF(AP137="-","-",RANK(AO137,AO:AO)/COUNT(AO:AO))</f>
        <v>0.82233502538071068</v>
      </c>
      <c r="AR137" s="57">
        <v>0.68020304568527923</v>
      </c>
      <c r="AS137" s="33" t="str">
        <f>IF(OR($C137&gt;20190630,$K137&gt;30,AO137="-",$D137="是",$E137="封闭期",$H137&lt;10,$BN137&lt;-6,$BR137&lt;70),"-",COUNTIFS(AO$4:AO$200,"&lt;&gt;-",$D$4:$D$200,"&lt;&gt;是",$E$4:$E$200,"&lt;&gt;封闭期",$H$4:$H$200,"&gt;10",$BN$4:$BN$200,"&gt;-6",$BR$4:$BR$200,"&gt;=70",$K$4:$K$200,"&lt;=30",$C$4:$C$200,"&lt;20190630",AO$4:AO$200,"&gt;="&amp;AO137)/COUNTIFS(AO$4:AO$200,"&lt;&gt;-",$D$4:$D$200,"&lt;&gt;是",$E$4:$E$200,"&lt;&gt;封闭期",$H$4:$H$200,"&gt;10",$BN$4:$BN$200,"&gt;-6",$BR$4:$BR$200,"&gt;=70",$C$4:$C$200,"&lt;20190630",$K$4:$K$200,"&lt;=30"))</f>
        <v>-</v>
      </c>
      <c r="AT137" s="19">
        <f>IFERROR((AM137-3)/AN137,"-")</f>
        <v>0.41584788197549999</v>
      </c>
      <c r="AU137" s="19" t="str">
        <f>IFERROR(RANK(AT137,AT:AT)&amp;"/"&amp;COUNT(AT:AT),"-")</f>
        <v>144/197</v>
      </c>
      <c r="AV137" s="26">
        <f>IFERROR(RANK(AT137,AT:AT)/COUNT(AT:AT),"-")</f>
        <v>0.73096446700507611</v>
      </c>
      <c r="AW137" s="34" t="str">
        <f>IF(OR($C137&gt;20190630,$K137&gt;30,AT137="-",$D137="是",$E137="封闭期",$H137&lt;10,$BN137&lt;-6,$BR137&lt;70),"-",COUNTIFS(AT$4:AT$200,"&lt;&gt;-",$D$4:$D$200,"&lt;&gt;是",$E$4:$E$200,"&lt;&gt;封闭期",$H$4:$H$200,"&gt;10",$BN$4:$BN$200,"&gt;-6",$BR$4:$BR$200,"&gt;=70",$K$4:$K$200,"&lt;=30",$C$4:$C$200,"&lt;20190630",AT$4:AT$200,"&gt;="&amp;AT137)&amp;"/"&amp;COUNTIFS(AT$4:AT$200,"&lt;&gt;-",$D$4:$D$200,"&lt;&gt;是",$E$4:$E$200,"&lt;&gt;封闭期",$H$4:$H$200,"&gt;10",$BN$4:$BN$200,"&gt;-6",$BR$4:$BR$200,"&gt;=70",$C$4:$C$200,"&lt;20190630",$K$4:$K$200,"&lt;=30"))</f>
        <v>-</v>
      </c>
      <c r="AX137" s="33" t="str">
        <f>IF(OR($C137&gt;20190630,$K137&gt;30,AT137="-",$D137="是",$E137="封闭期",$H137&lt;10,$BN137&lt;-6,$BR137&lt;70),"-",COUNTIFS(AT$4:AT$200,"&lt;&gt;-",$D$4:$D$200,"&lt;&gt;是",$E$4:$E$200,"&lt;&gt;封闭期",$H$4:$H$200,"&gt;10",$BN$4:$BN$200,"&gt;-6",$BR$4:$BR$200,"&gt;=70",$K$4:$K$200,"&lt;=30",$C$4:$C$200,"&lt;20190630",AT$4:AT$200,"&gt;="&amp;AT137)/COUNTIFS(AT$4:AT$200,"&lt;&gt;-",$D$4:$D$200,"&lt;&gt;是",$E$4:$E$200,"&lt;&gt;封闭期",$H$4:$H$200,"&gt;10",$BN$4:$BN$200,"&gt;-6",$BR$4:$BR$200,"&gt;=70",$C$4:$C$200,"&lt;20190630",$K$4:$K$200,"&lt;=30"))</f>
        <v>-</v>
      </c>
      <c r="AY137" s="19">
        <f>[1]!f_risk_calmar(A137,$AM$2,$L$2)</f>
        <v>1.3149222422571183</v>
      </c>
      <c r="AZ137" s="19" t="str">
        <f>IFERROR(RANK(AY137,AY:AY)&amp;"/"&amp;COUNT(AY:AY),"-")</f>
        <v>151/197</v>
      </c>
      <c r="BA137" s="26">
        <f>IFERROR(RANK(AY137,AY:AY)/COUNT(AY:AY),"-")</f>
        <v>0.76649746192893398</v>
      </c>
      <c r="BB137" s="34" t="str">
        <f>IF(OR($C137&gt;20190630,$K137&gt;30,AY137="-",$D137="是",$E137="封闭期",$H137&lt;10,$BN137&lt;-6,$BR137&lt;70),"-",COUNTIFS(AY$4:AY$200,"&lt;&gt;-",$D$4:$D$200,"&lt;&gt;是",$E$4:$E$200,"&lt;&gt;封闭期",$H$4:$H$200,"&gt;10",$BN$4:$BN$200,"&gt;-6",$BR$4:$BR$200,"&gt;=70",$K$4:$K$200,"&lt;=30",$C$4:$C$200,"&lt;20190630",AY$4:AY$200,"&gt;="&amp;AY137)&amp;"/"&amp;COUNTIFS(AY$4:AY$200,"&lt;&gt;-",$D$4:$D$200,"&lt;&gt;是",$E$4:$E$200,"&lt;&gt;封闭期",$H$4:$H$200,"&gt;10",$BN$4:$BN$200,"&gt;-6",$BR$4:$BR$200,"&gt;=70",$C$4:$C$200,"&lt;20190630",$K$4:$K$200,"&lt;=30"))</f>
        <v>-</v>
      </c>
      <c r="BC137" s="33" t="str">
        <f>IF(OR($C137&gt;20190630,$K137&gt;30,AY137="-",$D137="是",$E137="封闭期",$H137&lt;10,$BN137&lt;-6,$BR137&lt;70),"-",COUNTIFS(AY$4:AY$200,"&lt;&gt;-",$D$4:$D$200,"&lt;&gt;是",$E$4:$E$200,"&lt;&gt;封闭期",$H$4:$H$200,"&gt;10",$BN$4:$BN$200,"&gt;-6",$BR$4:$BR$200,"&gt;=70",$K$4:$K$200,"&lt;=30",$C$4:$C$200,"&lt;20190630",AY$4:AY$200,"&gt;="&amp;AY137)/COUNTIFS(AY$4:AY$200,"&lt;&gt;-",$D$4:$D$200,"&lt;&gt;是",$E$4:$E$200,"&lt;&gt;封闭期",$H$4:$H$200,"&gt;10",$BN$4:$BN$200,"&gt;-6",$BR$4:$BR$200,"&gt;=70",$C$4:$C$200,"&lt;20190630",$K$4:$K$200,"&lt;=30"))</f>
        <v>-</v>
      </c>
      <c r="BD137" s="20">
        <v>1</v>
      </c>
      <c r="BE137" s="19" t="str">
        <f>IFERROR(RANK(BD137,BD:BD)&amp;"/"&amp;COUNT(BD:BD),"-")</f>
        <v>1/197</v>
      </c>
      <c r="BF137" s="26">
        <f>IFERROR(RANK(BD137,BD:BD)/COUNT(BD:BD),"-")</f>
        <v>5.076142131979695E-3</v>
      </c>
      <c r="BG137" s="34" t="str">
        <f>IF(OR($C137&gt;20190630,$K137&gt;30,BD137="-",$D137="是",$E137="封闭期",$H137&lt;10,$BN137&lt;-6,$BR137&lt;70),"-",COUNTIFS(BD$4:BD$200,"&lt;&gt;-",$D$4:$D$200,"&lt;&gt;是",$E$4:$E$200,"&lt;&gt;封闭期",$H$4:$H$200,"&gt;10",$BN$4:$BN$200,"&gt;-6",$BR$4:$BR$200,"&gt;=70",$K$4:$K$200,"&lt;=30",$C$4:$C$200,"&lt;20190630",BD$4:BD$200,"&gt;="&amp;BD137)&amp;"/"&amp;COUNTIFS(BD$4:BD$200,"&lt;&gt;-",$D$4:$D$200,"&lt;&gt;是",$E$4:$E$200,"&lt;&gt;封闭期",$H$4:$H$200,"&gt;10",$BN$4:$BN$200,"&gt;-6",$BR$4:$BR$200,"&gt;=70",$C$4:$C$200,"&lt;20190630",$K$4:$K$200,"&lt;=30"))</f>
        <v>-</v>
      </c>
      <c r="BH137" s="33" t="str">
        <f>IF(OR($C137&gt;20190630,$K137&gt;30,BD137="-",$D137="是",$E137="封闭期",$H137&lt;10,$BN137&lt;-6,$BR137&lt;70),"-",COUNTIFS(BD$4:BD$200,"&lt;&gt;-",$D$4:$D$200,"&lt;&gt;是",$E$4:$E$200,"&lt;&gt;封闭期",$H$4:$H$200,"&gt;10",$BN$4:$BN$200,"&gt;-6",$BR$4:$BR$200,"&gt;=70",$K$4:$K$200,"&lt;=30",$C$4:$C$200,"&lt;20190630",BD$4:BD$200,"&gt;="&amp;BD137)/COUNTIFS(BD$4:BD$200,"&lt;&gt;-",$D$4:$D$200,"&lt;&gt;是",$E$4:$E$200,"&lt;&gt;封闭期",$H$4:$H$200,"&gt;10",$BN$4:$BN$200,"&gt;-6",$BR$4:$BR$200,"&gt;=70",$C$4:$C$200,"&lt;20190630",$K$4:$K$200,"&lt;=30"))</f>
        <v>-</v>
      </c>
      <c r="BI137" s="21">
        <f>[1]!f_risk_maxdownside(A137,$AM$2,$L$2)</f>
        <v>-3.9974445559915894</v>
      </c>
      <c r="BJ137" s="19" t="str">
        <f>IFERROR(RANK(BI137,BI:BI)&amp;"/"&amp;COUNT(BI:BI),"-")</f>
        <v>129/197</v>
      </c>
      <c r="BK137" s="26">
        <f>IFERROR(RANK(BI137,BI:BI)/COUNT(BI:BI),"-")</f>
        <v>0.65482233502538068</v>
      </c>
      <c r="BL137" s="34" t="str">
        <f>IF(OR($C137&gt;20190630,$K137&gt;30,BI137="-",$D137="是",$E137="封闭期",$H137&lt;10,$BN137&lt;-6,$BR137&lt;70),"-",COUNTIFS(BI$4:BI$200,"&lt;&gt;-",$D$4:$D$200,"&lt;&gt;是",$E$4:$E$200,"&lt;&gt;封闭期",$H$4:$H$200,"&gt;10",$BN$4:$BN$200,"&gt;-6",$BR$4:$BR$200,"&gt;=70",$K$4:$K$200,"&lt;=30",$C$4:$C$200,"&lt;20190630",BI$4:BI$200,"&gt;="&amp;BI137)&amp;"/"&amp;COUNTIFS(BI$4:BI$200,"&lt;&gt;-",$D$4:$D$200,"&lt;&gt;是",$E$4:$E$200,"&lt;&gt;封闭期",$H$4:$H$200,"&gt;10",$BN$4:$BN$200,"&gt;-6",$BR$4:$BR$200,"&gt;=70",$C$4:$C$200,"&lt;20190630",$K$4:$K$200,"&lt;=30"))</f>
        <v>-</v>
      </c>
      <c r="BM137" s="33" t="str">
        <f>IF(OR($C137&gt;20190630,$K137&gt;30,BI137="-",$D137="是",$E137="封闭期",$H137&lt;10,$BN137&lt;-6,$BR137&lt;70),"-",COUNTIFS(BI$4:BI$200,"&lt;&gt;-",$D$4:$D$200,"&lt;&gt;是",$E$4:$E$200,"&lt;&gt;封闭期",$H$4:$H$200,"&gt;10",$BN$4:$BN$200,"&gt;-6",$BR$4:$BR$200,"&gt;=70",$K$4:$K$200,"&lt;=30",$C$4:$C$200,"&lt;20190630",BI$4:BI$200,"&gt;="&amp;BI137)/COUNTIFS(BI$4:BI$200,"&lt;&gt;-",$D$4:$D$200,"&lt;&gt;是",$E$4:$E$200,"&lt;&gt;封闭期",$H$4:$H$200,"&gt;10",$BN$4:$BN$200,"&gt;-6",$BR$4:$BR$200,"&gt;=70",$C$4:$C$200,"&lt;20190630",$K$4:$K$200,"&lt;=30"))</f>
        <v>-</v>
      </c>
      <c r="BN137" s="21">
        <f>[1]!f_risk_maxdownside(A137,$AM$2,$E$1)</f>
        <v>-3.9974445559915894</v>
      </c>
      <c r="BO137" s="21">
        <f>IF(C137&lt;20190930,[1]!f_return_2y(A137,"0","20210930"),"-")</f>
        <v>12.974013474494711</v>
      </c>
      <c r="BP137" s="19" t="str">
        <f>IFERROR(RANK(BO137,BO:BO)&amp;"/"&amp;COUNT(BO:BO),"-")</f>
        <v>105/197</v>
      </c>
      <c r="BQ137" s="25">
        <f>IFERROR(RANK(BO137,BO:BO)/COUNT(BO:BO),"-")</f>
        <v>0.53299492385786806</v>
      </c>
      <c r="BR137" s="19">
        <f>IF(C137&lt;20190930,[1]!f_absolute_profitmonthper(A137,"20190930","20210930"),"-")</f>
        <v>66.666666666666657</v>
      </c>
      <c r="BS137" s="19" t="str">
        <f>IFERROR(RANK(BR137,BR:BR)&amp;"/"&amp;COUNT(BR:BR),"-")</f>
        <v>115/198</v>
      </c>
      <c r="BT137" s="25">
        <f>IFERROR(RANK(BR137,BR:BR)/COUNT(BR:BR),"-")</f>
        <v>0.58080808080808077</v>
      </c>
      <c r="BV137" s="12">
        <f>X137-3/M137</f>
        <v>2.1332923704477622</v>
      </c>
      <c r="BW137" s="76">
        <f>IFERROR(RANK(BV137,BV:BV)/COUNT(BV:BV),"-")</f>
        <v>0.29949238578680204</v>
      </c>
      <c r="BX137" s="76">
        <f>IFERROR(RANK(L137,L:L)/COUNT(L:L),"-")</f>
        <v>0.37878787878787878</v>
      </c>
      <c r="BY137" s="12">
        <f>AY137-3/AN137</f>
        <v>0.76201361091246755</v>
      </c>
      <c r="BZ137" s="76">
        <f>IFERROR(RANK(BY137,BY:BY)/COUNT(BY:BY),"-")</f>
        <v>0.74111675126903553</v>
      </c>
      <c r="CA137" s="76">
        <f>IFERROR(RANK(AM137,AM:AM)/COUNT(AM:AM),"-")</f>
        <v>0.68181818181818177</v>
      </c>
      <c r="CB137" s="2"/>
      <c r="CC137" s="77">
        <f>AV137+BF137+BZ137+CA137</f>
        <v>2.1589755422242729</v>
      </c>
      <c r="CD137" s="77">
        <f>BW137+BX137+AE137+U137</f>
        <v>1.6072142747269651</v>
      </c>
      <c r="CE137" s="77">
        <f>CC137+CD137</f>
        <v>3.766189816951238</v>
      </c>
    </row>
    <row r="138" spans="1:83" s="17" customFormat="1" hidden="1" x14ac:dyDescent="0.35">
      <c r="A138" s="15" t="s">
        <v>357</v>
      </c>
      <c r="B138" s="15" t="s">
        <v>358</v>
      </c>
      <c r="C138" s="16">
        <v>20180124</v>
      </c>
      <c r="D138" s="16" t="str">
        <f>[1]!f_info_regulopenfundornot(A138)</f>
        <v>否</v>
      </c>
      <c r="E138" s="16" t="str">
        <f>[1]!f_dq_status(A138,$E$1)</f>
        <v>开放申购|开放赎回</v>
      </c>
      <c r="F138" s="17" t="str">
        <f>[1]!f_info_fundmanager(A138)</f>
        <v>于启明,叶平</v>
      </c>
      <c r="G138" s="16">
        <v>20190313</v>
      </c>
      <c r="H138" s="18">
        <f>[1]!f_netasset_total(A138,$E$1,100000000)</f>
        <v>3.2893355149999999</v>
      </c>
      <c r="I138" s="18">
        <f>[1]!f_prt_convertiblebondtonav(A138,$E$1)</f>
        <v>0</v>
      </c>
      <c r="J138" s="18">
        <f>[1]!f_prt_stocktonav(A138,$E$1)+0.5*I138</f>
        <v>5.2674770355224609</v>
      </c>
      <c r="K138" s="19">
        <v>34.848910814134449</v>
      </c>
      <c r="L138" s="19">
        <f>[1]!f_return($A138,"1",L$2,$E$1)</f>
        <v>7.3943955150266971</v>
      </c>
      <c r="M138" s="19">
        <f>[1]!f_risk_stdevyearly($A138,L$2,$E$1,1,1)</f>
        <v>1.7965808682606839</v>
      </c>
      <c r="N138" s="19">
        <f>IFERROR(L138/M138,"-")</f>
        <v>4.1158155726023073</v>
      </c>
      <c r="O138" s="19" t="str">
        <f>IFERROR(RANK(N138,N:N)&amp;"/"&amp;COUNT(N:N),"-")</f>
        <v>11/197</v>
      </c>
      <c r="P138" s="26">
        <f>IF(O138="-","-",RANK(N138,N:N)/COUNT(N:N))</f>
        <v>5.5837563451776651E-2</v>
      </c>
      <c r="Q138" s="56">
        <v>0.31979695431472083</v>
      </c>
      <c r="R138" s="33" t="str">
        <f>IF(OR($C138&gt;20190630,$K138&gt;30,N138="-",$D138="是",$E138="封闭期",$H138&lt;10,$BN138&lt;-6,$BR138&lt;70),"-",COUNTIFS(N$4:N$200,"&lt;&gt;-",$D$4:$D$200,"&lt;&gt;是",$E$4:$E$200,"&lt;&gt;封闭期",$H$4:$H$200,"&gt;10",$BN$4:$BN$200,"&gt;-6",$BR$4:$BR$200,"&gt;=70",$K$4:$K$200,"&lt;=30",$C$4:$C$200,"&lt;20190630",N$4:N$200,"&gt;="&amp;N138)/COUNTIFS(N$4:N$200,"&lt;&gt;-",$D$4:$D$200,"&lt;&gt;是",$E$4:$E$200,"&lt;&gt;封闭期",$H$4:$H$200,"&gt;10",$BN$4:$BN$200,"&gt;-6",$BR$4:$BR$200,"&gt;=70",$C$4:$C$200,"&lt;20190630",$K$4:$K$200,"&lt;=30"))</f>
        <v>-</v>
      </c>
      <c r="S138" s="19">
        <f>IFERROR((L138-3)/M138,"-")</f>
        <v>2.4459770181572869</v>
      </c>
      <c r="T138" s="19" t="str">
        <f>IFERROR(RANK(S138,S:S)&amp;"/"&amp;COUNT(S:S),"-")</f>
        <v>5/197</v>
      </c>
      <c r="U138" s="26">
        <f>IFERROR(RANK(S138,S:S)/COUNT(S:S),"-")</f>
        <v>2.5380710659898477E-2</v>
      </c>
      <c r="V138" s="34" t="str">
        <f>IF(OR($C138&gt;20190630,$K138&gt;30,S138="-",$D138="是",$E138="封闭期",$H138&lt;10,$BN138&lt;-6,$BR138&lt;70),"-",COUNTIFS(S$4:S$200,"&lt;&gt;-",$D$4:$D$200,"&lt;&gt;是",$E$4:$E$200,"&lt;&gt;封闭期",$H$4:$H$200,"&gt;10",$BN$4:$BN$200,"&gt;-6",$BR$4:$BR$200,"&gt;=70",$K$4:$K$200,"&lt;=30",$C$4:$C$200,"&lt;20190630",S$4:S$200,"&gt;="&amp;S138)&amp;"/"&amp;COUNTIFS(S$4:S$200,"&lt;&gt;-",$D$4:$D$200,"&lt;&gt;是",$E$4:$E$200,"&lt;&gt;封闭期",$H$4:$H$200,"&gt;10",$BN$4:$BN$200,"&gt;-6",$BR$4:$BR$200,"&gt;=70",$C$4:$C$200,"&lt;20190630",$K$4:$K$200,"&lt;=30"))</f>
        <v>-</v>
      </c>
      <c r="W138" s="33" t="str">
        <f>IF(OR($C138&gt;20190630,$K138&gt;30,S138="-",$D138="是",$E138="封闭期",$H138&lt;10,$BN138&lt;-6,$BR138&lt;70),"-",COUNTIFS(S$4:S$200,"&lt;&gt;-",$D$4:$D$200,"&lt;&gt;是",$E$4:$E$200,"&lt;&gt;封闭期",$H$4:$H$200,"&gt;10",$BN$4:$BN$200,"&gt;-6",$BR$4:$BR$200,"&gt;=70",$K$4:$K$200,"&lt;=30",$C$4:$C$200,"&lt;20190630",S$4:S$200,"&gt;="&amp;S138)/COUNTIFS(S$4:S$200,"&lt;&gt;-",$D$4:$D$200,"&lt;&gt;是",$E$4:$E$200,"&lt;&gt;封闭期",$H$4:$H$200,"&gt;10",$BN$4:$BN$200,"&gt;-6",$BR$4:$BR$200,"&gt;=70",$C$4:$C$200,"&lt;20190630",$K$4:$K$200,"&lt;=30"))</f>
        <v>-</v>
      </c>
      <c r="X138" s="19">
        <f>[1]!f_risk_calmar(A138,$L$2,$E$1)</f>
        <v>10.355592974765443</v>
      </c>
      <c r="Y138" s="19" t="str">
        <f>IFERROR(RANK(X138,X:X)&amp;"/"&amp;COUNT(X:X),"-")</f>
        <v>6/197</v>
      </c>
      <c r="Z138" s="26">
        <f>IFERROR(RANK(X138,X:X)/COUNT(X:X),"-")</f>
        <v>3.0456852791878174E-2</v>
      </c>
      <c r="AA138" s="34" t="str">
        <f>IF(OR($C138&gt;20190630,$K138&gt;30,X138="-",$D138="是",$E138="封闭期",$H138&lt;10,$BN138&lt;-6,$BR138&lt;70),"-",COUNTIFS(X$4:X$200,"&lt;&gt;-",$D$4:$D$200,"&lt;&gt;是",$E$4:$E$200,"&lt;&gt;封闭期",$H$4:$H$200,"&gt;10",$BN$4:$BN$200,"&gt;-6",$BR$4:$BR$200,"&gt;=70",$K$4:$K$200,"&lt;=30",$C$4:$C$200,"&lt;20190630",X$4:X$200,"&gt;="&amp;X138)&amp;"/"&amp;COUNTIFS(X$4:X$200,"&lt;&gt;-",$D$4:$D$200,"&lt;&gt;是",$E$4:$E$200,"&lt;&gt;封闭期",$H$4:$H$200,"&gt;10",$BN$4:$BN$200,"&gt;-6",$BR$4:$BR$200,"&gt;=70",$C$4:$C$200,"&lt;20190630",$K$4:$K$200,"&lt;=30"))</f>
        <v>-</v>
      </c>
      <c r="AB138" s="33" t="str">
        <f>IF(OR($C138&gt;20190630,$K138&gt;30,X138="-",$D138="是",$E138="封闭期",$H138&lt;10,$BN138&lt;-6,$BR138&lt;70),"-",COUNTIFS(X$4:X$200,"&lt;&gt;-",$D$4:$D$200,"&lt;&gt;是",$E$4:$E$200,"&lt;&gt;封闭期",$H$4:$H$200,"&gt;10",$BN$4:$BN$200,"&gt;-6",$BR$4:$BR$200,"&gt;=70",$K$4:$K$200,"&lt;=30",$C$4:$C$200,"&lt;20190630",X$4:X$200,"&gt;="&amp;X138)/COUNTIFS(X$4:X$200,"&lt;&gt;-",$D$4:$D$200,"&lt;&gt;是",$E$4:$E$200,"&lt;&gt;封闭期",$H$4:$H$200,"&gt;10",$BN$4:$BN$200,"&gt;-6",$BR$4:$BR$200,"&gt;=70",$C$4:$C$200,"&lt;20190630",$K$4:$K$200,"&lt;=30"))</f>
        <v>-</v>
      </c>
      <c r="AC138" s="20">
        <v>1</v>
      </c>
      <c r="AD138" s="19" t="str">
        <f>IFERROR(RANK(AC138,AC:AC)&amp;"/"&amp;COUNT(AC:AC),"-")</f>
        <v>1/197</v>
      </c>
      <c r="AE138" s="26">
        <f>IFERROR(RANK(AC138,AC:AC)/COUNT(AC:AC),"-")</f>
        <v>5.076142131979695E-3</v>
      </c>
      <c r="AF138" s="34" t="str">
        <f>IF(OR($C138&gt;20190630,$K138&gt;30,AC138="-",$D138="是",$E138="封闭期",$H138&lt;10,$BN138&lt;-6,$BR138&lt;70),"-",COUNTIFS(AC$4:AC$200,"&lt;&gt;-",$D$4:$D$200,"&lt;&gt;是",$E$4:$E$200,"&lt;&gt;封闭期",$H$4:$H$200,"&gt;10",$BN$4:$BN$200,"&gt;-6",$BR$4:$BR$200,"&gt;=70",$K$4:$K$200,"&lt;=30",$C$4:$C$200,"&lt;20190630",AC$4:AC$200,"&gt;="&amp;AC138)&amp;"/"&amp;COUNTIFS(AC$4:AC$200,"&lt;&gt;-",$D$4:$D$200,"&lt;&gt;是",$E$4:$E$200,"&lt;&gt;封闭期",$H$4:$H$200,"&gt;10",$BN$4:$BN$200,"&gt;-6",$BR$4:$BR$200,"&gt;=70",$C$4:$C$200,"&lt;20190630",$K$4:$K$200,"&lt;=30"))</f>
        <v>-</v>
      </c>
      <c r="AG138" s="33" t="str">
        <f>IF(OR($C138&gt;20190630,$K138&gt;30,AC138="-",$D138="是",$E138="封闭期",$H138&lt;10,$BN138&lt;-6,$BR138&lt;70),"-",COUNTIFS(AC$4:AC$200,"&lt;&gt;-",$D$4:$D$200,"&lt;&gt;是",$E$4:$E$200,"&lt;&gt;封闭期",$H$4:$H$200,"&gt;10",$BN$4:$BN$200,"&gt;-6",$BR$4:$BR$200,"&gt;=70",$K$4:$K$200,"&lt;=30",$C$4:$C$200,"&lt;20190630",AC$4:AC$200,"&gt;="&amp;AC138)/COUNTIFS(AC$4:AC$200,"&lt;&gt;-",$D$4:$D$200,"&lt;&gt;是",$E$4:$E$200,"&lt;&gt;封闭期",$H$4:$H$200,"&gt;10",$BN$4:$BN$200,"&gt;-6",$BR$4:$BR$200,"&gt;=70",$C$4:$C$200,"&lt;20190630",$K$4:$K$200,"&lt;=30"))</f>
        <v>-</v>
      </c>
      <c r="AH138" s="21">
        <f>[1]!f_risk_maxdownside(A138,$L$2,$E$1)</f>
        <v>-0.71404848887411798</v>
      </c>
      <c r="AI138" s="19" t="str">
        <f>IFERROR(RANK(AH138,AH:AH)&amp;"/"&amp;COUNT(AH:AH),"-")</f>
        <v>13/197</v>
      </c>
      <c r="AJ138" s="26">
        <f>IFERROR(RANK(AH138,AH:AH)/COUNT(AH:AH),"-")</f>
        <v>6.5989847715736044E-2</v>
      </c>
      <c r="AK138" s="34" t="str">
        <f>IF(OR($C138&gt;20190630,$K138&gt;30,AH138="-",$D138="是",$E138="封闭期",$H138&lt;10,$BN138&lt;-6,$BR138&lt;70),"-",COUNTIFS(AH$4:AH$200,"&lt;&gt;-",$D$4:$D$200,"&lt;&gt;是",$E$4:$E$200,"&lt;&gt;封闭期",$H$4:$H$200,"&gt;10",$BN$4:$BN$200,"&gt;-6",$BR$4:$BR$200,"&gt;=70",$K$4:$K$200,"&lt;=30",$C$4:$C$200,"&lt;20190630",AH$4:AH$200,"&gt;="&amp;AH138)&amp;"/"&amp;COUNTIFS(AH$4:AH$200,"&lt;&gt;-",$D$4:$D$200,"&lt;&gt;是",$E$4:$E$200,"&lt;&gt;封闭期",$H$4:$H$200,"&gt;10",$BN$4:$BN$200,"&gt;-6",$BR$4:$BR$200,"&gt;=70",$C$4:$C$200,"&lt;20190630",$K$4:$K$200,"&lt;=30"))</f>
        <v>-</v>
      </c>
      <c r="AL138" s="33" t="str">
        <f>IF(OR($C138&gt;20190630,$K138&gt;30,AH138="-",$D138="是",$E138="封闭期",$H138&lt;10,$BN138&lt;-6,$BR138&lt;70),"-",COUNTIFS(AH$4:AH$200,"&lt;&gt;-",$D$4:$D$200,"&lt;&gt;是",$E$4:$E$200,"&lt;&gt;封闭期",$H$4:$H$200,"&gt;10",$BN$4:$BN$200,"&gt;-6",$BR$4:$BR$200,"&gt;=70",$K$4:$K$200,"&lt;=30",$C$4:$C$200,"&lt;20190630",AH$4:AH$200,"&gt;="&amp;AH138)/COUNTIFS(AH$4:AH$200,"&lt;&gt;-",$D$4:$D$200,"&lt;&gt;是",$E$4:$E$200,"&lt;&gt;封闭期",$H$4:$H$200,"&gt;10",$BN$4:$BN$200,"&gt;-6",$BR$4:$BR$200,"&gt;=70",$C$4:$C$200,"&lt;20190630",$K$4:$K$200,"&lt;=30"))</f>
        <v>-</v>
      </c>
      <c r="AM138" s="19">
        <f>[1]!f_return($A138,"1",AM$2,$L$2)</f>
        <v>5.1729145836809876</v>
      </c>
      <c r="AN138" s="19">
        <f>[1]!f_risk_stdevyearly($A138,AM$2,$L$2,1,1)</f>
        <v>3.5510681829426254</v>
      </c>
      <c r="AO138" s="19">
        <f>IFERROR(AM138/AN138,"-")</f>
        <v>1.4567207153410398</v>
      </c>
      <c r="AP138" s="19" t="str">
        <f>IFERROR(RANK(AO138,AO:AO)&amp;"/"&amp;COUNT(AO:AO),"-")</f>
        <v>111/197</v>
      </c>
      <c r="AQ138" s="26">
        <f>IF(AP138="-","-",RANK(AO138,AO:AO)/COUNT(AO:AO))</f>
        <v>0.56345177664974622</v>
      </c>
      <c r="AR138" s="57">
        <v>0.68527918781725883</v>
      </c>
      <c r="AS138" s="33" t="str">
        <f>IF(OR($C138&gt;20190630,$K138&gt;30,AO138="-",$D138="是",$E138="封闭期",$H138&lt;10,$BN138&lt;-6,$BR138&lt;70),"-",COUNTIFS(AO$4:AO$200,"&lt;&gt;-",$D$4:$D$200,"&lt;&gt;是",$E$4:$E$200,"&lt;&gt;封闭期",$H$4:$H$200,"&gt;10",$BN$4:$BN$200,"&gt;-6",$BR$4:$BR$200,"&gt;=70",$K$4:$K$200,"&lt;=30",$C$4:$C$200,"&lt;20190630",AO$4:AO$200,"&gt;="&amp;AO138)/COUNTIFS(AO$4:AO$200,"&lt;&gt;-",$D$4:$D$200,"&lt;&gt;是",$E$4:$E$200,"&lt;&gt;封闭期",$H$4:$H$200,"&gt;10",$BN$4:$BN$200,"&gt;-6",$BR$4:$BR$200,"&gt;=70",$C$4:$C$200,"&lt;20190630",$K$4:$K$200,"&lt;=30"))</f>
        <v>-</v>
      </c>
      <c r="AT138" s="19">
        <f>IFERROR((AM138-3)/AN138,"-")</f>
        <v>0.61190449513711731</v>
      </c>
      <c r="AU138" s="19" t="str">
        <f>IFERROR(RANK(AT138,AT:AT)&amp;"/"&amp;COUNT(AT:AT),"-")</f>
        <v>128/197</v>
      </c>
      <c r="AV138" s="26">
        <f>IFERROR(RANK(AT138,AT:AT)/COUNT(AT:AT),"-")</f>
        <v>0.64974619289340096</v>
      </c>
      <c r="AW138" s="34" t="str">
        <f>IF(OR($C138&gt;20190630,$K138&gt;30,AT138="-",$D138="是",$E138="封闭期",$H138&lt;10,$BN138&lt;-6,$BR138&lt;70),"-",COUNTIFS(AT$4:AT$200,"&lt;&gt;-",$D$4:$D$200,"&lt;&gt;是",$E$4:$E$200,"&lt;&gt;封闭期",$H$4:$H$200,"&gt;10",$BN$4:$BN$200,"&gt;-6",$BR$4:$BR$200,"&gt;=70",$K$4:$K$200,"&lt;=30",$C$4:$C$200,"&lt;20190630",AT$4:AT$200,"&gt;="&amp;AT138)&amp;"/"&amp;COUNTIFS(AT$4:AT$200,"&lt;&gt;-",$D$4:$D$200,"&lt;&gt;是",$E$4:$E$200,"&lt;&gt;封闭期",$H$4:$H$200,"&gt;10",$BN$4:$BN$200,"&gt;-6",$BR$4:$BR$200,"&gt;=70",$C$4:$C$200,"&lt;20190630",$K$4:$K$200,"&lt;=30"))</f>
        <v>-</v>
      </c>
      <c r="AX138" s="33" t="str">
        <f>IF(OR($C138&gt;20190630,$K138&gt;30,AT138="-",$D138="是",$E138="封闭期",$H138&lt;10,$BN138&lt;-6,$BR138&lt;70),"-",COUNTIFS(AT$4:AT$200,"&lt;&gt;-",$D$4:$D$200,"&lt;&gt;是",$E$4:$E$200,"&lt;&gt;封闭期",$H$4:$H$200,"&gt;10",$BN$4:$BN$200,"&gt;-6",$BR$4:$BR$200,"&gt;=70",$K$4:$K$200,"&lt;=30",$C$4:$C$200,"&lt;20190630",AT$4:AT$200,"&gt;="&amp;AT138)/COUNTIFS(AT$4:AT$200,"&lt;&gt;-",$D$4:$D$200,"&lt;&gt;是",$E$4:$E$200,"&lt;&gt;封闭期",$H$4:$H$200,"&gt;10",$BN$4:$BN$200,"&gt;-6",$BR$4:$BR$200,"&gt;=70",$C$4:$C$200,"&lt;20190630",$K$4:$K$200,"&lt;=30"))</f>
        <v>-</v>
      </c>
      <c r="AY138" s="19">
        <f>[1]!f_risk_calmar(A138,$AM$2,$L$2)</f>
        <v>1.213580510986177</v>
      </c>
      <c r="AZ138" s="19" t="str">
        <f>IFERROR(RANK(AY138,AY:AY)&amp;"/"&amp;COUNT(AY:AY),"-")</f>
        <v>155/197</v>
      </c>
      <c r="BA138" s="26">
        <f>IFERROR(RANK(AY138,AY:AY)/COUNT(AY:AY),"-")</f>
        <v>0.78680203045685282</v>
      </c>
      <c r="BB138" s="34" t="str">
        <f>IF(OR($C138&gt;20190630,$K138&gt;30,AY138="-",$D138="是",$E138="封闭期",$H138&lt;10,$BN138&lt;-6,$BR138&lt;70),"-",COUNTIFS(AY$4:AY$200,"&lt;&gt;-",$D$4:$D$200,"&lt;&gt;是",$E$4:$E$200,"&lt;&gt;封闭期",$H$4:$H$200,"&gt;10",$BN$4:$BN$200,"&gt;-6",$BR$4:$BR$200,"&gt;=70",$K$4:$K$200,"&lt;=30",$C$4:$C$200,"&lt;20190630",AY$4:AY$200,"&gt;="&amp;AY138)&amp;"/"&amp;COUNTIFS(AY$4:AY$200,"&lt;&gt;-",$D$4:$D$200,"&lt;&gt;是",$E$4:$E$200,"&lt;&gt;封闭期",$H$4:$H$200,"&gt;10",$BN$4:$BN$200,"&gt;-6",$BR$4:$BR$200,"&gt;=70",$C$4:$C$200,"&lt;20190630",$K$4:$K$200,"&lt;=30"))</f>
        <v>-</v>
      </c>
      <c r="BC138" s="33" t="str">
        <f>IF(OR($C138&gt;20190630,$K138&gt;30,AY138="-",$D138="是",$E138="封闭期",$H138&lt;10,$BN138&lt;-6,$BR138&lt;70),"-",COUNTIFS(AY$4:AY$200,"&lt;&gt;-",$D$4:$D$200,"&lt;&gt;是",$E$4:$E$200,"&lt;&gt;封闭期",$H$4:$H$200,"&gt;10",$BN$4:$BN$200,"&gt;-6",$BR$4:$BR$200,"&gt;=70",$K$4:$K$200,"&lt;=30",$C$4:$C$200,"&lt;20190630",AY$4:AY$200,"&gt;="&amp;AY138)/COUNTIFS(AY$4:AY$200,"&lt;&gt;-",$D$4:$D$200,"&lt;&gt;是",$E$4:$E$200,"&lt;&gt;封闭期",$H$4:$H$200,"&gt;10",$BN$4:$BN$200,"&gt;-6",$BR$4:$BR$200,"&gt;=70",$C$4:$C$200,"&lt;20190630",$K$4:$K$200,"&lt;=30"))</f>
        <v>-</v>
      </c>
      <c r="BD138" s="20">
        <v>0.67500000000000004</v>
      </c>
      <c r="BE138" s="19" t="str">
        <f>IFERROR(RANK(BD138,BD:BD)&amp;"/"&amp;COUNT(BD:BD),"-")</f>
        <v>187/197</v>
      </c>
      <c r="BF138" s="26">
        <f>IFERROR(RANK(BD138,BD:BD)/COUNT(BD:BD),"-")</f>
        <v>0.949238578680203</v>
      </c>
      <c r="BG138" s="34" t="str">
        <f>IF(OR($C138&gt;20190630,$K138&gt;30,BD138="-",$D138="是",$E138="封闭期",$H138&lt;10,$BN138&lt;-6,$BR138&lt;70),"-",COUNTIFS(BD$4:BD$200,"&lt;&gt;-",$D$4:$D$200,"&lt;&gt;是",$E$4:$E$200,"&lt;&gt;封闭期",$H$4:$H$200,"&gt;10",$BN$4:$BN$200,"&gt;-6",$BR$4:$BR$200,"&gt;=70",$K$4:$K$200,"&lt;=30",$C$4:$C$200,"&lt;20190630",BD$4:BD$200,"&gt;="&amp;BD138)&amp;"/"&amp;COUNTIFS(BD$4:BD$200,"&lt;&gt;-",$D$4:$D$200,"&lt;&gt;是",$E$4:$E$200,"&lt;&gt;封闭期",$H$4:$H$200,"&gt;10",$BN$4:$BN$200,"&gt;-6",$BR$4:$BR$200,"&gt;=70",$C$4:$C$200,"&lt;20190630",$K$4:$K$200,"&lt;=30"))</f>
        <v>-</v>
      </c>
      <c r="BH138" s="33" t="str">
        <f>IF(OR($C138&gt;20190630,$K138&gt;30,BD138="-",$D138="是",$E138="封闭期",$H138&lt;10,$BN138&lt;-6,$BR138&lt;70),"-",COUNTIFS(BD$4:BD$200,"&lt;&gt;-",$D$4:$D$200,"&lt;&gt;是",$E$4:$E$200,"&lt;&gt;封闭期",$H$4:$H$200,"&gt;10",$BN$4:$BN$200,"&gt;-6",$BR$4:$BR$200,"&gt;=70",$K$4:$K$200,"&lt;=30",$C$4:$C$200,"&lt;20190630",BD$4:BD$200,"&gt;="&amp;BD138)/COUNTIFS(BD$4:BD$200,"&lt;&gt;-",$D$4:$D$200,"&lt;&gt;是",$E$4:$E$200,"&lt;&gt;封闭期",$H$4:$H$200,"&gt;10",$BN$4:$BN$200,"&gt;-6",$BR$4:$BR$200,"&gt;=70",$C$4:$C$200,"&lt;20190630",$K$4:$K$200,"&lt;=30"))</f>
        <v>-</v>
      </c>
      <c r="BI138" s="21">
        <f>[1]!f_risk_maxdownside(A138,$AM$2,$L$2)</f>
        <v>-4.2625227884364962</v>
      </c>
      <c r="BJ138" s="19" t="str">
        <f>IFERROR(RANK(BI138,BI:BI)&amp;"/"&amp;COUNT(BI:BI),"-")</f>
        <v>138/197</v>
      </c>
      <c r="BK138" s="26">
        <f>IFERROR(RANK(BI138,BI:BI)/COUNT(BI:BI),"-")</f>
        <v>0.70050761421319796</v>
      </c>
      <c r="BL138" s="34" t="str">
        <f>IF(OR($C138&gt;20190630,$K138&gt;30,BI138="-",$D138="是",$E138="封闭期",$H138&lt;10,$BN138&lt;-6,$BR138&lt;70),"-",COUNTIFS(BI$4:BI$200,"&lt;&gt;-",$D$4:$D$200,"&lt;&gt;是",$E$4:$E$200,"&lt;&gt;封闭期",$H$4:$H$200,"&gt;10",$BN$4:$BN$200,"&gt;-6",$BR$4:$BR$200,"&gt;=70",$K$4:$K$200,"&lt;=30",$C$4:$C$200,"&lt;20190630",BI$4:BI$200,"&gt;="&amp;BI138)&amp;"/"&amp;COUNTIFS(BI$4:BI$200,"&lt;&gt;-",$D$4:$D$200,"&lt;&gt;是",$E$4:$E$200,"&lt;&gt;封闭期",$H$4:$H$200,"&gt;10",$BN$4:$BN$200,"&gt;-6",$BR$4:$BR$200,"&gt;=70",$C$4:$C$200,"&lt;20190630",$K$4:$K$200,"&lt;=30"))</f>
        <v>-</v>
      </c>
      <c r="BM138" s="33" t="str">
        <f>IF(OR($C138&gt;20190630,$K138&gt;30,BI138="-",$D138="是",$E138="封闭期",$H138&lt;10,$BN138&lt;-6,$BR138&lt;70),"-",COUNTIFS(BI$4:BI$200,"&lt;&gt;-",$D$4:$D$200,"&lt;&gt;是",$E$4:$E$200,"&lt;&gt;封闭期",$H$4:$H$200,"&gt;10",$BN$4:$BN$200,"&gt;-6",$BR$4:$BR$200,"&gt;=70",$K$4:$K$200,"&lt;=30",$C$4:$C$200,"&lt;20190630",BI$4:BI$200,"&gt;="&amp;BI138)/COUNTIFS(BI$4:BI$200,"&lt;&gt;-",$D$4:$D$200,"&lt;&gt;是",$E$4:$E$200,"&lt;&gt;封闭期",$H$4:$H$200,"&gt;10",$BN$4:$BN$200,"&gt;-6",$BR$4:$BR$200,"&gt;=70",$C$4:$C$200,"&lt;20190630",$K$4:$K$200,"&lt;=30"))</f>
        <v>-</v>
      </c>
      <c r="BN138" s="21">
        <f>[1]!f_risk_maxdownside(A138,$AM$2,$E$1)</f>
        <v>-4.2625227884364962</v>
      </c>
      <c r="BO138" s="21">
        <f>IF(C138&lt;20190930,[1]!f_return_2y(A138,"0","20210930"),"-")</f>
        <v>13.536299983657157</v>
      </c>
      <c r="BP138" s="19" t="str">
        <f>IFERROR(RANK(BO138,BO:BO)&amp;"/"&amp;COUNT(BO:BO),"-")</f>
        <v>98/197</v>
      </c>
      <c r="BQ138" s="25">
        <f>IFERROR(RANK(BO138,BO:BO)/COUNT(BO:BO),"-")</f>
        <v>0.49746192893401014</v>
      </c>
      <c r="BR138" s="19">
        <f>IF(C138&lt;20190930,[1]!f_absolute_profitmonthper(A138,"20190930","20210930"),"-")</f>
        <v>79.166666666666657</v>
      </c>
      <c r="BS138" s="19" t="str">
        <f>IFERROR(RANK(BR138,BR:BR)&amp;"/"&amp;COUNT(BR:BR),"-")</f>
        <v>16/198</v>
      </c>
      <c r="BT138" s="25">
        <f>IFERROR(RANK(BR138,BR:BR)/COUNT(BR:BR),"-")</f>
        <v>8.0808080808080815E-2</v>
      </c>
      <c r="BV138" s="12">
        <f>X138-3/M138</f>
        <v>8.6857544203204231</v>
      </c>
      <c r="BW138" s="76">
        <f>IFERROR(RANK(BV138,BV:BV)/COUNT(BV:BV),"-")</f>
        <v>2.5380710659898477E-2</v>
      </c>
      <c r="BX138" s="76">
        <f>IFERROR(RANK(L138,L:L)/COUNT(L:L),"-")</f>
        <v>0.32323232323232326</v>
      </c>
      <c r="BY138" s="12">
        <f>AY138-3/AN138</f>
        <v>0.36876429078225448</v>
      </c>
      <c r="BZ138" s="76">
        <f>IFERROR(RANK(BY138,BY:BY)/COUNT(BY:BY),"-")</f>
        <v>0.80203045685279184</v>
      </c>
      <c r="CA138" s="76">
        <f>IFERROR(RANK(AM138,AM:AM)/COUNT(AM:AM),"-")</f>
        <v>0.68686868686868685</v>
      </c>
      <c r="CB138" s="2"/>
      <c r="CC138" s="77">
        <f>AV138+BF138+BZ138+CA138</f>
        <v>3.0878839152950825</v>
      </c>
      <c r="CD138" s="77">
        <f>BW138+BX138+AE138+U138</f>
        <v>0.37906988668409997</v>
      </c>
      <c r="CE138" s="77">
        <f>CC138+CD138</f>
        <v>3.4669538019791823</v>
      </c>
    </row>
    <row r="139" spans="1:83" s="17" customFormat="1" x14ac:dyDescent="0.35">
      <c r="A139" s="15" t="s">
        <v>265</v>
      </c>
      <c r="B139" s="15" t="s">
        <v>266</v>
      </c>
      <c r="C139" s="16">
        <v>20160816</v>
      </c>
      <c r="D139" s="16" t="str">
        <f>[1]!f_info_regulopenfundornot(A139)</f>
        <v>否</v>
      </c>
      <c r="E139" s="16" t="str">
        <f>[1]!f_dq_status(A139,$E$1)</f>
        <v>开放申购|开放赎回</v>
      </c>
      <c r="F139" s="17" t="str">
        <f>[1]!f_info_fundmanager(A139)</f>
        <v>吴国清,李炳智,王旭巍</v>
      </c>
      <c r="G139" s="16">
        <v>20160816</v>
      </c>
      <c r="H139" s="18">
        <f>[1]!f_netasset_total(A139,$E$1,100000000)</f>
        <v>21.641248206100002</v>
      </c>
      <c r="I139" s="18">
        <f>[1]!f_prt_convertiblebondtonav(A139,$E$1)</f>
        <v>0</v>
      </c>
      <c r="J139" s="18">
        <f>[1]!f_prt_stocktonav(A139,$E$1)+0.5*I139</f>
        <v>13.062355041503906</v>
      </c>
      <c r="K139" s="19">
        <v>10.872820735620779</v>
      </c>
      <c r="L139" s="19">
        <f>[1]!f_return($A139,"1",L$2,$E$1)</f>
        <v>4.5940340835129323</v>
      </c>
      <c r="M139" s="19">
        <f>[1]!f_risk_stdevyearly($A139,L$2,$E$1,1,1)</f>
        <v>4.6035976675701491</v>
      </c>
      <c r="N139" s="19">
        <f>IFERROR(L139/M139,"-")</f>
        <v>0.99792258473745721</v>
      </c>
      <c r="O139" s="19" t="str">
        <f>IFERROR(RANK(N139,N:N)&amp;"/"&amp;COUNT(N:N),"-")</f>
        <v>140/197</v>
      </c>
      <c r="P139" s="26">
        <f>IF(O139="-","-",RANK(N139,N:N)/COUNT(N:N))</f>
        <v>0.71065989847715738</v>
      </c>
      <c r="Q139" s="56">
        <v>0.63959390862944165</v>
      </c>
      <c r="R139" s="33" t="str">
        <f>IF(OR($C139&gt;20190630,$K139&gt;30,N139="-",$D139="是",$E139="封闭期",$H139&lt;10,$BN139&lt;-6,$BR139&lt;70),"-",COUNTIFS(N$4:N$200,"&lt;&gt;-",$D$4:$D$200,"&lt;&gt;是",$E$4:$E$200,"&lt;&gt;封闭期",$H$4:$H$200,"&gt;10",$BN$4:$BN$200,"&gt;-6",$BR$4:$BR$200,"&gt;=70",$K$4:$K$200,"&lt;=30",$C$4:$C$200,"&lt;20190630",N$4:N$200,"&gt;="&amp;N139)/COUNTIFS(N$4:N$200,"&lt;&gt;-",$D$4:$D$200,"&lt;&gt;是",$E$4:$E$200,"&lt;&gt;封闭期",$H$4:$H$200,"&gt;10",$BN$4:$BN$200,"&gt;-6",$BR$4:$BR$200,"&gt;=70",$C$4:$C$200,"&lt;20190630",$K$4:$K$200,"&lt;=30"))</f>
        <v>-</v>
      </c>
      <c r="S139" s="19">
        <f>IFERROR((L139-3)/M139,"-")</f>
        <v>0.3462583393727125</v>
      </c>
      <c r="T139" s="19" t="str">
        <f>IFERROR(RANK(S139,S:S)&amp;"/"&amp;COUNT(S:S),"-")</f>
        <v>132/197</v>
      </c>
      <c r="U139" s="26">
        <f>IFERROR(RANK(S139,S:S)/COUNT(S:S),"-")</f>
        <v>0.67005076142131981</v>
      </c>
      <c r="V139" s="34" t="str">
        <f>IF(OR($C139&gt;20190630,$K139&gt;30,S139="-",$D139="是",$E139="封闭期",$H139&lt;10,$BN139&lt;-6,$BR139&lt;70),"-",COUNTIFS(S$4:S$200,"&lt;&gt;-",$D$4:$D$200,"&lt;&gt;是",$E$4:$E$200,"&lt;&gt;封闭期",$H$4:$H$200,"&gt;10",$BN$4:$BN$200,"&gt;-6",$BR$4:$BR$200,"&gt;=70",$K$4:$K$200,"&lt;=30",$C$4:$C$200,"&lt;20190630",S$4:S$200,"&gt;="&amp;S139)&amp;"/"&amp;COUNTIFS(S$4:S$200,"&lt;&gt;-",$D$4:$D$200,"&lt;&gt;是",$E$4:$E$200,"&lt;&gt;封闭期",$H$4:$H$200,"&gt;10",$BN$4:$BN$200,"&gt;-6",$BR$4:$BR$200,"&gt;=70",$C$4:$C$200,"&lt;20190630",$K$4:$K$200,"&lt;=30"))</f>
        <v>-</v>
      </c>
      <c r="W139" s="33" t="str">
        <f>IF(OR($C139&gt;20190630,$K139&gt;30,S139="-",$D139="是",$E139="封闭期",$H139&lt;10,$BN139&lt;-6,$BR139&lt;70),"-",COUNTIFS(S$4:S$200,"&lt;&gt;-",$D$4:$D$200,"&lt;&gt;是",$E$4:$E$200,"&lt;&gt;封闭期",$H$4:$H$200,"&gt;10",$BN$4:$BN$200,"&gt;-6",$BR$4:$BR$200,"&gt;=70",$K$4:$K$200,"&lt;=30",$C$4:$C$200,"&lt;20190630",S$4:S$200,"&gt;="&amp;S139)/COUNTIFS(S$4:S$200,"&lt;&gt;-",$D$4:$D$200,"&lt;&gt;是",$E$4:$E$200,"&lt;&gt;封闭期",$H$4:$H$200,"&gt;10",$BN$4:$BN$200,"&gt;-6",$BR$4:$BR$200,"&gt;=70",$C$4:$C$200,"&lt;20190630",$K$4:$K$200,"&lt;=30"))</f>
        <v>-</v>
      </c>
      <c r="X139" s="19">
        <f>[1]!f_risk_calmar(A139,$L$2,$E$1)</f>
        <v>1.1102998225319871</v>
      </c>
      <c r="Y139" s="19" t="str">
        <f>IFERROR(RANK(X139,X:X)&amp;"/"&amp;COUNT(X:X),"-")</f>
        <v>152/197</v>
      </c>
      <c r="Z139" s="26">
        <f>IFERROR(RANK(X139,X:X)/COUNT(X:X),"-")</f>
        <v>0.77157360406091369</v>
      </c>
      <c r="AA139" s="34" t="str">
        <f>IF(OR($C139&gt;20190630,$K139&gt;30,X139="-",$D139="是",$E139="封闭期",$H139&lt;10,$BN139&lt;-6,$BR139&lt;70),"-",COUNTIFS(X$4:X$200,"&lt;&gt;-",$D$4:$D$200,"&lt;&gt;是",$E$4:$E$200,"&lt;&gt;封闭期",$H$4:$H$200,"&gt;10",$BN$4:$BN$200,"&gt;-6",$BR$4:$BR$200,"&gt;=70",$K$4:$K$200,"&lt;=30",$C$4:$C$200,"&lt;20190630",X$4:X$200,"&gt;="&amp;X139)&amp;"/"&amp;COUNTIFS(X$4:X$200,"&lt;&gt;-",$D$4:$D$200,"&lt;&gt;是",$E$4:$E$200,"&lt;&gt;封闭期",$H$4:$H$200,"&gt;10",$BN$4:$BN$200,"&gt;-6",$BR$4:$BR$200,"&gt;=70",$C$4:$C$200,"&lt;20190630",$K$4:$K$200,"&lt;=30"))</f>
        <v>-</v>
      </c>
      <c r="AB139" s="33" t="str">
        <f>IF(OR($C139&gt;20190630,$K139&gt;30,X139="-",$D139="是",$E139="封闭期",$H139&lt;10,$BN139&lt;-6,$BR139&lt;70),"-",COUNTIFS(X$4:X$200,"&lt;&gt;-",$D$4:$D$200,"&lt;&gt;是",$E$4:$E$200,"&lt;&gt;封闭期",$H$4:$H$200,"&gt;10",$BN$4:$BN$200,"&gt;-6",$BR$4:$BR$200,"&gt;=70",$K$4:$K$200,"&lt;=30",$C$4:$C$200,"&lt;20190630",X$4:X$200,"&gt;="&amp;X139)/COUNTIFS(X$4:X$200,"&lt;&gt;-",$D$4:$D$200,"&lt;&gt;是",$E$4:$E$200,"&lt;&gt;封闭期",$H$4:$H$200,"&gt;10",$BN$4:$BN$200,"&gt;-6",$BR$4:$BR$200,"&gt;=70",$C$4:$C$200,"&lt;20190630",$K$4:$K$200,"&lt;=30"))</f>
        <v>-</v>
      </c>
      <c r="AC139" s="20">
        <v>0.97478991596638653</v>
      </c>
      <c r="AD139" s="19" t="str">
        <f>IFERROR(RANK(AC139,AC:AC)&amp;"/"&amp;COUNT(AC:AC),"-")</f>
        <v>97/197</v>
      </c>
      <c r="AE139" s="26">
        <f>IFERROR(RANK(AC139,AC:AC)/COUNT(AC:AC),"-")</f>
        <v>0.49238578680203043</v>
      </c>
      <c r="AF139" s="34" t="str">
        <f>IF(OR($C139&gt;20190630,$K139&gt;30,AC139="-",$D139="是",$E139="封闭期",$H139&lt;10,$BN139&lt;-6,$BR139&lt;70),"-",COUNTIFS(AC$4:AC$200,"&lt;&gt;-",$D$4:$D$200,"&lt;&gt;是",$E$4:$E$200,"&lt;&gt;封闭期",$H$4:$H$200,"&gt;10",$BN$4:$BN$200,"&gt;-6",$BR$4:$BR$200,"&gt;=70",$K$4:$K$200,"&lt;=30",$C$4:$C$200,"&lt;20190630",AC$4:AC$200,"&gt;="&amp;AC139)&amp;"/"&amp;COUNTIFS(AC$4:AC$200,"&lt;&gt;-",$D$4:$D$200,"&lt;&gt;是",$E$4:$E$200,"&lt;&gt;封闭期",$H$4:$H$200,"&gt;10",$BN$4:$BN$200,"&gt;-6",$BR$4:$BR$200,"&gt;=70",$C$4:$C$200,"&lt;20190630",$K$4:$K$200,"&lt;=30"))</f>
        <v>-</v>
      </c>
      <c r="AG139" s="33" t="str">
        <f>IF(OR($C139&gt;20190630,$K139&gt;30,AC139="-",$D139="是",$E139="封闭期",$H139&lt;10,$BN139&lt;-6,$BR139&lt;70),"-",COUNTIFS(AC$4:AC$200,"&lt;&gt;-",$D$4:$D$200,"&lt;&gt;是",$E$4:$E$200,"&lt;&gt;封闭期",$H$4:$H$200,"&gt;10",$BN$4:$BN$200,"&gt;-6",$BR$4:$BR$200,"&gt;=70",$K$4:$K$200,"&lt;=30",$C$4:$C$200,"&lt;20190630",AC$4:AC$200,"&gt;="&amp;AC139)/COUNTIFS(AC$4:AC$200,"&lt;&gt;-",$D$4:$D$200,"&lt;&gt;是",$E$4:$E$200,"&lt;&gt;封闭期",$H$4:$H$200,"&gt;10",$BN$4:$BN$200,"&gt;-6",$BR$4:$BR$200,"&gt;=70",$C$4:$C$200,"&lt;20190630",$K$4:$K$200,"&lt;=30"))</f>
        <v>-</v>
      </c>
      <c r="AH139" s="21">
        <f>[1]!f_risk_maxdownside(A139,$L$2,$E$1)</f>
        <v>-4.1376518218623604</v>
      </c>
      <c r="AI139" s="19" t="str">
        <f>IFERROR(RANK(AH139,AH:AH)&amp;"/"&amp;COUNT(AH:AH),"-")</f>
        <v>127/197</v>
      </c>
      <c r="AJ139" s="26">
        <f>IFERROR(RANK(AH139,AH:AH)/COUNT(AH:AH),"-")</f>
        <v>0.64467005076142136</v>
      </c>
      <c r="AK139" s="34" t="str">
        <f>IF(OR($C139&gt;20190630,$K139&gt;30,AH139="-",$D139="是",$E139="封闭期",$H139&lt;10,$BN139&lt;-6,$BR139&lt;70),"-",COUNTIFS(AH$4:AH$200,"&lt;&gt;-",$D$4:$D$200,"&lt;&gt;是",$E$4:$E$200,"&lt;&gt;封闭期",$H$4:$H$200,"&gt;10",$BN$4:$BN$200,"&gt;-6",$BR$4:$BR$200,"&gt;=70",$K$4:$K$200,"&lt;=30",$C$4:$C$200,"&lt;20190630",AH$4:AH$200,"&gt;="&amp;AH139)&amp;"/"&amp;COUNTIFS(AH$4:AH$200,"&lt;&gt;-",$D$4:$D$200,"&lt;&gt;是",$E$4:$E$200,"&lt;&gt;封闭期",$H$4:$H$200,"&gt;10",$BN$4:$BN$200,"&gt;-6",$BR$4:$BR$200,"&gt;=70",$C$4:$C$200,"&lt;20190630",$K$4:$K$200,"&lt;=30"))</f>
        <v>-</v>
      </c>
      <c r="AL139" s="33" t="str">
        <f>IF(OR($C139&gt;20190630,$K139&gt;30,AH139="-",$D139="是",$E139="封闭期",$H139&lt;10,$BN139&lt;-6,$BR139&lt;70),"-",COUNTIFS(AH$4:AH$200,"&lt;&gt;-",$D$4:$D$200,"&lt;&gt;是",$E$4:$E$200,"&lt;&gt;封闭期",$H$4:$H$200,"&gt;10",$BN$4:$BN$200,"&gt;-6",$BR$4:$BR$200,"&gt;=70",$K$4:$K$200,"&lt;=30",$C$4:$C$200,"&lt;20190630",AH$4:AH$200,"&gt;="&amp;AH139)/COUNTIFS(AH$4:AH$200,"&lt;&gt;-",$D$4:$D$200,"&lt;&gt;是",$E$4:$E$200,"&lt;&gt;封闭期",$H$4:$H$200,"&gt;10",$BN$4:$BN$200,"&gt;-6",$BR$4:$BR$200,"&gt;=70",$C$4:$C$200,"&lt;20190630",$K$4:$K$200,"&lt;=30"))</f>
        <v>-</v>
      </c>
      <c r="AM139" s="19">
        <f>[1]!f_return($A139,"1",AM$2,$L$2)</f>
        <v>5.0125768761425382</v>
      </c>
      <c r="AN139" s="19">
        <f>[1]!f_risk_stdevyearly($A139,AM$2,$L$2,1,1)</f>
        <v>3.1263743256140355</v>
      </c>
      <c r="AO139" s="19">
        <f>IFERROR(AM139/AN139,"-")</f>
        <v>1.6033194857938335</v>
      </c>
      <c r="AP139" s="19" t="str">
        <f>IFERROR(RANK(AO139,AO:AO)&amp;"/"&amp;COUNT(AO:AO),"-")</f>
        <v>98/197</v>
      </c>
      <c r="AQ139" s="26">
        <f>IF(AP139="-","-",RANK(AO139,AO:AO)/COUNT(AO:AO))</f>
        <v>0.49746192893401014</v>
      </c>
      <c r="AR139" s="57">
        <v>0.69035532994923854</v>
      </c>
      <c r="AS139" s="33" t="str">
        <f>IF(OR($C139&gt;20190630,$K139&gt;30,AO139="-",$D139="是",$E139="封闭期",$H139&lt;10,$BN139&lt;-6,$BR139&lt;70),"-",COUNTIFS(AO$4:AO$200,"&lt;&gt;-",$D$4:$D$200,"&lt;&gt;是",$E$4:$E$200,"&lt;&gt;封闭期",$H$4:$H$200,"&gt;10",$BN$4:$BN$200,"&gt;-6",$BR$4:$BR$200,"&gt;=70",$K$4:$K$200,"&lt;=30",$C$4:$C$200,"&lt;20190630",AO$4:AO$200,"&gt;="&amp;AO139)/COUNTIFS(AO$4:AO$200,"&lt;&gt;-",$D$4:$D$200,"&lt;&gt;是",$E$4:$E$200,"&lt;&gt;封闭期",$H$4:$H$200,"&gt;10",$BN$4:$BN$200,"&gt;-6",$BR$4:$BR$200,"&gt;=70",$C$4:$C$200,"&lt;20190630",$K$4:$K$200,"&lt;=30"))</f>
        <v>-</v>
      </c>
      <c r="AT139" s="19">
        <f>IFERROR((AM139-3)/AN139,"-")</f>
        <v>0.64374149303035177</v>
      </c>
      <c r="AU139" s="19" t="str">
        <f>IFERROR(RANK(AT139,AT:AT)&amp;"/"&amp;COUNT(AT:AT),"-")</f>
        <v>124/197</v>
      </c>
      <c r="AV139" s="26">
        <f>IFERROR(RANK(AT139,AT:AT)/COUNT(AT:AT),"-")</f>
        <v>0.62944162436548223</v>
      </c>
      <c r="AW139" s="34" t="str">
        <f>IF(OR($C139&gt;20190630,$K139&gt;30,AT139="-",$D139="是",$E139="封闭期",$H139&lt;10,$BN139&lt;-6,$BR139&lt;70),"-",COUNTIFS(AT$4:AT$200,"&lt;&gt;-",$D$4:$D$200,"&lt;&gt;是",$E$4:$E$200,"&lt;&gt;封闭期",$H$4:$H$200,"&gt;10",$BN$4:$BN$200,"&gt;-6",$BR$4:$BR$200,"&gt;=70",$K$4:$K$200,"&lt;=30",$C$4:$C$200,"&lt;20190630",AT$4:AT$200,"&gt;="&amp;AT139)&amp;"/"&amp;COUNTIFS(AT$4:AT$200,"&lt;&gt;-",$D$4:$D$200,"&lt;&gt;是",$E$4:$E$200,"&lt;&gt;封闭期",$H$4:$H$200,"&gt;10",$BN$4:$BN$200,"&gt;-6",$BR$4:$BR$200,"&gt;=70",$C$4:$C$200,"&lt;20190630",$K$4:$K$200,"&lt;=30"))</f>
        <v>-</v>
      </c>
      <c r="AX139" s="33" t="str">
        <f>IF(OR($C139&gt;20190630,$K139&gt;30,AT139="-",$D139="是",$E139="封闭期",$H139&lt;10,$BN139&lt;-6,$BR139&lt;70),"-",COUNTIFS(AT$4:AT$200,"&lt;&gt;-",$D$4:$D$200,"&lt;&gt;是",$E$4:$E$200,"&lt;&gt;封闭期",$H$4:$H$200,"&gt;10",$BN$4:$BN$200,"&gt;-6",$BR$4:$BR$200,"&gt;=70",$K$4:$K$200,"&lt;=30",$C$4:$C$200,"&lt;20190630",AT$4:AT$200,"&gt;="&amp;AT139)/COUNTIFS(AT$4:AT$200,"&lt;&gt;-",$D$4:$D$200,"&lt;&gt;是",$E$4:$E$200,"&lt;&gt;封闭期",$H$4:$H$200,"&gt;10",$BN$4:$BN$200,"&gt;-6",$BR$4:$BR$200,"&gt;=70",$C$4:$C$200,"&lt;20190630",$K$4:$K$200,"&lt;=30"))</f>
        <v>-</v>
      </c>
      <c r="AY139" s="19">
        <f>[1]!f_risk_calmar(A139,$AM$2,$L$2)</f>
        <v>2.1839182523565319</v>
      </c>
      <c r="AZ139" s="19" t="str">
        <f>IFERROR(RANK(AY139,AY:AY)&amp;"/"&amp;COUNT(AY:AY),"-")</f>
        <v>99/197</v>
      </c>
      <c r="BA139" s="26">
        <f>IFERROR(RANK(AY139,AY:AY)/COUNT(AY:AY),"-")</f>
        <v>0.5025380710659898</v>
      </c>
      <c r="BB139" s="34" t="str">
        <f>IF(OR($C139&gt;20190630,$K139&gt;30,AY139="-",$D139="是",$E139="封闭期",$H139&lt;10,$BN139&lt;-6,$BR139&lt;70),"-",COUNTIFS(AY$4:AY$200,"&lt;&gt;-",$D$4:$D$200,"&lt;&gt;是",$E$4:$E$200,"&lt;&gt;封闭期",$H$4:$H$200,"&gt;10",$BN$4:$BN$200,"&gt;-6",$BR$4:$BR$200,"&gt;=70",$K$4:$K$200,"&lt;=30",$C$4:$C$200,"&lt;20190630",AY$4:AY$200,"&gt;="&amp;AY139)&amp;"/"&amp;COUNTIFS(AY$4:AY$200,"&lt;&gt;-",$D$4:$D$200,"&lt;&gt;是",$E$4:$E$200,"&lt;&gt;封闭期",$H$4:$H$200,"&gt;10",$BN$4:$BN$200,"&gt;-6",$BR$4:$BR$200,"&gt;=70",$C$4:$C$200,"&lt;20190630",$K$4:$K$200,"&lt;=30"))</f>
        <v>-</v>
      </c>
      <c r="BC139" s="33" t="str">
        <f>IF(OR($C139&gt;20190630,$K139&gt;30,AY139="-",$D139="是",$E139="封闭期",$H139&lt;10,$BN139&lt;-6,$BR139&lt;70),"-",COUNTIFS(AY$4:AY$200,"&lt;&gt;-",$D$4:$D$200,"&lt;&gt;是",$E$4:$E$200,"&lt;&gt;封闭期",$H$4:$H$200,"&gt;10",$BN$4:$BN$200,"&gt;-6",$BR$4:$BR$200,"&gt;=70",$K$4:$K$200,"&lt;=30",$C$4:$C$200,"&lt;20190630",AY$4:AY$200,"&gt;="&amp;AY139)/COUNTIFS(AY$4:AY$200,"&lt;&gt;-",$D$4:$D$200,"&lt;&gt;是",$E$4:$E$200,"&lt;&gt;封闭期",$H$4:$H$200,"&gt;10",$BN$4:$BN$200,"&gt;-6",$BR$4:$BR$200,"&gt;=70",$C$4:$C$200,"&lt;20190630",$K$4:$K$200,"&lt;=30"))</f>
        <v>-</v>
      </c>
      <c r="BD139" s="20">
        <v>1</v>
      </c>
      <c r="BE139" s="19" t="str">
        <f>IFERROR(RANK(BD139,BD:BD)&amp;"/"&amp;COUNT(BD:BD),"-")</f>
        <v>1/197</v>
      </c>
      <c r="BF139" s="26">
        <f>IFERROR(RANK(BD139,BD:BD)/COUNT(BD:BD),"-")</f>
        <v>5.076142131979695E-3</v>
      </c>
      <c r="BG139" s="34" t="str">
        <f>IF(OR($C139&gt;20190630,$K139&gt;30,BD139="-",$D139="是",$E139="封闭期",$H139&lt;10,$BN139&lt;-6,$BR139&lt;70),"-",COUNTIFS(BD$4:BD$200,"&lt;&gt;-",$D$4:$D$200,"&lt;&gt;是",$E$4:$E$200,"&lt;&gt;封闭期",$H$4:$H$200,"&gt;10",$BN$4:$BN$200,"&gt;-6",$BR$4:$BR$200,"&gt;=70",$K$4:$K$200,"&lt;=30",$C$4:$C$200,"&lt;20190630",BD$4:BD$200,"&gt;="&amp;BD139)&amp;"/"&amp;COUNTIFS(BD$4:BD$200,"&lt;&gt;-",$D$4:$D$200,"&lt;&gt;是",$E$4:$E$200,"&lt;&gt;封闭期",$H$4:$H$200,"&gt;10",$BN$4:$BN$200,"&gt;-6",$BR$4:$BR$200,"&gt;=70",$C$4:$C$200,"&lt;20190630",$K$4:$K$200,"&lt;=30"))</f>
        <v>-</v>
      </c>
      <c r="BH139" s="33" t="str">
        <f>IF(OR($C139&gt;20190630,$K139&gt;30,BD139="-",$D139="是",$E139="封闭期",$H139&lt;10,$BN139&lt;-6,$BR139&lt;70),"-",COUNTIFS(BD$4:BD$200,"&lt;&gt;-",$D$4:$D$200,"&lt;&gt;是",$E$4:$E$200,"&lt;&gt;封闭期",$H$4:$H$200,"&gt;10",$BN$4:$BN$200,"&gt;-6",$BR$4:$BR$200,"&gt;=70",$K$4:$K$200,"&lt;=30",$C$4:$C$200,"&lt;20190630",BD$4:BD$200,"&gt;="&amp;BD139)/COUNTIFS(BD$4:BD$200,"&lt;&gt;-",$D$4:$D$200,"&lt;&gt;是",$E$4:$E$200,"&lt;&gt;封闭期",$H$4:$H$200,"&gt;10",$BN$4:$BN$200,"&gt;-6",$BR$4:$BR$200,"&gt;=70",$C$4:$C$200,"&lt;20190630",$K$4:$K$200,"&lt;=30"))</f>
        <v>-</v>
      </c>
      <c r="BI139" s="21">
        <f>[1]!f_risk_maxdownside(A139,$AM$2,$L$2)</f>
        <v>-2.2952218430034068</v>
      </c>
      <c r="BJ139" s="19" t="str">
        <f>IFERROR(RANK(BI139,BI:BI)&amp;"/"&amp;COUNT(BI:BI),"-")</f>
        <v>51/197</v>
      </c>
      <c r="BK139" s="26">
        <f>IFERROR(RANK(BI139,BI:BI)/COUNT(BI:BI),"-")</f>
        <v>0.25888324873096447</v>
      </c>
      <c r="BL139" s="34" t="str">
        <f>IF(OR($C139&gt;20190630,$K139&gt;30,BI139="-",$D139="是",$E139="封闭期",$H139&lt;10,$BN139&lt;-6,$BR139&lt;70),"-",COUNTIFS(BI$4:BI$200,"&lt;&gt;-",$D$4:$D$200,"&lt;&gt;是",$E$4:$E$200,"&lt;&gt;封闭期",$H$4:$H$200,"&gt;10",$BN$4:$BN$200,"&gt;-6",$BR$4:$BR$200,"&gt;=70",$K$4:$K$200,"&lt;=30",$C$4:$C$200,"&lt;20190630",BI$4:BI$200,"&gt;="&amp;BI139)&amp;"/"&amp;COUNTIFS(BI$4:BI$200,"&lt;&gt;-",$D$4:$D$200,"&lt;&gt;是",$E$4:$E$200,"&lt;&gt;封闭期",$H$4:$H$200,"&gt;10",$BN$4:$BN$200,"&gt;-6",$BR$4:$BR$200,"&gt;=70",$C$4:$C$200,"&lt;20190630",$K$4:$K$200,"&lt;=30"))</f>
        <v>-</v>
      </c>
      <c r="BM139" s="33" t="str">
        <f>IF(OR($C139&gt;20190630,$K139&gt;30,BI139="-",$D139="是",$E139="封闭期",$H139&lt;10,$BN139&lt;-6,$BR139&lt;70),"-",COUNTIFS(BI$4:BI$200,"&lt;&gt;-",$D$4:$D$200,"&lt;&gt;是",$E$4:$E$200,"&lt;&gt;封闭期",$H$4:$H$200,"&gt;10",$BN$4:$BN$200,"&gt;-6",$BR$4:$BR$200,"&gt;=70",$K$4:$K$200,"&lt;=30",$C$4:$C$200,"&lt;20190630",BI$4:BI$200,"&gt;="&amp;BI139)/COUNTIFS(BI$4:BI$200,"&lt;&gt;-",$D$4:$D$200,"&lt;&gt;是",$E$4:$E$200,"&lt;&gt;封闭期",$H$4:$H$200,"&gt;10",$BN$4:$BN$200,"&gt;-6",$BR$4:$BR$200,"&gt;=70",$C$4:$C$200,"&lt;20190630",$K$4:$K$200,"&lt;=30"))</f>
        <v>-</v>
      </c>
      <c r="BN139" s="21">
        <f>[1]!f_risk_maxdownside(A139,$AM$2,$E$1)</f>
        <v>-4.1376518218623604</v>
      </c>
      <c r="BO139" s="21">
        <f>IF(C139&lt;20190930,[1]!f_return_2y(A139,"0","20210930"),"-")</f>
        <v>10.076114534251559</v>
      </c>
      <c r="BP139" s="19" t="str">
        <f>IFERROR(RANK(BO139,BO:BO)&amp;"/"&amp;COUNT(BO:BO),"-")</f>
        <v>140/197</v>
      </c>
      <c r="BQ139" s="25">
        <f>IFERROR(RANK(BO139,BO:BO)/COUNT(BO:BO),"-")</f>
        <v>0.71065989847715738</v>
      </c>
      <c r="BR139" s="19">
        <f>IF(C139&lt;20190930,[1]!f_absolute_profitmonthper(A139,"20190930","20210930"),"-")</f>
        <v>62.5</v>
      </c>
      <c r="BS139" s="19" t="str">
        <f>IFERROR(RANK(BR139,BR:BR)&amp;"/"&amp;COUNT(BR:BR),"-")</f>
        <v>142/198</v>
      </c>
      <c r="BT139" s="25">
        <f>IFERROR(RANK(BR139,BR:BR)/COUNT(BR:BR),"-")</f>
        <v>0.71717171717171713</v>
      </c>
      <c r="BV139" s="12">
        <f>X139-3/M139</f>
        <v>0.45863557716724246</v>
      </c>
      <c r="BW139" s="76">
        <f>IFERROR(RANK(BV139,BV:BV)/COUNT(BV:BV),"-")</f>
        <v>0.75126903553299496</v>
      </c>
      <c r="BX139" s="76">
        <f>IFERROR(RANK(L139,L:L)/COUNT(L:L),"-")</f>
        <v>0.64141414141414144</v>
      </c>
      <c r="BY139" s="12">
        <f>AY139-3/AN139</f>
        <v>1.2243402595930502</v>
      </c>
      <c r="BZ139" s="76">
        <f>IFERROR(RANK(BY139,BY:BY)/COUNT(BY:BY),"-")</f>
        <v>0.62436548223350252</v>
      </c>
      <c r="CA139" s="76">
        <f>IFERROR(RANK(AM139,AM:AM)/COUNT(AM:AM),"-")</f>
        <v>0.69191919191919193</v>
      </c>
      <c r="CB139" s="2"/>
      <c r="CC139" s="77">
        <f>AV139+BF139+BZ139+CA139</f>
        <v>1.9508024406501563</v>
      </c>
      <c r="CD139" s="77">
        <f>BW139+BX139+AE139+U139</f>
        <v>2.5551197251704867</v>
      </c>
      <c r="CE139" s="77">
        <f>CC139+CD139</f>
        <v>4.5059221658206425</v>
      </c>
    </row>
    <row r="140" spans="1:83" s="2" customFormat="1" x14ac:dyDescent="0.35">
      <c r="A140" s="3" t="s">
        <v>239</v>
      </c>
      <c r="B140" s="3" t="s">
        <v>240</v>
      </c>
      <c r="C140" s="4">
        <v>20100816</v>
      </c>
      <c r="D140" s="4" t="str">
        <f>[1]!f_info_regulopenfundornot(A140)</f>
        <v>否</v>
      </c>
      <c r="E140" s="4" t="str">
        <f>[1]!f_dq_status(A140,$E$1)</f>
        <v>暂停大额申购|开放赎回</v>
      </c>
      <c r="F140" s="17" t="str">
        <f>[1]!f_info_fundmanager(A140)</f>
        <v>欧阳凯,徐博文</v>
      </c>
      <c r="G140" s="4">
        <v>20100816</v>
      </c>
      <c r="H140" s="11">
        <f>[1]!f_netasset_total(A140,$E$1,100000000)</f>
        <v>224.49455836439998</v>
      </c>
      <c r="I140" s="11">
        <f>[1]!f_prt_convertiblebondtonav(A140,$E$1)</f>
        <v>1.6813770532608032</v>
      </c>
      <c r="J140" s="11">
        <f>[1]!f_prt_stocktonav(A140,$E$1)+0.5*I140</f>
        <v>16.571705639362335</v>
      </c>
      <c r="K140" s="12">
        <v>4.5686274423417972</v>
      </c>
      <c r="L140" s="19">
        <f>[1]!f_return($A140,"1",L$2,$E$1)</f>
        <v>4.7806927145834122</v>
      </c>
      <c r="M140" s="19">
        <f>[1]!f_risk_stdevyearly($A140,L$2,$E$1,1,1)</f>
        <v>2.0036156290138747</v>
      </c>
      <c r="N140" s="12">
        <f>IFERROR(L140/M140,"-")</f>
        <v>2.386032852486951</v>
      </c>
      <c r="O140" s="12" t="str">
        <f>IFERROR(RANK(N140,N:N)&amp;"/"&amp;COUNT(N:N),"-")</f>
        <v>34/197</v>
      </c>
      <c r="P140" s="26">
        <f>IF(O140="-","-",RANK(N140,N:N)/COUNT(N:N))</f>
        <v>0.17258883248730963</v>
      </c>
      <c r="Q140" s="58">
        <v>0.59898477157360408</v>
      </c>
      <c r="R140" s="33">
        <f>IF(OR($C140&gt;20190630,$K140&gt;30,N140="-",$D140="是",$E140="封闭期",$H140&lt;10,$BN140&lt;-6,$BR140&lt;70),"-",COUNTIFS(N$4:N$200,"&lt;&gt;-",$D$4:$D$200,"&lt;&gt;是",$E$4:$E$200,"&lt;&gt;封闭期",$H$4:$H$200,"&gt;10",$BN$4:$BN$200,"&gt;-6",$BR$4:$BR$200,"&gt;=70",$K$4:$K$200,"&lt;=30",$C$4:$C$200,"&lt;20190630",N$4:N$200,"&gt;="&amp;N140)/COUNTIFS(N$4:N$200,"&lt;&gt;-",$D$4:$D$200,"&lt;&gt;是",$E$4:$E$200,"&lt;&gt;封闭期",$H$4:$H$200,"&gt;10",$BN$4:$BN$200,"&gt;-6",$BR$4:$BR$200,"&gt;=70",$C$4:$C$200,"&lt;20190630",$K$4:$K$200,"&lt;=30"))</f>
        <v>0.28205128205128205</v>
      </c>
      <c r="S140" s="12">
        <f>IFERROR((L140-3)/M140,"-")</f>
        <v>0.88873968080385801</v>
      </c>
      <c r="T140" s="12" t="str">
        <f>IFERROR(RANK(S140,S:S)&amp;"/"&amp;COUNT(S:S),"-")</f>
        <v>84/197</v>
      </c>
      <c r="U140" s="26">
        <f>IFERROR(RANK(S140,S:S)/COUNT(S:S),"-")</f>
        <v>0.42639593908629442</v>
      </c>
      <c r="V140" s="13" t="str">
        <f>IF(OR($C140&gt;20190630,$K140&gt;30,S140="-",$D140="是",$E140="封闭期",$H140&lt;10,$BN140&lt;-6,$BR140&lt;70),"-",COUNTIFS(S$4:S$200,"&lt;&gt;-",$D$4:$D$200,"&lt;&gt;是",$E$4:$E$200,"&lt;&gt;封闭期",$H$4:$H$200,"&gt;10",$BN$4:$BN$200,"&gt;-6",$BR$4:$BR$200,"&gt;=70",$K$4:$K$200,"&lt;=30",$C$4:$C$200,"&lt;20190630",S$4:S$200,"&gt;="&amp;S140)&amp;"/"&amp;COUNTIFS(S$4:S$200,"&lt;&gt;-",$D$4:$D$200,"&lt;&gt;是",$E$4:$E$200,"&lt;&gt;封闭期",$H$4:$H$200,"&gt;10",$BN$4:$BN$200,"&gt;-6",$BR$4:$BR$200,"&gt;=70",$C$4:$C$200,"&lt;20190630",$K$4:$K$200,"&lt;=30"))</f>
        <v>26/39</v>
      </c>
      <c r="W140" s="33">
        <f>IF(OR($C140&gt;20190630,$K140&gt;30,S140="-",$D140="是",$E140="封闭期",$H140&lt;10,$BN140&lt;-6,$BR140&lt;70),"-",COUNTIFS(S$4:S$200,"&lt;&gt;-",$D$4:$D$200,"&lt;&gt;是",$E$4:$E$200,"&lt;&gt;封闭期",$H$4:$H$200,"&gt;10",$BN$4:$BN$200,"&gt;-6",$BR$4:$BR$200,"&gt;=70",$K$4:$K$200,"&lt;=30",$C$4:$C$200,"&lt;20190630",S$4:S$200,"&gt;="&amp;S140)/COUNTIFS(S$4:S$200,"&lt;&gt;-",$D$4:$D$200,"&lt;&gt;是",$E$4:$E$200,"&lt;&gt;封闭期",$H$4:$H$200,"&gt;10",$BN$4:$BN$200,"&gt;-6",$BR$4:$BR$200,"&gt;=70",$C$4:$C$200,"&lt;20190630",$K$4:$K$200,"&lt;=30"))</f>
        <v>0.66666666666666663</v>
      </c>
      <c r="X140" s="19">
        <f>[1]!f_risk_calmar(A140,$L$2,$E$1)</f>
        <v>3.3005902501484372</v>
      </c>
      <c r="Y140" s="12" t="str">
        <f>IFERROR(RANK(X140,X:X)&amp;"/"&amp;COUNT(X:X),"-")</f>
        <v>56/197</v>
      </c>
      <c r="Z140" s="26">
        <f>IFERROR(RANK(X140,X:X)/COUNT(X:X),"-")</f>
        <v>0.28426395939086296</v>
      </c>
      <c r="AA140" s="13" t="str">
        <f>IF(OR($C140&gt;20190630,$K140&gt;30,X140="-",$D140="是",$E140="封闭期",$H140&lt;10,$BN140&lt;-6,$BR140&lt;70),"-",COUNTIFS(X$4:X$200,"&lt;&gt;-",$D$4:$D$200,"&lt;&gt;是",$E$4:$E$200,"&lt;&gt;封闭期",$H$4:$H$200,"&gt;10",$BN$4:$BN$200,"&gt;-6",$BR$4:$BR$200,"&gt;=70",$K$4:$K$200,"&lt;=30",$C$4:$C$200,"&lt;20190630",X$4:X$200,"&gt;="&amp;X140)&amp;"/"&amp;COUNTIFS(X$4:X$200,"&lt;&gt;-",$D$4:$D$200,"&lt;&gt;是",$E$4:$E$200,"&lt;&gt;封闭期",$H$4:$H$200,"&gt;10",$BN$4:$BN$200,"&gt;-6",$BR$4:$BR$200,"&gt;=70",$C$4:$C$200,"&lt;20190630",$K$4:$K$200,"&lt;=30"))</f>
        <v>19/39</v>
      </c>
      <c r="AB140" s="33">
        <f>IF(OR($C140&gt;20190630,$K140&gt;30,X140="-",$D140="是",$E140="封闭期",$H140&lt;10,$BN140&lt;-6,$BR140&lt;70),"-",COUNTIFS(X$4:X$200,"&lt;&gt;-",$D$4:$D$200,"&lt;&gt;是",$E$4:$E$200,"&lt;&gt;封闭期",$H$4:$H$200,"&gt;10",$BN$4:$BN$200,"&gt;-6",$BR$4:$BR$200,"&gt;=70",$K$4:$K$200,"&lt;=30",$C$4:$C$200,"&lt;20190630",X$4:X$200,"&gt;="&amp;X140)/COUNTIFS(X$4:X$200,"&lt;&gt;-",$D$4:$D$200,"&lt;&gt;是",$E$4:$E$200,"&lt;&gt;封闭期",$H$4:$H$200,"&gt;10",$BN$4:$BN$200,"&gt;-6",$BR$4:$BR$200,"&gt;=70",$C$4:$C$200,"&lt;20190630",$K$4:$K$200,"&lt;=30"))</f>
        <v>0.48717948717948717</v>
      </c>
      <c r="AC140" s="20">
        <v>1</v>
      </c>
      <c r="AD140" s="12" t="str">
        <f>IFERROR(RANK(AC140,AC:AC)&amp;"/"&amp;COUNT(AC:AC),"-")</f>
        <v>1/197</v>
      </c>
      <c r="AE140" s="26">
        <f>IFERROR(RANK(AC140,AC:AC)/COUNT(AC:AC),"-")</f>
        <v>5.076142131979695E-3</v>
      </c>
      <c r="AF140" s="13" t="str">
        <f>IF(OR($C140&gt;20190630,$K140&gt;30,AC140="-",$D140="是",$E140="封闭期",$H140&lt;10,$BN140&lt;-6,$BR140&lt;70),"-",COUNTIFS(AC$4:AC$200,"&lt;&gt;-",$D$4:$D$200,"&lt;&gt;是",$E$4:$E$200,"&lt;&gt;封闭期",$H$4:$H$200,"&gt;10",$BN$4:$BN$200,"&gt;-6",$BR$4:$BR$200,"&gt;=70",$K$4:$K$200,"&lt;=30",$C$4:$C$200,"&lt;20190630",AC$4:AC$200,"&gt;="&amp;AC140)&amp;"/"&amp;COUNTIFS(AC$4:AC$200,"&lt;&gt;-",$D$4:$D$200,"&lt;&gt;是",$E$4:$E$200,"&lt;&gt;封闭期",$H$4:$H$200,"&gt;10",$BN$4:$BN$200,"&gt;-6",$BR$4:$BR$200,"&gt;=70",$C$4:$C$200,"&lt;20190630",$K$4:$K$200,"&lt;=30"))</f>
        <v>28/39</v>
      </c>
      <c r="AG140" s="33">
        <f>IF(OR($C140&gt;20190630,$K140&gt;30,AC140="-",$D140="是",$E140="封闭期",$H140&lt;10,$BN140&lt;-6,$BR140&lt;70),"-",COUNTIFS(AC$4:AC$200,"&lt;&gt;-",$D$4:$D$200,"&lt;&gt;是",$E$4:$E$200,"&lt;&gt;封闭期",$H$4:$H$200,"&gt;10",$BN$4:$BN$200,"&gt;-6",$BR$4:$BR$200,"&gt;=70",$K$4:$K$200,"&lt;=30",$C$4:$C$200,"&lt;20190630",AC$4:AC$200,"&gt;="&amp;AC140)/COUNTIFS(AC$4:AC$200,"&lt;&gt;-",$D$4:$D$200,"&lt;&gt;是",$E$4:$E$200,"&lt;&gt;封闭期",$H$4:$H$200,"&gt;10",$BN$4:$BN$200,"&gt;-6",$BR$4:$BR$200,"&gt;=70",$C$4:$C$200,"&lt;20190630",$K$4:$K$200,"&lt;=30"))</f>
        <v>0.71794871794871795</v>
      </c>
      <c r="AH140" s="21">
        <f>[1]!f_risk_maxdownside(A140,$L$2,$E$1)</f>
        <v>-1.4484356894553665</v>
      </c>
      <c r="AI140" s="19" t="str">
        <f>IFERROR(RANK(AH140,AH:AH)&amp;"/"&amp;COUNT(AH:AH),"-")</f>
        <v>41/197</v>
      </c>
      <c r="AJ140" s="26">
        <f>IFERROR(RANK(AH140,AH:AH)/COUNT(AH:AH),"-")</f>
        <v>0.20812182741116753</v>
      </c>
      <c r="AK140" s="34" t="str">
        <f>IF(OR($C140&gt;20190630,$K140&gt;30,AH140="-",$D140="是",$E140="封闭期",$H140&lt;10,$BN140&lt;-6,$BR140&lt;70),"-",COUNTIFS(AH$4:AH$200,"&lt;&gt;-",$D$4:$D$200,"&lt;&gt;是",$E$4:$E$200,"&lt;&gt;封闭期",$H$4:$H$200,"&gt;10",$BN$4:$BN$200,"&gt;-6",$BR$4:$BR$200,"&gt;=70",$K$4:$K$200,"&lt;=30",$C$4:$C$200,"&lt;20190630",AH$4:AH$200,"&gt;="&amp;AH140)&amp;"/"&amp;COUNTIFS(AH$4:AH$200,"&lt;&gt;-",$D$4:$D$200,"&lt;&gt;是",$E$4:$E$200,"&lt;&gt;封闭期",$H$4:$H$200,"&gt;10",$BN$4:$BN$200,"&gt;-6",$BR$4:$BR$200,"&gt;=70",$C$4:$C$200,"&lt;20190630",$K$4:$K$200,"&lt;=30"))</f>
        <v>7/39</v>
      </c>
      <c r="AL140" s="33">
        <f>IF(OR($C140&gt;20190630,$K140&gt;30,AH140="-",$D140="是",$E140="封闭期",$H140&lt;10,$BN140&lt;-6,$BR140&lt;70),"-",COUNTIFS(AH$4:AH$200,"&lt;&gt;-",$D$4:$D$200,"&lt;&gt;是",$E$4:$E$200,"&lt;&gt;封闭期",$H$4:$H$200,"&gt;10",$BN$4:$BN$200,"&gt;-6",$BR$4:$BR$200,"&gt;=70",$K$4:$K$200,"&lt;=30",$C$4:$C$200,"&lt;20190630",AH$4:AH$200,"&gt;="&amp;AH140)/COUNTIFS(AH$4:AH$200,"&lt;&gt;-",$D$4:$D$200,"&lt;&gt;是",$E$4:$E$200,"&lt;&gt;封闭期",$H$4:$H$200,"&gt;10",$BN$4:$BN$200,"&gt;-6",$BR$4:$BR$200,"&gt;=70",$C$4:$C$200,"&lt;20190630",$K$4:$K$200,"&lt;=30"))</f>
        <v>0.17948717948717949</v>
      </c>
      <c r="AM140" s="19">
        <f>[1]!f_return($A140,"1",AM$2,$L$2)</f>
        <v>5.0073894941353503</v>
      </c>
      <c r="AN140" s="19">
        <f>[1]!f_risk_stdevyearly($A140,AM$2,$L$2,1,1)</f>
        <v>3.5290755196233468</v>
      </c>
      <c r="AO140" s="12">
        <f>IFERROR(AM140/AN140,"-")</f>
        <v>1.4188955340547038</v>
      </c>
      <c r="AP140" s="12" t="str">
        <f>IFERROR(RANK(AO140,AO:AO)&amp;"/"&amp;COUNT(AO:AO),"-")</f>
        <v>117/197</v>
      </c>
      <c r="AQ140" s="26">
        <f>IF(AP140="-","-",RANK(AO140,AO:AO)/COUNT(AO:AO))</f>
        <v>0.59390862944162437</v>
      </c>
      <c r="AR140" s="60">
        <v>0.69543147208121825</v>
      </c>
      <c r="AS140" s="35">
        <f>IF(OR($C140&gt;20190630,$K140&gt;30,AO140="-",$D140="是",$E140="封闭期",$H140&lt;10,$BN140&lt;-6,$BR140&lt;70),"-",COUNTIFS(AO$4:AO$200,"&lt;&gt;-",$D$4:$D$200,"&lt;&gt;是",$E$4:$E$200,"&lt;&gt;封闭期",$H$4:$H$200,"&gt;10",$BN$4:$BN$200,"&gt;-6",$BR$4:$BR$200,"&gt;=70",$K$4:$K$200,"&lt;=30",$C$4:$C$200,"&lt;20190630",AO$4:AO$200,"&gt;="&amp;AO140)/COUNTIFS(AO$4:AO$200,"&lt;&gt;-",$D$4:$D$200,"&lt;&gt;是",$E$4:$E$200,"&lt;&gt;封闭期",$H$4:$H$200,"&gt;10",$BN$4:$BN$200,"&gt;-6",$BR$4:$BR$200,"&gt;=70",$C$4:$C$200,"&lt;20190630",$K$4:$K$200,"&lt;=30"))</f>
        <v>0.74358974358974361</v>
      </c>
      <c r="AT140" s="12">
        <f>IFERROR((AM140-3)/AN140,"-")</f>
        <v>0.56881454731509862</v>
      </c>
      <c r="AU140" s="12" t="str">
        <f>IFERROR(RANK(AT140,AT:AT)&amp;"/"&amp;COUNT(AT:AT),"-")</f>
        <v>134/197</v>
      </c>
      <c r="AV140" s="26">
        <f>IFERROR(RANK(AT140,AT:AT)/COUNT(AT:AT),"-")</f>
        <v>0.68020304568527923</v>
      </c>
      <c r="AW140" s="13" t="str">
        <f>IF(OR($C140&gt;20190630,$K140&gt;30,AT140="-",$D140="是",$E140="封闭期",$H140&lt;10,$BN140&lt;-6,$BR140&lt;70),"-",COUNTIFS(AT$4:AT$200,"&lt;&gt;-",$D$4:$D$200,"&lt;&gt;是",$E$4:$E$200,"&lt;&gt;封闭期",$H$4:$H$200,"&gt;10",$BN$4:$BN$200,"&gt;-6",$BR$4:$BR$200,"&gt;=70",$K$4:$K$200,"&lt;=30",$C$4:$C$200,"&lt;20190630",AT$4:AT$200,"&gt;="&amp;AT140)&amp;"/"&amp;COUNTIFS(AT$4:AT$200,"&lt;&gt;-",$D$4:$D$200,"&lt;&gt;是",$E$4:$E$200,"&lt;&gt;封闭期",$H$4:$H$200,"&gt;10",$BN$4:$BN$200,"&gt;-6",$BR$4:$BR$200,"&gt;=70",$C$4:$C$200,"&lt;20190630",$K$4:$K$200,"&lt;=30"))</f>
        <v>34/39</v>
      </c>
      <c r="AX140" s="33">
        <f>IF(OR($C140&gt;20190630,$K140&gt;30,AT140="-",$D140="是",$E140="封闭期",$H140&lt;10,$BN140&lt;-6,$BR140&lt;70),"-",COUNTIFS(AT$4:AT$200,"&lt;&gt;-",$D$4:$D$200,"&lt;&gt;是",$E$4:$E$200,"&lt;&gt;封闭期",$H$4:$H$200,"&gt;10",$BN$4:$BN$200,"&gt;-6",$BR$4:$BR$200,"&gt;=70",$K$4:$K$200,"&lt;=30",$C$4:$C$200,"&lt;20190630",AT$4:AT$200,"&gt;="&amp;AT140)/COUNTIFS(AT$4:AT$200,"&lt;&gt;-",$D$4:$D$200,"&lt;&gt;是",$E$4:$E$200,"&lt;&gt;封闭期",$H$4:$H$200,"&gt;10",$BN$4:$BN$200,"&gt;-6",$BR$4:$BR$200,"&gt;=70",$C$4:$C$200,"&lt;20190630",$K$4:$K$200,"&lt;=30"))</f>
        <v>0.87179487179487181</v>
      </c>
      <c r="AY140" s="19">
        <f>[1]!f_risk_calmar(A140,$AM$2,$L$2)</f>
        <v>1.5343397242407126</v>
      </c>
      <c r="AZ140" s="12" t="str">
        <f>IFERROR(RANK(AY140,AY:AY)&amp;"/"&amp;COUNT(AY:AY),"-")</f>
        <v>144/197</v>
      </c>
      <c r="BA140" s="26">
        <f>IFERROR(RANK(AY140,AY:AY)/COUNT(AY:AY),"-")</f>
        <v>0.73096446700507611</v>
      </c>
      <c r="BB140" s="13" t="str">
        <f>IF(OR($C140&gt;20190630,$K140&gt;30,AY140="-",$D140="是",$E140="封闭期",$H140&lt;10,$BN140&lt;-6,$BR140&lt;70),"-",COUNTIFS(AY$4:AY$200,"&lt;&gt;-",$D$4:$D$200,"&lt;&gt;是",$E$4:$E$200,"&lt;&gt;封闭期",$H$4:$H$200,"&gt;10",$BN$4:$BN$200,"&gt;-6",$BR$4:$BR$200,"&gt;=70",$K$4:$K$200,"&lt;=30",$C$4:$C$200,"&lt;20190630",AY$4:AY$200,"&gt;="&amp;AY140)&amp;"/"&amp;COUNTIFS(AY$4:AY$200,"&lt;&gt;-",$D$4:$D$200,"&lt;&gt;是",$E$4:$E$200,"&lt;&gt;封闭期",$H$4:$H$200,"&gt;10",$BN$4:$BN$200,"&gt;-6",$BR$4:$BR$200,"&gt;=70",$C$4:$C$200,"&lt;20190630",$K$4:$K$200,"&lt;=30"))</f>
        <v>36/39</v>
      </c>
      <c r="BC140" s="33">
        <f>IF(OR($C140&gt;20190630,$K140&gt;30,AY140="-",$D140="是",$E140="封闭期",$H140&lt;10,$BN140&lt;-6,$BR140&lt;70),"-",COUNTIFS(AY$4:AY$200,"&lt;&gt;-",$D$4:$D$200,"&lt;&gt;是",$E$4:$E$200,"&lt;&gt;封闭期",$H$4:$H$200,"&gt;10",$BN$4:$BN$200,"&gt;-6",$BR$4:$BR$200,"&gt;=70",$K$4:$K$200,"&lt;=30",$C$4:$C$200,"&lt;20190630",AY$4:AY$200,"&gt;="&amp;AY140)/COUNTIFS(AY$4:AY$200,"&lt;&gt;-",$D$4:$D$200,"&lt;&gt;是",$E$4:$E$200,"&lt;&gt;封闭期",$H$4:$H$200,"&gt;10",$BN$4:$BN$200,"&gt;-6",$BR$4:$BR$200,"&gt;=70",$C$4:$C$200,"&lt;20190630",$K$4:$K$200,"&lt;=30"))</f>
        <v>0.92307692307692313</v>
      </c>
      <c r="BD140" s="20">
        <v>1</v>
      </c>
      <c r="BE140" s="12" t="str">
        <f>IFERROR(RANK(BD140,BD:BD)&amp;"/"&amp;COUNT(BD:BD),"-")</f>
        <v>1/197</v>
      </c>
      <c r="BF140" s="26">
        <f>IFERROR(RANK(BD140,BD:BD)/COUNT(BD:BD),"-")</f>
        <v>5.076142131979695E-3</v>
      </c>
      <c r="BG140" s="13" t="str">
        <f>IF(OR($C140&gt;20190630,$K140&gt;30,BD140="-",$D140="是",$E140="封闭期",$H140&lt;10,$BN140&lt;-6,$BR140&lt;70),"-",COUNTIFS(BD$4:BD$200,"&lt;&gt;-",$D$4:$D$200,"&lt;&gt;是",$E$4:$E$200,"&lt;&gt;封闭期",$H$4:$H$200,"&gt;10",$BN$4:$BN$200,"&gt;-6",$BR$4:$BR$200,"&gt;=70",$K$4:$K$200,"&lt;=30",$C$4:$C$200,"&lt;20190630",BD$4:BD$200,"&gt;="&amp;BD140)&amp;"/"&amp;COUNTIFS(BD$4:BD$200,"&lt;&gt;-",$D$4:$D$200,"&lt;&gt;是",$E$4:$E$200,"&lt;&gt;封闭期",$H$4:$H$200,"&gt;10",$BN$4:$BN$200,"&gt;-6",$BR$4:$BR$200,"&gt;=70",$C$4:$C$200,"&lt;20190630",$K$4:$K$200,"&lt;=30"))</f>
        <v>35/39</v>
      </c>
      <c r="BH140" s="33">
        <f>IF(OR($C140&gt;20190630,$K140&gt;30,BD140="-",$D140="是",$E140="封闭期",$H140&lt;10,$BN140&lt;-6,$BR140&lt;70),"-",COUNTIFS(BD$4:BD$200,"&lt;&gt;-",$D$4:$D$200,"&lt;&gt;是",$E$4:$E$200,"&lt;&gt;封闭期",$H$4:$H$200,"&gt;10",$BN$4:$BN$200,"&gt;-6",$BR$4:$BR$200,"&gt;=70",$K$4:$K$200,"&lt;=30",$C$4:$C$200,"&lt;20190630",BD$4:BD$200,"&gt;="&amp;BD140)/COUNTIFS(BD$4:BD$200,"&lt;&gt;-",$D$4:$D$200,"&lt;&gt;是",$E$4:$E$200,"&lt;&gt;封闭期",$H$4:$H$200,"&gt;10",$BN$4:$BN$200,"&gt;-6",$BR$4:$BR$200,"&gt;=70",$C$4:$C$200,"&lt;20190630",$K$4:$K$200,"&lt;=30"))</f>
        <v>0.89743589743589747</v>
      </c>
      <c r="BI140" s="21">
        <f>[1]!f_risk_maxdownside(A140,$AM$2,$L$2)</f>
        <v>-3.2635467980295694</v>
      </c>
      <c r="BJ140" s="19" t="str">
        <f>IFERROR(RANK(BI140,BI:BI)&amp;"/"&amp;COUNT(BI:BI),"-")</f>
        <v>100/197</v>
      </c>
      <c r="BK140" s="26">
        <f>IFERROR(RANK(BI140,BI:BI)/COUNT(BI:BI),"-")</f>
        <v>0.50761421319796951</v>
      </c>
      <c r="BL140" s="34" t="str">
        <f>IF(OR($C140&gt;20190630,$K140&gt;30,BI140="-",$D140="是",$E140="封闭期",$H140&lt;10,$BN140&lt;-6,$BR140&lt;70),"-",COUNTIFS(BI$4:BI$200,"&lt;&gt;-",$D$4:$D$200,"&lt;&gt;是",$E$4:$E$200,"&lt;&gt;封闭期",$H$4:$H$200,"&gt;10",$BN$4:$BN$200,"&gt;-6",$BR$4:$BR$200,"&gt;=70",$K$4:$K$200,"&lt;=30",$C$4:$C$200,"&lt;20190630",BI$4:BI$200,"&gt;="&amp;BI140)&amp;"/"&amp;COUNTIFS(BI$4:BI$200,"&lt;&gt;-",$D$4:$D$200,"&lt;&gt;是",$E$4:$E$200,"&lt;&gt;封闭期",$H$4:$H$200,"&gt;10",$BN$4:$BN$200,"&gt;-6",$BR$4:$BR$200,"&gt;=70",$C$4:$C$200,"&lt;20190630",$K$4:$K$200,"&lt;=30"))</f>
        <v>23/39</v>
      </c>
      <c r="BM140" s="33">
        <f>IF(OR($C140&gt;20190630,$K140&gt;30,BI140="-",$D140="是",$E140="封闭期",$H140&lt;10,$BN140&lt;-6,$BR140&lt;70),"-",COUNTIFS(BI$4:BI$200,"&lt;&gt;-",$D$4:$D$200,"&lt;&gt;是",$E$4:$E$200,"&lt;&gt;封闭期",$H$4:$H$200,"&gt;10",$BN$4:$BN$200,"&gt;-6",$BR$4:$BR$200,"&gt;=70",$K$4:$K$200,"&lt;=30",$C$4:$C$200,"&lt;20190630",BI$4:BI$200,"&gt;="&amp;BI140)/COUNTIFS(BI$4:BI$200,"&lt;&gt;-",$D$4:$D$200,"&lt;&gt;是",$E$4:$E$200,"&lt;&gt;封闭期",$H$4:$H$200,"&gt;10",$BN$4:$BN$200,"&gt;-6",$BR$4:$BR$200,"&gt;=70",$C$4:$C$200,"&lt;20190630",$K$4:$K$200,"&lt;=30"))</f>
        <v>0.58974358974358976</v>
      </c>
      <c r="BN140" s="21">
        <f>[1]!f_risk_maxdownside(A140,$AM$2,$E$1)</f>
        <v>-3.2635467980295694</v>
      </c>
      <c r="BO140" s="14">
        <f>IF(C140&lt;20190930,[1]!f_return_2y(A140,"0","20210930"),"-")</f>
        <v>10.071013557133636</v>
      </c>
      <c r="BP140" s="12" t="str">
        <f>IFERROR(RANK(BO140,BO:BO)&amp;"/"&amp;COUNT(BO:BO),"-")</f>
        <v>142/197</v>
      </c>
      <c r="BQ140" s="25">
        <f>IFERROR(RANK(BO140,BO:BO)/COUNT(BO:BO),"-")</f>
        <v>0.7208121827411168</v>
      </c>
      <c r="BR140" s="12">
        <f>IF(C140&lt;20190930,[1]!f_absolute_profitmonthper(A140,"20190930","20210930"),"-")</f>
        <v>70.833333333333343</v>
      </c>
      <c r="BS140" s="12" t="str">
        <f>IFERROR(RANK(BR140,BR:BR)&amp;"/"&amp;COUNT(BR:BR),"-")</f>
        <v>55/198</v>
      </c>
      <c r="BT140" s="25">
        <f>IFERROR(RANK(BR140,BR:BR)/COUNT(BR:BR),"-")</f>
        <v>0.27777777777777779</v>
      </c>
      <c r="BU140" s="17"/>
      <c r="BV140" s="12">
        <f>X140-3/M140</f>
        <v>1.8032970784653441</v>
      </c>
      <c r="BW140" s="76">
        <f>IFERROR(RANK(BV140,BV:BV)/COUNT(BV:BV),"-")</f>
        <v>0.37055837563451777</v>
      </c>
      <c r="BX140" s="76">
        <f>IFERROR(RANK(L140,L:L)/COUNT(L:L),"-")</f>
        <v>0.60101010101010099</v>
      </c>
      <c r="BY140" s="12">
        <f>AY140-3/AN140</f>
        <v>0.68425873750110733</v>
      </c>
      <c r="BZ140" s="76">
        <f>IFERROR(RANK(BY140,BY:BY)/COUNT(BY:BY),"-")</f>
        <v>0.77157360406091369</v>
      </c>
      <c r="CA140" s="76">
        <f>IFERROR(RANK(AM140,AM:AM)/COUNT(AM:AM),"-")</f>
        <v>0.69696969696969702</v>
      </c>
      <c r="CC140" s="77">
        <f>AV140+BF140+BZ140+CA140</f>
        <v>2.1538224888478696</v>
      </c>
      <c r="CD140" s="77">
        <f>BW140+BX140+AE140+U140</f>
        <v>1.4030405578628928</v>
      </c>
      <c r="CE140" s="77">
        <f>CC140+CD140</f>
        <v>3.5568630467107623</v>
      </c>
    </row>
    <row r="141" spans="1:83" s="17" customFormat="1" hidden="1" x14ac:dyDescent="0.35">
      <c r="A141" s="15" t="s">
        <v>251</v>
      </c>
      <c r="B141" s="15" t="s">
        <v>252</v>
      </c>
      <c r="C141" s="16">
        <v>20160719</v>
      </c>
      <c r="D141" s="16" t="str">
        <f>[1]!f_info_regulopenfundornot(A141)</f>
        <v>否</v>
      </c>
      <c r="E141" s="16" t="str">
        <f>[1]!f_dq_status(A141,$E$1)</f>
        <v>暂停大额申购|开放赎回</v>
      </c>
      <c r="F141" s="17" t="str">
        <f>[1]!f_info_fundmanager(A141)</f>
        <v>宫志芳,李杰,顾宇笛</v>
      </c>
      <c r="G141" s="16">
        <v>20170818</v>
      </c>
      <c r="H141" s="18">
        <f>[1]!f_netasset_total(A141,$E$1,100000000)</f>
        <v>2.6710377341</v>
      </c>
      <c r="I141" s="18">
        <f>[1]!f_prt_convertiblebondtonav(A141,$E$1)</f>
        <v>12.750796318054199</v>
      </c>
      <c r="J141" s="18">
        <f>[1]!f_prt_stocktonav(A141,$E$1)+0.5*I141</f>
        <v>16.024820804595947</v>
      </c>
      <c r="K141" s="19">
        <v>21.64647068135929</v>
      </c>
      <c r="L141" s="19">
        <f>[1]!f_return($A141,"1",L$2,$E$1)</f>
        <v>4.8895525958584596</v>
      </c>
      <c r="M141" s="19">
        <f>[1]!f_risk_stdevyearly($A141,L$2,$E$1,1,1)</f>
        <v>2.3573219070334477</v>
      </c>
      <c r="N141" s="19">
        <f>IFERROR(L141/M141,"-")</f>
        <v>2.0741980894801411</v>
      </c>
      <c r="O141" s="19" t="str">
        <f>IFERROR(RANK(N141,N:N)&amp;"/"&amp;COUNT(N:N),"-")</f>
        <v>44/197</v>
      </c>
      <c r="P141" s="26">
        <f>IF(O141="-","-",RANK(N141,N:N)/COUNT(N:N))</f>
        <v>0.2233502538071066</v>
      </c>
      <c r="Q141" s="56">
        <v>0.56852791878172593</v>
      </c>
      <c r="R141" s="33" t="str">
        <f>IF(OR($C141&gt;20190630,$K141&gt;30,N141="-",$D141="是",$E141="封闭期",$H141&lt;10,$BN141&lt;-6,$BR141&lt;70),"-",COUNTIFS(N$4:N$200,"&lt;&gt;-",$D$4:$D$200,"&lt;&gt;是",$E$4:$E$200,"&lt;&gt;封闭期",$H$4:$H$200,"&gt;10",$BN$4:$BN$200,"&gt;-6",$BR$4:$BR$200,"&gt;=70",$K$4:$K$200,"&lt;=30",$C$4:$C$200,"&lt;20190630",N$4:N$200,"&gt;="&amp;N141)/COUNTIFS(N$4:N$200,"&lt;&gt;-",$D$4:$D$200,"&lt;&gt;是",$E$4:$E$200,"&lt;&gt;封闭期",$H$4:$H$200,"&gt;10",$BN$4:$BN$200,"&gt;-6",$BR$4:$BR$200,"&gt;=70",$C$4:$C$200,"&lt;20190630",$K$4:$K$200,"&lt;=30"))</f>
        <v>-</v>
      </c>
      <c r="S141" s="19">
        <f>IFERROR((L141-3)/M141,"-")</f>
        <v>0.80156748648569232</v>
      </c>
      <c r="T141" s="19" t="str">
        <f>IFERROR(RANK(S141,S:S)&amp;"/"&amp;COUNT(S:S),"-")</f>
        <v>90/197</v>
      </c>
      <c r="U141" s="26">
        <f>IFERROR(RANK(S141,S:S)/COUNT(S:S),"-")</f>
        <v>0.45685279187817257</v>
      </c>
      <c r="V141" s="34" t="str">
        <f>IF(OR($C141&gt;20190630,$K141&gt;30,S141="-",$D141="是",$E141="封闭期",$H141&lt;10,$BN141&lt;-6,$BR141&lt;70),"-",COUNTIFS(S$4:S$200,"&lt;&gt;-",$D$4:$D$200,"&lt;&gt;是",$E$4:$E$200,"&lt;&gt;封闭期",$H$4:$H$200,"&gt;10",$BN$4:$BN$200,"&gt;-6",$BR$4:$BR$200,"&gt;=70",$K$4:$K$200,"&lt;=30",$C$4:$C$200,"&lt;20190630",S$4:S$200,"&gt;="&amp;S141)&amp;"/"&amp;COUNTIFS(S$4:S$200,"&lt;&gt;-",$D$4:$D$200,"&lt;&gt;是",$E$4:$E$200,"&lt;&gt;封闭期",$H$4:$H$200,"&gt;10",$BN$4:$BN$200,"&gt;-6",$BR$4:$BR$200,"&gt;=70",$C$4:$C$200,"&lt;20190630",$K$4:$K$200,"&lt;=30"))</f>
        <v>-</v>
      </c>
      <c r="W141" s="33" t="str">
        <f>IF(OR($C141&gt;20190630,$K141&gt;30,S141="-",$D141="是",$E141="封闭期",$H141&lt;10,$BN141&lt;-6,$BR141&lt;70),"-",COUNTIFS(S$4:S$200,"&lt;&gt;-",$D$4:$D$200,"&lt;&gt;是",$E$4:$E$200,"&lt;&gt;封闭期",$H$4:$H$200,"&gt;10",$BN$4:$BN$200,"&gt;-6",$BR$4:$BR$200,"&gt;=70",$K$4:$K$200,"&lt;=30",$C$4:$C$200,"&lt;20190630",S$4:S$200,"&gt;="&amp;S141)/COUNTIFS(S$4:S$200,"&lt;&gt;-",$D$4:$D$200,"&lt;&gt;是",$E$4:$E$200,"&lt;&gt;封闭期",$H$4:$H$200,"&gt;10",$BN$4:$BN$200,"&gt;-6",$BR$4:$BR$200,"&gt;=70",$C$4:$C$200,"&lt;20190630",$K$4:$K$200,"&lt;=30"))</f>
        <v>-</v>
      </c>
      <c r="X141" s="19">
        <f>[1]!f_risk_calmar(A141,$L$2,$E$1)</f>
        <v>4.1987654283683797</v>
      </c>
      <c r="Y141" s="19" t="str">
        <f>IFERROR(RANK(X141,X:X)&amp;"/"&amp;COUNT(X:X),"-")</f>
        <v>44/197</v>
      </c>
      <c r="Z141" s="26">
        <f>IFERROR(RANK(X141,X:X)/COUNT(X:X),"-")</f>
        <v>0.2233502538071066</v>
      </c>
      <c r="AA141" s="34" t="str">
        <f>IF(OR($C141&gt;20190630,$K141&gt;30,X141="-",$D141="是",$E141="封闭期",$H141&lt;10,$BN141&lt;-6,$BR141&lt;70),"-",COUNTIFS(X$4:X$200,"&lt;&gt;-",$D$4:$D$200,"&lt;&gt;是",$E$4:$E$200,"&lt;&gt;封闭期",$H$4:$H$200,"&gt;10",$BN$4:$BN$200,"&gt;-6",$BR$4:$BR$200,"&gt;=70",$K$4:$K$200,"&lt;=30",$C$4:$C$200,"&lt;20190630",X$4:X$200,"&gt;="&amp;X141)&amp;"/"&amp;COUNTIFS(X$4:X$200,"&lt;&gt;-",$D$4:$D$200,"&lt;&gt;是",$E$4:$E$200,"&lt;&gt;封闭期",$H$4:$H$200,"&gt;10",$BN$4:$BN$200,"&gt;-6",$BR$4:$BR$200,"&gt;=70",$C$4:$C$200,"&lt;20190630",$K$4:$K$200,"&lt;=30"))</f>
        <v>-</v>
      </c>
      <c r="AB141" s="33" t="str">
        <f>IF(OR($C141&gt;20190630,$K141&gt;30,X141="-",$D141="是",$E141="封闭期",$H141&lt;10,$BN141&lt;-6,$BR141&lt;70),"-",COUNTIFS(X$4:X$200,"&lt;&gt;-",$D$4:$D$200,"&lt;&gt;是",$E$4:$E$200,"&lt;&gt;封闭期",$H$4:$H$200,"&gt;10",$BN$4:$BN$200,"&gt;-6",$BR$4:$BR$200,"&gt;=70",$K$4:$K$200,"&lt;=30",$C$4:$C$200,"&lt;20190630",X$4:X$200,"&gt;="&amp;X141)/COUNTIFS(X$4:X$200,"&lt;&gt;-",$D$4:$D$200,"&lt;&gt;是",$E$4:$E$200,"&lt;&gt;封闭期",$H$4:$H$200,"&gt;10",$BN$4:$BN$200,"&gt;-6",$BR$4:$BR$200,"&gt;=70",$C$4:$C$200,"&lt;20190630",$K$4:$K$200,"&lt;=30"))</f>
        <v>-</v>
      </c>
      <c r="AC141" s="20">
        <v>1</v>
      </c>
      <c r="AD141" s="19" t="str">
        <f>IFERROR(RANK(AC141,AC:AC)&amp;"/"&amp;COUNT(AC:AC),"-")</f>
        <v>1/197</v>
      </c>
      <c r="AE141" s="26">
        <f>IFERROR(RANK(AC141,AC:AC)/COUNT(AC:AC),"-")</f>
        <v>5.076142131979695E-3</v>
      </c>
      <c r="AF141" s="34" t="str">
        <f>IF(OR($C141&gt;20190630,$K141&gt;30,AC141="-",$D141="是",$E141="封闭期",$H141&lt;10,$BN141&lt;-6,$BR141&lt;70),"-",COUNTIFS(AC$4:AC$200,"&lt;&gt;-",$D$4:$D$200,"&lt;&gt;是",$E$4:$E$200,"&lt;&gt;封闭期",$H$4:$H$200,"&gt;10",$BN$4:$BN$200,"&gt;-6",$BR$4:$BR$200,"&gt;=70",$K$4:$K$200,"&lt;=30",$C$4:$C$200,"&lt;20190630",AC$4:AC$200,"&gt;="&amp;AC141)&amp;"/"&amp;COUNTIFS(AC$4:AC$200,"&lt;&gt;-",$D$4:$D$200,"&lt;&gt;是",$E$4:$E$200,"&lt;&gt;封闭期",$H$4:$H$200,"&gt;10",$BN$4:$BN$200,"&gt;-6",$BR$4:$BR$200,"&gt;=70",$C$4:$C$200,"&lt;20190630",$K$4:$K$200,"&lt;=30"))</f>
        <v>-</v>
      </c>
      <c r="AG141" s="33" t="str">
        <f>IF(OR($C141&gt;20190630,$K141&gt;30,AC141="-",$D141="是",$E141="封闭期",$H141&lt;10,$BN141&lt;-6,$BR141&lt;70),"-",COUNTIFS(AC$4:AC$200,"&lt;&gt;-",$D$4:$D$200,"&lt;&gt;是",$E$4:$E$200,"&lt;&gt;封闭期",$H$4:$H$200,"&gt;10",$BN$4:$BN$200,"&gt;-6",$BR$4:$BR$200,"&gt;=70",$K$4:$K$200,"&lt;=30",$C$4:$C$200,"&lt;20190630",AC$4:AC$200,"&gt;="&amp;AC141)/COUNTIFS(AC$4:AC$200,"&lt;&gt;-",$D$4:$D$200,"&lt;&gt;是",$E$4:$E$200,"&lt;&gt;封闭期",$H$4:$H$200,"&gt;10",$BN$4:$BN$200,"&gt;-6",$BR$4:$BR$200,"&gt;=70",$C$4:$C$200,"&lt;20190630",$K$4:$K$200,"&lt;=30"))</f>
        <v>-</v>
      </c>
      <c r="AH141" s="21">
        <f>[1]!f_risk_maxdownside(A141,$L$2,$E$1)</f>
        <v>-1.164521495490763</v>
      </c>
      <c r="AI141" s="19" t="str">
        <f>IFERROR(RANK(AH141,AH:AH)&amp;"/"&amp;COUNT(AH:AH),"-")</f>
        <v>29/197</v>
      </c>
      <c r="AJ141" s="26">
        <f>IFERROR(RANK(AH141,AH:AH)/COUNT(AH:AH),"-")</f>
        <v>0.14720812182741116</v>
      </c>
      <c r="AK141" s="34" t="str">
        <f>IF(OR($C141&gt;20190630,$K141&gt;30,AH141="-",$D141="是",$E141="封闭期",$H141&lt;10,$BN141&lt;-6,$BR141&lt;70),"-",COUNTIFS(AH$4:AH$200,"&lt;&gt;-",$D$4:$D$200,"&lt;&gt;是",$E$4:$E$200,"&lt;&gt;封闭期",$H$4:$H$200,"&gt;10",$BN$4:$BN$200,"&gt;-6",$BR$4:$BR$200,"&gt;=70",$K$4:$K$200,"&lt;=30",$C$4:$C$200,"&lt;20190630",AH$4:AH$200,"&gt;="&amp;AH141)&amp;"/"&amp;COUNTIFS(AH$4:AH$200,"&lt;&gt;-",$D$4:$D$200,"&lt;&gt;是",$E$4:$E$200,"&lt;&gt;封闭期",$H$4:$H$200,"&gt;10",$BN$4:$BN$200,"&gt;-6",$BR$4:$BR$200,"&gt;=70",$C$4:$C$200,"&lt;20190630",$K$4:$K$200,"&lt;=30"))</f>
        <v>-</v>
      </c>
      <c r="AL141" s="33" t="str">
        <f>IF(OR($C141&gt;20190630,$K141&gt;30,AH141="-",$D141="是",$E141="封闭期",$H141&lt;10,$BN141&lt;-6,$BR141&lt;70),"-",COUNTIFS(AH$4:AH$200,"&lt;&gt;-",$D$4:$D$200,"&lt;&gt;是",$E$4:$E$200,"&lt;&gt;封闭期",$H$4:$H$200,"&gt;10",$BN$4:$BN$200,"&gt;-6",$BR$4:$BR$200,"&gt;=70",$K$4:$K$200,"&lt;=30",$C$4:$C$200,"&lt;20190630",AH$4:AH$200,"&gt;="&amp;AH141)/COUNTIFS(AH$4:AH$200,"&lt;&gt;-",$D$4:$D$200,"&lt;&gt;是",$E$4:$E$200,"&lt;&gt;封闭期",$H$4:$H$200,"&gt;10",$BN$4:$BN$200,"&gt;-6",$BR$4:$BR$200,"&gt;=70",$C$4:$C$200,"&lt;20190630",$K$4:$K$200,"&lt;=30"))</f>
        <v>-</v>
      </c>
      <c r="AM141" s="19">
        <f>[1]!f_return($A141,"1",AM$2,$L$2)</f>
        <v>4.9706895565957199</v>
      </c>
      <c r="AN141" s="19">
        <f>[1]!f_risk_stdevyearly($A141,AM$2,$L$2,1,1)</f>
        <v>1.5899095936610634</v>
      </c>
      <c r="AO141" s="19">
        <f>IFERROR(AM141/AN141,"-")</f>
        <v>3.1263976117973979</v>
      </c>
      <c r="AP141" s="19" t="str">
        <f>IFERROR(RANK(AO141,AO:AO)&amp;"/"&amp;COUNT(AO:AO),"-")</f>
        <v>5/197</v>
      </c>
      <c r="AQ141" s="26">
        <f>IF(AP141="-","-",RANK(AO141,AO:AO)/COUNT(AO:AO))</f>
        <v>2.5380710659898477E-2</v>
      </c>
      <c r="AR141" s="57">
        <v>0.70050761421319796</v>
      </c>
      <c r="AS141" s="33" t="str">
        <f>IF(OR($C141&gt;20190630,$K141&gt;30,AO141="-",$D141="是",$E141="封闭期",$H141&lt;10,$BN141&lt;-6,$BR141&lt;70),"-",COUNTIFS(AO$4:AO$200,"&lt;&gt;-",$D$4:$D$200,"&lt;&gt;是",$E$4:$E$200,"&lt;&gt;封闭期",$H$4:$H$200,"&gt;10",$BN$4:$BN$200,"&gt;-6",$BR$4:$BR$200,"&gt;=70",$K$4:$K$200,"&lt;=30",$C$4:$C$200,"&lt;20190630",AO$4:AO$200,"&gt;="&amp;AO141)/COUNTIFS(AO$4:AO$200,"&lt;&gt;-",$D$4:$D$200,"&lt;&gt;是",$E$4:$E$200,"&lt;&gt;封闭期",$H$4:$H$200,"&gt;10",$BN$4:$BN$200,"&gt;-6",$BR$4:$BR$200,"&gt;=70",$C$4:$C$200,"&lt;20190630",$K$4:$K$200,"&lt;=30"))</f>
        <v>-</v>
      </c>
      <c r="AT141" s="19">
        <f>IFERROR((AM141-3)/AN141,"-")</f>
        <v>1.2394978711071487</v>
      </c>
      <c r="AU141" s="19" t="str">
        <f>IFERROR(RANK(AT141,AT:AT)&amp;"/"&amp;COUNT(AT:AT),"-")</f>
        <v>50/197</v>
      </c>
      <c r="AV141" s="26">
        <f>IFERROR(RANK(AT141,AT:AT)/COUNT(AT:AT),"-")</f>
        <v>0.25380710659898476</v>
      </c>
      <c r="AW141" s="34" t="str">
        <f>IF(OR($C141&gt;20190630,$K141&gt;30,AT141="-",$D141="是",$E141="封闭期",$H141&lt;10,$BN141&lt;-6,$BR141&lt;70),"-",COUNTIFS(AT$4:AT$200,"&lt;&gt;-",$D$4:$D$200,"&lt;&gt;是",$E$4:$E$200,"&lt;&gt;封闭期",$H$4:$H$200,"&gt;10",$BN$4:$BN$200,"&gt;-6",$BR$4:$BR$200,"&gt;=70",$K$4:$K$200,"&lt;=30",$C$4:$C$200,"&lt;20190630",AT$4:AT$200,"&gt;="&amp;AT141)&amp;"/"&amp;COUNTIFS(AT$4:AT$200,"&lt;&gt;-",$D$4:$D$200,"&lt;&gt;是",$E$4:$E$200,"&lt;&gt;封闭期",$H$4:$H$200,"&gt;10",$BN$4:$BN$200,"&gt;-6",$BR$4:$BR$200,"&gt;=70",$C$4:$C$200,"&lt;20190630",$K$4:$K$200,"&lt;=30"))</f>
        <v>-</v>
      </c>
      <c r="AX141" s="33" t="str">
        <f>IF(OR($C141&gt;20190630,$K141&gt;30,AT141="-",$D141="是",$E141="封闭期",$H141&lt;10,$BN141&lt;-6,$BR141&lt;70),"-",COUNTIFS(AT$4:AT$200,"&lt;&gt;-",$D$4:$D$200,"&lt;&gt;是",$E$4:$E$200,"&lt;&gt;封闭期",$H$4:$H$200,"&gt;10",$BN$4:$BN$200,"&gt;-6",$BR$4:$BR$200,"&gt;=70",$K$4:$K$200,"&lt;=30",$C$4:$C$200,"&lt;20190630",AT$4:AT$200,"&gt;="&amp;AT141)/COUNTIFS(AT$4:AT$200,"&lt;&gt;-",$D$4:$D$200,"&lt;&gt;是",$E$4:$E$200,"&lt;&gt;封闭期",$H$4:$H$200,"&gt;10",$BN$4:$BN$200,"&gt;-6",$BR$4:$BR$200,"&gt;=70",$C$4:$C$200,"&lt;20190630",$K$4:$K$200,"&lt;=30"))</f>
        <v>-</v>
      </c>
      <c r="AY141" s="19">
        <f>[1]!f_risk_calmar(A141,$AM$2,$L$2)</f>
        <v>5.0317971162824131</v>
      </c>
      <c r="AZ141" s="19" t="str">
        <f>IFERROR(RANK(AY141,AY:AY)&amp;"/"&amp;COUNT(AY:AY),"-")</f>
        <v>11/197</v>
      </c>
      <c r="BA141" s="26">
        <f>IFERROR(RANK(AY141,AY:AY)/COUNT(AY:AY),"-")</f>
        <v>5.5837563451776651E-2</v>
      </c>
      <c r="BB141" s="34" t="str">
        <f>IF(OR($C141&gt;20190630,$K141&gt;30,AY141="-",$D141="是",$E141="封闭期",$H141&lt;10,$BN141&lt;-6,$BR141&lt;70),"-",COUNTIFS(AY$4:AY$200,"&lt;&gt;-",$D$4:$D$200,"&lt;&gt;是",$E$4:$E$200,"&lt;&gt;封闭期",$H$4:$H$200,"&gt;10",$BN$4:$BN$200,"&gt;-6",$BR$4:$BR$200,"&gt;=70",$K$4:$K$200,"&lt;=30",$C$4:$C$200,"&lt;20190630",AY$4:AY$200,"&gt;="&amp;AY141)&amp;"/"&amp;COUNTIFS(AY$4:AY$200,"&lt;&gt;-",$D$4:$D$200,"&lt;&gt;是",$E$4:$E$200,"&lt;&gt;封闭期",$H$4:$H$200,"&gt;10",$BN$4:$BN$200,"&gt;-6",$BR$4:$BR$200,"&gt;=70",$C$4:$C$200,"&lt;20190630",$K$4:$K$200,"&lt;=30"))</f>
        <v>-</v>
      </c>
      <c r="BC141" s="33" t="str">
        <f>IF(OR($C141&gt;20190630,$K141&gt;30,AY141="-",$D141="是",$E141="封闭期",$H141&lt;10,$BN141&lt;-6,$BR141&lt;70),"-",COUNTIFS(AY$4:AY$200,"&lt;&gt;-",$D$4:$D$200,"&lt;&gt;是",$E$4:$E$200,"&lt;&gt;封闭期",$H$4:$H$200,"&gt;10",$BN$4:$BN$200,"&gt;-6",$BR$4:$BR$200,"&gt;=70",$K$4:$K$200,"&lt;=30",$C$4:$C$200,"&lt;20190630",AY$4:AY$200,"&gt;="&amp;AY141)/COUNTIFS(AY$4:AY$200,"&lt;&gt;-",$D$4:$D$200,"&lt;&gt;是",$E$4:$E$200,"&lt;&gt;封闭期",$H$4:$H$200,"&gt;10",$BN$4:$BN$200,"&gt;-6",$BR$4:$BR$200,"&gt;=70",$C$4:$C$200,"&lt;20190630",$K$4:$K$200,"&lt;=30"))</f>
        <v>-</v>
      </c>
      <c r="BD141" s="20">
        <v>1</v>
      </c>
      <c r="BE141" s="19" t="str">
        <f>IFERROR(RANK(BD141,BD:BD)&amp;"/"&amp;COUNT(BD:BD),"-")</f>
        <v>1/197</v>
      </c>
      <c r="BF141" s="26">
        <f>IFERROR(RANK(BD141,BD:BD)/COUNT(BD:BD),"-")</f>
        <v>5.076142131979695E-3</v>
      </c>
      <c r="BG141" s="34" t="str">
        <f>IF(OR($C141&gt;20190630,$K141&gt;30,BD141="-",$D141="是",$E141="封闭期",$H141&lt;10,$BN141&lt;-6,$BR141&lt;70),"-",COUNTIFS(BD$4:BD$200,"&lt;&gt;-",$D$4:$D$200,"&lt;&gt;是",$E$4:$E$200,"&lt;&gt;封闭期",$H$4:$H$200,"&gt;10",$BN$4:$BN$200,"&gt;-6",$BR$4:$BR$200,"&gt;=70",$K$4:$K$200,"&lt;=30",$C$4:$C$200,"&lt;20190630",BD$4:BD$200,"&gt;="&amp;BD141)&amp;"/"&amp;COUNTIFS(BD$4:BD$200,"&lt;&gt;-",$D$4:$D$200,"&lt;&gt;是",$E$4:$E$200,"&lt;&gt;封闭期",$H$4:$H$200,"&gt;10",$BN$4:$BN$200,"&gt;-6",$BR$4:$BR$200,"&gt;=70",$C$4:$C$200,"&lt;20190630",$K$4:$K$200,"&lt;=30"))</f>
        <v>-</v>
      </c>
      <c r="BH141" s="33" t="str">
        <f>IF(OR($C141&gt;20190630,$K141&gt;30,BD141="-",$D141="是",$E141="封闭期",$H141&lt;10,$BN141&lt;-6,$BR141&lt;70),"-",COUNTIFS(BD$4:BD$200,"&lt;&gt;-",$D$4:$D$200,"&lt;&gt;是",$E$4:$E$200,"&lt;&gt;封闭期",$H$4:$H$200,"&gt;10",$BN$4:$BN$200,"&gt;-6",$BR$4:$BR$200,"&gt;=70",$K$4:$K$200,"&lt;=30",$C$4:$C$200,"&lt;20190630",BD$4:BD$200,"&gt;="&amp;BD141)/COUNTIFS(BD$4:BD$200,"&lt;&gt;-",$D$4:$D$200,"&lt;&gt;是",$E$4:$E$200,"&lt;&gt;封闭期",$H$4:$H$200,"&gt;10",$BN$4:$BN$200,"&gt;-6",$BR$4:$BR$200,"&gt;=70",$C$4:$C$200,"&lt;20190630",$K$4:$K$200,"&lt;=30"))</f>
        <v>-</v>
      </c>
      <c r="BI141" s="21">
        <f>[1]!f_risk_maxdownside(A141,$AM$2,$L$2)</f>
        <v>-0.98785571868767219</v>
      </c>
      <c r="BJ141" s="19" t="str">
        <f>IFERROR(RANK(BI141,BI:BI)&amp;"/"&amp;COUNT(BI:BI),"-")</f>
        <v>4/197</v>
      </c>
      <c r="BK141" s="26">
        <f>IFERROR(RANK(BI141,BI:BI)/COUNT(BI:BI),"-")</f>
        <v>2.030456852791878E-2</v>
      </c>
      <c r="BL141" s="34" t="str">
        <f>IF(OR($C141&gt;20190630,$K141&gt;30,BI141="-",$D141="是",$E141="封闭期",$H141&lt;10,$BN141&lt;-6,$BR141&lt;70),"-",COUNTIFS(BI$4:BI$200,"&lt;&gt;-",$D$4:$D$200,"&lt;&gt;是",$E$4:$E$200,"&lt;&gt;封闭期",$H$4:$H$200,"&gt;10",$BN$4:$BN$200,"&gt;-6",$BR$4:$BR$200,"&gt;=70",$K$4:$K$200,"&lt;=30",$C$4:$C$200,"&lt;20190630",BI$4:BI$200,"&gt;="&amp;BI141)&amp;"/"&amp;COUNTIFS(BI$4:BI$200,"&lt;&gt;-",$D$4:$D$200,"&lt;&gt;是",$E$4:$E$200,"&lt;&gt;封闭期",$H$4:$H$200,"&gt;10",$BN$4:$BN$200,"&gt;-6",$BR$4:$BR$200,"&gt;=70",$C$4:$C$200,"&lt;20190630",$K$4:$K$200,"&lt;=30"))</f>
        <v>-</v>
      </c>
      <c r="BM141" s="33" t="str">
        <f>IF(OR($C141&gt;20190630,$K141&gt;30,BI141="-",$D141="是",$E141="封闭期",$H141&lt;10,$BN141&lt;-6,$BR141&lt;70),"-",COUNTIFS(BI$4:BI$200,"&lt;&gt;-",$D$4:$D$200,"&lt;&gt;是",$E$4:$E$200,"&lt;&gt;封闭期",$H$4:$H$200,"&gt;10",$BN$4:$BN$200,"&gt;-6",$BR$4:$BR$200,"&gt;=70",$K$4:$K$200,"&lt;=30",$C$4:$C$200,"&lt;20190630",BI$4:BI$200,"&gt;="&amp;BI141)/COUNTIFS(BI$4:BI$200,"&lt;&gt;-",$D$4:$D$200,"&lt;&gt;是",$E$4:$E$200,"&lt;&gt;封闭期",$H$4:$H$200,"&gt;10",$BN$4:$BN$200,"&gt;-6",$BR$4:$BR$200,"&gt;=70",$C$4:$C$200,"&lt;20190630",$K$4:$K$200,"&lt;=30"))</f>
        <v>-</v>
      </c>
      <c r="BN141" s="21">
        <f>[1]!f_risk_maxdownside(A141,$AM$2,$E$1)</f>
        <v>-1.164521495490763</v>
      </c>
      <c r="BO141" s="21">
        <f>IF(C141&lt;20190930,[1]!f_return_2y(A141,"0","20210930"),"-")</f>
        <v>10.105735940862747</v>
      </c>
      <c r="BP141" s="19" t="str">
        <f>IFERROR(RANK(BO141,BO:BO)&amp;"/"&amp;COUNT(BO:BO),"-")</f>
        <v>138/197</v>
      </c>
      <c r="BQ141" s="25">
        <f>IFERROR(RANK(BO141,BO:BO)/COUNT(BO:BO),"-")</f>
        <v>0.70050761421319796</v>
      </c>
      <c r="BR141" s="19">
        <f>IF(C141&lt;20190930,[1]!f_absolute_profitmonthper(A141,"20190930","20210930"),"-")</f>
        <v>83.333333333333343</v>
      </c>
      <c r="BS141" s="19" t="str">
        <f>IFERROR(RANK(BR141,BR:BR)&amp;"/"&amp;COUNT(BR:BR),"-")</f>
        <v>4/198</v>
      </c>
      <c r="BT141" s="25">
        <f>IFERROR(RANK(BR141,BR:BR)/COUNT(BR:BR),"-")</f>
        <v>2.0202020202020204E-2</v>
      </c>
      <c r="BV141" s="12">
        <f>X141-3/M141</f>
        <v>2.9261348253739312</v>
      </c>
      <c r="BW141" s="76">
        <f>IFERROR(RANK(BV141,BV:BV)/COUNT(BV:BV),"-")</f>
        <v>0.21319796954314721</v>
      </c>
      <c r="BX141" s="76">
        <f>IFERROR(RANK(L141,L:L)/COUNT(L:L),"-")</f>
        <v>0.57070707070707072</v>
      </c>
      <c r="BY141" s="12">
        <f>AY141-3/AN141</f>
        <v>3.1448973755921639</v>
      </c>
      <c r="BZ141" s="76">
        <f>IFERROR(RANK(BY141,BY:BY)/COUNT(BY:BY),"-")</f>
        <v>0.13197969543147209</v>
      </c>
      <c r="CA141" s="76">
        <f>IFERROR(RANK(AM141,AM:AM)/COUNT(AM:AM),"-")</f>
        <v>0.70202020202020199</v>
      </c>
      <c r="CB141" s="2"/>
      <c r="CC141" s="77">
        <f>AV141+BF141+BZ141+CA141</f>
        <v>1.0928831461826385</v>
      </c>
      <c r="CD141" s="77">
        <f>BW141+BX141+AE141+U141</f>
        <v>1.2458339742603701</v>
      </c>
      <c r="CE141" s="77">
        <f>CC141+CD141</f>
        <v>2.3387171204430084</v>
      </c>
    </row>
    <row r="142" spans="1:83" s="17" customFormat="1" hidden="1" x14ac:dyDescent="0.35">
      <c r="A142" s="15" t="s">
        <v>409</v>
      </c>
      <c r="B142" s="15" t="s">
        <v>410</v>
      </c>
      <c r="C142" s="16">
        <v>20190927</v>
      </c>
      <c r="D142" s="16" t="str">
        <f>[1]!f_info_regulopenfundornot(A142)</f>
        <v>否</v>
      </c>
      <c r="E142" s="16" t="str">
        <f>[1]!f_dq_status(A142,$E$1)</f>
        <v>开放申购|开放赎回</v>
      </c>
      <c r="F142" s="17" t="str">
        <f>[1]!f_info_fundmanager(A142)</f>
        <v>陈玮</v>
      </c>
      <c r="G142" s="16">
        <v>20190927</v>
      </c>
      <c r="H142" s="18">
        <f>[1]!f_netasset_total(A142,$E$1,100000000)</f>
        <v>3.9729468106999999</v>
      </c>
      <c r="I142" s="18">
        <f>[1]!f_prt_convertiblebondtonav(A142,$E$1)</f>
        <v>4.5678648948669434</v>
      </c>
      <c r="J142" s="18">
        <f>[1]!f_prt_stocktonav(A142,$E$1)+0.5*I142</f>
        <v>8.53035569190979</v>
      </c>
      <c r="K142" s="19">
        <v>17.874893217482459</v>
      </c>
      <c r="L142" s="19">
        <f>[1]!f_return($A142,"1",L$2,$E$1)</f>
        <v>6.9400114770684196</v>
      </c>
      <c r="M142" s="19">
        <f>[1]!f_risk_stdevyearly($A142,L$2,$E$1,1,1)</f>
        <v>2.8447883471145343</v>
      </c>
      <c r="N142" s="19">
        <f>IFERROR(L142/M142,"-")</f>
        <v>2.4395528349614009</v>
      </c>
      <c r="O142" s="19" t="str">
        <f>IFERROR(RANK(N142,N:N)&amp;"/"&amp;COUNT(N:N),"-")</f>
        <v>33/197</v>
      </c>
      <c r="P142" s="26">
        <f>IF(O142="-","-",RANK(N142,N:N)/COUNT(N:N))</f>
        <v>0.16751269035532995</v>
      </c>
      <c r="Q142" s="56">
        <v>0.38578680203045684</v>
      </c>
      <c r="R142" s="33" t="str">
        <f>IF(OR($C142&gt;20190630,$K142&gt;30,N142="-",$D142="是",$E142="封闭期",$H142&lt;10,$BN142&lt;-6,$BR142&lt;70),"-",COUNTIFS(N$4:N$200,"&lt;&gt;-",$D$4:$D$200,"&lt;&gt;是",$E$4:$E$200,"&lt;&gt;封闭期",$H$4:$H$200,"&gt;10",$BN$4:$BN$200,"&gt;-6",$BR$4:$BR$200,"&gt;=70",$K$4:$K$200,"&lt;=30",$C$4:$C$200,"&lt;20190630",N$4:N$200,"&gt;="&amp;N142)/COUNTIFS(N$4:N$200,"&lt;&gt;-",$D$4:$D$200,"&lt;&gt;是",$E$4:$E$200,"&lt;&gt;封闭期",$H$4:$H$200,"&gt;10",$BN$4:$BN$200,"&gt;-6",$BR$4:$BR$200,"&gt;=70",$C$4:$C$200,"&lt;20190630",$K$4:$K$200,"&lt;=30"))</f>
        <v>-</v>
      </c>
      <c r="S142" s="19">
        <f>IFERROR((L142-3)/M142,"-")</f>
        <v>1.3849928347269733</v>
      </c>
      <c r="T142" s="19" t="str">
        <f>IFERROR(RANK(S142,S:S)&amp;"/"&amp;COUNT(S:S),"-")</f>
        <v>37/197</v>
      </c>
      <c r="U142" s="26">
        <f>IFERROR(RANK(S142,S:S)/COUNT(S:S),"-")</f>
        <v>0.18781725888324874</v>
      </c>
      <c r="V142" s="34" t="str">
        <f>IF(OR($C142&gt;20190630,$K142&gt;30,S142="-",$D142="是",$E142="封闭期",$H142&lt;10,$BN142&lt;-6,$BR142&lt;70),"-",COUNTIFS(S$4:S$200,"&lt;&gt;-",$D$4:$D$200,"&lt;&gt;是",$E$4:$E$200,"&lt;&gt;封闭期",$H$4:$H$200,"&gt;10",$BN$4:$BN$200,"&gt;-6",$BR$4:$BR$200,"&gt;=70",$K$4:$K$200,"&lt;=30",$C$4:$C$200,"&lt;20190630",S$4:S$200,"&gt;="&amp;S142)&amp;"/"&amp;COUNTIFS(S$4:S$200,"&lt;&gt;-",$D$4:$D$200,"&lt;&gt;是",$E$4:$E$200,"&lt;&gt;封闭期",$H$4:$H$200,"&gt;10",$BN$4:$BN$200,"&gt;-6",$BR$4:$BR$200,"&gt;=70",$C$4:$C$200,"&lt;20190630",$K$4:$K$200,"&lt;=30"))</f>
        <v>-</v>
      </c>
      <c r="W142" s="33" t="str">
        <f>IF(OR($C142&gt;20190630,$K142&gt;30,S142="-",$D142="是",$E142="封闭期",$H142&lt;10,$BN142&lt;-6,$BR142&lt;70),"-",COUNTIFS(S$4:S$200,"&lt;&gt;-",$D$4:$D$200,"&lt;&gt;是",$E$4:$E$200,"&lt;&gt;封闭期",$H$4:$H$200,"&gt;10",$BN$4:$BN$200,"&gt;-6",$BR$4:$BR$200,"&gt;=70",$K$4:$K$200,"&lt;=30",$C$4:$C$200,"&lt;20190630",S$4:S$200,"&gt;="&amp;S142)/COUNTIFS(S$4:S$200,"&lt;&gt;-",$D$4:$D$200,"&lt;&gt;是",$E$4:$E$200,"&lt;&gt;封闭期",$H$4:$H$200,"&gt;10",$BN$4:$BN$200,"&gt;-6",$BR$4:$BR$200,"&gt;=70",$C$4:$C$200,"&lt;20190630",$K$4:$K$200,"&lt;=30"))</f>
        <v>-</v>
      </c>
      <c r="X142" s="19">
        <f>[1]!f_risk_calmar(A142,$L$2,$E$1)</f>
        <v>5.6623503713261014</v>
      </c>
      <c r="Y142" s="19" t="str">
        <f>IFERROR(RANK(X142,X:X)&amp;"/"&amp;COUNT(X:X),"-")</f>
        <v>27/197</v>
      </c>
      <c r="Z142" s="26">
        <f>IFERROR(RANK(X142,X:X)/COUNT(X:X),"-")</f>
        <v>0.13705583756345177</v>
      </c>
      <c r="AA142" s="34" t="str">
        <f>IF(OR($C142&gt;20190630,$K142&gt;30,X142="-",$D142="是",$E142="封闭期",$H142&lt;10,$BN142&lt;-6,$BR142&lt;70),"-",COUNTIFS(X$4:X$200,"&lt;&gt;-",$D$4:$D$200,"&lt;&gt;是",$E$4:$E$200,"&lt;&gt;封闭期",$H$4:$H$200,"&gt;10",$BN$4:$BN$200,"&gt;-6",$BR$4:$BR$200,"&gt;=70",$K$4:$K$200,"&lt;=30",$C$4:$C$200,"&lt;20190630",X$4:X$200,"&gt;="&amp;X142)&amp;"/"&amp;COUNTIFS(X$4:X$200,"&lt;&gt;-",$D$4:$D$200,"&lt;&gt;是",$E$4:$E$200,"&lt;&gt;封闭期",$H$4:$H$200,"&gt;10",$BN$4:$BN$200,"&gt;-6",$BR$4:$BR$200,"&gt;=70",$C$4:$C$200,"&lt;20190630",$K$4:$K$200,"&lt;=30"))</f>
        <v>-</v>
      </c>
      <c r="AB142" s="33" t="str">
        <f>IF(OR($C142&gt;20190630,$K142&gt;30,X142="-",$D142="是",$E142="封闭期",$H142&lt;10,$BN142&lt;-6,$BR142&lt;70),"-",COUNTIFS(X$4:X$200,"&lt;&gt;-",$D$4:$D$200,"&lt;&gt;是",$E$4:$E$200,"&lt;&gt;封闭期",$H$4:$H$200,"&gt;10",$BN$4:$BN$200,"&gt;-6",$BR$4:$BR$200,"&gt;=70",$K$4:$K$200,"&lt;=30",$C$4:$C$200,"&lt;20190630",X$4:X$200,"&gt;="&amp;X142)/COUNTIFS(X$4:X$200,"&lt;&gt;-",$D$4:$D$200,"&lt;&gt;是",$E$4:$E$200,"&lt;&gt;封闭期",$H$4:$H$200,"&gt;10",$BN$4:$BN$200,"&gt;-6",$BR$4:$BR$200,"&gt;=70",$C$4:$C$200,"&lt;20190630",$K$4:$K$200,"&lt;=30"))</f>
        <v>-</v>
      </c>
      <c r="AC142" s="20">
        <v>1</v>
      </c>
      <c r="AD142" s="19" t="str">
        <f>IFERROR(RANK(AC142,AC:AC)&amp;"/"&amp;COUNT(AC:AC),"-")</f>
        <v>1/197</v>
      </c>
      <c r="AE142" s="26">
        <f>IFERROR(RANK(AC142,AC:AC)/COUNT(AC:AC),"-")</f>
        <v>5.076142131979695E-3</v>
      </c>
      <c r="AF142" s="34" t="str">
        <f>IF(OR($C142&gt;20190630,$K142&gt;30,AC142="-",$D142="是",$E142="封闭期",$H142&lt;10,$BN142&lt;-6,$BR142&lt;70),"-",COUNTIFS(AC$4:AC$200,"&lt;&gt;-",$D$4:$D$200,"&lt;&gt;是",$E$4:$E$200,"&lt;&gt;封闭期",$H$4:$H$200,"&gt;10",$BN$4:$BN$200,"&gt;-6",$BR$4:$BR$200,"&gt;=70",$K$4:$K$200,"&lt;=30",$C$4:$C$200,"&lt;20190630",AC$4:AC$200,"&gt;="&amp;AC142)&amp;"/"&amp;COUNTIFS(AC$4:AC$200,"&lt;&gt;-",$D$4:$D$200,"&lt;&gt;是",$E$4:$E$200,"&lt;&gt;封闭期",$H$4:$H$200,"&gt;10",$BN$4:$BN$200,"&gt;-6",$BR$4:$BR$200,"&gt;=70",$C$4:$C$200,"&lt;20190630",$K$4:$K$200,"&lt;=30"))</f>
        <v>-</v>
      </c>
      <c r="AG142" s="33" t="str">
        <f>IF(OR($C142&gt;20190630,$K142&gt;30,AC142="-",$D142="是",$E142="封闭期",$H142&lt;10,$BN142&lt;-6,$BR142&lt;70),"-",COUNTIFS(AC$4:AC$200,"&lt;&gt;-",$D$4:$D$200,"&lt;&gt;是",$E$4:$E$200,"&lt;&gt;封闭期",$H$4:$H$200,"&gt;10",$BN$4:$BN$200,"&gt;-6",$BR$4:$BR$200,"&gt;=70",$K$4:$K$200,"&lt;=30",$C$4:$C$200,"&lt;20190630",AC$4:AC$200,"&gt;="&amp;AC142)/COUNTIFS(AC$4:AC$200,"&lt;&gt;-",$D$4:$D$200,"&lt;&gt;是",$E$4:$E$200,"&lt;&gt;封闭期",$H$4:$H$200,"&gt;10",$BN$4:$BN$200,"&gt;-6",$BR$4:$BR$200,"&gt;=70",$C$4:$C$200,"&lt;20190630",$K$4:$K$200,"&lt;=30"))</f>
        <v>-</v>
      </c>
      <c r="AH142" s="21">
        <f>[1]!f_risk_maxdownside(A142,$L$2,$E$1)</f>
        <v>-1.2256414778238272</v>
      </c>
      <c r="AI142" s="19" t="str">
        <f>IFERROR(RANK(AH142,AH:AH)&amp;"/"&amp;COUNT(AH:AH),"-")</f>
        <v>31/197</v>
      </c>
      <c r="AJ142" s="26">
        <f>IFERROR(RANK(AH142,AH:AH)/COUNT(AH:AH),"-")</f>
        <v>0.15736040609137056</v>
      </c>
      <c r="AK142" s="34" t="str">
        <f>IF(OR($C142&gt;20190630,$K142&gt;30,AH142="-",$D142="是",$E142="封闭期",$H142&lt;10,$BN142&lt;-6,$BR142&lt;70),"-",COUNTIFS(AH$4:AH$200,"&lt;&gt;-",$D$4:$D$200,"&lt;&gt;是",$E$4:$E$200,"&lt;&gt;封闭期",$H$4:$H$200,"&gt;10",$BN$4:$BN$200,"&gt;-6",$BR$4:$BR$200,"&gt;=70",$K$4:$K$200,"&lt;=30",$C$4:$C$200,"&lt;20190630",AH$4:AH$200,"&gt;="&amp;AH142)&amp;"/"&amp;COUNTIFS(AH$4:AH$200,"&lt;&gt;-",$D$4:$D$200,"&lt;&gt;是",$E$4:$E$200,"&lt;&gt;封闭期",$H$4:$H$200,"&gt;10",$BN$4:$BN$200,"&gt;-6",$BR$4:$BR$200,"&gt;=70",$C$4:$C$200,"&lt;20190630",$K$4:$K$200,"&lt;=30"))</f>
        <v>-</v>
      </c>
      <c r="AL142" s="33" t="str">
        <f>IF(OR($C142&gt;20190630,$K142&gt;30,AH142="-",$D142="是",$E142="封闭期",$H142&lt;10,$BN142&lt;-6,$BR142&lt;70),"-",COUNTIFS(AH$4:AH$200,"&lt;&gt;-",$D$4:$D$200,"&lt;&gt;是",$E$4:$E$200,"&lt;&gt;封闭期",$H$4:$H$200,"&gt;10",$BN$4:$BN$200,"&gt;-6",$BR$4:$BR$200,"&gt;=70",$K$4:$K$200,"&lt;=30",$C$4:$C$200,"&lt;20190630",AH$4:AH$200,"&gt;="&amp;AH142)/COUNTIFS(AH$4:AH$200,"&lt;&gt;-",$D$4:$D$200,"&lt;&gt;是",$E$4:$E$200,"&lt;&gt;封闭期",$H$4:$H$200,"&gt;10",$BN$4:$BN$200,"&gt;-6",$BR$4:$BR$200,"&gt;=70",$C$4:$C$200,"&lt;20190630",$K$4:$K$200,"&lt;=30"))</f>
        <v>-</v>
      </c>
      <c r="AM142" s="19">
        <f>[1]!f_return($A142,"1",AM$2,$L$2)</f>
        <v>4.9323141520559055</v>
      </c>
      <c r="AN142" s="19">
        <f>[1]!f_risk_stdevyearly($A142,AM$2,$L$2,1,1)</f>
        <v>4.379138592038883</v>
      </c>
      <c r="AO142" s="19">
        <f>IFERROR(AM142/AN142,"-")</f>
        <v>1.1263206332456972</v>
      </c>
      <c r="AP142" s="19" t="str">
        <f>IFERROR(RANK(AO142,AO:AO)&amp;"/"&amp;COUNT(AO:AO),"-")</f>
        <v>148/197</v>
      </c>
      <c r="AQ142" s="26">
        <f>IF(AP142="-","-",RANK(AO142,AO:AO)/COUNT(AO:AO))</f>
        <v>0.75126903553299496</v>
      </c>
      <c r="AR142" s="57">
        <v>0.70558375634517767</v>
      </c>
      <c r="AS142" s="33" t="str">
        <f>IF(OR($C142&gt;20190630,$K142&gt;30,AO142="-",$D142="是",$E142="封闭期",$H142&lt;10,$BN142&lt;-6,$BR142&lt;70),"-",COUNTIFS(AO$4:AO$200,"&lt;&gt;-",$D$4:$D$200,"&lt;&gt;是",$E$4:$E$200,"&lt;&gt;封闭期",$H$4:$H$200,"&gt;10",$BN$4:$BN$200,"&gt;-6",$BR$4:$BR$200,"&gt;=70",$K$4:$K$200,"&lt;=30",$C$4:$C$200,"&lt;20190630",AO$4:AO$200,"&gt;="&amp;AO142)/COUNTIFS(AO$4:AO$200,"&lt;&gt;-",$D$4:$D$200,"&lt;&gt;是",$E$4:$E$200,"&lt;&gt;封闭期",$H$4:$H$200,"&gt;10",$BN$4:$BN$200,"&gt;-6",$BR$4:$BR$200,"&gt;=70",$C$4:$C$200,"&lt;20190630",$K$4:$K$200,"&lt;=30"))</f>
        <v>-</v>
      </c>
      <c r="AT142" s="19">
        <f>IFERROR((AM142-3)/AN142,"-")</f>
        <v>0.44125439545776957</v>
      </c>
      <c r="AU142" s="19" t="str">
        <f>IFERROR(RANK(AT142,AT:AT)&amp;"/"&amp;COUNT(AT:AT),"-")</f>
        <v>143/197</v>
      </c>
      <c r="AV142" s="26">
        <f>IFERROR(RANK(AT142,AT:AT)/COUNT(AT:AT),"-")</f>
        <v>0.7258883248730964</v>
      </c>
      <c r="AW142" s="34" t="str">
        <f>IF(OR($C142&gt;20190630,$K142&gt;30,AT142="-",$D142="是",$E142="封闭期",$H142&lt;10,$BN142&lt;-6,$BR142&lt;70),"-",COUNTIFS(AT$4:AT$200,"&lt;&gt;-",$D$4:$D$200,"&lt;&gt;是",$E$4:$E$200,"&lt;&gt;封闭期",$H$4:$H$200,"&gt;10",$BN$4:$BN$200,"&gt;-6",$BR$4:$BR$200,"&gt;=70",$K$4:$K$200,"&lt;=30",$C$4:$C$200,"&lt;20190630",AT$4:AT$200,"&gt;="&amp;AT142)&amp;"/"&amp;COUNTIFS(AT$4:AT$200,"&lt;&gt;-",$D$4:$D$200,"&lt;&gt;是",$E$4:$E$200,"&lt;&gt;封闭期",$H$4:$H$200,"&gt;10",$BN$4:$BN$200,"&gt;-6",$BR$4:$BR$200,"&gt;=70",$C$4:$C$200,"&lt;20190630",$K$4:$K$200,"&lt;=30"))</f>
        <v>-</v>
      </c>
      <c r="AX142" s="33" t="str">
        <f>IF(OR($C142&gt;20190630,$K142&gt;30,AT142="-",$D142="是",$E142="封闭期",$H142&lt;10,$BN142&lt;-6,$BR142&lt;70),"-",COUNTIFS(AT$4:AT$200,"&lt;&gt;-",$D$4:$D$200,"&lt;&gt;是",$E$4:$E$200,"&lt;&gt;封闭期",$H$4:$H$200,"&gt;10",$BN$4:$BN$200,"&gt;-6",$BR$4:$BR$200,"&gt;=70",$K$4:$K$200,"&lt;=30",$C$4:$C$200,"&lt;20190630",AT$4:AT$200,"&gt;="&amp;AT142)/COUNTIFS(AT$4:AT$200,"&lt;&gt;-",$D$4:$D$200,"&lt;&gt;是",$E$4:$E$200,"&lt;&gt;封闭期",$H$4:$H$200,"&gt;10",$BN$4:$BN$200,"&gt;-6",$BR$4:$BR$200,"&gt;=70",$C$4:$C$200,"&lt;20190630",$K$4:$K$200,"&lt;=30"))</f>
        <v>-</v>
      </c>
      <c r="AY142" s="19">
        <f>[1]!f_risk_calmar(A142,$AM$2,$L$2)</f>
        <v>1.9501323908772574</v>
      </c>
      <c r="AZ142" s="19" t="str">
        <f>IFERROR(RANK(AY142,AY:AY)&amp;"/"&amp;COUNT(AY:AY),"-")</f>
        <v>115/197</v>
      </c>
      <c r="BA142" s="26">
        <f>IFERROR(RANK(AY142,AY:AY)/COUNT(AY:AY),"-")</f>
        <v>0.58375634517766495</v>
      </c>
      <c r="BB142" s="34" t="str">
        <f>IF(OR($C142&gt;20190630,$K142&gt;30,AY142="-",$D142="是",$E142="封闭期",$H142&lt;10,$BN142&lt;-6,$BR142&lt;70),"-",COUNTIFS(AY$4:AY$200,"&lt;&gt;-",$D$4:$D$200,"&lt;&gt;是",$E$4:$E$200,"&lt;&gt;封闭期",$H$4:$H$200,"&gt;10",$BN$4:$BN$200,"&gt;-6",$BR$4:$BR$200,"&gt;=70",$K$4:$K$200,"&lt;=30",$C$4:$C$200,"&lt;20190630",AY$4:AY$200,"&gt;="&amp;AY142)&amp;"/"&amp;COUNTIFS(AY$4:AY$200,"&lt;&gt;-",$D$4:$D$200,"&lt;&gt;是",$E$4:$E$200,"&lt;&gt;封闭期",$H$4:$H$200,"&gt;10",$BN$4:$BN$200,"&gt;-6",$BR$4:$BR$200,"&gt;=70",$C$4:$C$200,"&lt;20190630",$K$4:$K$200,"&lt;=30"))</f>
        <v>-</v>
      </c>
      <c r="BC142" s="33" t="str">
        <f>IF(OR($C142&gt;20190630,$K142&gt;30,AY142="-",$D142="是",$E142="封闭期",$H142&lt;10,$BN142&lt;-6,$BR142&lt;70),"-",COUNTIFS(AY$4:AY$200,"&lt;&gt;-",$D$4:$D$200,"&lt;&gt;是",$E$4:$E$200,"&lt;&gt;封闭期",$H$4:$H$200,"&gt;10",$BN$4:$BN$200,"&gt;-6",$BR$4:$BR$200,"&gt;=70",$K$4:$K$200,"&lt;=30",$C$4:$C$200,"&lt;20190630",AY$4:AY$200,"&gt;="&amp;AY142)/COUNTIFS(AY$4:AY$200,"&lt;&gt;-",$D$4:$D$200,"&lt;&gt;是",$E$4:$E$200,"&lt;&gt;封闭期",$H$4:$H$200,"&gt;10",$BN$4:$BN$200,"&gt;-6",$BR$4:$BR$200,"&gt;=70",$C$4:$C$200,"&lt;20190630",$K$4:$K$200,"&lt;=30"))</f>
        <v>-</v>
      </c>
      <c r="BD142" s="20">
        <v>1</v>
      </c>
      <c r="BE142" s="19" t="str">
        <f>IFERROR(RANK(BD142,BD:BD)&amp;"/"&amp;COUNT(BD:BD),"-")</f>
        <v>1/197</v>
      </c>
      <c r="BF142" s="26">
        <f>IFERROR(RANK(BD142,BD:BD)/COUNT(BD:BD),"-")</f>
        <v>5.076142131979695E-3</v>
      </c>
      <c r="BG142" s="34" t="str">
        <f>IF(OR($C142&gt;20190630,$K142&gt;30,BD142="-",$D142="是",$E142="封闭期",$H142&lt;10,$BN142&lt;-6,$BR142&lt;70),"-",COUNTIFS(BD$4:BD$200,"&lt;&gt;-",$D$4:$D$200,"&lt;&gt;是",$E$4:$E$200,"&lt;&gt;封闭期",$H$4:$H$200,"&gt;10",$BN$4:$BN$200,"&gt;-6",$BR$4:$BR$200,"&gt;=70",$K$4:$K$200,"&lt;=30",$C$4:$C$200,"&lt;20190630",BD$4:BD$200,"&gt;="&amp;BD142)&amp;"/"&amp;COUNTIFS(BD$4:BD$200,"&lt;&gt;-",$D$4:$D$200,"&lt;&gt;是",$E$4:$E$200,"&lt;&gt;封闭期",$H$4:$H$200,"&gt;10",$BN$4:$BN$200,"&gt;-6",$BR$4:$BR$200,"&gt;=70",$C$4:$C$200,"&lt;20190630",$K$4:$K$200,"&lt;=30"))</f>
        <v>-</v>
      </c>
      <c r="BH142" s="33" t="str">
        <f>IF(OR($C142&gt;20190630,$K142&gt;30,BD142="-",$D142="是",$E142="封闭期",$H142&lt;10,$BN142&lt;-6,$BR142&lt;70),"-",COUNTIFS(BD$4:BD$200,"&lt;&gt;-",$D$4:$D$200,"&lt;&gt;是",$E$4:$E$200,"&lt;&gt;封闭期",$H$4:$H$200,"&gt;10",$BN$4:$BN$200,"&gt;-6",$BR$4:$BR$200,"&gt;=70",$K$4:$K$200,"&lt;=30",$C$4:$C$200,"&lt;20190630",BD$4:BD$200,"&gt;="&amp;BD142)/COUNTIFS(BD$4:BD$200,"&lt;&gt;-",$D$4:$D$200,"&lt;&gt;是",$E$4:$E$200,"&lt;&gt;封闭期",$H$4:$H$200,"&gt;10",$BN$4:$BN$200,"&gt;-6",$BR$4:$BR$200,"&gt;=70",$C$4:$C$200,"&lt;20190630",$K$4:$K$200,"&lt;=30"))</f>
        <v>-</v>
      </c>
      <c r="BI142" s="21">
        <f>[1]!f_risk_maxdownside(A142,$AM$2,$L$2)</f>
        <v>-2.5292201571182193</v>
      </c>
      <c r="BJ142" s="19" t="str">
        <f>IFERROR(RANK(BI142,BI:BI)&amp;"/"&amp;COUNT(BI:BI),"-")</f>
        <v>64/197</v>
      </c>
      <c r="BK142" s="26">
        <f>IFERROR(RANK(BI142,BI:BI)/COUNT(BI:BI),"-")</f>
        <v>0.32487309644670048</v>
      </c>
      <c r="BL142" s="34" t="str">
        <f>IF(OR($C142&gt;20190630,$K142&gt;30,BI142="-",$D142="是",$E142="封闭期",$H142&lt;10,$BN142&lt;-6,$BR142&lt;70),"-",COUNTIFS(BI$4:BI$200,"&lt;&gt;-",$D$4:$D$200,"&lt;&gt;是",$E$4:$E$200,"&lt;&gt;封闭期",$H$4:$H$200,"&gt;10",$BN$4:$BN$200,"&gt;-6",$BR$4:$BR$200,"&gt;=70",$K$4:$K$200,"&lt;=30",$C$4:$C$200,"&lt;20190630",BI$4:BI$200,"&gt;="&amp;BI142)&amp;"/"&amp;COUNTIFS(BI$4:BI$200,"&lt;&gt;-",$D$4:$D$200,"&lt;&gt;是",$E$4:$E$200,"&lt;&gt;封闭期",$H$4:$H$200,"&gt;10",$BN$4:$BN$200,"&gt;-6",$BR$4:$BR$200,"&gt;=70",$C$4:$C$200,"&lt;20190630",$K$4:$K$200,"&lt;=30"))</f>
        <v>-</v>
      </c>
      <c r="BM142" s="33" t="str">
        <f>IF(OR($C142&gt;20190630,$K142&gt;30,BI142="-",$D142="是",$E142="封闭期",$H142&lt;10,$BN142&lt;-6,$BR142&lt;70),"-",COUNTIFS(BI$4:BI$200,"&lt;&gt;-",$D$4:$D$200,"&lt;&gt;是",$E$4:$E$200,"&lt;&gt;封闭期",$H$4:$H$200,"&gt;10",$BN$4:$BN$200,"&gt;-6",$BR$4:$BR$200,"&gt;=70",$K$4:$K$200,"&lt;=30",$C$4:$C$200,"&lt;20190630",BI$4:BI$200,"&gt;="&amp;BI142)/COUNTIFS(BI$4:BI$200,"&lt;&gt;-",$D$4:$D$200,"&lt;&gt;是",$E$4:$E$200,"&lt;&gt;封闭期",$H$4:$H$200,"&gt;10",$BN$4:$BN$200,"&gt;-6",$BR$4:$BR$200,"&gt;=70",$C$4:$C$200,"&lt;20190630",$K$4:$K$200,"&lt;=30"))</f>
        <v>-</v>
      </c>
      <c r="BN142" s="21">
        <f>[1]!f_risk_maxdownside(A142,$AM$2,$E$1)</f>
        <v>-2.5292201571182193</v>
      </c>
      <c r="BO142" s="21">
        <f>IF(C142&lt;20190930,[1]!f_return_2y(A142,"0","20210930"),"-")</f>
        <v>12.20122012201219</v>
      </c>
      <c r="BP142" s="19" t="str">
        <f>IFERROR(RANK(BO142,BO:BO)&amp;"/"&amp;COUNT(BO:BO),"-")</f>
        <v>115/197</v>
      </c>
      <c r="BQ142" s="25">
        <f>IFERROR(RANK(BO142,BO:BO)/COUNT(BO:BO),"-")</f>
        <v>0.58375634517766495</v>
      </c>
      <c r="BR142" s="19">
        <f>IF(C142&lt;20190930,[1]!f_absolute_profitmonthper(A142,"20190930","20210930"),"-")</f>
        <v>75</v>
      </c>
      <c r="BS142" s="19" t="str">
        <f>IFERROR(RANK(BR142,BR:BR)&amp;"/"&amp;COUNT(BR:BR),"-")</f>
        <v>26/198</v>
      </c>
      <c r="BT142" s="25">
        <f>IFERROR(RANK(BR142,BR:BR)/COUNT(BR:BR),"-")</f>
        <v>0.13131313131313133</v>
      </c>
      <c r="BV142" s="12">
        <f>X142-3/M142</f>
        <v>4.6077903710916743</v>
      </c>
      <c r="BW142" s="76">
        <f>IFERROR(RANK(BV142,BV:BV)/COUNT(BV:BV),"-")</f>
        <v>0.116751269035533</v>
      </c>
      <c r="BX142" s="76">
        <f>IFERROR(RANK(L142,L:L)/COUNT(L:L),"-")</f>
        <v>0.3888888888888889</v>
      </c>
      <c r="BY142" s="12">
        <f>AY142-3/AN142</f>
        <v>1.2650661530893297</v>
      </c>
      <c r="BZ142" s="76">
        <f>IFERROR(RANK(BY142,BY:BY)/COUNT(BY:BY),"-")</f>
        <v>0.59898477157360408</v>
      </c>
      <c r="CA142" s="76">
        <f>IFERROR(RANK(AM142,AM:AM)/COUNT(AM:AM),"-")</f>
        <v>0.70707070707070707</v>
      </c>
      <c r="CB142" s="2"/>
      <c r="CC142" s="77">
        <f>AV142+BF142+BZ142+CA142</f>
        <v>2.0370199456493872</v>
      </c>
      <c r="CD142" s="77">
        <f>BW142+BX142+AE142+U142</f>
        <v>0.6985335589396503</v>
      </c>
      <c r="CE142" s="77">
        <f>CC142+CD142</f>
        <v>2.7355535045890376</v>
      </c>
    </row>
    <row r="143" spans="1:83" s="2" customFormat="1" hidden="1" x14ac:dyDescent="0.35">
      <c r="A143" s="15" t="s">
        <v>365</v>
      </c>
      <c r="B143" s="15" t="s">
        <v>366</v>
      </c>
      <c r="C143" s="16">
        <v>20180208</v>
      </c>
      <c r="D143" s="16" t="str">
        <f>[1]!f_info_regulopenfundornot(A143)</f>
        <v>否</v>
      </c>
      <c r="E143" s="16" t="str">
        <f>[1]!f_dq_status(A143,$E$1)</f>
        <v>开放申购|开放赎回</v>
      </c>
      <c r="F143" s="17" t="str">
        <f>[1]!f_info_fundmanager(A143)</f>
        <v>陈斯扬</v>
      </c>
      <c r="G143" s="16">
        <v>20180319</v>
      </c>
      <c r="H143" s="18">
        <f>[1]!f_netasset_total(A143,$E$1,100000000)</f>
        <v>4.8633069627999994</v>
      </c>
      <c r="I143" s="18">
        <f>[1]!f_prt_convertiblebondtonav(A143,$E$1)</f>
        <v>23.249942779541016</v>
      </c>
      <c r="J143" s="18">
        <f>[1]!f_prt_stocktonav(A143,$E$1)+0.5*I143</f>
        <v>30.519105911254883</v>
      </c>
      <c r="K143" s="19">
        <v>4.2242860993853446</v>
      </c>
      <c r="L143" s="19">
        <f>[1]!f_return($A143,"1",L$2,$E$1)</f>
        <v>11.354899358952618</v>
      </c>
      <c r="M143" s="19">
        <f>[1]!f_risk_stdevyearly($A143,L$2,$E$1,1,1)</f>
        <v>4.9353024594811075</v>
      </c>
      <c r="N143" s="19">
        <f>IFERROR(L143/M143,"-")</f>
        <v>2.3007504508946468</v>
      </c>
      <c r="O143" s="19" t="str">
        <f>IFERROR(RANK(N143,N:N)&amp;"/"&amp;COUNT(N:N),"-")</f>
        <v>38/197</v>
      </c>
      <c r="P143" s="26">
        <f>IF(O143="-","-",RANK(N143,N:N)/COUNT(N:N))</f>
        <v>0.19289340101522842</v>
      </c>
      <c r="Q143" s="56">
        <v>0.1116751269035533</v>
      </c>
      <c r="R143" s="33" t="str">
        <f>IF(OR($C143&gt;20190630,$K143&gt;30,N143="-",$D143="是",$E143="封闭期",$H143&lt;10,$BN143&lt;-6,$BR143&lt;70),"-",COUNTIFS(N$4:N$200,"&lt;&gt;-",$D$4:$D$200,"&lt;&gt;是",$E$4:$E$200,"&lt;&gt;封闭期",$H$4:$H$200,"&gt;10",$BN$4:$BN$200,"&gt;-6",$BR$4:$BR$200,"&gt;=70",$K$4:$K$200,"&lt;=30",$C$4:$C$200,"&lt;20190630",N$4:N$200,"&gt;="&amp;N143)/COUNTIFS(N$4:N$200,"&lt;&gt;-",$D$4:$D$200,"&lt;&gt;是",$E$4:$E$200,"&lt;&gt;封闭期",$H$4:$H$200,"&gt;10",$BN$4:$BN$200,"&gt;-6",$BR$4:$BR$200,"&gt;=70",$C$4:$C$200,"&lt;20190630",$K$4:$K$200,"&lt;=30"))</f>
        <v>-</v>
      </c>
      <c r="S143" s="19">
        <f>IFERROR((L143-3)/M143,"-")</f>
        <v>1.6928849705861886</v>
      </c>
      <c r="T143" s="19" t="str">
        <f>IFERROR(RANK(S143,S:S)&amp;"/"&amp;COUNT(S:S),"-")</f>
        <v>21/197</v>
      </c>
      <c r="U143" s="26">
        <f>IFERROR(RANK(S143,S:S)/COUNT(S:S),"-")</f>
        <v>0.1065989847715736</v>
      </c>
      <c r="V143" s="34" t="str">
        <f>IF(OR($C143&gt;20190630,$K143&gt;30,S143="-",$D143="是",$E143="封闭期",$H143&lt;10,$BN143&lt;-6,$BR143&lt;70),"-",COUNTIFS(S$4:S$200,"&lt;&gt;-",$D$4:$D$200,"&lt;&gt;是",$E$4:$E$200,"&lt;&gt;封闭期",$H$4:$H$200,"&gt;10",$BN$4:$BN$200,"&gt;-6",$BR$4:$BR$200,"&gt;=70",$K$4:$K$200,"&lt;=30",$C$4:$C$200,"&lt;20190630",S$4:S$200,"&gt;="&amp;S143)&amp;"/"&amp;COUNTIFS(S$4:S$200,"&lt;&gt;-",$D$4:$D$200,"&lt;&gt;是",$E$4:$E$200,"&lt;&gt;封闭期",$H$4:$H$200,"&gt;10",$BN$4:$BN$200,"&gt;-6",$BR$4:$BR$200,"&gt;=70",$C$4:$C$200,"&lt;20190630",$K$4:$K$200,"&lt;=30"))</f>
        <v>-</v>
      </c>
      <c r="W143" s="33" t="str">
        <f>IF(OR($C143&gt;20190630,$K143&gt;30,S143="-",$D143="是",$E143="封闭期",$H143&lt;10,$BN143&lt;-6,$BR143&lt;70),"-",COUNTIFS(S$4:S$200,"&lt;&gt;-",$D$4:$D$200,"&lt;&gt;是",$E$4:$E$200,"&lt;&gt;封闭期",$H$4:$H$200,"&gt;10",$BN$4:$BN$200,"&gt;-6",$BR$4:$BR$200,"&gt;=70",$K$4:$K$200,"&lt;=30",$C$4:$C$200,"&lt;20190630",S$4:S$200,"&gt;="&amp;S143)/COUNTIFS(S$4:S$200,"&lt;&gt;-",$D$4:$D$200,"&lt;&gt;是",$E$4:$E$200,"&lt;&gt;封闭期",$H$4:$H$200,"&gt;10",$BN$4:$BN$200,"&gt;-6",$BR$4:$BR$200,"&gt;=70",$C$4:$C$200,"&lt;20190630",$K$4:$K$200,"&lt;=30"))</f>
        <v>-</v>
      </c>
      <c r="X143" s="19">
        <f>[1]!f_risk_calmar(A143,$L$2,$E$1)</f>
        <v>4.3113893101148602</v>
      </c>
      <c r="Y143" s="19" t="str">
        <f>IFERROR(RANK(X143,X:X)&amp;"/"&amp;COUNT(X:X),"-")</f>
        <v>41/197</v>
      </c>
      <c r="Z143" s="26">
        <f>IFERROR(RANK(X143,X:X)/COUNT(X:X),"-")</f>
        <v>0.20812182741116753</v>
      </c>
      <c r="AA143" s="34" t="str">
        <f>IF(OR($C143&gt;20190630,$K143&gt;30,X143="-",$D143="是",$E143="封闭期",$H143&lt;10,$BN143&lt;-6,$BR143&lt;70),"-",COUNTIFS(X$4:X$200,"&lt;&gt;-",$D$4:$D$200,"&lt;&gt;是",$E$4:$E$200,"&lt;&gt;封闭期",$H$4:$H$200,"&gt;10",$BN$4:$BN$200,"&gt;-6",$BR$4:$BR$200,"&gt;=70",$K$4:$K$200,"&lt;=30",$C$4:$C$200,"&lt;20190630",X$4:X$200,"&gt;="&amp;X143)&amp;"/"&amp;COUNTIFS(X$4:X$200,"&lt;&gt;-",$D$4:$D$200,"&lt;&gt;是",$E$4:$E$200,"&lt;&gt;封闭期",$H$4:$H$200,"&gt;10",$BN$4:$BN$200,"&gt;-6",$BR$4:$BR$200,"&gt;=70",$C$4:$C$200,"&lt;20190630",$K$4:$K$200,"&lt;=30"))</f>
        <v>-</v>
      </c>
      <c r="AB143" s="33" t="str">
        <f>IF(OR($C143&gt;20190630,$K143&gt;30,X143="-",$D143="是",$E143="封闭期",$H143&lt;10,$BN143&lt;-6,$BR143&lt;70),"-",COUNTIFS(X$4:X$200,"&lt;&gt;-",$D$4:$D$200,"&lt;&gt;是",$E$4:$E$200,"&lt;&gt;封闭期",$H$4:$H$200,"&gt;10",$BN$4:$BN$200,"&gt;-6",$BR$4:$BR$200,"&gt;=70",$K$4:$K$200,"&lt;=30",$C$4:$C$200,"&lt;20190630",X$4:X$200,"&gt;="&amp;X143)/COUNTIFS(X$4:X$200,"&lt;&gt;-",$D$4:$D$200,"&lt;&gt;是",$E$4:$E$200,"&lt;&gt;封闭期",$H$4:$H$200,"&gt;10",$BN$4:$BN$200,"&gt;-6",$BR$4:$BR$200,"&gt;=70",$C$4:$C$200,"&lt;20190630",$K$4:$K$200,"&lt;=30"))</f>
        <v>-</v>
      </c>
      <c r="AC143" s="20">
        <v>1</v>
      </c>
      <c r="AD143" s="19" t="str">
        <f>IFERROR(RANK(AC143,AC:AC)&amp;"/"&amp;COUNT(AC:AC),"-")</f>
        <v>1/197</v>
      </c>
      <c r="AE143" s="26">
        <f>IFERROR(RANK(AC143,AC:AC)/COUNT(AC:AC),"-")</f>
        <v>5.076142131979695E-3</v>
      </c>
      <c r="AF143" s="34" t="str">
        <f>IF(OR($C143&gt;20190630,$K143&gt;30,AC143="-",$D143="是",$E143="封闭期",$H143&lt;10,$BN143&lt;-6,$BR143&lt;70),"-",COUNTIFS(AC$4:AC$200,"&lt;&gt;-",$D$4:$D$200,"&lt;&gt;是",$E$4:$E$200,"&lt;&gt;封闭期",$H$4:$H$200,"&gt;10",$BN$4:$BN$200,"&gt;-6",$BR$4:$BR$200,"&gt;=70",$K$4:$K$200,"&lt;=30",$C$4:$C$200,"&lt;20190630",AC$4:AC$200,"&gt;="&amp;AC143)&amp;"/"&amp;COUNTIFS(AC$4:AC$200,"&lt;&gt;-",$D$4:$D$200,"&lt;&gt;是",$E$4:$E$200,"&lt;&gt;封闭期",$H$4:$H$200,"&gt;10",$BN$4:$BN$200,"&gt;-6",$BR$4:$BR$200,"&gt;=70",$C$4:$C$200,"&lt;20190630",$K$4:$K$200,"&lt;=30"))</f>
        <v>-</v>
      </c>
      <c r="AG143" s="33" t="str">
        <f>IF(OR($C143&gt;20190630,$K143&gt;30,AC143="-",$D143="是",$E143="封闭期",$H143&lt;10,$BN143&lt;-6,$BR143&lt;70),"-",COUNTIFS(AC$4:AC$200,"&lt;&gt;-",$D$4:$D$200,"&lt;&gt;是",$E$4:$E$200,"&lt;&gt;封闭期",$H$4:$H$200,"&gt;10",$BN$4:$BN$200,"&gt;-6",$BR$4:$BR$200,"&gt;=70",$K$4:$K$200,"&lt;=30",$C$4:$C$200,"&lt;20190630",AC$4:AC$200,"&gt;="&amp;AC143)/COUNTIFS(AC$4:AC$200,"&lt;&gt;-",$D$4:$D$200,"&lt;&gt;是",$E$4:$E$200,"&lt;&gt;封闭期",$H$4:$H$200,"&gt;10",$BN$4:$BN$200,"&gt;-6",$BR$4:$BR$200,"&gt;=70",$C$4:$C$200,"&lt;20190630",$K$4:$K$200,"&lt;=30"))</f>
        <v>-</v>
      </c>
      <c r="AH143" s="21">
        <f>[1]!f_risk_maxdownside(A143,$L$2,$E$1)</f>
        <v>-2.6336984536082433</v>
      </c>
      <c r="AI143" s="19" t="str">
        <f>IFERROR(RANK(AH143,AH:AH)&amp;"/"&amp;COUNT(AH:AH),"-")</f>
        <v>78/197</v>
      </c>
      <c r="AJ143" s="26">
        <f>IFERROR(RANK(AH143,AH:AH)/COUNT(AH:AH),"-")</f>
        <v>0.39593908629441626</v>
      </c>
      <c r="AK143" s="34" t="str">
        <f>IF(OR($C143&gt;20190630,$K143&gt;30,AH143="-",$D143="是",$E143="封闭期",$H143&lt;10,$BN143&lt;-6,$BR143&lt;70),"-",COUNTIFS(AH$4:AH$200,"&lt;&gt;-",$D$4:$D$200,"&lt;&gt;是",$E$4:$E$200,"&lt;&gt;封闭期",$H$4:$H$200,"&gt;10",$BN$4:$BN$200,"&gt;-6",$BR$4:$BR$200,"&gt;=70",$K$4:$K$200,"&lt;=30",$C$4:$C$200,"&lt;20190630",AH$4:AH$200,"&gt;="&amp;AH143)&amp;"/"&amp;COUNTIFS(AH$4:AH$200,"&lt;&gt;-",$D$4:$D$200,"&lt;&gt;是",$E$4:$E$200,"&lt;&gt;封闭期",$H$4:$H$200,"&gt;10",$BN$4:$BN$200,"&gt;-6",$BR$4:$BR$200,"&gt;=70",$C$4:$C$200,"&lt;20190630",$K$4:$K$200,"&lt;=30"))</f>
        <v>-</v>
      </c>
      <c r="AL143" s="33" t="str">
        <f>IF(OR($C143&gt;20190630,$K143&gt;30,AH143="-",$D143="是",$E143="封闭期",$H143&lt;10,$BN143&lt;-6,$BR143&lt;70),"-",COUNTIFS(AH$4:AH$200,"&lt;&gt;-",$D$4:$D$200,"&lt;&gt;是",$E$4:$E$200,"&lt;&gt;封闭期",$H$4:$H$200,"&gt;10",$BN$4:$BN$200,"&gt;-6",$BR$4:$BR$200,"&gt;=70",$K$4:$K$200,"&lt;=30",$C$4:$C$200,"&lt;20190630",AH$4:AH$200,"&gt;="&amp;AH143)/COUNTIFS(AH$4:AH$200,"&lt;&gt;-",$D$4:$D$200,"&lt;&gt;是",$E$4:$E$200,"&lt;&gt;封闭期",$H$4:$H$200,"&gt;10",$BN$4:$BN$200,"&gt;-6",$BR$4:$BR$200,"&gt;=70",$C$4:$C$200,"&lt;20190630",$K$4:$K$200,"&lt;=30"))</f>
        <v>-</v>
      </c>
      <c r="AM143" s="19">
        <f>[1]!f_return($A143,"1",AM$2,$L$2)</f>
        <v>4.8427238080429369</v>
      </c>
      <c r="AN143" s="19">
        <f>[1]!f_risk_stdevyearly($A143,AM$2,$L$2,1,1)</f>
        <v>4.7486642309680738</v>
      </c>
      <c r="AO143" s="19">
        <f>IFERROR(AM143/AN143,"-")</f>
        <v>1.0198075864074492</v>
      </c>
      <c r="AP143" s="19" t="str">
        <f>IFERROR(RANK(AO143,AO:AO)&amp;"/"&amp;COUNT(AO:AO),"-")</f>
        <v>157/197</v>
      </c>
      <c r="AQ143" s="26">
        <f>IF(AP143="-","-",RANK(AO143,AO:AO)/COUNT(AO:AO))</f>
        <v>0.79695431472081213</v>
      </c>
      <c r="AR143" s="57">
        <v>0.71065989847715738</v>
      </c>
      <c r="AS143" s="33" t="str">
        <f>IF(OR($C143&gt;20190630,$K143&gt;30,AO143="-",$D143="是",$E143="封闭期",$H143&lt;10,$BN143&lt;-6,$BR143&lt;70),"-",COUNTIFS(AO$4:AO$200,"&lt;&gt;-",$D$4:$D$200,"&lt;&gt;是",$E$4:$E$200,"&lt;&gt;封闭期",$H$4:$H$200,"&gt;10",$BN$4:$BN$200,"&gt;-6",$BR$4:$BR$200,"&gt;=70",$K$4:$K$200,"&lt;=30",$C$4:$C$200,"&lt;20190630",AO$4:AO$200,"&gt;="&amp;AO143)/COUNTIFS(AO$4:AO$200,"&lt;&gt;-",$D$4:$D$200,"&lt;&gt;是",$E$4:$E$200,"&lt;&gt;封闭期",$H$4:$H$200,"&gt;10",$BN$4:$BN$200,"&gt;-6",$BR$4:$BR$200,"&gt;=70",$C$4:$C$200,"&lt;20190630",$K$4:$K$200,"&lt;=30"))</f>
        <v>-</v>
      </c>
      <c r="AT143" s="19">
        <f>IFERROR((AM143-3)/AN143,"-")</f>
        <v>0.38805097989993598</v>
      </c>
      <c r="AU143" s="19" t="str">
        <f>IFERROR(RANK(AT143,AT:AT)&amp;"/"&amp;COUNT(AT:AT),"-")</f>
        <v>147/197</v>
      </c>
      <c r="AV143" s="26">
        <f>IFERROR(RANK(AT143,AT:AT)/COUNT(AT:AT),"-")</f>
        <v>0.74619289340101524</v>
      </c>
      <c r="AW143" s="34" t="str">
        <f>IF(OR($C143&gt;20190630,$K143&gt;30,AT143="-",$D143="是",$E143="封闭期",$H143&lt;10,$BN143&lt;-6,$BR143&lt;70),"-",COUNTIFS(AT$4:AT$200,"&lt;&gt;-",$D$4:$D$200,"&lt;&gt;是",$E$4:$E$200,"&lt;&gt;封闭期",$H$4:$H$200,"&gt;10",$BN$4:$BN$200,"&gt;-6",$BR$4:$BR$200,"&gt;=70",$K$4:$K$200,"&lt;=30",$C$4:$C$200,"&lt;20190630",AT$4:AT$200,"&gt;="&amp;AT143)&amp;"/"&amp;COUNTIFS(AT$4:AT$200,"&lt;&gt;-",$D$4:$D$200,"&lt;&gt;是",$E$4:$E$200,"&lt;&gt;封闭期",$H$4:$H$200,"&gt;10",$BN$4:$BN$200,"&gt;-6",$BR$4:$BR$200,"&gt;=70",$C$4:$C$200,"&lt;20190630",$K$4:$K$200,"&lt;=30"))</f>
        <v>-</v>
      </c>
      <c r="AX143" s="33" t="str">
        <f>IF(OR($C143&gt;20190630,$K143&gt;30,AT143="-",$D143="是",$E143="封闭期",$H143&lt;10,$BN143&lt;-6,$BR143&lt;70),"-",COUNTIFS(AT$4:AT$200,"&lt;&gt;-",$D$4:$D$200,"&lt;&gt;是",$E$4:$E$200,"&lt;&gt;封闭期",$H$4:$H$200,"&gt;10",$BN$4:$BN$200,"&gt;-6",$BR$4:$BR$200,"&gt;=70",$K$4:$K$200,"&lt;=30",$C$4:$C$200,"&lt;20190630",AT$4:AT$200,"&gt;="&amp;AT143)/COUNTIFS(AT$4:AT$200,"&lt;&gt;-",$D$4:$D$200,"&lt;&gt;是",$E$4:$E$200,"&lt;&gt;封闭期",$H$4:$H$200,"&gt;10",$BN$4:$BN$200,"&gt;-6",$BR$4:$BR$200,"&gt;=70",$C$4:$C$200,"&lt;20190630",$K$4:$K$200,"&lt;=30"))</f>
        <v>-</v>
      </c>
      <c r="AY143" s="19">
        <f>[1]!f_risk_calmar(A143,$AM$2,$L$2)</f>
        <v>1.5920629979948604</v>
      </c>
      <c r="AZ143" s="19" t="str">
        <f>IFERROR(RANK(AY143,AY:AY)&amp;"/"&amp;COUNT(AY:AY),"-")</f>
        <v>141/197</v>
      </c>
      <c r="BA143" s="26">
        <f>IFERROR(RANK(AY143,AY:AY)/COUNT(AY:AY),"-")</f>
        <v>0.71573604060913709</v>
      </c>
      <c r="BB143" s="34" t="str">
        <f>IF(OR($C143&gt;20190630,$K143&gt;30,AY143="-",$D143="是",$E143="封闭期",$H143&lt;10,$BN143&lt;-6,$BR143&lt;70),"-",COUNTIFS(AY$4:AY$200,"&lt;&gt;-",$D$4:$D$200,"&lt;&gt;是",$E$4:$E$200,"&lt;&gt;封闭期",$H$4:$H$200,"&gt;10",$BN$4:$BN$200,"&gt;-6",$BR$4:$BR$200,"&gt;=70",$K$4:$K$200,"&lt;=30",$C$4:$C$200,"&lt;20190630",AY$4:AY$200,"&gt;="&amp;AY143)&amp;"/"&amp;COUNTIFS(AY$4:AY$200,"&lt;&gt;-",$D$4:$D$200,"&lt;&gt;是",$E$4:$E$200,"&lt;&gt;封闭期",$H$4:$H$200,"&gt;10",$BN$4:$BN$200,"&gt;-6",$BR$4:$BR$200,"&gt;=70",$C$4:$C$200,"&lt;20190630",$K$4:$K$200,"&lt;=30"))</f>
        <v>-</v>
      </c>
      <c r="BC143" s="33" t="str">
        <f>IF(OR($C143&gt;20190630,$K143&gt;30,AY143="-",$D143="是",$E143="封闭期",$H143&lt;10,$BN143&lt;-6,$BR143&lt;70),"-",COUNTIFS(AY$4:AY$200,"&lt;&gt;-",$D$4:$D$200,"&lt;&gt;是",$E$4:$E$200,"&lt;&gt;封闭期",$H$4:$H$200,"&gt;10",$BN$4:$BN$200,"&gt;-6",$BR$4:$BR$200,"&gt;=70",$K$4:$K$200,"&lt;=30",$C$4:$C$200,"&lt;20190630",AY$4:AY$200,"&gt;="&amp;AY143)/COUNTIFS(AY$4:AY$200,"&lt;&gt;-",$D$4:$D$200,"&lt;&gt;是",$E$4:$E$200,"&lt;&gt;封闭期",$H$4:$H$200,"&gt;10",$BN$4:$BN$200,"&gt;-6",$BR$4:$BR$200,"&gt;=70",$C$4:$C$200,"&lt;20190630",$K$4:$K$200,"&lt;=30"))</f>
        <v>-</v>
      </c>
      <c r="BD143" s="20">
        <v>1</v>
      </c>
      <c r="BE143" s="19" t="str">
        <f>IFERROR(RANK(BD143,BD:BD)&amp;"/"&amp;COUNT(BD:BD),"-")</f>
        <v>1/197</v>
      </c>
      <c r="BF143" s="26">
        <f>IFERROR(RANK(BD143,BD:BD)/COUNT(BD:BD),"-")</f>
        <v>5.076142131979695E-3</v>
      </c>
      <c r="BG143" s="34" t="str">
        <f>IF(OR($C143&gt;20190630,$K143&gt;30,BD143="-",$D143="是",$E143="封闭期",$H143&lt;10,$BN143&lt;-6,$BR143&lt;70),"-",COUNTIFS(BD$4:BD$200,"&lt;&gt;-",$D$4:$D$200,"&lt;&gt;是",$E$4:$E$200,"&lt;&gt;封闭期",$H$4:$H$200,"&gt;10",$BN$4:$BN$200,"&gt;-6",$BR$4:$BR$200,"&gt;=70",$K$4:$K$200,"&lt;=30",$C$4:$C$200,"&lt;20190630",BD$4:BD$200,"&gt;="&amp;BD143)&amp;"/"&amp;COUNTIFS(BD$4:BD$200,"&lt;&gt;-",$D$4:$D$200,"&lt;&gt;是",$E$4:$E$200,"&lt;&gt;封闭期",$H$4:$H$200,"&gt;10",$BN$4:$BN$200,"&gt;-6",$BR$4:$BR$200,"&gt;=70",$C$4:$C$200,"&lt;20190630",$K$4:$K$200,"&lt;=30"))</f>
        <v>-</v>
      </c>
      <c r="BH143" s="33" t="str">
        <f>IF(OR($C143&gt;20190630,$K143&gt;30,BD143="-",$D143="是",$E143="封闭期",$H143&lt;10,$BN143&lt;-6,$BR143&lt;70),"-",COUNTIFS(BD$4:BD$200,"&lt;&gt;-",$D$4:$D$200,"&lt;&gt;是",$E$4:$E$200,"&lt;&gt;封闭期",$H$4:$H$200,"&gt;10",$BN$4:$BN$200,"&gt;-6",$BR$4:$BR$200,"&gt;=70",$K$4:$K$200,"&lt;=30",$C$4:$C$200,"&lt;20190630",BD$4:BD$200,"&gt;="&amp;BD143)/COUNTIFS(BD$4:BD$200,"&lt;&gt;-",$D$4:$D$200,"&lt;&gt;是",$E$4:$E$200,"&lt;&gt;封闭期",$H$4:$H$200,"&gt;10",$BN$4:$BN$200,"&gt;-6",$BR$4:$BR$200,"&gt;=70",$C$4:$C$200,"&lt;20190630",$K$4:$K$200,"&lt;=30"))</f>
        <v>-</v>
      </c>
      <c r="BI143" s="21">
        <f>[1]!f_risk_maxdownside(A143,$AM$2,$L$2)</f>
        <v>-3.0417915711514896</v>
      </c>
      <c r="BJ143" s="19" t="str">
        <f>IFERROR(RANK(BI143,BI:BI)&amp;"/"&amp;COUNT(BI:BI),"-")</f>
        <v>89/197</v>
      </c>
      <c r="BK143" s="26">
        <f>IFERROR(RANK(BI143,BI:BI)/COUNT(BI:BI),"-")</f>
        <v>0.45177664974619292</v>
      </c>
      <c r="BL143" s="34" t="str">
        <f>IF(OR($C143&gt;20190630,$K143&gt;30,BI143="-",$D143="是",$E143="封闭期",$H143&lt;10,$BN143&lt;-6,$BR143&lt;70),"-",COUNTIFS(BI$4:BI$200,"&lt;&gt;-",$D$4:$D$200,"&lt;&gt;是",$E$4:$E$200,"&lt;&gt;封闭期",$H$4:$H$200,"&gt;10",$BN$4:$BN$200,"&gt;-6",$BR$4:$BR$200,"&gt;=70",$K$4:$K$200,"&lt;=30",$C$4:$C$200,"&lt;20190630",BI$4:BI$200,"&gt;="&amp;BI143)&amp;"/"&amp;COUNTIFS(BI$4:BI$200,"&lt;&gt;-",$D$4:$D$200,"&lt;&gt;是",$E$4:$E$200,"&lt;&gt;封闭期",$H$4:$H$200,"&gt;10",$BN$4:$BN$200,"&gt;-6",$BR$4:$BR$200,"&gt;=70",$C$4:$C$200,"&lt;20190630",$K$4:$K$200,"&lt;=30"))</f>
        <v>-</v>
      </c>
      <c r="BM143" s="33" t="str">
        <f>IF(OR($C143&gt;20190630,$K143&gt;30,BI143="-",$D143="是",$E143="封闭期",$H143&lt;10,$BN143&lt;-6,$BR143&lt;70),"-",COUNTIFS(BI$4:BI$200,"&lt;&gt;-",$D$4:$D$200,"&lt;&gt;是",$E$4:$E$200,"&lt;&gt;封闭期",$H$4:$H$200,"&gt;10",$BN$4:$BN$200,"&gt;-6",$BR$4:$BR$200,"&gt;=70",$K$4:$K$200,"&lt;=30",$C$4:$C$200,"&lt;20190630",BI$4:BI$200,"&gt;="&amp;BI143)/COUNTIFS(BI$4:BI$200,"&lt;&gt;-",$D$4:$D$200,"&lt;&gt;是",$E$4:$E$200,"&lt;&gt;封闭期",$H$4:$H$200,"&gt;10",$BN$4:$BN$200,"&gt;-6",$BR$4:$BR$200,"&gt;=70",$C$4:$C$200,"&lt;20190630",$K$4:$K$200,"&lt;=30"))</f>
        <v>-</v>
      </c>
      <c r="BN143" s="21">
        <f>[1]!f_risk_maxdownside(A143,$AM$2,$E$1)</f>
        <v>-3.0417915711514896</v>
      </c>
      <c r="BO143" s="21">
        <f>IF(C143&lt;20190930,[1]!f_return_2y(A143,"0","20210930"),"-")</f>
        <v>17.022624434389137</v>
      </c>
      <c r="BP143" s="19" t="str">
        <f>IFERROR(RANK(BO143,BO:BO)&amp;"/"&amp;COUNT(BO:BO),"-")</f>
        <v>64/197</v>
      </c>
      <c r="BQ143" s="25">
        <f>IFERROR(RANK(BO143,BO:BO)/COUNT(BO:BO),"-")</f>
        <v>0.32487309644670048</v>
      </c>
      <c r="BR143" s="19">
        <f>IF(C143&lt;20190930,[1]!f_absolute_profitmonthper(A143,"20190930","20210930"),"-")</f>
        <v>70.833333333333343</v>
      </c>
      <c r="BS143" s="19" t="str">
        <f>IFERROR(RANK(BR143,BR:BR)&amp;"/"&amp;COUNT(BR:BR),"-")</f>
        <v>55/198</v>
      </c>
      <c r="BT143" s="25">
        <f>IFERROR(RANK(BR143,BR:BR)/COUNT(BR:BR),"-")</f>
        <v>0.27777777777777779</v>
      </c>
      <c r="BU143" s="17"/>
      <c r="BV143" s="12">
        <f>X143-3/M143</f>
        <v>3.7035238298064015</v>
      </c>
      <c r="BW143" s="76">
        <f>IFERROR(RANK(BV143,BV:BV)/COUNT(BV:BV),"-")</f>
        <v>0.17766497461928935</v>
      </c>
      <c r="BX143" s="76">
        <f>IFERROR(RANK(L143,L:L)/COUNT(L:L),"-")</f>
        <v>0.11616161616161616</v>
      </c>
      <c r="BY143" s="12">
        <f>AY143-3/AN143</f>
        <v>0.9603063914873472</v>
      </c>
      <c r="BZ143" s="76">
        <f>IFERROR(RANK(BY143,BY:BY)/COUNT(BY:BY),"-")</f>
        <v>0.69543147208121825</v>
      </c>
      <c r="CA143" s="76">
        <f>IFERROR(RANK(AM143,AM:AM)/COUNT(AM:AM),"-")</f>
        <v>0.71212121212121215</v>
      </c>
      <c r="CC143" s="77">
        <f>AV143+BF143+BZ143+CA143</f>
        <v>2.1588217197354256</v>
      </c>
      <c r="CD143" s="77">
        <f>BW143+BX143+AE143+U143</f>
        <v>0.40550171768445881</v>
      </c>
      <c r="CE143" s="77">
        <f>CC143+CD143</f>
        <v>2.5643234374198842</v>
      </c>
    </row>
    <row r="144" spans="1:83" s="17" customFormat="1" x14ac:dyDescent="0.35">
      <c r="A144" s="15" t="s">
        <v>327</v>
      </c>
      <c r="B144" s="15" t="s">
        <v>328</v>
      </c>
      <c r="C144" s="16">
        <v>20170330</v>
      </c>
      <c r="D144" s="16" t="str">
        <f>[1]!f_info_regulopenfundornot(A144)</f>
        <v>否</v>
      </c>
      <c r="E144" s="16" t="str">
        <f>[1]!f_dq_status(A144,$E$1)</f>
        <v>开放申购|开放赎回</v>
      </c>
      <c r="F144" s="17" t="str">
        <f>[1]!f_info_fundmanager(A144)</f>
        <v>吴国清,李炳智,王旭巍</v>
      </c>
      <c r="G144" s="16">
        <v>20180209</v>
      </c>
      <c r="H144" s="18">
        <f>[1]!f_netasset_total(A144,$E$1,100000000)</f>
        <v>12.509841591800001</v>
      </c>
      <c r="I144" s="18">
        <f>[1]!f_prt_convertiblebondtonav(A144,$E$1)</f>
        <v>0</v>
      </c>
      <c r="J144" s="18">
        <f>[1]!f_prt_stocktonav(A144,$E$1)+0.5*I144</f>
        <v>13.127395629882813</v>
      </c>
      <c r="K144" s="19">
        <v>24.351067738513869</v>
      </c>
      <c r="L144" s="19">
        <f>[1]!f_return($A144,"1",L$2,$E$1)</f>
        <v>4.3507347695208143</v>
      </c>
      <c r="M144" s="19">
        <f>[1]!f_risk_stdevyearly($A144,L$2,$E$1,1,1)</f>
        <v>4.6255435755760832</v>
      </c>
      <c r="N144" s="19">
        <f>IFERROR(L144/M144,"-")</f>
        <v>0.94058886235418437</v>
      </c>
      <c r="O144" s="19" t="str">
        <f>IFERROR(RANK(N144,N:N)&amp;"/"&amp;COUNT(N:N),"-")</f>
        <v>145/197</v>
      </c>
      <c r="P144" s="26">
        <f>IF(O144="-","-",RANK(N144,N:N)/COUNT(N:N))</f>
        <v>0.73604060913705582</v>
      </c>
      <c r="Q144" s="56">
        <v>0.67005076142131981</v>
      </c>
      <c r="R144" s="33" t="str">
        <f>IF(OR($C144&gt;20190630,$K144&gt;30,N144="-",$D144="是",$E144="封闭期",$H144&lt;10,$BN144&lt;-6,$BR144&lt;70),"-",COUNTIFS(N$4:N$200,"&lt;&gt;-",$D$4:$D$200,"&lt;&gt;是",$E$4:$E$200,"&lt;&gt;封闭期",$H$4:$H$200,"&gt;10",$BN$4:$BN$200,"&gt;-6",$BR$4:$BR$200,"&gt;=70",$K$4:$K$200,"&lt;=30",$C$4:$C$200,"&lt;20190630",N$4:N$200,"&gt;="&amp;N144)/COUNTIFS(N$4:N$200,"&lt;&gt;-",$D$4:$D$200,"&lt;&gt;是",$E$4:$E$200,"&lt;&gt;封闭期",$H$4:$H$200,"&gt;10",$BN$4:$BN$200,"&gt;-6",$BR$4:$BR$200,"&gt;=70",$C$4:$C$200,"&lt;20190630",$K$4:$K$200,"&lt;=30"))</f>
        <v>-</v>
      </c>
      <c r="S144" s="19">
        <f>IFERROR((L144-3)/M144,"-")</f>
        <v>0.29201644032779184</v>
      </c>
      <c r="T144" s="19" t="str">
        <f>IFERROR(RANK(S144,S:S)&amp;"/"&amp;COUNT(S:S),"-")</f>
        <v>140/197</v>
      </c>
      <c r="U144" s="26">
        <f>IFERROR(RANK(S144,S:S)/COUNT(S:S),"-")</f>
        <v>0.71065989847715738</v>
      </c>
      <c r="V144" s="34" t="str">
        <f>IF(OR($C144&gt;20190630,$K144&gt;30,S144="-",$D144="是",$E144="封闭期",$H144&lt;10,$BN144&lt;-6,$BR144&lt;70),"-",COUNTIFS(S$4:S$200,"&lt;&gt;-",$D$4:$D$200,"&lt;&gt;是",$E$4:$E$200,"&lt;&gt;封闭期",$H$4:$H$200,"&gt;10",$BN$4:$BN$200,"&gt;-6",$BR$4:$BR$200,"&gt;=70",$K$4:$K$200,"&lt;=30",$C$4:$C$200,"&lt;20190630",S$4:S$200,"&gt;="&amp;S144)&amp;"/"&amp;COUNTIFS(S$4:S$200,"&lt;&gt;-",$D$4:$D$200,"&lt;&gt;是",$E$4:$E$200,"&lt;&gt;封闭期",$H$4:$H$200,"&gt;10",$BN$4:$BN$200,"&gt;-6",$BR$4:$BR$200,"&gt;=70",$C$4:$C$200,"&lt;20190630",$K$4:$K$200,"&lt;=30"))</f>
        <v>-</v>
      </c>
      <c r="W144" s="33" t="str">
        <f>IF(OR($C144&gt;20190630,$K144&gt;30,S144="-",$D144="是",$E144="封闭期",$H144&lt;10,$BN144&lt;-6,$BR144&lt;70),"-",COUNTIFS(S$4:S$200,"&lt;&gt;-",$D$4:$D$200,"&lt;&gt;是",$E$4:$E$200,"&lt;&gt;封闭期",$H$4:$H$200,"&gt;10",$BN$4:$BN$200,"&gt;-6",$BR$4:$BR$200,"&gt;=70",$K$4:$K$200,"&lt;=30",$C$4:$C$200,"&lt;20190630",S$4:S$200,"&gt;="&amp;S144)/COUNTIFS(S$4:S$200,"&lt;&gt;-",$D$4:$D$200,"&lt;&gt;是",$E$4:$E$200,"&lt;&gt;封闭期",$H$4:$H$200,"&gt;10",$BN$4:$BN$200,"&gt;-6",$BR$4:$BR$200,"&gt;=70",$C$4:$C$200,"&lt;20190630",$K$4:$K$200,"&lt;=30"))</f>
        <v>-</v>
      </c>
      <c r="X144" s="19">
        <f>[1]!f_risk_calmar(A144,$L$2,$E$1)</f>
        <v>1.0425618142041155</v>
      </c>
      <c r="Y144" s="19" t="str">
        <f>IFERROR(RANK(X144,X:X)&amp;"/"&amp;COUNT(X:X),"-")</f>
        <v>156/197</v>
      </c>
      <c r="Z144" s="26">
        <f>IFERROR(RANK(X144,X:X)/COUNT(X:X),"-")</f>
        <v>0.79187817258883253</v>
      </c>
      <c r="AA144" s="34" t="str">
        <f>IF(OR($C144&gt;20190630,$K144&gt;30,X144="-",$D144="是",$E144="封闭期",$H144&lt;10,$BN144&lt;-6,$BR144&lt;70),"-",COUNTIFS(X$4:X$200,"&lt;&gt;-",$D$4:$D$200,"&lt;&gt;是",$E$4:$E$200,"&lt;&gt;封闭期",$H$4:$H$200,"&gt;10",$BN$4:$BN$200,"&gt;-6",$BR$4:$BR$200,"&gt;=70",$K$4:$K$200,"&lt;=30",$C$4:$C$200,"&lt;20190630",X$4:X$200,"&gt;="&amp;X144)&amp;"/"&amp;COUNTIFS(X$4:X$200,"&lt;&gt;-",$D$4:$D$200,"&lt;&gt;是",$E$4:$E$200,"&lt;&gt;封闭期",$H$4:$H$200,"&gt;10",$BN$4:$BN$200,"&gt;-6",$BR$4:$BR$200,"&gt;=70",$C$4:$C$200,"&lt;20190630",$K$4:$K$200,"&lt;=30"))</f>
        <v>-</v>
      </c>
      <c r="AB144" s="33" t="str">
        <f>IF(OR($C144&gt;20190630,$K144&gt;30,X144="-",$D144="是",$E144="封闭期",$H144&lt;10,$BN144&lt;-6,$BR144&lt;70),"-",COUNTIFS(X$4:X$200,"&lt;&gt;-",$D$4:$D$200,"&lt;&gt;是",$E$4:$E$200,"&lt;&gt;封闭期",$H$4:$H$200,"&gt;10",$BN$4:$BN$200,"&gt;-6",$BR$4:$BR$200,"&gt;=70",$K$4:$K$200,"&lt;=30",$C$4:$C$200,"&lt;20190630",X$4:X$200,"&gt;="&amp;X144)/COUNTIFS(X$4:X$200,"&lt;&gt;-",$D$4:$D$200,"&lt;&gt;是",$E$4:$E$200,"&lt;&gt;封闭期",$H$4:$H$200,"&gt;10",$BN$4:$BN$200,"&gt;-6",$BR$4:$BR$200,"&gt;=70",$C$4:$C$200,"&lt;20190630",$K$4:$K$200,"&lt;=30"))</f>
        <v>-</v>
      </c>
      <c r="AC144" s="20">
        <v>0.97478991596638653</v>
      </c>
      <c r="AD144" s="19" t="str">
        <f>IFERROR(RANK(AC144,AC:AC)&amp;"/"&amp;COUNT(AC:AC),"-")</f>
        <v>97/197</v>
      </c>
      <c r="AE144" s="26">
        <f>IFERROR(RANK(AC144,AC:AC)/COUNT(AC:AC),"-")</f>
        <v>0.49238578680203043</v>
      </c>
      <c r="AF144" s="34" t="str">
        <f>IF(OR($C144&gt;20190630,$K144&gt;30,AC144="-",$D144="是",$E144="封闭期",$H144&lt;10,$BN144&lt;-6,$BR144&lt;70),"-",COUNTIFS(AC$4:AC$200,"&lt;&gt;-",$D$4:$D$200,"&lt;&gt;是",$E$4:$E$200,"&lt;&gt;封闭期",$H$4:$H$200,"&gt;10",$BN$4:$BN$200,"&gt;-6",$BR$4:$BR$200,"&gt;=70",$K$4:$K$200,"&lt;=30",$C$4:$C$200,"&lt;20190630",AC$4:AC$200,"&gt;="&amp;AC144)&amp;"/"&amp;COUNTIFS(AC$4:AC$200,"&lt;&gt;-",$D$4:$D$200,"&lt;&gt;是",$E$4:$E$200,"&lt;&gt;封闭期",$H$4:$H$200,"&gt;10",$BN$4:$BN$200,"&gt;-6",$BR$4:$BR$200,"&gt;=70",$C$4:$C$200,"&lt;20190630",$K$4:$K$200,"&lt;=30"))</f>
        <v>-</v>
      </c>
      <c r="AG144" s="33" t="str">
        <f>IF(OR($C144&gt;20190630,$K144&gt;30,AC144="-",$D144="是",$E144="封闭期",$H144&lt;10,$BN144&lt;-6,$BR144&lt;70),"-",COUNTIFS(AC$4:AC$200,"&lt;&gt;-",$D$4:$D$200,"&lt;&gt;是",$E$4:$E$200,"&lt;&gt;封闭期",$H$4:$H$200,"&gt;10",$BN$4:$BN$200,"&gt;-6",$BR$4:$BR$200,"&gt;=70",$K$4:$K$200,"&lt;=30",$C$4:$C$200,"&lt;20190630",AC$4:AC$200,"&gt;="&amp;AC144)/COUNTIFS(AC$4:AC$200,"&lt;&gt;-",$D$4:$D$200,"&lt;&gt;是",$E$4:$E$200,"&lt;&gt;封闭期",$H$4:$H$200,"&gt;10",$BN$4:$BN$200,"&gt;-6",$BR$4:$BR$200,"&gt;=70",$C$4:$C$200,"&lt;20190630",$K$4:$K$200,"&lt;=30"))</f>
        <v>-</v>
      </c>
      <c r="AH144" s="21">
        <f>[1]!f_risk_maxdownside(A144,$L$2,$E$1)</f>
        <v>-4.1731192436221489</v>
      </c>
      <c r="AI144" s="19" t="str">
        <f>IFERROR(RANK(AH144,AH:AH)&amp;"/"&amp;COUNT(AH:AH),"-")</f>
        <v>128/197</v>
      </c>
      <c r="AJ144" s="26">
        <f>IFERROR(RANK(AH144,AH:AH)/COUNT(AH:AH),"-")</f>
        <v>0.64974619289340096</v>
      </c>
      <c r="AK144" s="34" t="str">
        <f>IF(OR($C144&gt;20190630,$K144&gt;30,AH144="-",$D144="是",$E144="封闭期",$H144&lt;10,$BN144&lt;-6,$BR144&lt;70),"-",COUNTIFS(AH$4:AH$200,"&lt;&gt;-",$D$4:$D$200,"&lt;&gt;是",$E$4:$E$200,"&lt;&gt;封闭期",$H$4:$H$200,"&gt;10",$BN$4:$BN$200,"&gt;-6",$BR$4:$BR$200,"&gt;=70",$K$4:$K$200,"&lt;=30",$C$4:$C$200,"&lt;20190630",AH$4:AH$200,"&gt;="&amp;AH144)&amp;"/"&amp;COUNTIFS(AH$4:AH$200,"&lt;&gt;-",$D$4:$D$200,"&lt;&gt;是",$E$4:$E$200,"&lt;&gt;封闭期",$H$4:$H$200,"&gt;10",$BN$4:$BN$200,"&gt;-6",$BR$4:$BR$200,"&gt;=70",$C$4:$C$200,"&lt;20190630",$K$4:$K$200,"&lt;=30"))</f>
        <v>-</v>
      </c>
      <c r="AL144" s="33" t="str">
        <f>IF(OR($C144&gt;20190630,$K144&gt;30,AH144="-",$D144="是",$E144="封闭期",$H144&lt;10,$BN144&lt;-6,$BR144&lt;70),"-",COUNTIFS(AH$4:AH$200,"&lt;&gt;-",$D$4:$D$200,"&lt;&gt;是",$E$4:$E$200,"&lt;&gt;封闭期",$H$4:$H$200,"&gt;10",$BN$4:$BN$200,"&gt;-6",$BR$4:$BR$200,"&gt;=70",$K$4:$K$200,"&lt;=30",$C$4:$C$200,"&lt;20190630",AH$4:AH$200,"&gt;="&amp;AH144)/COUNTIFS(AH$4:AH$200,"&lt;&gt;-",$D$4:$D$200,"&lt;&gt;是",$E$4:$E$200,"&lt;&gt;封闭期",$H$4:$H$200,"&gt;10",$BN$4:$BN$200,"&gt;-6",$BR$4:$BR$200,"&gt;=70",$C$4:$C$200,"&lt;20190630",$K$4:$K$200,"&lt;=30"))</f>
        <v>-</v>
      </c>
      <c r="AM144" s="19">
        <f>[1]!f_return($A144,"1",AM$2,$L$2)</f>
        <v>4.8223677031366874</v>
      </c>
      <c r="AN144" s="19">
        <f>[1]!f_risk_stdevyearly($A144,AM$2,$L$2,1,1)</f>
        <v>3.0911581789120444</v>
      </c>
      <c r="AO144" s="19">
        <f>IFERROR(AM144/AN144,"-")</f>
        <v>1.5600520659327615</v>
      </c>
      <c r="AP144" s="19" t="str">
        <f>IFERROR(RANK(AO144,AO:AO)&amp;"/"&amp;COUNT(AO:AO),"-")</f>
        <v>101/197</v>
      </c>
      <c r="AQ144" s="26">
        <f>IF(AP144="-","-",RANK(AO144,AO:AO)/COUNT(AO:AO))</f>
        <v>0.51269035532994922</v>
      </c>
      <c r="AR144" s="57">
        <v>0.71573604060913709</v>
      </c>
      <c r="AS144" s="33" t="str">
        <f>IF(OR($C144&gt;20190630,$K144&gt;30,AO144="-",$D144="是",$E144="封闭期",$H144&lt;10,$BN144&lt;-6,$BR144&lt;70),"-",COUNTIFS(AO$4:AO$200,"&lt;&gt;-",$D$4:$D$200,"&lt;&gt;是",$E$4:$E$200,"&lt;&gt;封闭期",$H$4:$H$200,"&gt;10",$BN$4:$BN$200,"&gt;-6",$BR$4:$BR$200,"&gt;=70",$K$4:$K$200,"&lt;=30",$C$4:$C$200,"&lt;20190630",AO$4:AO$200,"&gt;="&amp;AO144)/COUNTIFS(AO$4:AO$200,"&lt;&gt;-",$D$4:$D$200,"&lt;&gt;是",$E$4:$E$200,"&lt;&gt;封闭期",$H$4:$H$200,"&gt;10",$BN$4:$BN$200,"&gt;-6",$BR$4:$BR$200,"&gt;=70",$C$4:$C$200,"&lt;20190630",$K$4:$K$200,"&lt;=30"))</f>
        <v>-</v>
      </c>
      <c r="AT144" s="19">
        <f>IFERROR((AM144-3)/AN144,"-")</f>
        <v>0.58954204141636102</v>
      </c>
      <c r="AU144" s="19" t="str">
        <f>IFERROR(RANK(AT144,AT:AT)&amp;"/"&amp;COUNT(AT:AT),"-")</f>
        <v>131/197</v>
      </c>
      <c r="AV144" s="26">
        <f>IFERROR(RANK(AT144,AT:AT)/COUNT(AT:AT),"-")</f>
        <v>0.6649746192893401</v>
      </c>
      <c r="AW144" s="34" t="str">
        <f>IF(OR($C144&gt;20190630,$K144&gt;30,AT144="-",$D144="是",$E144="封闭期",$H144&lt;10,$BN144&lt;-6,$BR144&lt;70),"-",COUNTIFS(AT$4:AT$200,"&lt;&gt;-",$D$4:$D$200,"&lt;&gt;是",$E$4:$E$200,"&lt;&gt;封闭期",$H$4:$H$200,"&gt;10",$BN$4:$BN$200,"&gt;-6",$BR$4:$BR$200,"&gt;=70",$K$4:$K$200,"&lt;=30",$C$4:$C$200,"&lt;20190630",AT$4:AT$200,"&gt;="&amp;AT144)&amp;"/"&amp;COUNTIFS(AT$4:AT$200,"&lt;&gt;-",$D$4:$D$200,"&lt;&gt;是",$E$4:$E$200,"&lt;&gt;封闭期",$H$4:$H$200,"&gt;10",$BN$4:$BN$200,"&gt;-6",$BR$4:$BR$200,"&gt;=70",$C$4:$C$200,"&lt;20190630",$K$4:$K$200,"&lt;=30"))</f>
        <v>-</v>
      </c>
      <c r="AX144" s="33" t="str">
        <f>IF(OR($C144&gt;20190630,$K144&gt;30,AT144="-",$D144="是",$E144="封闭期",$H144&lt;10,$BN144&lt;-6,$BR144&lt;70),"-",COUNTIFS(AT$4:AT$200,"&lt;&gt;-",$D$4:$D$200,"&lt;&gt;是",$E$4:$E$200,"&lt;&gt;封闭期",$H$4:$H$200,"&gt;10",$BN$4:$BN$200,"&gt;-6",$BR$4:$BR$200,"&gt;=70",$K$4:$K$200,"&lt;=30",$C$4:$C$200,"&lt;20190630",AT$4:AT$200,"&gt;="&amp;AT144)/COUNTIFS(AT$4:AT$200,"&lt;&gt;-",$D$4:$D$200,"&lt;&gt;是",$E$4:$E$200,"&lt;&gt;封闭期",$H$4:$H$200,"&gt;10",$BN$4:$BN$200,"&gt;-6",$BR$4:$BR$200,"&gt;=70",$C$4:$C$200,"&lt;20190630",$K$4:$K$200,"&lt;=30"))</f>
        <v>-</v>
      </c>
      <c r="AY144" s="19">
        <f>[1]!f_risk_calmar(A144,$AM$2,$L$2)</f>
        <v>1.9753029398094748</v>
      </c>
      <c r="AZ144" s="19" t="str">
        <f>IFERROR(RANK(AY144,AY:AY)&amp;"/"&amp;COUNT(AY:AY),"-")</f>
        <v>112/197</v>
      </c>
      <c r="BA144" s="26">
        <f>IFERROR(RANK(AY144,AY:AY)/COUNT(AY:AY),"-")</f>
        <v>0.56852791878172593</v>
      </c>
      <c r="BB144" s="34" t="str">
        <f>IF(OR($C144&gt;20190630,$K144&gt;30,AY144="-",$D144="是",$E144="封闭期",$H144&lt;10,$BN144&lt;-6,$BR144&lt;70),"-",COUNTIFS(AY$4:AY$200,"&lt;&gt;-",$D$4:$D$200,"&lt;&gt;是",$E$4:$E$200,"&lt;&gt;封闭期",$H$4:$H$200,"&gt;10",$BN$4:$BN$200,"&gt;-6",$BR$4:$BR$200,"&gt;=70",$K$4:$K$200,"&lt;=30",$C$4:$C$200,"&lt;20190630",AY$4:AY$200,"&gt;="&amp;AY144)&amp;"/"&amp;COUNTIFS(AY$4:AY$200,"&lt;&gt;-",$D$4:$D$200,"&lt;&gt;是",$E$4:$E$200,"&lt;&gt;封闭期",$H$4:$H$200,"&gt;10",$BN$4:$BN$200,"&gt;-6",$BR$4:$BR$200,"&gt;=70",$C$4:$C$200,"&lt;20190630",$K$4:$K$200,"&lt;=30"))</f>
        <v>-</v>
      </c>
      <c r="BC144" s="33" t="str">
        <f>IF(OR($C144&gt;20190630,$K144&gt;30,AY144="-",$D144="是",$E144="封闭期",$H144&lt;10,$BN144&lt;-6,$BR144&lt;70),"-",COUNTIFS(AY$4:AY$200,"&lt;&gt;-",$D$4:$D$200,"&lt;&gt;是",$E$4:$E$200,"&lt;&gt;封闭期",$H$4:$H$200,"&gt;10",$BN$4:$BN$200,"&gt;-6",$BR$4:$BR$200,"&gt;=70",$K$4:$K$200,"&lt;=30",$C$4:$C$200,"&lt;20190630",AY$4:AY$200,"&gt;="&amp;AY144)/COUNTIFS(AY$4:AY$200,"&lt;&gt;-",$D$4:$D$200,"&lt;&gt;是",$E$4:$E$200,"&lt;&gt;封闭期",$H$4:$H$200,"&gt;10",$BN$4:$BN$200,"&gt;-6",$BR$4:$BR$200,"&gt;=70",$C$4:$C$200,"&lt;20190630",$K$4:$K$200,"&lt;=30"))</f>
        <v>-</v>
      </c>
      <c r="BD144" s="20">
        <v>1</v>
      </c>
      <c r="BE144" s="19" t="str">
        <f>IFERROR(RANK(BD144,BD:BD)&amp;"/"&amp;COUNT(BD:BD),"-")</f>
        <v>1/197</v>
      </c>
      <c r="BF144" s="26">
        <f>IFERROR(RANK(BD144,BD:BD)/COUNT(BD:BD),"-")</f>
        <v>5.076142131979695E-3</v>
      </c>
      <c r="BG144" s="34" t="str">
        <f>IF(OR($C144&gt;20190630,$K144&gt;30,BD144="-",$D144="是",$E144="封闭期",$H144&lt;10,$BN144&lt;-6,$BR144&lt;70),"-",COUNTIFS(BD$4:BD$200,"&lt;&gt;-",$D$4:$D$200,"&lt;&gt;是",$E$4:$E$200,"&lt;&gt;封闭期",$H$4:$H$200,"&gt;10",$BN$4:$BN$200,"&gt;-6",$BR$4:$BR$200,"&gt;=70",$K$4:$K$200,"&lt;=30",$C$4:$C$200,"&lt;20190630",BD$4:BD$200,"&gt;="&amp;BD144)&amp;"/"&amp;COUNTIFS(BD$4:BD$200,"&lt;&gt;-",$D$4:$D$200,"&lt;&gt;是",$E$4:$E$200,"&lt;&gt;封闭期",$H$4:$H$200,"&gt;10",$BN$4:$BN$200,"&gt;-6",$BR$4:$BR$200,"&gt;=70",$C$4:$C$200,"&lt;20190630",$K$4:$K$200,"&lt;=30"))</f>
        <v>-</v>
      </c>
      <c r="BH144" s="33" t="str">
        <f>IF(OR($C144&gt;20190630,$K144&gt;30,BD144="-",$D144="是",$E144="封闭期",$H144&lt;10,$BN144&lt;-6,$BR144&lt;70),"-",COUNTIFS(BD$4:BD$200,"&lt;&gt;-",$D$4:$D$200,"&lt;&gt;是",$E$4:$E$200,"&lt;&gt;封闭期",$H$4:$H$200,"&gt;10",$BN$4:$BN$200,"&gt;-6",$BR$4:$BR$200,"&gt;=70",$K$4:$K$200,"&lt;=30",$C$4:$C$200,"&lt;20190630",BD$4:BD$200,"&gt;="&amp;BD144)/COUNTIFS(BD$4:BD$200,"&lt;&gt;-",$D$4:$D$200,"&lt;&gt;是",$E$4:$E$200,"&lt;&gt;封闭期",$H$4:$H$200,"&gt;10",$BN$4:$BN$200,"&gt;-6",$BR$4:$BR$200,"&gt;=70",$C$4:$C$200,"&lt;20190630",$K$4:$K$200,"&lt;=30"))</f>
        <v>-</v>
      </c>
      <c r="BI144" s="21">
        <f>[1]!f_risk_maxdownside(A144,$AM$2,$L$2)</f>
        <v>-2.4413306971546462</v>
      </c>
      <c r="BJ144" s="19" t="str">
        <f>IFERROR(RANK(BI144,BI:BI)&amp;"/"&amp;COUNT(BI:BI),"-")</f>
        <v>57/197</v>
      </c>
      <c r="BK144" s="26">
        <f>IFERROR(RANK(BI144,BI:BI)/COUNT(BI:BI),"-")</f>
        <v>0.28934010152284262</v>
      </c>
      <c r="BL144" s="34" t="str">
        <f>IF(OR($C144&gt;20190630,$K144&gt;30,BI144="-",$D144="是",$E144="封闭期",$H144&lt;10,$BN144&lt;-6,$BR144&lt;70),"-",COUNTIFS(BI$4:BI$200,"&lt;&gt;-",$D$4:$D$200,"&lt;&gt;是",$E$4:$E$200,"&lt;&gt;封闭期",$H$4:$H$200,"&gt;10",$BN$4:$BN$200,"&gt;-6",$BR$4:$BR$200,"&gt;=70",$K$4:$K$200,"&lt;=30",$C$4:$C$200,"&lt;20190630",BI$4:BI$200,"&gt;="&amp;BI144)&amp;"/"&amp;COUNTIFS(BI$4:BI$200,"&lt;&gt;-",$D$4:$D$200,"&lt;&gt;是",$E$4:$E$200,"&lt;&gt;封闭期",$H$4:$H$200,"&gt;10",$BN$4:$BN$200,"&gt;-6",$BR$4:$BR$200,"&gt;=70",$C$4:$C$200,"&lt;20190630",$K$4:$K$200,"&lt;=30"))</f>
        <v>-</v>
      </c>
      <c r="BM144" s="33" t="str">
        <f>IF(OR($C144&gt;20190630,$K144&gt;30,BI144="-",$D144="是",$E144="封闭期",$H144&lt;10,$BN144&lt;-6,$BR144&lt;70),"-",COUNTIFS(BI$4:BI$200,"&lt;&gt;-",$D$4:$D$200,"&lt;&gt;是",$E$4:$E$200,"&lt;&gt;封闭期",$H$4:$H$200,"&gt;10",$BN$4:$BN$200,"&gt;-6",$BR$4:$BR$200,"&gt;=70",$K$4:$K$200,"&lt;=30",$C$4:$C$200,"&lt;20190630",BI$4:BI$200,"&gt;="&amp;BI144)/COUNTIFS(BI$4:BI$200,"&lt;&gt;-",$D$4:$D$200,"&lt;&gt;是",$E$4:$E$200,"&lt;&gt;封闭期",$H$4:$H$200,"&gt;10",$BN$4:$BN$200,"&gt;-6",$BR$4:$BR$200,"&gt;=70",$C$4:$C$200,"&lt;20190630",$K$4:$K$200,"&lt;=30"))</f>
        <v>-</v>
      </c>
      <c r="BN144" s="21">
        <f>[1]!f_risk_maxdownside(A144,$AM$2,$E$1)</f>
        <v>-4.1731192436221489</v>
      </c>
      <c r="BO144" s="21">
        <f>IF(C144&lt;20190930,[1]!f_return_2y(A144,"0","20210930"),"-")</f>
        <v>9.6110048282773164</v>
      </c>
      <c r="BP144" s="19" t="str">
        <f>IFERROR(RANK(BO144,BO:BO)&amp;"/"&amp;COUNT(BO:BO),"-")</f>
        <v>149/197</v>
      </c>
      <c r="BQ144" s="25">
        <f>IFERROR(RANK(BO144,BO:BO)/COUNT(BO:BO),"-")</f>
        <v>0.75634517766497467</v>
      </c>
      <c r="BR144" s="19">
        <f>IF(C144&lt;20190930,[1]!f_absolute_profitmonthper(A144,"20190930","20210930"),"-")</f>
        <v>62.5</v>
      </c>
      <c r="BS144" s="19" t="str">
        <f>IFERROR(RANK(BR144,BR:BR)&amp;"/"&amp;COUNT(BR:BR),"-")</f>
        <v>142/198</v>
      </c>
      <c r="BT144" s="25">
        <f>IFERROR(RANK(BR144,BR:BR)/COUNT(BR:BR),"-")</f>
        <v>0.71717171717171713</v>
      </c>
      <c r="BV144" s="12">
        <f>X144-3/M144</f>
        <v>0.393989392177723</v>
      </c>
      <c r="BW144" s="76">
        <f>IFERROR(RANK(BV144,BV:BV)/COUNT(BV:BV),"-")</f>
        <v>0.7766497461928934</v>
      </c>
      <c r="BX144" s="76">
        <f>IFERROR(RANK(L144,L:L)/COUNT(L:L),"-")</f>
        <v>0.67171717171717171</v>
      </c>
      <c r="BY144" s="12">
        <f>AY144-3/AN144</f>
        <v>1.0047929152930744</v>
      </c>
      <c r="BZ144" s="76">
        <f>IFERROR(RANK(BY144,BY:BY)/COUNT(BY:BY),"-")</f>
        <v>0.68020304568527923</v>
      </c>
      <c r="CA144" s="76">
        <f>IFERROR(RANK(AM144,AM:AM)/COUNT(AM:AM),"-")</f>
        <v>0.71717171717171713</v>
      </c>
      <c r="CB144" s="2"/>
      <c r="CC144" s="77">
        <f>AV144+BF144+BZ144+CA144</f>
        <v>2.0674255242783159</v>
      </c>
      <c r="CD144" s="77">
        <f>BW144+BX144+AE144+U144</f>
        <v>2.6514126031892529</v>
      </c>
      <c r="CE144" s="77">
        <f>CC144+CD144</f>
        <v>4.7188381274675688</v>
      </c>
    </row>
    <row r="145" spans="1:83" s="17" customFormat="1" hidden="1" x14ac:dyDescent="0.35">
      <c r="A145" s="15" t="s">
        <v>331</v>
      </c>
      <c r="B145" s="15" t="s">
        <v>332</v>
      </c>
      <c r="C145" s="16">
        <v>20170414</v>
      </c>
      <c r="D145" s="16" t="str">
        <f>[1]!f_info_regulopenfundornot(A145)</f>
        <v>否</v>
      </c>
      <c r="E145" s="16" t="str">
        <f>[1]!f_dq_status(A145,$E$1)</f>
        <v>开放申购|开放赎回</v>
      </c>
      <c r="F145" s="17" t="str">
        <f>[1]!f_info_fundmanager(A145)</f>
        <v>司马义买买提</v>
      </c>
      <c r="G145" s="16">
        <v>20210427</v>
      </c>
      <c r="H145" s="18">
        <f>[1]!f_netasset_total(A145,$E$1,100000000)</f>
        <v>5.8454011899999996</v>
      </c>
      <c r="I145" s="18">
        <f>[1]!f_prt_convertiblebondtonav(A145,$E$1)</f>
        <v>0</v>
      </c>
      <c r="J145" s="18">
        <f>[1]!f_prt_stocktonav(A145,$E$1)+0.5*I145</f>
        <v>0</v>
      </c>
      <c r="K145" s="19">
        <v>13.37225580576446</v>
      </c>
      <c r="L145" s="19">
        <f>[1]!f_return($A145,"1",L$2,$E$1)</f>
        <v>3.9232214273039467</v>
      </c>
      <c r="M145" s="19">
        <f>[1]!f_risk_stdevyearly($A145,L$2,$E$1,1,1)</f>
        <v>0.42585603584314136</v>
      </c>
      <c r="N145" s="19">
        <f>IFERROR(L145/M145,"-")</f>
        <v>9.2125532975867355</v>
      </c>
      <c r="O145" s="19" t="str">
        <f>IFERROR(RANK(N145,N:N)&amp;"/"&amp;COUNT(N:N),"-")</f>
        <v>3/197</v>
      </c>
      <c r="P145" s="26">
        <f>IF(O145="-","-",RANK(N145,N:N)/COUNT(N:N))</f>
        <v>1.5228426395939087E-2</v>
      </c>
      <c r="Q145" s="56">
        <v>0.73604060913705582</v>
      </c>
      <c r="R145" s="33" t="str">
        <f>IF(OR($C145&gt;20190630,$K145&gt;30,N145="-",$D145="是",$E145="封闭期",$H145&lt;10,$BN145&lt;-6,$BR145&lt;70),"-",COUNTIFS(N$4:N$200,"&lt;&gt;-",$D$4:$D$200,"&lt;&gt;是",$E$4:$E$200,"&lt;&gt;封闭期",$H$4:$H$200,"&gt;10",$BN$4:$BN$200,"&gt;-6",$BR$4:$BR$200,"&gt;=70",$K$4:$K$200,"&lt;=30",$C$4:$C$200,"&lt;20190630",N$4:N$200,"&gt;="&amp;N145)/COUNTIFS(N$4:N$200,"&lt;&gt;-",$D$4:$D$200,"&lt;&gt;是",$E$4:$E$200,"&lt;&gt;封闭期",$H$4:$H$200,"&gt;10",$BN$4:$BN$200,"&gt;-6",$BR$4:$BR$200,"&gt;=70",$C$4:$C$200,"&lt;20190630",$K$4:$K$200,"&lt;=30"))</f>
        <v>-</v>
      </c>
      <c r="S145" s="19">
        <f>IFERROR((L145-3)/M145,"-")</f>
        <v>2.1679190843827878</v>
      </c>
      <c r="T145" s="19" t="str">
        <f>IFERROR(RANK(S145,S:S)&amp;"/"&amp;COUNT(S:S),"-")</f>
        <v>10/197</v>
      </c>
      <c r="U145" s="26">
        <f>IFERROR(RANK(S145,S:S)/COUNT(S:S),"-")</f>
        <v>5.0761421319796954E-2</v>
      </c>
      <c r="V145" s="34" t="str">
        <f>IF(OR($C145&gt;20190630,$K145&gt;30,S145="-",$D145="是",$E145="封闭期",$H145&lt;10,$BN145&lt;-6,$BR145&lt;70),"-",COUNTIFS(S$4:S$200,"&lt;&gt;-",$D$4:$D$200,"&lt;&gt;是",$E$4:$E$200,"&lt;&gt;封闭期",$H$4:$H$200,"&gt;10",$BN$4:$BN$200,"&gt;-6",$BR$4:$BR$200,"&gt;=70",$K$4:$K$200,"&lt;=30",$C$4:$C$200,"&lt;20190630",S$4:S$200,"&gt;="&amp;S145)&amp;"/"&amp;COUNTIFS(S$4:S$200,"&lt;&gt;-",$D$4:$D$200,"&lt;&gt;是",$E$4:$E$200,"&lt;&gt;封闭期",$H$4:$H$200,"&gt;10",$BN$4:$BN$200,"&gt;-6",$BR$4:$BR$200,"&gt;=70",$C$4:$C$200,"&lt;20190630",$K$4:$K$200,"&lt;=30"))</f>
        <v>-</v>
      </c>
      <c r="W145" s="33" t="str">
        <f>IF(OR($C145&gt;20190630,$K145&gt;30,S145="-",$D145="是",$E145="封闭期",$H145&lt;10,$BN145&lt;-6,$BR145&lt;70),"-",COUNTIFS(S$4:S$200,"&lt;&gt;-",$D$4:$D$200,"&lt;&gt;是",$E$4:$E$200,"&lt;&gt;封闭期",$H$4:$H$200,"&gt;10",$BN$4:$BN$200,"&gt;-6",$BR$4:$BR$200,"&gt;=70",$K$4:$K$200,"&lt;=30",$C$4:$C$200,"&lt;20190630",S$4:S$200,"&gt;="&amp;S145)/COUNTIFS(S$4:S$200,"&lt;&gt;-",$D$4:$D$200,"&lt;&gt;是",$E$4:$E$200,"&lt;&gt;封闭期",$H$4:$H$200,"&gt;10",$BN$4:$BN$200,"&gt;-6",$BR$4:$BR$200,"&gt;=70",$C$4:$C$200,"&lt;20190630",$K$4:$K$200,"&lt;=30"))</f>
        <v>-</v>
      </c>
      <c r="X145" s="19">
        <f>[1]!f_risk_calmar(A145,$L$2,$E$1)</f>
        <v>21.797418250100709</v>
      </c>
      <c r="Y145" s="19" t="str">
        <f>IFERROR(RANK(X145,X:X)&amp;"/"&amp;COUNT(X:X),"-")</f>
        <v>1/197</v>
      </c>
      <c r="Z145" s="26">
        <f>IFERROR(RANK(X145,X:X)/COUNT(X:X),"-")</f>
        <v>5.076142131979695E-3</v>
      </c>
      <c r="AA145" s="34" t="str">
        <f>IF(OR($C145&gt;20190630,$K145&gt;30,X145="-",$D145="是",$E145="封闭期",$H145&lt;10,$BN145&lt;-6,$BR145&lt;70),"-",COUNTIFS(X$4:X$200,"&lt;&gt;-",$D$4:$D$200,"&lt;&gt;是",$E$4:$E$200,"&lt;&gt;封闭期",$H$4:$H$200,"&gt;10",$BN$4:$BN$200,"&gt;-6",$BR$4:$BR$200,"&gt;=70",$K$4:$K$200,"&lt;=30",$C$4:$C$200,"&lt;20190630",X$4:X$200,"&gt;="&amp;X145)&amp;"/"&amp;COUNTIFS(X$4:X$200,"&lt;&gt;-",$D$4:$D$200,"&lt;&gt;是",$E$4:$E$200,"&lt;&gt;封闭期",$H$4:$H$200,"&gt;10",$BN$4:$BN$200,"&gt;-6",$BR$4:$BR$200,"&gt;=70",$C$4:$C$200,"&lt;20190630",$K$4:$K$200,"&lt;=30"))</f>
        <v>-</v>
      </c>
      <c r="AB145" s="33" t="str">
        <f>IF(OR($C145&gt;20190630,$K145&gt;30,X145="-",$D145="是",$E145="封闭期",$H145&lt;10,$BN145&lt;-6,$BR145&lt;70),"-",COUNTIFS(X$4:X$200,"&lt;&gt;-",$D$4:$D$200,"&lt;&gt;是",$E$4:$E$200,"&lt;&gt;封闭期",$H$4:$H$200,"&gt;10",$BN$4:$BN$200,"&gt;-6",$BR$4:$BR$200,"&gt;=70",$K$4:$K$200,"&lt;=30",$C$4:$C$200,"&lt;20190630",X$4:X$200,"&gt;="&amp;X145)/COUNTIFS(X$4:X$200,"&lt;&gt;-",$D$4:$D$200,"&lt;&gt;是",$E$4:$E$200,"&lt;&gt;封闭期",$H$4:$H$200,"&gt;10",$BN$4:$BN$200,"&gt;-6",$BR$4:$BR$200,"&gt;=70",$C$4:$C$200,"&lt;20190630",$K$4:$K$200,"&lt;=30"))</f>
        <v>-</v>
      </c>
      <c r="AC145" s="20">
        <v>1</v>
      </c>
      <c r="AD145" s="19" t="str">
        <f>IFERROR(RANK(AC145,AC:AC)&amp;"/"&amp;COUNT(AC:AC),"-")</f>
        <v>1/197</v>
      </c>
      <c r="AE145" s="26">
        <f>IFERROR(RANK(AC145,AC:AC)/COUNT(AC:AC),"-")</f>
        <v>5.076142131979695E-3</v>
      </c>
      <c r="AF145" s="34" t="str">
        <f>IF(OR($C145&gt;20190630,$K145&gt;30,AC145="-",$D145="是",$E145="封闭期",$H145&lt;10,$BN145&lt;-6,$BR145&lt;70),"-",COUNTIFS(AC$4:AC$200,"&lt;&gt;-",$D$4:$D$200,"&lt;&gt;是",$E$4:$E$200,"&lt;&gt;封闭期",$H$4:$H$200,"&gt;10",$BN$4:$BN$200,"&gt;-6",$BR$4:$BR$200,"&gt;=70",$K$4:$K$200,"&lt;=30",$C$4:$C$200,"&lt;20190630",AC$4:AC$200,"&gt;="&amp;AC145)&amp;"/"&amp;COUNTIFS(AC$4:AC$200,"&lt;&gt;-",$D$4:$D$200,"&lt;&gt;是",$E$4:$E$200,"&lt;&gt;封闭期",$H$4:$H$200,"&gt;10",$BN$4:$BN$200,"&gt;-6",$BR$4:$BR$200,"&gt;=70",$C$4:$C$200,"&lt;20190630",$K$4:$K$200,"&lt;=30"))</f>
        <v>-</v>
      </c>
      <c r="AG145" s="33" t="str">
        <f>IF(OR($C145&gt;20190630,$K145&gt;30,AC145="-",$D145="是",$E145="封闭期",$H145&lt;10,$BN145&lt;-6,$BR145&lt;70),"-",COUNTIFS(AC$4:AC$200,"&lt;&gt;-",$D$4:$D$200,"&lt;&gt;是",$E$4:$E$200,"&lt;&gt;封闭期",$H$4:$H$200,"&gt;10",$BN$4:$BN$200,"&gt;-6",$BR$4:$BR$200,"&gt;=70",$K$4:$K$200,"&lt;=30",$C$4:$C$200,"&lt;20190630",AC$4:AC$200,"&gt;="&amp;AC145)/COUNTIFS(AC$4:AC$200,"&lt;&gt;-",$D$4:$D$200,"&lt;&gt;是",$E$4:$E$200,"&lt;&gt;封闭期",$H$4:$H$200,"&gt;10",$BN$4:$BN$200,"&gt;-6",$BR$4:$BR$200,"&gt;=70",$C$4:$C$200,"&lt;20190630",$K$4:$K$200,"&lt;=30"))</f>
        <v>-</v>
      </c>
      <c r="AH145" s="21">
        <f>[1]!f_risk_maxdownside(A145,$L$2,$E$1)</f>
        <v>-0.17998560115190801</v>
      </c>
      <c r="AI145" s="19" t="str">
        <f>IFERROR(RANK(AH145,AH:AH)&amp;"/"&amp;COUNT(AH:AH),"-")</f>
        <v>1/197</v>
      </c>
      <c r="AJ145" s="26">
        <f>IFERROR(RANK(AH145,AH:AH)/COUNT(AH:AH),"-")</f>
        <v>5.076142131979695E-3</v>
      </c>
      <c r="AK145" s="34" t="str">
        <f>IF(OR($C145&gt;20190630,$K145&gt;30,AH145="-",$D145="是",$E145="封闭期",$H145&lt;10,$BN145&lt;-6,$BR145&lt;70),"-",COUNTIFS(AH$4:AH$200,"&lt;&gt;-",$D$4:$D$200,"&lt;&gt;是",$E$4:$E$200,"&lt;&gt;封闭期",$H$4:$H$200,"&gt;10",$BN$4:$BN$200,"&gt;-6",$BR$4:$BR$200,"&gt;=70",$K$4:$K$200,"&lt;=30",$C$4:$C$200,"&lt;20190630",AH$4:AH$200,"&gt;="&amp;AH145)&amp;"/"&amp;COUNTIFS(AH$4:AH$200,"&lt;&gt;-",$D$4:$D$200,"&lt;&gt;是",$E$4:$E$200,"&lt;&gt;封闭期",$H$4:$H$200,"&gt;10",$BN$4:$BN$200,"&gt;-6",$BR$4:$BR$200,"&gt;=70",$C$4:$C$200,"&lt;20190630",$K$4:$K$200,"&lt;=30"))</f>
        <v>-</v>
      </c>
      <c r="AL145" s="33" t="str">
        <f>IF(OR($C145&gt;20190630,$K145&gt;30,AH145="-",$D145="是",$E145="封闭期",$H145&lt;10,$BN145&lt;-6,$BR145&lt;70),"-",COUNTIFS(AH$4:AH$200,"&lt;&gt;-",$D$4:$D$200,"&lt;&gt;是",$E$4:$E$200,"&lt;&gt;封闭期",$H$4:$H$200,"&gt;10",$BN$4:$BN$200,"&gt;-6",$BR$4:$BR$200,"&gt;=70",$K$4:$K$200,"&lt;=30",$C$4:$C$200,"&lt;20190630",AH$4:AH$200,"&gt;="&amp;AH145)/COUNTIFS(AH$4:AH$200,"&lt;&gt;-",$D$4:$D$200,"&lt;&gt;是",$E$4:$E$200,"&lt;&gt;封闭期",$H$4:$H$200,"&gt;10",$BN$4:$BN$200,"&gt;-6",$BR$4:$BR$200,"&gt;=70",$C$4:$C$200,"&lt;20190630",$K$4:$K$200,"&lt;=30"))</f>
        <v>-</v>
      </c>
      <c r="AM145" s="19">
        <f>[1]!f_return($A145,"1",AM$2,$L$2)</f>
        <v>4.7591782732519849</v>
      </c>
      <c r="AN145" s="19">
        <f>[1]!f_risk_stdevyearly($A145,AM$2,$L$2,1,1)</f>
        <v>0.70652242669555676</v>
      </c>
      <c r="AO145" s="19">
        <f>IFERROR(AM145/AN145,"-")</f>
        <v>6.7360611545070359</v>
      </c>
      <c r="AP145" s="19" t="str">
        <f>IFERROR(RANK(AO145,AO:AO)&amp;"/"&amp;COUNT(AO:AO),"-")</f>
        <v>1/197</v>
      </c>
      <c r="AQ145" s="26">
        <f>IF(AP145="-","-",RANK(AO145,AO:AO)/COUNT(AO:AO))</f>
        <v>5.076142131979695E-3</v>
      </c>
      <c r="AR145" s="57">
        <v>0.7208121827411168</v>
      </c>
      <c r="AS145" s="33" t="str">
        <f>IF(OR($C145&gt;20190630,$K145&gt;30,AO145="-",$D145="是",$E145="封闭期",$H145&lt;10,$BN145&lt;-6,$BR145&lt;70),"-",COUNTIFS(AO$4:AO$200,"&lt;&gt;-",$D$4:$D$200,"&lt;&gt;是",$E$4:$E$200,"&lt;&gt;封闭期",$H$4:$H$200,"&gt;10",$BN$4:$BN$200,"&gt;-6",$BR$4:$BR$200,"&gt;=70",$K$4:$K$200,"&lt;=30",$C$4:$C$200,"&lt;20190630",AO$4:AO$200,"&gt;="&amp;AO145)/COUNTIFS(AO$4:AO$200,"&lt;&gt;-",$D$4:$D$200,"&lt;&gt;是",$E$4:$E$200,"&lt;&gt;封闭期",$H$4:$H$200,"&gt;10",$BN$4:$BN$200,"&gt;-6",$BR$4:$BR$200,"&gt;=70",$C$4:$C$200,"&lt;20190630",$K$4:$K$200,"&lt;=30"))</f>
        <v>-</v>
      </c>
      <c r="AT145" s="19">
        <f>IFERROR((AM145-3)/AN145,"-")</f>
        <v>2.4899114405748675</v>
      </c>
      <c r="AU145" s="19" t="str">
        <f>IFERROR(RANK(AT145,AT:AT)&amp;"/"&amp;COUNT(AT:AT),"-")</f>
        <v>1/197</v>
      </c>
      <c r="AV145" s="26">
        <f>IFERROR(RANK(AT145,AT:AT)/COUNT(AT:AT),"-")</f>
        <v>5.076142131979695E-3</v>
      </c>
      <c r="AW145" s="34" t="str">
        <f>IF(OR($C145&gt;20190630,$K145&gt;30,AT145="-",$D145="是",$E145="封闭期",$H145&lt;10,$BN145&lt;-6,$BR145&lt;70),"-",COUNTIFS(AT$4:AT$200,"&lt;&gt;-",$D$4:$D$200,"&lt;&gt;是",$E$4:$E$200,"&lt;&gt;封闭期",$H$4:$H$200,"&gt;10",$BN$4:$BN$200,"&gt;-6",$BR$4:$BR$200,"&gt;=70",$K$4:$K$200,"&lt;=30",$C$4:$C$200,"&lt;20190630",AT$4:AT$200,"&gt;="&amp;AT145)&amp;"/"&amp;COUNTIFS(AT$4:AT$200,"&lt;&gt;-",$D$4:$D$200,"&lt;&gt;是",$E$4:$E$200,"&lt;&gt;封闭期",$H$4:$H$200,"&gt;10",$BN$4:$BN$200,"&gt;-6",$BR$4:$BR$200,"&gt;=70",$C$4:$C$200,"&lt;20190630",$K$4:$K$200,"&lt;=30"))</f>
        <v>-</v>
      </c>
      <c r="AX145" s="33" t="str">
        <f>IF(OR($C145&gt;20190630,$K145&gt;30,AT145="-",$D145="是",$E145="封闭期",$H145&lt;10,$BN145&lt;-6,$BR145&lt;70),"-",COUNTIFS(AT$4:AT$200,"&lt;&gt;-",$D$4:$D$200,"&lt;&gt;是",$E$4:$E$200,"&lt;&gt;封闭期",$H$4:$H$200,"&gt;10",$BN$4:$BN$200,"&gt;-6",$BR$4:$BR$200,"&gt;=70",$K$4:$K$200,"&lt;=30",$C$4:$C$200,"&lt;20190630",AT$4:AT$200,"&gt;="&amp;AT145)/COUNTIFS(AT$4:AT$200,"&lt;&gt;-",$D$4:$D$200,"&lt;&gt;是",$E$4:$E$200,"&lt;&gt;封闭期",$H$4:$H$200,"&gt;10",$BN$4:$BN$200,"&gt;-6",$BR$4:$BR$200,"&gt;=70",$C$4:$C$200,"&lt;20190630",$K$4:$K$200,"&lt;=30"))</f>
        <v>-</v>
      </c>
      <c r="AY145" s="19">
        <f>[1]!f_risk_calmar(A145,$AM$2,$L$2)</f>
        <v>15.630295189546596</v>
      </c>
      <c r="AZ145" s="19" t="str">
        <f>IFERROR(RANK(AY145,AY:AY)&amp;"/"&amp;COUNT(AY:AY),"-")</f>
        <v>2/197</v>
      </c>
      <c r="BA145" s="26">
        <f>IFERROR(RANK(AY145,AY:AY)/COUNT(AY:AY),"-")</f>
        <v>1.015228426395939E-2</v>
      </c>
      <c r="BB145" s="34" t="str">
        <f>IF(OR($C145&gt;20190630,$K145&gt;30,AY145="-",$D145="是",$E145="封闭期",$H145&lt;10,$BN145&lt;-6,$BR145&lt;70),"-",COUNTIFS(AY$4:AY$200,"&lt;&gt;-",$D$4:$D$200,"&lt;&gt;是",$E$4:$E$200,"&lt;&gt;封闭期",$H$4:$H$200,"&gt;10",$BN$4:$BN$200,"&gt;-6",$BR$4:$BR$200,"&gt;=70",$K$4:$K$200,"&lt;=30",$C$4:$C$200,"&lt;20190630",AY$4:AY$200,"&gt;="&amp;AY145)&amp;"/"&amp;COUNTIFS(AY$4:AY$200,"&lt;&gt;-",$D$4:$D$200,"&lt;&gt;是",$E$4:$E$200,"&lt;&gt;封闭期",$H$4:$H$200,"&gt;10",$BN$4:$BN$200,"&gt;-6",$BR$4:$BR$200,"&gt;=70",$C$4:$C$200,"&lt;20190630",$K$4:$K$200,"&lt;=30"))</f>
        <v>-</v>
      </c>
      <c r="BC145" s="33" t="str">
        <f>IF(OR($C145&gt;20190630,$K145&gt;30,AY145="-",$D145="是",$E145="封闭期",$H145&lt;10,$BN145&lt;-6,$BR145&lt;70),"-",COUNTIFS(AY$4:AY$200,"&lt;&gt;-",$D$4:$D$200,"&lt;&gt;是",$E$4:$E$200,"&lt;&gt;封闭期",$H$4:$H$200,"&gt;10",$BN$4:$BN$200,"&gt;-6",$BR$4:$BR$200,"&gt;=70",$K$4:$K$200,"&lt;=30",$C$4:$C$200,"&lt;20190630",AY$4:AY$200,"&gt;="&amp;AY145)/COUNTIFS(AY$4:AY$200,"&lt;&gt;-",$D$4:$D$200,"&lt;&gt;是",$E$4:$E$200,"&lt;&gt;封闭期",$H$4:$H$200,"&gt;10",$BN$4:$BN$200,"&gt;-6",$BR$4:$BR$200,"&gt;=70",$C$4:$C$200,"&lt;20190630",$K$4:$K$200,"&lt;=30"))</f>
        <v>-</v>
      </c>
      <c r="BD145" s="20">
        <v>1</v>
      </c>
      <c r="BE145" s="19" t="str">
        <f>IFERROR(RANK(BD145,BD:BD)&amp;"/"&amp;COUNT(BD:BD),"-")</f>
        <v>1/197</v>
      </c>
      <c r="BF145" s="26">
        <f>IFERROR(RANK(BD145,BD:BD)/COUNT(BD:BD),"-")</f>
        <v>5.076142131979695E-3</v>
      </c>
      <c r="BG145" s="34" t="str">
        <f>IF(OR($C145&gt;20190630,$K145&gt;30,BD145="-",$D145="是",$E145="封闭期",$H145&lt;10,$BN145&lt;-6,$BR145&lt;70),"-",COUNTIFS(BD$4:BD$200,"&lt;&gt;-",$D$4:$D$200,"&lt;&gt;是",$E$4:$E$200,"&lt;&gt;封闭期",$H$4:$H$200,"&gt;10",$BN$4:$BN$200,"&gt;-6",$BR$4:$BR$200,"&gt;=70",$K$4:$K$200,"&lt;=30",$C$4:$C$200,"&lt;20190630",BD$4:BD$200,"&gt;="&amp;BD145)&amp;"/"&amp;COUNTIFS(BD$4:BD$200,"&lt;&gt;-",$D$4:$D$200,"&lt;&gt;是",$E$4:$E$200,"&lt;&gt;封闭期",$H$4:$H$200,"&gt;10",$BN$4:$BN$200,"&gt;-6",$BR$4:$BR$200,"&gt;=70",$C$4:$C$200,"&lt;20190630",$K$4:$K$200,"&lt;=30"))</f>
        <v>-</v>
      </c>
      <c r="BH145" s="33" t="str">
        <f>IF(OR($C145&gt;20190630,$K145&gt;30,BD145="-",$D145="是",$E145="封闭期",$H145&lt;10,$BN145&lt;-6,$BR145&lt;70),"-",COUNTIFS(BD$4:BD$200,"&lt;&gt;-",$D$4:$D$200,"&lt;&gt;是",$E$4:$E$200,"&lt;&gt;封闭期",$H$4:$H$200,"&gt;10",$BN$4:$BN$200,"&gt;-6",$BR$4:$BR$200,"&gt;=70",$K$4:$K$200,"&lt;=30",$C$4:$C$200,"&lt;20190630",BD$4:BD$200,"&gt;="&amp;BD145)/COUNTIFS(BD$4:BD$200,"&lt;&gt;-",$D$4:$D$200,"&lt;&gt;是",$E$4:$E$200,"&lt;&gt;封闭期",$H$4:$H$200,"&gt;10",$BN$4:$BN$200,"&gt;-6",$BR$4:$BR$200,"&gt;=70",$C$4:$C$200,"&lt;20190630",$K$4:$K$200,"&lt;=30"))</f>
        <v>-</v>
      </c>
      <c r="BI145" s="21">
        <f>[1]!f_risk_maxdownside(A145,$AM$2,$L$2)</f>
        <v>-0.30448422218122162</v>
      </c>
      <c r="BJ145" s="19" t="str">
        <f>IFERROR(RANK(BI145,BI:BI)&amp;"/"&amp;COUNT(BI:BI),"-")</f>
        <v>1/197</v>
      </c>
      <c r="BK145" s="26">
        <f>IFERROR(RANK(BI145,BI:BI)/COUNT(BI:BI),"-")</f>
        <v>5.076142131979695E-3</v>
      </c>
      <c r="BL145" s="34" t="str">
        <f>IF(OR($C145&gt;20190630,$K145&gt;30,BI145="-",$D145="是",$E145="封闭期",$H145&lt;10,$BN145&lt;-6,$BR145&lt;70),"-",COUNTIFS(BI$4:BI$200,"&lt;&gt;-",$D$4:$D$200,"&lt;&gt;是",$E$4:$E$200,"&lt;&gt;封闭期",$H$4:$H$200,"&gt;10",$BN$4:$BN$200,"&gt;-6",$BR$4:$BR$200,"&gt;=70",$K$4:$K$200,"&lt;=30",$C$4:$C$200,"&lt;20190630",BI$4:BI$200,"&gt;="&amp;BI145)&amp;"/"&amp;COUNTIFS(BI$4:BI$200,"&lt;&gt;-",$D$4:$D$200,"&lt;&gt;是",$E$4:$E$200,"&lt;&gt;封闭期",$H$4:$H$200,"&gt;10",$BN$4:$BN$200,"&gt;-6",$BR$4:$BR$200,"&gt;=70",$C$4:$C$200,"&lt;20190630",$K$4:$K$200,"&lt;=30"))</f>
        <v>-</v>
      </c>
      <c r="BM145" s="33" t="str">
        <f>IF(OR($C145&gt;20190630,$K145&gt;30,BI145="-",$D145="是",$E145="封闭期",$H145&lt;10,$BN145&lt;-6,$BR145&lt;70),"-",COUNTIFS(BI$4:BI$200,"&lt;&gt;-",$D$4:$D$200,"&lt;&gt;是",$E$4:$E$200,"&lt;&gt;封闭期",$H$4:$H$200,"&gt;10",$BN$4:$BN$200,"&gt;-6",$BR$4:$BR$200,"&gt;=70",$K$4:$K$200,"&lt;=30",$C$4:$C$200,"&lt;20190630",BI$4:BI$200,"&gt;="&amp;BI145)/COUNTIFS(BI$4:BI$200,"&lt;&gt;-",$D$4:$D$200,"&lt;&gt;是",$E$4:$E$200,"&lt;&gt;封闭期",$H$4:$H$200,"&gt;10",$BN$4:$BN$200,"&gt;-6",$BR$4:$BR$200,"&gt;=70",$C$4:$C$200,"&lt;20190630",$K$4:$K$200,"&lt;=30"))</f>
        <v>-</v>
      </c>
      <c r="BN145" s="21">
        <f>[1]!f_risk_maxdownside(A145,$AM$2,$E$1)</f>
        <v>-0.30448422218122162</v>
      </c>
      <c r="BO145" s="21">
        <f>IF(C145&lt;20190930,[1]!f_return_2y(A145,"0","20210930"),"-")</f>
        <v>8.8359899337635319</v>
      </c>
      <c r="BP145" s="19" t="str">
        <f>IFERROR(RANK(BO145,BO:BO)&amp;"/"&amp;COUNT(BO:BO),"-")</f>
        <v>157/197</v>
      </c>
      <c r="BQ145" s="25">
        <f>IFERROR(RANK(BO145,BO:BO)/COUNT(BO:BO),"-")</f>
        <v>0.79695431472081213</v>
      </c>
      <c r="BR145" s="19">
        <f>IF(C145&lt;20190930,[1]!f_absolute_profitmonthper(A145,"20190930","20210930"),"-")</f>
        <v>95.833333333333343</v>
      </c>
      <c r="BS145" s="19" t="str">
        <f>IFERROR(RANK(BR145,BR:BR)&amp;"/"&amp;COUNT(BR:BR),"-")</f>
        <v>1/198</v>
      </c>
      <c r="BT145" s="25">
        <f>IFERROR(RANK(BR145,BR:BR)/COUNT(BR:BR),"-")</f>
        <v>5.0505050505050509E-3</v>
      </c>
      <c r="BV145" s="12">
        <f>X145-3/M145</f>
        <v>14.752784036896761</v>
      </c>
      <c r="BW145" s="76">
        <f>IFERROR(RANK(BV145,BV:BV)/COUNT(BV:BV),"-")</f>
        <v>1.015228426395939E-2</v>
      </c>
      <c r="BX145" s="76">
        <f>IFERROR(RANK(L145,L:L)/COUNT(L:L),"-")</f>
        <v>0.73737373737373735</v>
      </c>
      <c r="BY145" s="12">
        <f>AY145-3/AN145</f>
        <v>11.384145475614428</v>
      </c>
      <c r="BZ145" s="76">
        <f>IFERROR(RANK(BY145,BY:BY)/COUNT(BY:BY),"-")</f>
        <v>1.015228426395939E-2</v>
      </c>
      <c r="CA145" s="76">
        <f>IFERROR(RANK(AM145,AM:AM)/COUNT(AM:AM),"-")</f>
        <v>0.72222222222222221</v>
      </c>
      <c r="CB145" s="2"/>
      <c r="CC145" s="77">
        <f>AV145+BF145+BZ145+CA145</f>
        <v>0.74252679075014094</v>
      </c>
      <c r="CD145" s="77">
        <f>BW145+BX145+AE145+U145</f>
        <v>0.80336358508947348</v>
      </c>
      <c r="CE145" s="77">
        <f>CC145+CD145</f>
        <v>1.5458903758396145</v>
      </c>
    </row>
    <row r="146" spans="1:83" s="17" customFormat="1" x14ac:dyDescent="0.35">
      <c r="A146" s="15" t="s">
        <v>381</v>
      </c>
      <c r="B146" s="15" t="s">
        <v>382</v>
      </c>
      <c r="C146" s="16">
        <v>20181012</v>
      </c>
      <c r="D146" s="16" t="str">
        <f>[1]!f_info_regulopenfundornot(A146)</f>
        <v>是</v>
      </c>
      <c r="E146" s="16" t="str">
        <f>[1]!f_dq_status(A146,$E$1)</f>
        <v>暂停申购|暂停赎回</v>
      </c>
      <c r="F146" s="17" t="str">
        <f>[1]!f_info_fundmanager(A146)</f>
        <v>何文忠</v>
      </c>
      <c r="G146" s="16">
        <v>20191230</v>
      </c>
      <c r="H146" s="18">
        <f>[1]!f_netasset_total(A146,$E$1,100000000)</f>
        <v>15.1577244277</v>
      </c>
      <c r="I146" s="18">
        <f>[1]!f_prt_convertiblebondtonav(A146,$E$1)</f>
        <v>0.36143288016319275</v>
      </c>
      <c r="J146" s="18">
        <f>[1]!f_prt_stocktonav(A146,$E$1)+0.5*I146</f>
        <v>0.18071644008159637</v>
      </c>
      <c r="K146" s="19">
        <v>31.512922818882501</v>
      </c>
      <c r="L146" s="19">
        <f>[1]!f_return($A146,"1",L$2,$E$1)</f>
        <v>3.8291328734603169</v>
      </c>
      <c r="M146" s="19">
        <f>[1]!f_risk_stdevyearly($A146,L$2,$E$1,1,1)</f>
        <v>0.52888954634793994</v>
      </c>
      <c r="N146" s="19">
        <f>IFERROR(L146/M146,"-")</f>
        <v>7.2399481137432993</v>
      </c>
      <c r="O146" s="19" t="str">
        <f>IFERROR(RANK(N146,N:N)&amp;"/"&amp;COUNT(N:N),"-")</f>
        <v>7/197</v>
      </c>
      <c r="P146" s="26">
        <f>IF(O146="-","-",RANK(N146,N:N)/COUNT(N:N))</f>
        <v>3.553299492385787E-2</v>
      </c>
      <c r="Q146" s="56">
        <v>0.75126903553299496</v>
      </c>
      <c r="R146" s="33" t="str">
        <f>IF(OR($C146&gt;20190630,$K146&gt;30,N146="-",$D146="是",$E146="封闭期",$H146&lt;10,$BN146&lt;-6,$BR146&lt;70),"-",COUNTIFS(N$4:N$200,"&lt;&gt;-",$D$4:$D$200,"&lt;&gt;是",$E$4:$E$200,"&lt;&gt;封闭期",$H$4:$H$200,"&gt;10",$BN$4:$BN$200,"&gt;-6",$BR$4:$BR$200,"&gt;=70",$K$4:$K$200,"&lt;=30",$C$4:$C$200,"&lt;20190630",N$4:N$200,"&gt;="&amp;N146)/COUNTIFS(N$4:N$200,"&lt;&gt;-",$D$4:$D$200,"&lt;&gt;是",$E$4:$E$200,"&lt;&gt;封闭期",$H$4:$H$200,"&gt;10",$BN$4:$BN$200,"&gt;-6",$BR$4:$BR$200,"&gt;=70",$C$4:$C$200,"&lt;20190630",$K$4:$K$200,"&lt;=30"))</f>
        <v>-</v>
      </c>
      <c r="S146" s="19">
        <f>IFERROR((L146-3)/M146,"-")</f>
        <v>1.5676862573397439</v>
      </c>
      <c r="T146" s="19" t="str">
        <f>IFERROR(RANK(S146,S:S)&amp;"/"&amp;COUNT(S:S),"-")</f>
        <v>29/197</v>
      </c>
      <c r="U146" s="26">
        <f>IFERROR(RANK(S146,S:S)/COUNT(S:S),"-")</f>
        <v>0.14720812182741116</v>
      </c>
      <c r="V146" s="34" t="str">
        <f>IF(OR($C146&gt;20190630,$K146&gt;30,S146="-",$D146="是",$E146="封闭期",$H146&lt;10,$BN146&lt;-6,$BR146&lt;70),"-",COUNTIFS(S$4:S$200,"&lt;&gt;-",$D$4:$D$200,"&lt;&gt;是",$E$4:$E$200,"&lt;&gt;封闭期",$H$4:$H$200,"&gt;10",$BN$4:$BN$200,"&gt;-6",$BR$4:$BR$200,"&gt;=70",$K$4:$K$200,"&lt;=30",$C$4:$C$200,"&lt;20190630",S$4:S$200,"&gt;="&amp;S146)&amp;"/"&amp;COUNTIFS(S$4:S$200,"&lt;&gt;-",$D$4:$D$200,"&lt;&gt;是",$E$4:$E$200,"&lt;&gt;封闭期",$H$4:$H$200,"&gt;10",$BN$4:$BN$200,"&gt;-6",$BR$4:$BR$200,"&gt;=70",$C$4:$C$200,"&lt;20190630",$K$4:$K$200,"&lt;=30"))</f>
        <v>-</v>
      </c>
      <c r="W146" s="33" t="str">
        <f>IF(OR($C146&gt;20190630,$K146&gt;30,S146="-",$D146="是",$E146="封闭期",$H146&lt;10,$BN146&lt;-6,$BR146&lt;70),"-",COUNTIFS(S$4:S$200,"&lt;&gt;-",$D$4:$D$200,"&lt;&gt;是",$E$4:$E$200,"&lt;&gt;封闭期",$H$4:$H$200,"&gt;10",$BN$4:$BN$200,"&gt;-6",$BR$4:$BR$200,"&gt;=70",$K$4:$K$200,"&lt;=30",$C$4:$C$200,"&lt;20190630",S$4:S$200,"&gt;="&amp;S146)/COUNTIFS(S$4:S$200,"&lt;&gt;-",$D$4:$D$200,"&lt;&gt;是",$E$4:$E$200,"&lt;&gt;封闭期",$H$4:$H$200,"&gt;10",$BN$4:$BN$200,"&gt;-6",$BR$4:$BR$200,"&gt;=70",$C$4:$C$200,"&lt;20190630",$K$4:$K$200,"&lt;=30"))</f>
        <v>-</v>
      </c>
      <c r="X146" s="19">
        <f>[1]!f_risk_calmar(A146,$L$2,$E$1)</f>
        <v>6.0968304529651389</v>
      </c>
      <c r="Y146" s="19" t="str">
        <f>IFERROR(RANK(X146,X:X)&amp;"/"&amp;COUNT(X:X),"-")</f>
        <v>23/197</v>
      </c>
      <c r="Z146" s="26">
        <f>IFERROR(RANK(X146,X:X)/COUNT(X:X),"-")</f>
        <v>0.116751269035533</v>
      </c>
      <c r="AA146" s="34" t="str">
        <f>IF(OR($C146&gt;20190630,$K146&gt;30,X146="-",$D146="是",$E146="封闭期",$H146&lt;10,$BN146&lt;-6,$BR146&lt;70),"-",COUNTIFS(X$4:X$200,"&lt;&gt;-",$D$4:$D$200,"&lt;&gt;是",$E$4:$E$200,"&lt;&gt;封闭期",$H$4:$H$200,"&gt;10",$BN$4:$BN$200,"&gt;-6",$BR$4:$BR$200,"&gt;=70",$K$4:$K$200,"&lt;=30",$C$4:$C$200,"&lt;20190630",X$4:X$200,"&gt;="&amp;X146)&amp;"/"&amp;COUNTIFS(X$4:X$200,"&lt;&gt;-",$D$4:$D$200,"&lt;&gt;是",$E$4:$E$200,"&lt;&gt;封闭期",$H$4:$H$200,"&gt;10",$BN$4:$BN$200,"&gt;-6",$BR$4:$BR$200,"&gt;=70",$C$4:$C$200,"&lt;20190630",$K$4:$K$200,"&lt;=30"))</f>
        <v>-</v>
      </c>
      <c r="AB146" s="33" t="str">
        <f>IF(OR($C146&gt;20190630,$K146&gt;30,X146="-",$D146="是",$E146="封闭期",$H146&lt;10,$BN146&lt;-6,$BR146&lt;70),"-",COUNTIFS(X$4:X$200,"&lt;&gt;-",$D$4:$D$200,"&lt;&gt;是",$E$4:$E$200,"&lt;&gt;封闭期",$H$4:$H$200,"&gt;10",$BN$4:$BN$200,"&gt;-6",$BR$4:$BR$200,"&gt;=70",$K$4:$K$200,"&lt;=30",$C$4:$C$200,"&lt;20190630",X$4:X$200,"&gt;="&amp;X146)/COUNTIFS(X$4:X$200,"&lt;&gt;-",$D$4:$D$200,"&lt;&gt;是",$E$4:$E$200,"&lt;&gt;封闭期",$H$4:$H$200,"&gt;10",$BN$4:$BN$200,"&gt;-6",$BR$4:$BR$200,"&gt;=70",$C$4:$C$200,"&lt;20190630",$K$4:$K$200,"&lt;=30"))</f>
        <v>-</v>
      </c>
      <c r="AC146" s="20">
        <v>1</v>
      </c>
      <c r="AD146" s="19" t="str">
        <f>IFERROR(RANK(AC146,AC:AC)&amp;"/"&amp;COUNT(AC:AC),"-")</f>
        <v>1/197</v>
      </c>
      <c r="AE146" s="26">
        <f>IFERROR(RANK(AC146,AC:AC)/COUNT(AC:AC),"-")</f>
        <v>5.076142131979695E-3</v>
      </c>
      <c r="AF146" s="34" t="str">
        <f>IF(OR($C146&gt;20190630,$K146&gt;30,AC146="-",$D146="是",$E146="封闭期",$H146&lt;10,$BN146&lt;-6,$BR146&lt;70),"-",COUNTIFS(AC$4:AC$200,"&lt;&gt;-",$D$4:$D$200,"&lt;&gt;是",$E$4:$E$200,"&lt;&gt;封闭期",$H$4:$H$200,"&gt;10",$BN$4:$BN$200,"&gt;-6",$BR$4:$BR$200,"&gt;=70",$K$4:$K$200,"&lt;=30",$C$4:$C$200,"&lt;20190630",AC$4:AC$200,"&gt;="&amp;AC146)&amp;"/"&amp;COUNTIFS(AC$4:AC$200,"&lt;&gt;-",$D$4:$D$200,"&lt;&gt;是",$E$4:$E$200,"&lt;&gt;封闭期",$H$4:$H$200,"&gt;10",$BN$4:$BN$200,"&gt;-6",$BR$4:$BR$200,"&gt;=70",$C$4:$C$200,"&lt;20190630",$K$4:$K$200,"&lt;=30"))</f>
        <v>-</v>
      </c>
      <c r="AG146" s="33" t="str">
        <f>IF(OR($C146&gt;20190630,$K146&gt;30,AC146="-",$D146="是",$E146="封闭期",$H146&lt;10,$BN146&lt;-6,$BR146&lt;70),"-",COUNTIFS(AC$4:AC$200,"&lt;&gt;-",$D$4:$D$200,"&lt;&gt;是",$E$4:$E$200,"&lt;&gt;封闭期",$H$4:$H$200,"&gt;10",$BN$4:$BN$200,"&gt;-6",$BR$4:$BR$200,"&gt;=70",$K$4:$K$200,"&lt;=30",$C$4:$C$200,"&lt;20190630",AC$4:AC$200,"&gt;="&amp;AC146)/COUNTIFS(AC$4:AC$200,"&lt;&gt;-",$D$4:$D$200,"&lt;&gt;是",$E$4:$E$200,"&lt;&gt;封闭期",$H$4:$H$200,"&gt;10",$BN$4:$BN$200,"&gt;-6",$BR$4:$BR$200,"&gt;=70",$C$4:$C$200,"&lt;20190630",$K$4:$K$200,"&lt;=30"))</f>
        <v>-</v>
      </c>
      <c r="AH146" s="21">
        <f>[1]!f_risk_maxdownside(A146,$L$2,$E$1)</f>
        <v>-0.62805303558967307</v>
      </c>
      <c r="AI146" s="19" t="str">
        <f>IFERROR(RANK(AH146,AH:AH)&amp;"/"&amp;COUNT(AH:AH),"-")</f>
        <v>10/197</v>
      </c>
      <c r="AJ146" s="26">
        <f>IFERROR(RANK(AH146,AH:AH)/COUNT(AH:AH),"-")</f>
        <v>5.0761421319796954E-2</v>
      </c>
      <c r="AK146" s="34" t="str">
        <f>IF(OR($C146&gt;20190630,$K146&gt;30,AH146="-",$D146="是",$E146="封闭期",$H146&lt;10,$BN146&lt;-6,$BR146&lt;70),"-",COUNTIFS(AH$4:AH$200,"&lt;&gt;-",$D$4:$D$200,"&lt;&gt;是",$E$4:$E$200,"&lt;&gt;封闭期",$H$4:$H$200,"&gt;10",$BN$4:$BN$200,"&gt;-6",$BR$4:$BR$200,"&gt;=70",$K$4:$K$200,"&lt;=30",$C$4:$C$200,"&lt;20190630",AH$4:AH$200,"&gt;="&amp;AH146)&amp;"/"&amp;COUNTIFS(AH$4:AH$200,"&lt;&gt;-",$D$4:$D$200,"&lt;&gt;是",$E$4:$E$200,"&lt;&gt;封闭期",$H$4:$H$200,"&gt;10",$BN$4:$BN$200,"&gt;-6",$BR$4:$BR$200,"&gt;=70",$C$4:$C$200,"&lt;20190630",$K$4:$K$200,"&lt;=30"))</f>
        <v>-</v>
      </c>
      <c r="AL146" s="33" t="str">
        <f>IF(OR($C146&gt;20190630,$K146&gt;30,AH146="-",$D146="是",$E146="封闭期",$H146&lt;10,$BN146&lt;-6,$BR146&lt;70),"-",COUNTIFS(AH$4:AH$200,"&lt;&gt;-",$D$4:$D$200,"&lt;&gt;是",$E$4:$E$200,"&lt;&gt;封闭期",$H$4:$H$200,"&gt;10",$BN$4:$BN$200,"&gt;-6",$BR$4:$BR$200,"&gt;=70",$K$4:$K$200,"&lt;=30",$C$4:$C$200,"&lt;20190630",AH$4:AH$200,"&gt;="&amp;AH146)/COUNTIFS(AH$4:AH$200,"&lt;&gt;-",$D$4:$D$200,"&lt;&gt;是",$E$4:$E$200,"&lt;&gt;封闭期",$H$4:$H$200,"&gt;10",$BN$4:$BN$200,"&gt;-6",$BR$4:$BR$200,"&gt;=70",$C$4:$C$200,"&lt;20190630",$K$4:$K$200,"&lt;=30"))</f>
        <v>-</v>
      </c>
      <c r="AM146" s="19">
        <f>[1]!f_return($A146,"1",AM$2,$L$2)</f>
        <v>4.6942114719479511</v>
      </c>
      <c r="AN146" s="19">
        <f>[1]!f_risk_stdevyearly($A146,AM$2,$L$2,1,1)</f>
        <v>0.97982744722372472</v>
      </c>
      <c r="AO146" s="19">
        <f>IFERROR(AM146/AN146,"-")</f>
        <v>4.7908552523698784</v>
      </c>
      <c r="AP146" s="19" t="str">
        <f>IFERROR(RANK(AO146,AO:AO)&amp;"/"&amp;COUNT(AO:AO),"-")</f>
        <v>2/197</v>
      </c>
      <c r="AQ146" s="26">
        <f>IF(AP146="-","-",RANK(AO146,AO:AO)/COUNT(AO:AO))</f>
        <v>1.015228426395939E-2</v>
      </c>
      <c r="AR146" s="57">
        <v>0.7258883248730964</v>
      </c>
      <c r="AS146" s="33" t="str">
        <f>IF(OR($C146&gt;20190630,$K146&gt;30,AO146="-",$D146="是",$E146="封闭期",$H146&lt;10,$BN146&lt;-6,$BR146&lt;70),"-",COUNTIFS(AO$4:AO$200,"&lt;&gt;-",$D$4:$D$200,"&lt;&gt;是",$E$4:$E$200,"&lt;&gt;封闭期",$H$4:$H$200,"&gt;10",$BN$4:$BN$200,"&gt;-6",$BR$4:$BR$200,"&gt;=70",$K$4:$K$200,"&lt;=30",$C$4:$C$200,"&lt;20190630",AO$4:AO$200,"&gt;="&amp;AO146)/COUNTIFS(AO$4:AO$200,"&lt;&gt;-",$D$4:$D$200,"&lt;&gt;是",$E$4:$E$200,"&lt;&gt;封闭期",$H$4:$H$200,"&gt;10",$BN$4:$BN$200,"&gt;-6",$BR$4:$BR$200,"&gt;=70",$C$4:$C$200,"&lt;20190630",$K$4:$K$200,"&lt;=30"))</f>
        <v>-</v>
      </c>
      <c r="AT146" s="19">
        <f>IFERROR((AM146-3)/AN146,"-")</f>
        <v>1.7290916648113763</v>
      </c>
      <c r="AU146" s="19" t="str">
        <f>IFERROR(RANK(AT146,AT:AT)&amp;"/"&amp;COUNT(AT:AT),"-")</f>
        <v>19/197</v>
      </c>
      <c r="AV146" s="26">
        <f>IFERROR(RANK(AT146,AT:AT)/COUNT(AT:AT),"-")</f>
        <v>9.6446700507614211E-2</v>
      </c>
      <c r="AW146" s="34" t="str">
        <f>IF(OR($C146&gt;20190630,$K146&gt;30,AT146="-",$D146="是",$E146="封闭期",$H146&lt;10,$BN146&lt;-6,$BR146&lt;70),"-",COUNTIFS(AT$4:AT$200,"&lt;&gt;-",$D$4:$D$200,"&lt;&gt;是",$E$4:$E$200,"&lt;&gt;封闭期",$H$4:$H$200,"&gt;10",$BN$4:$BN$200,"&gt;-6",$BR$4:$BR$200,"&gt;=70",$K$4:$K$200,"&lt;=30",$C$4:$C$200,"&lt;20190630",AT$4:AT$200,"&gt;="&amp;AT146)&amp;"/"&amp;COUNTIFS(AT$4:AT$200,"&lt;&gt;-",$D$4:$D$200,"&lt;&gt;是",$E$4:$E$200,"&lt;&gt;封闭期",$H$4:$H$200,"&gt;10",$BN$4:$BN$200,"&gt;-6",$BR$4:$BR$200,"&gt;=70",$C$4:$C$200,"&lt;20190630",$K$4:$K$200,"&lt;=30"))</f>
        <v>-</v>
      </c>
      <c r="AX146" s="33" t="str">
        <f>IF(OR($C146&gt;20190630,$K146&gt;30,AT146="-",$D146="是",$E146="封闭期",$H146&lt;10,$BN146&lt;-6,$BR146&lt;70),"-",COUNTIFS(AT$4:AT$200,"&lt;&gt;-",$D$4:$D$200,"&lt;&gt;是",$E$4:$E$200,"&lt;&gt;封闭期",$H$4:$H$200,"&gt;10",$BN$4:$BN$200,"&gt;-6",$BR$4:$BR$200,"&gt;=70",$K$4:$K$200,"&lt;=30",$C$4:$C$200,"&lt;20190630",AT$4:AT$200,"&gt;="&amp;AT146)/COUNTIFS(AT$4:AT$200,"&lt;&gt;-",$D$4:$D$200,"&lt;&gt;是",$E$4:$E$200,"&lt;&gt;封闭期",$H$4:$H$200,"&gt;10",$BN$4:$BN$200,"&gt;-6",$BR$4:$BR$200,"&gt;=70",$C$4:$C$200,"&lt;20190630",$K$4:$K$200,"&lt;=30"))</f>
        <v>-</v>
      </c>
      <c r="AY146" s="19">
        <f>[1]!f_risk_calmar(A146,$AM$2,$L$2)</f>
        <v>3.0345725378979154</v>
      </c>
      <c r="AZ146" s="19" t="str">
        <f>IFERROR(RANK(AY146,AY:AY)&amp;"/"&amp;COUNT(AY:AY),"-")</f>
        <v>49/197</v>
      </c>
      <c r="BA146" s="26">
        <f>IFERROR(RANK(AY146,AY:AY)/COUNT(AY:AY),"-")</f>
        <v>0.24873096446700507</v>
      </c>
      <c r="BB146" s="34" t="str">
        <f>IF(OR($C146&gt;20190630,$K146&gt;30,AY146="-",$D146="是",$E146="封闭期",$H146&lt;10,$BN146&lt;-6,$BR146&lt;70),"-",COUNTIFS(AY$4:AY$200,"&lt;&gt;-",$D$4:$D$200,"&lt;&gt;是",$E$4:$E$200,"&lt;&gt;封闭期",$H$4:$H$200,"&gt;10",$BN$4:$BN$200,"&gt;-6",$BR$4:$BR$200,"&gt;=70",$K$4:$K$200,"&lt;=30",$C$4:$C$200,"&lt;20190630",AY$4:AY$200,"&gt;="&amp;AY146)&amp;"/"&amp;COUNTIFS(AY$4:AY$200,"&lt;&gt;-",$D$4:$D$200,"&lt;&gt;是",$E$4:$E$200,"&lt;&gt;封闭期",$H$4:$H$200,"&gt;10",$BN$4:$BN$200,"&gt;-6",$BR$4:$BR$200,"&gt;=70",$C$4:$C$200,"&lt;20190630",$K$4:$K$200,"&lt;=30"))</f>
        <v>-</v>
      </c>
      <c r="BC146" s="33" t="str">
        <f>IF(OR($C146&gt;20190630,$K146&gt;30,AY146="-",$D146="是",$E146="封闭期",$H146&lt;10,$BN146&lt;-6,$BR146&lt;70),"-",COUNTIFS(AY$4:AY$200,"&lt;&gt;-",$D$4:$D$200,"&lt;&gt;是",$E$4:$E$200,"&lt;&gt;封闭期",$H$4:$H$200,"&gt;10",$BN$4:$BN$200,"&gt;-6",$BR$4:$BR$200,"&gt;=70",$K$4:$K$200,"&lt;=30",$C$4:$C$200,"&lt;20190630",AY$4:AY$200,"&gt;="&amp;AY146)/COUNTIFS(AY$4:AY$200,"&lt;&gt;-",$D$4:$D$200,"&lt;&gt;是",$E$4:$E$200,"&lt;&gt;封闭期",$H$4:$H$200,"&gt;10",$BN$4:$BN$200,"&gt;-6",$BR$4:$BR$200,"&gt;=70",$C$4:$C$200,"&lt;20190630",$K$4:$K$200,"&lt;=30"))</f>
        <v>-</v>
      </c>
      <c r="BD146" s="20">
        <v>1</v>
      </c>
      <c r="BE146" s="19" t="str">
        <f>IFERROR(RANK(BD146,BD:BD)&amp;"/"&amp;COUNT(BD:BD),"-")</f>
        <v>1/197</v>
      </c>
      <c r="BF146" s="26">
        <f>IFERROR(RANK(BD146,BD:BD)/COUNT(BD:BD),"-")</f>
        <v>5.076142131979695E-3</v>
      </c>
      <c r="BG146" s="34" t="str">
        <f>IF(OR($C146&gt;20190630,$K146&gt;30,BD146="-",$D146="是",$E146="封闭期",$H146&lt;10,$BN146&lt;-6,$BR146&lt;70),"-",COUNTIFS(BD$4:BD$200,"&lt;&gt;-",$D$4:$D$200,"&lt;&gt;是",$E$4:$E$200,"&lt;&gt;封闭期",$H$4:$H$200,"&gt;10",$BN$4:$BN$200,"&gt;-6",$BR$4:$BR$200,"&gt;=70",$K$4:$K$200,"&lt;=30",$C$4:$C$200,"&lt;20190630",BD$4:BD$200,"&gt;="&amp;BD146)&amp;"/"&amp;COUNTIFS(BD$4:BD$200,"&lt;&gt;-",$D$4:$D$200,"&lt;&gt;是",$E$4:$E$200,"&lt;&gt;封闭期",$H$4:$H$200,"&gt;10",$BN$4:$BN$200,"&gt;-6",$BR$4:$BR$200,"&gt;=70",$C$4:$C$200,"&lt;20190630",$K$4:$K$200,"&lt;=30"))</f>
        <v>-</v>
      </c>
      <c r="BH146" s="33" t="str">
        <f>IF(OR($C146&gt;20190630,$K146&gt;30,BD146="-",$D146="是",$E146="封闭期",$H146&lt;10,$BN146&lt;-6,$BR146&lt;70),"-",COUNTIFS(BD$4:BD$200,"&lt;&gt;-",$D$4:$D$200,"&lt;&gt;是",$E$4:$E$200,"&lt;&gt;封闭期",$H$4:$H$200,"&gt;10",$BN$4:$BN$200,"&gt;-6",$BR$4:$BR$200,"&gt;=70",$K$4:$K$200,"&lt;=30",$C$4:$C$200,"&lt;20190630",BD$4:BD$200,"&gt;="&amp;BD146)/COUNTIFS(BD$4:BD$200,"&lt;&gt;-",$D$4:$D$200,"&lt;&gt;是",$E$4:$E$200,"&lt;&gt;封闭期",$H$4:$H$200,"&gt;10",$BN$4:$BN$200,"&gt;-6",$BR$4:$BR$200,"&gt;=70",$C$4:$C$200,"&lt;20190630",$K$4:$K$200,"&lt;=30"))</f>
        <v>-</v>
      </c>
      <c r="BI146" s="21">
        <f>[1]!f_risk_maxdownside(A146,$AM$2,$L$2)</f>
        <v>-1.546910285822229</v>
      </c>
      <c r="BJ146" s="19" t="str">
        <f>IFERROR(RANK(BI146,BI:BI)&amp;"/"&amp;COUNT(BI:BI),"-")</f>
        <v>18/197</v>
      </c>
      <c r="BK146" s="26">
        <f>IFERROR(RANK(BI146,BI:BI)/COUNT(BI:BI),"-")</f>
        <v>9.1370558375634514E-2</v>
      </c>
      <c r="BL146" s="34" t="str">
        <f>IF(OR($C146&gt;20190630,$K146&gt;30,BI146="-",$D146="是",$E146="封闭期",$H146&lt;10,$BN146&lt;-6,$BR146&lt;70),"-",COUNTIFS(BI$4:BI$200,"&lt;&gt;-",$D$4:$D$200,"&lt;&gt;是",$E$4:$E$200,"&lt;&gt;封闭期",$H$4:$H$200,"&gt;10",$BN$4:$BN$200,"&gt;-6",$BR$4:$BR$200,"&gt;=70",$K$4:$K$200,"&lt;=30",$C$4:$C$200,"&lt;20190630",BI$4:BI$200,"&gt;="&amp;BI146)&amp;"/"&amp;COUNTIFS(BI$4:BI$200,"&lt;&gt;-",$D$4:$D$200,"&lt;&gt;是",$E$4:$E$200,"&lt;&gt;封闭期",$H$4:$H$200,"&gt;10",$BN$4:$BN$200,"&gt;-6",$BR$4:$BR$200,"&gt;=70",$C$4:$C$200,"&lt;20190630",$K$4:$K$200,"&lt;=30"))</f>
        <v>-</v>
      </c>
      <c r="BM146" s="33" t="str">
        <f>IF(OR($C146&gt;20190630,$K146&gt;30,BI146="-",$D146="是",$E146="封闭期",$H146&lt;10,$BN146&lt;-6,$BR146&lt;70),"-",COUNTIFS(BI$4:BI$200,"&lt;&gt;-",$D$4:$D$200,"&lt;&gt;是",$E$4:$E$200,"&lt;&gt;封闭期",$H$4:$H$200,"&gt;10",$BN$4:$BN$200,"&gt;-6",$BR$4:$BR$200,"&gt;=70",$K$4:$K$200,"&lt;=30",$C$4:$C$200,"&lt;20190630",BI$4:BI$200,"&gt;="&amp;BI146)/COUNTIFS(BI$4:BI$200,"&lt;&gt;-",$D$4:$D$200,"&lt;&gt;是",$E$4:$E$200,"&lt;&gt;封闭期",$H$4:$H$200,"&gt;10",$BN$4:$BN$200,"&gt;-6",$BR$4:$BR$200,"&gt;=70",$C$4:$C$200,"&lt;20190630",$K$4:$K$200,"&lt;=30"))</f>
        <v>-</v>
      </c>
      <c r="BN146" s="21">
        <f>[1]!f_risk_maxdownside(A146,$AM$2,$E$1)</f>
        <v>-1.546910285822229</v>
      </c>
      <c r="BO146" s="21">
        <f>IF(C146&lt;20190930,[1]!f_return_2y(A146,"0","20210930"),"-")</f>
        <v>8.6671577504580117</v>
      </c>
      <c r="BP146" s="19" t="str">
        <f>IFERROR(RANK(BO146,BO:BO)&amp;"/"&amp;COUNT(BO:BO),"-")</f>
        <v>158/197</v>
      </c>
      <c r="BQ146" s="25">
        <f>IFERROR(RANK(BO146,BO:BO)/COUNT(BO:BO),"-")</f>
        <v>0.80203045685279184</v>
      </c>
      <c r="BR146" s="19">
        <f>IF(C146&lt;20190930,[1]!f_absolute_profitmonthper(A146,"20190930","20210930"),"-")</f>
        <v>75</v>
      </c>
      <c r="BS146" s="19" t="str">
        <f>IFERROR(RANK(BR146,BR:BR)&amp;"/"&amp;COUNT(BR:BR),"-")</f>
        <v>26/198</v>
      </c>
      <c r="BT146" s="25">
        <f>IFERROR(RANK(BR146,BR:BR)/COUNT(BR:BR),"-")</f>
        <v>0.13131313131313133</v>
      </c>
      <c r="BV146" s="12">
        <f>X146-3/M146</f>
        <v>0.42456859656158397</v>
      </c>
      <c r="BW146" s="76">
        <f>IFERROR(RANK(BV146,BV:BV)/COUNT(BV:BV),"-")</f>
        <v>0.76142131979695427</v>
      </c>
      <c r="BX146" s="76">
        <f>IFERROR(RANK(L146,L:L)/COUNT(L:L),"-")</f>
        <v>0.75252525252525249</v>
      </c>
      <c r="BY146" s="12">
        <f>AY146-3/AN146</f>
        <v>-2.7191049660586497E-2</v>
      </c>
      <c r="BZ146" s="76">
        <f>IFERROR(RANK(BY146,BY:BY)/COUNT(BY:BY),"-")</f>
        <v>0.85279187817258884</v>
      </c>
      <c r="CA146" s="76">
        <f>IFERROR(RANK(AM146,AM:AM)/COUNT(AM:AM),"-")</f>
        <v>0.72727272727272729</v>
      </c>
      <c r="CB146" s="2"/>
      <c r="CC146" s="77">
        <f>AV146+BF146+BZ146+CA146</f>
        <v>1.68158744808491</v>
      </c>
      <c r="CD146" s="77">
        <f>BW146+BX146+AE146+U146</f>
        <v>1.6662308362815974</v>
      </c>
      <c r="CE146" s="77">
        <f>CC146+CD146</f>
        <v>3.3478182843665074</v>
      </c>
    </row>
    <row r="147" spans="1:83" s="2" customFormat="1" x14ac:dyDescent="0.35">
      <c r="A147" s="15" t="s">
        <v>355</v>
      </c>
      <c r="B147" s="15" t="s">
        <v>356</v>
      </c>
      <c r="C147" s="16">
        <v>20171228</v>
      </c>
      <c r="D147" s="16" t="str">
        <f>[1]!f_info_regulopenfundornot(A147)</f>
        <v>是</v>
      </c>
      <c r="E147" s="16" t="str">
        <f>[1]!f_dq_status(A147,$E$1)</f>
        <v>暂停申购|暂停赎回</v>
      </c>
      <c r="F147" s="17" t="str">
        <f>[1]!f_info_fundmanager(A147)</f>
        <v>王涛,钟光正,梁冰哲</v>
      </c>
      <c r="G147" s="16">
        <v>20181204</v>
      </c>
      <c r="H147" s="18">
        <f>[1]!f_netasset_total(A147,$E$1,100000000)</f>
        <v>13.5294834432</v>
      </c>
      <c r="I147" s="18">
        <f>[1]!f_prt_convertiblebondtonav(A147,$E$1)</f>
        <v>10.900949478149414</v>
      </c>
      <c r="J147" s="18">
        <f>[1]!f_prt_stocktonav(A147,$E$1)+0.5*I147</f>
        <v>23.254460334777832</v>
      </c>
      <c r="K147" s="19">
        <v>0</v>
      </c>
      <c r="L147" s="19">
        <f>[1]!f_return($A147,"1",L$2,$E$1)</f>
        <v>-0.9693797670035198</v>
      </c>
      <c r="M147" s="19">
        <f>[1]!f_risk_stdevyearly($A147,L$2,$E$1,1,1)</f>
        <v>4.4805827770986069</v>
      </c>
      <c r="N147" s="19">
        <f>IFERROR(L147/M147,"-")</f>
        <v>-0.21635126840157162</v>
      </c>
      <c r="O147" s="19" t="str">
        <f>IFERROR(RANK(N147,N:N)&amp;"/"&amp;COUNT(N:N),"-")</f>
        <v>191/197</v>
      </c>
      <c r="P147" s="26">
        <f>IF(O147="-","-",RANK(N147,N:N)/COUNT(N:N))</f>
        <v>0.96954314720812185</v>
      </c>
      <c r="Q147" s="56">
        <v>0.97461928934010156</v>
      </c>
      <c r="R147" s="33" t="str">
        <f>IF(OR($C147&gt;20190630,$K147&gt;30,N147="-",$D147="是",$E147="封闭期",$H147&lt;10,$BN147&lt;-6,$BR147&lt;70),"-",COUNTIFS(N$4:N$200,"&lt;&gt;-",$D$4:$D$200,"&lt;&gt;是",$E$4:$E$200,"&lt;&gt;封闭期",$H$4:$H$200,"&gt;10",$BN$4:$BN$200,"&gt;-6",$BR$4:$BR$200,"&gt;=70",$K$4:$K$200,"&lt;=30",$C$4:$C$200,"&lt;20190630",N$4:N$200,"&gt;="&amp;N147)/COUNTIFS(N$4:N$200,"&lt;&gt;-",$D$4:$D$200,"&lt;&gt;是",$E$4:$E$200,"&lt;&gt;封闭期",$H$4:$H$200,"&gt;10",$BN$4:$BN$200,"&gt;-6",$BR$4:$BR$200,"&gt;=70",$C$4:$C$200,"&lt;20190630",$K$4:$K$200,"&lt;=30"))</f>
        <v>-</v>
      </c>
      <c r="S147" s="19">
        <f>IFERROR((L147-3)/M147,"-")</f>
        <v>-0.88590702693676926</v>
      </c>
      <c r="T147" s="19" t="str">
        <f>IFERROR(RANK(S147,S:S)&amp;"/"&amp;COUNT(S:S),"-")</f>
        <v>187/197</v>
      </c>
      <c r="U147" s="26">
        <f>IFERROR(RANK(S147,S:S)/COUNT(S:S),"-")</f>
        <v>0.949238578680203</v>
      </c>
      <c r="V147" s="34" t="str">
        <f>IF(OR($C147&gt;20190630,$K147&gt;30,S147="-",$D147="是",$E147="封闭期",$H147&lt;10,$BN147&lt;-6,$BR147&lt;70),"-",COUNTIFS(S$4:S$200,"&lt;&gt;-",$D$4:$D$200,"&lt;&gt;是",$E$4:$E$200,"&lt;&gt;封闭期",$H$4:$H$200,"&gt;10",$BN$4:$BN$200,"&gt;-6",$BR$4:$BR$200,"&gt;=70",$K$4:$K$200,"&lt;=30",$C$4:$C$200,"&lt;20190630",S$4:S$200,"&gt;="&amp;S147)&amp;"/"&amp;COUNTIFS(S$4:S$200,"&lt;&gt;-",$D$4:$D$200,"&lt;&gt;是",$E$4:$E$200,"&lt;&gt;封闭期",$H$4:$H$200,"&gt;10",$BN$4:$BN$200,"&gt;-6",$BR$4:$BR$200,"&gt;=70",$C$4:$C$200,"&lt;20190630",$K$4:$K$200,"&lt;=30"))</f>
        <v>-</v>
      </c>
      <c r="W147" s="33" t="str">
        <f>IF(OR($C147&gt;20190630,$K147&gt;30,S147="-",$D147="是",$E147="封闭期",$H147&lt;10,$BN147&lt;-6,$BR147&lt;70),"-",COUNTIFS(S$4:S$200,"&lt;&gt;-",$D$4:$D$200,"&lt;&gt;是",$E$4:$E$200,"&lt;&gt;封闭期",$H$4:$H$200,"&gt;10",$BN$4:$BN$200,"&gt;-6",$BR$4:$BR$200,"&gt;=70",$K$4:$K$200,"&lt;=30",$C$4:$C$200,"&lt;20190630",S$4:S$200,"&gt;="&amp;S147)/COUNTIFS(S$4:S$200,"&lt;&gt;-",$D$4:$D$200,"&lt;&gt;是",$E$4:$E$200,"&lt;&gt;封闭期",$H$4:$H$200,"&gt;10",$BN$4:$BN$200,"&gt;-6",$BR$4:$BR$200,"&gt;=70",$C$4:$C$200,"&lt;20190630",$K$4:$K$200,"&lt;=30"))</f>
        <v>-</v>
      </c>
      <c r="X147" s="19">
        <f>[1]!f_risk_calmar(A147,$L$2,$E$1)</f>
        <v>-0.23203930675255863</v>
      </c>
      <c r="Y147" s="19" t="str">
        <f>IFERROR(RANK(X147,X:X)&amp;"/"&amp;COUNT(X:X),"-")</f>
        <v>191/197</v>
      </c>
      <c r="Z147" s="26">
        <f>IFERROR(RANK(X147,X:X)/COUNT(X:X),"-")</f>
        <v>0.96954314720812185</v>
      </c>
      <c r="AA147" s="34" t="str">
        <f>IF(OR($C147&gt;20190630,$K147&gt;30,X147="-",$D147="是",$E147="封闭期",$H147&lt;10,$BN147&lt;-6,$BR147&lt;70),"-",COUNTIFS(X$4:X$200,"&lt;&gt;-",$D$4:$D$200,"&lt;&gt;是",$E$4:$E$200,"&lt;&gt;封闭期",$H$4:$H$200,"&gt;10",$BN$4:$BN$200,"&gt;-6",$BR$4:$BR$200,"&gt;=70",$K$4:$K$200,"&lt;=30",$C$4:$C$200,"&lt;20190630",X$4:X$200,"&gt;="&amp;X147)&amp;"/"&amp;COUNTIFS(X$4:X$200,"&lt;&gt;-",$D$4:$D$200,"&lt;&gt;是",$E$4:$E$200,"&lt;&gt;封闭期",$H$4:$H$200,"&gt;10",$BN$4:$BN$200,"&gt;-6",$BR$4:$BR$200,"&gt;=70",$C$4:$C$200,"&lt;20190630",$K$4:$K$200,"&lt;=30"))</f>
        <v>-</v>
      </c>
      <c r="AB147" s="33" t="str">
        <f>IF(OR($C147&gt;20190630,$K147&gt;30,X147="-",$D147="是",$E147="封闭期",$H147&lt;10,$BN147&lt;-6,$BR147&lt;70),"-",COUNTIFS(X$4:X$200,"&lt;&gt;-",$D$4:$D$200,"&lt;&gt;是",$E$4:$E$200,"&lt;&gt;封闭期",$H$4:$H$200,"&gt;10",$BN$4:$BN$200,"&gt;-6",$BR$4:$BR$200,"&gt;=70",$K$4:$K$200,"&lt;=30",$C$4:$C$200,"&lt;20190630",X$4:X$200,"&gt;="&amp;X147)/COUNTIFS(X$4:X$200,"&lt;&gt;-",$D$4:$D$200,"&lt;&gt;是",$E$4:$E$200,"&lt;&gt;封闭期",$H$4:$H$200,"&gt;10",$BN$4:$BN$200,"&gt;-6",$BR$4:$BR$200,"&gt;=70",$C$4:$C$200,"&lt;20190630",$K$4:$K$200,"&lt;=30"))</f>
        <v>-</v>
      </c>
      <c r="AC147" s="20">
        <v>0.1008403361344538</v>
      </c>
      <c r="AD147" s="19" t="str">
        <f>IFERROR(RANK(AC147,AC:AC)&amp;"/"&amp;COUNT(AC:AC),"-")</f>
        <v>196/197</v>
      </c>
      <c r="AE147" s="26">
        <f>IFERROR(RANK(AC147,AC:AC)/COUNT(AC:AC),"-")</f>
        <v>0.99492385786802029</v>
      </c>
      <c r="AF147" s="34" t="str">
        <f>IF(OR($C147&gt;20190630,$K147&gt;30,AC147="-",$D147="是",$E147="封闭期",$H147&lt;10,$BN147&lt;-6,$BR147&lt;70),"-",COUNTIFS(AC$4:AC$200,"&lt;&gt;-",$D$4:$D$200,"&lt;&gt;是",$E$4:$E$200,"&lt;&gt;封闭期",$H$4:$H$200,"&gt;10",$BN$4:$BN$200,"&gt;-6",$BR$4:$BR$200,"&gt;=70",$K$4:$K$200,"&lt;=30",$C$4:$C$200,"&lt;20190630",AC$4:AC$200,"&gt;="&amp;AC147)&amp;"/"&amp;COUNTIFS(AC$4:AC$200,"&lt;&gt;-",$D$4:$D$200,"&lt;&gt;是",$E$4:$E$200,"&lt;&gt;封闭期",$H$4:$H$200,"&gt;10",$BN$4:$BN$200,"&gt;-6",$BR$4:$BR$200,"&gt;=70",$C$4:$C$200,"&lt;20190630",$K$4:$K$200,"&lt;=30"))</f>
        <v>-</v>
      </c>
      <c r="AG147" s="33" t="str">
        <f>IF(OR($C147&gt;20190630,$K147&gt;30,AC147="-",$D147="是",$E147="封闭期",$H147&lt;10,$BN147&lt;-6,$BR147&lt;70),"-",COUNTIFS(AC$4:AC$200,"&lt;&gt;-",$D$4:$D$200,"&lt;&gt;是",$E$4:$E$200,"&lt;&gt;封闭期",$H$4:$H$200,"&gt;10",$BN$4:$BN$200,"&gt;-6",$BR$4:$BR$200,"&gt;=70",$K$4:$K$200,"&lt;=30",$C$4:$C$200,"&lt;20190630",AC$4:AC$200,"&gt;="&amp;AC147)/COUNTIFS(AC$4:AC$200,"&lt;&gt;-",$D$4:$D$200,"&lt;&gt;是",$E$4:$E$200,"&lt;&gt;封闭期",$H$4:$H$200,"&gt;10",$BN$4:$BN$200,"&gt;-6",$BR$4:$BR$200,"&gt;=70",$C$4:$C$200,"&lt;20190630",$K$4:$K$200,"&lt;=30"))</f>
        <v>-</v>
      </c>
      <c r="AH147" s="21">
        <f>[1]!f_risk_maxdownside(A147,$L$2,$E$1)</f>
        <v>-4.1776532630191143</v>
      </c>
      <c r="AI147" s="19" t="str">
        <f>IFERROR(RANK(AH147,AH:AH)&amp;"/"&amp;COUNT(AH:AH),"-")</f>
        <v>129/197</v>
      </c>
      <c r="AJ147" s="26">
        <f>IFERROR(RANK(AH147,AH:AH)/COUNT(AH:AH),"-")</f>
        <v>0.65482233502538068</v>
      </c>
      <c r="AK147" s="34" t="str">
        <f>IF(OR($C147&gt;20190630,$K147&gt;30,AH147="-",$D147="是",$E147="封闭期",$H147&lt;10,$BN147&lt;-6,$BR147&lt;70),"-",COUNTIFS(AH$4:AH$200,"&lt;&gt;-",$D$4:$D$200,"&lt;&gt;是",$E$4:$E$200,"&lt;&gt;封闭期",$H$4:$H$200,"&gt;10",$BN$4:$BN$200,"&gt;-6",$BR$4:$BR$200,"&gt;=70",$K$4:$K$200,"&lt;=30",$C$4:$C$200,"&lt;20190630",AH$4:AH$200,"&gt;="&amp;AH147)&amp;"/"&amp;COUNTIFS(AH$4:AH$200,"&lt;&gt;-",$D$4:$D$200,"&lt;&gt;是",$E$4:$E$200,"&lt;&gt;封闭期",$H$4:$H$200,"&gt;10",$BN$4:$BN$200,"&gt;-6",$BR$4:$BR$200,"&gt;=70",$C$4:$C$200,"&lt;20190630",$K$4:$K$200,"&lt;=30"))</f>
        <v>-</v>
      </c>
      <c r="AL147" s="33" t="str">
        <f>IF(OR($C147&gt;20190630,$K147&gt;30,AH147="-",$D147="是",$E147="封闭期",$H147&lt;10,$BN147&lt;-6,$BR147&lt;70),"-",COUNTIFS(AH$4:AH$200,"&lt;&gt;-",$D$4:$D$200,"&lt;&gt;是",$E$4:$E$200,"&lt;&gt;封闭期",$H$4:$H$200,"&gt;10",$BN$4:$BN$200,"&gt;-6",$BR$4:$BR$200,"&gt;=70",$K$4:$K$200,"&lt;=30",$C$4:$C$200,"&lt;20190630",AH$4:AH$200,"&gt;="&amp;AH147)/COUNTIFS(AH$4:AH$200,"&lt;&gt;-",$D$4:$D$200,"&lt;&gt;是",$E$4:$E$200,"&lt;&gt;封闭期",$H$4:$H$200,"&gt;10",$BN$4:$BN$200,"&gt;-6",$BR$4:$BR$200,"&gt;=70",$C$4:$C$200,"&lt;20190630",$K$4:$K$200,"&lt;=30"))</f>
        <v>-</v>
      </c>
      <c r="AM147" s="19">
        <f>[1]!f_return($A147,"1",AM$2,$L$2)</f>
        <v>4.6892710598387621</v>
      </c>
      <c r="AN147" s="19">
        <f>[1]!f_risk_stdevyearly($A147,AM$2,$L$2,1,1)</f>
        <v>3.3296786967731888</v>
      </c>
      <c r="AO147" s="19">
        <f>IFERROR(AM147/AN147,"-")</f>
        <v>1.4083253931927913</v>
      </c>
      <c r="AP147" s="19" t="str">
        <f>IFERROR(RANK(AO147,AO:AO)&amp;"/"&amp;COUNT(AO:AO),"-")</f>
        <v>119/197</v>
      </c>
      <c r="AQ147" s="26">
        <f>IF(AP147="-","-",RANK(AO147,AO:AO)/COUNT(AO:AO))</f>
        <v>0.60406091370558379</v>
      </c>
      <c r="AR147" s="57">
        <v>0.73096446700507611</v>
      </c>
      <c r="AS147" s="33" t="str">
        <f>IF(OR($C147&gt;20190630,$K147&gt;30,AO147="-",$D147="是",$E147="封闭期",$H147&lt;10,$BN147&lt;-6,$BR147&lt;70),"-",COUNTIFS(AO$4:AO$200,"&lt;&gt;-",$D$4:$D$200,"&lt;&gt;是",$E$4:$E$200,"&lt;&gt;封闭期",$H$4:$H$200,"&gt;10",$BN$4:$BN$200,"&gt;-6",$BR$4:$BR$200,"&gt;=70",$K$4:$K$200,"&lt;=30",$C$4:$C$200,"&lt;20190630",AO$4:AO$200,"&gt;="&amp;AO147)/COUNTIFS(AO$4:AO$200,"&lt;&gt;-",$D$4:$D$200,"&lt;&gt;是",$E$4:$E$200,"&lt;&gt;封闭期",$H$4:$H$200,"&gt;10",$BN$4:$BN$200,"&gt;-6",$BR$4:$BR$200,"&gt;=70",$C$4:$C$200,"&lt;20190630",$K$4:$K$200,"&lt;=30"))</f>
        <v>-</v>
      </c>
      <c r="AT147" s="19">
        <f>IFERROR((AM147-3)/AN147,"-")</f>
        <v>0.5073375582682631</v>
      </c>
      <c r="AU147" s="19" t="str">
        <f>IFERROR(RANK(AT147,AT:AT)&amp;"/"&amp;COUNT(AT:AT),"-")</f>
        <v>138/197</v>
      </c>
      <c r="AV147" s="26">
        <f>IFERROR(RANK(AT147,AT:AT)/COUNT(AT:AT),"-")</f>
        <v>0.70050761421319796</v>
      </c>
      <c r="AW147" s="34" t="str">
        <f>IF(OR($C147&gt;20190630,$K147&gt;30,AT147="-",$D147="是",$E147="封闭期",$H147&lt;10,$BN147&lt;-6,$BR147&lt;70),"-",COUNTIFS(AT$4:AT$200,"&lt;&gt;-",$D$4:$D$200,"&lt;&gt;是",$E$4:$E$200,"&lt;&gt;封闭期",$H$4:$H$200,"&gt;10",$BN$4:$BN$200,"&gt;-6",$BR$4:$BR$200,"&gt;=70",$K$4:$K$200,"&lt;=30",$C$4:$C$200,"&lt;20190630",AT$4:AT$200,"&gt;="&amp;AT147)&amp;"/"&amp;COUNTIFS(AT$4:AT$200,"&lt;&gt;-",$D$4:$D$200,"&lt;&gt;是",$E$4:$E$200,"&lt;&gt;封闭期",$H$4:$H$200,"&gt;10",$BN$4:$BN$200,"&gt;-6",$BR$4:$BR$200,"&gt;=70",$C$4:$C$200,"&lt;20190630",$K$4:$K$200,"&lt;=30"))</f>
        <v>-</v>
      </c>
      <c r="AX147" s="33" t="str">
        <f>IF(OR($C147&gt;20190630,$K147&gt;30,AT147="-",$D147="是",$E147="封闭期",$H147&lt;10,$BN147&lt;-6,$BR147&lt;70),"-",COUNTIFS(AT$4:AT$200,"&lt;&gt;-",$D$4:$D$200,"&lt;&gt;是",$E$4:$E$200,"&lt;&gt;封闭期",$H$4:$H$200,"&gt;10",$BN$4:$BN$200,"&gt;-6",$BR$4:$BR$200,"&gt;=70",$K$4:$K$200,"&lt;=30",$C$4:$C$200,"&lt;20190630",AT$4:AT$200,"&gt;="&amp;AT147)/COUNTIFS(AT$4:AT$200,"&lt;&gt;-",$D$4:$D$200,"&lt;&gt;是",$E$4:$E$200,"&lt;&gt;封闭期",$H$4:$H$200,"&gt;10",$BN$4:$BN$200,"&gt;-6",$BR$4:$BR$200,"&gt;=70",$C$4:$C$200,"&lt;20190630",$K$4:$K$200,"&lt;=30"))</f>
        <v>-</v>
      </c>
      <c r="AY147" s="19">
        <f>[1]!f_risk_calmar(A147,$AM$2,$L$2)</f>
        <v>2.0817202199351672</v>
      </c>
      <c r="AZ147" s="19" t="str">
        <f>IFERROR(RANK(AY147,AY:AY)&amp;"/"&amp;COUNT(AY:AY),"-")</f>
        <v>108/197</v>
      </c>
      <c r="BA147" s="26">
        <f>IFERROR(RANK(AY147,AY:AY)/COUNT(AY:AY),"-")</f>
        <v>0.54822335025380708</v>
      </c>
      <c r="BB147" s="34" t="str">
        <f>IF(OR($C147&gt;20190630,$K147&gt;30,AY147="-",$D147="是",$E147="封闭期",$H147&lt;10,$BN147&lt;-6,$BR147&lt;70),"-",COUNTIFS(AY$4:AY$200,"&lt;&gt;-",$D$4:$D$200,"&lt;&gt;是",$E$4:$E$200,"&lt;&gt;封闭期",$H$4:$H$200,"&gt;10",$BN$4:$BN$200,"&gt;-6",$BR$4:$BR$200,"&gt;=70",$K$4:$K$200,"&lt;=30",$C$4:$C$200,"&lt;20190630",AY$4:AY$200,"&gt;="&amp;AY147)&amp;"/"&amp;COUNTIFS(AY$4:AY$200,"&lt;&gt;-",$D$4:$D$200,"&lt;&gt;是",$E$4:$E$200,"&lt;&gt;封闭期",$H$4:$H$200,"&gt;10",$BN$4:$BN$200,"&gt;-6",$BR$4:$BR$200,"&gt;=70",$C$4:$C$200,"&lt;20190630",$K$4:$K$200,"&lt;=30"))</f>
        <v>-</v>
      </c>
      <c r="BC147" s="33" t="str">
        <f>IF(OR($C147&gt;20190630,$K147&gt;30,AY147="-",$D147="是",$E147="封闭期",$H147&lt;10,$BN147&lt;-6,$BR147&lt;70),"-",COUNTIFS(AY$4:AY$200,"&lt;&gt;-",$D$4:$D$200,"&lt;&gt;是",$E$4:$E$200,"&lt;&gt;封闭期",$H$4:$H$200,"&gt;10",$BN$4:$BN$200,"&gt;-6",$BR$4:$BR$200,"&gt;=70",$K$4:$K$200,"&lt;=30",$C$4:$C$200,"&lt;20190630",AY$4:AY$200,"&gt;="&amp;AY147)/COUNTIFS(AY$4:AY$200,"&lt;&gt;-",$D$4:$D$200,"&lt;&gt;是",$E$4:$E$200,"&lt;&gt;封闭期",$H$4:$H$200,"&gt;10",$BN$4:$BN$200,"&gt;-6",$BR$4:$BR$200,"&gt;=70",$C$4:$C$200,"&lt;20190630",$K$4:$K$200,"&lt;=30"))</f>
        <v>-</v>
      </c>
      <c r="BD147" s="20">
        <v>0.98333333333333328</v>
      </c>
      <c r="BE147" s="19" t="str">
        <f>IFERROR(RANK(BD147,BD:BD)&amp;"/"&amp;COUNT(BD:BD),"-")</f>
        <v>147/197</v>
      </c>
      <c r="BF147" s="26">
        <f>IFERROR(RANK(BD147,BD:BD)/COUNT(BD:BD),"-")</f>
        <v>0.74619289340101524</v>
      </c>
      <c r="BG147" s="34" t="str">
        <f>IF(OR($C147&gt;20190630,$K147&gt;30,BD147="-",$D147="是",$E147="封闭期",$H147&lt;10,$BN147&lt;-6,$BR147&lt;70),"-",COUNTIFS(BD$4:BD$200,"&lt;&gt;-",$D$4:$D$200,"&lt;&gt;是",$E$4:$E$200,"&lt;&gt;封闭期",$H$4:$H$200,"&gt;10",$BN$4:$BN$200,"&gt;-6",$BR$4:$BR$200,"&gt;=70",$K$4:$K$200,"&lt;=30",$C$4:$C$200,"&lt;20190630",BD$4:BD$200,"&gt;="&amp;BD147)&amp;"/"&amp;COUNTIFS(BD$4:BD$200,"&lt;&gt;-",$D$4:$D$200,"&lt;&gt;是",$E$4:$E$200,"&lt;&gt;封闭期",$H$4:$H$200,"&gt;10",$BN$4:$BN$200,"&gt;-6",$BR$4:$BR$200,"&gt;=70",$C$4:$C$200,"&lt;20190630",$K$4:$K$200,"&lt;=30"))</f>
        <v>-</v>
      </c>
      <c r="BH147" s="33" t="str">
        <f>IF(OR($C147&gt;20190630,$K147&gt;30,BD147="-",$D147="是",$E147="封闭期",$H147&lt;10,$BN147&lt;-6,$BR147&lt;70),"-",COUNTIFS(BD$4:BD$200,"&lt;&gt;-",$D$4:$D$200,"&lt;&gt;是",$E$4:$E$200,"&lt;&gt;封闭期",$H$4:$H$200,"&gt;10",$BN$4:$BN$200,"&gt;-6",$BR$4:$BR$200,"&gt;=70",$K$4:$K$200,"&lt;=30",$C$4:$C$200,"&lt;20190630",BD$4:BD$200,"&gt;="&amp;BD147)/COUNTIFS(BD$4:BD$200,"&lt;&gt;-",$D$4:$D$200,"&lt;&gt;是",$E$4:$E$200,"&lt;&gt;封闭期",$H$4:$H$200,"&gt;10",$BN$4:$BN$200,"&gt;-6",$BR$4:$BR$200,"&gt;=70",$C$4:$C$200,"&lt;20190630",$K$4:$K$200,"&lt;=30"))</f>
        <v>-</v>
      </c>
      <c r="BI147" s="21">
        <f>[1]!f_risk_maxdownside(A147,$AM$2,$L$2)</f>
        <v>-2.2525942799291272</v>
      </c>
      <c r="BJ147" s="19" t="str">
        <f>IFERROR(RANK(BI147,BI:BI)&amp;"/"&amp;COUNT(BI:BI),"-")</f>
        <v>47/197</v>
      </c>
      <c r="BK147" s="26">
        <f>IFERROR(RANK(BI147,BI:BI)/COUNT(BI:BI),"-")</f>
        <v>0.23857868020304568</v>
      </c>
      <c r="BL147" s="34" t="str">
        <f>IF(OR($C147&gt;20190630,$K147&gt;30,BI147="-",$D147="是",$E147="封闭期",$H147&lt;10,$BN147&lt;-6,$BR147&lt;70),"-",COUNTIFS(BI$4:BI$200,"&lt;&gt;-",$D$4:$D$200,"&lt;&gt;是",$E$4:$E$200,"&lt;&gt;封闭期",$H$4:$H$200,"&gt;10",$BN$4:$BN$200,"&gt;-6",$BR$4:$BR$200,"&gt;=70",$K$4:$K$200,"&lt;=30",$C$4:$C$200,"&lt;20190630",BI$4:BI$200,"&gt;="&amp;BI147)&amp;"/"&amp;COUNTIFS(BI$4:BI$200,"&lt;&gt;-",$D$4:$D$200,"&lt;&gt;是",$E$4:$E$200,"&lt;&gt;封闭期",$H$4:$H$200,"&gt;10",$BN$4:$BN$200,"&gt;-6",$BR$4:$BR$200,"&gt;=70",$C$4:$C$200,"&lt;20190630",$K$4:$K$200,"&lt;=30"))</f>
        <v>-</v>
      </c>
      <c r="BM147" s="33" t="str">
        <f>IF(OR($C147&gt;20190630,$K147&gt;30,BI147="-",$D147="是",$E147="封闭期",$H147&lt;10,$BN147&lt;-6,$BR147&lt;70),"-",COUNTIFS(BI$4:BI$200,"&lt;&gt;-",$D$4:$D$200,"&lt;&gt;是",$E$4:$E$200,"&lt;&gt;封闭期",$H$4:$H$200,"&gt;10",$BN$4:$BN$200,"&gt;-6",$BR$4:$BR$200,"&gt;=70",$K$4:$K$200,"&lt;=30",$C$4:$C$200,"&lt;20190630",BI$4:BI$200,"&gt;="&amp;BI147)/COUNTIFS(BI$4:BI$200,"&lt;&gt;-",$D$4:$D$200,"&lt;&gt;是",$E$4:$E$200,"&lt;&gt;封闭期",$H$4:$H$200,"&gt;10",$BN$4:$BN$200,"&gt;-6",$BR$4:$BR$200,"&gt;=70",$C$4:$C$200,"&lt;20190630",$K$4:$K$200,"&lt;=30"))</f>
        <v>-</v>
      </c>
      <c r="BN147" s="21">
        <f>[1]!f_risk_maxdownside(A147,$AM$2,$E$1)</f>
        <v>-4.1776532630191143</v>
      </c>
      <c r="BO147" s="21">
        <f>IF(C147&lt;20190930,[1]!f_return_2y(A147,"0","20210930"),"-")</f>
        <v>3.6080650866643036</v>
      </c>
      <c r="BP147" s="19" t="str">
        <f>IFERROR(RANK(BO147,BO:BO)&amp;"/"&amp;COUNT(BO:BO),"-")</f>
        <v>190/197</v>
      </c>
      <c r="BQ147" s="25">
        <f>IFERROR(RANK(BO147,BO:BO)/COUNT(BO:BO),"-")</f>
        <v>0.96446700507614214</v>
      </c>
      <c r="BR147" s="19">
        <f>IF(C147&lt;20190930,[1]!f_absolute_profitmonthper(A147,"20190930","20210930"),"-")</f>
        <v>50</v>
      </c>
      <c r="BS147" s="19" t="str">
        <f>IFERROR(RANK(BR147,BR:BR)&amp;"/"&amp;COUNT(BR:BR),"-")</f>
        <v>193/198</v>
      </c>
      <c r="BT147" s="25">
        <f>IFERROR(RANK(BR147,BR:BR)/COUNT(BR:BR),"-")</f>
        <v>0.9747474747474747</v>
      </c>
      <c r="BU147" s="17"/>
      <c r="BV147" s="12">
        <f>X147-3/M147</f>
        <v>-0.90159506528775624</v>
      </c>
      <c r="BW147" s="76">
        <f>IFERROR(RANK(BV147,BV:BV)/COUNT(BV:BV),"-")</f>
        <v>0.95939086294416243</v>
      </c>
      <c r="BX147" s="76">
        <f>IFERROR(RANK(L147,L:L)/COUNT(L:L),"-")</f>
        <v>0.9747474747474747</v>
      </c>
      <c r="BY147" s="12">
        <f>AY147-3/AN147</f>
        <v>1.180732385010639</v>
      </c>
      <c r="BZ147" s="76">
        <f>IFERROR(RANK(BY147,BY:BY)/COUNT(BY:BY),"-")</f>
        <v>0.63451776649746194</v>
      </c>
      <c r="CA147" s="76">
        <f>IFERROR(RANK(AM147,AM:AM)/COUNT(AM:AM),"-")</f>
        <v>0.73232323232323238</v>
      </c>
      <c r="CC147" s="77">
        <f>AV147+BF147+BZ147+CA147</f>
        <v>2.8135415064349076</v>
      </c>
      <c r="CD147" s="77">
        <f>BW147+BX147+AE147+U147</f>
        <v>3.8783007742398605</v>
      </c>
      <c r="CE147" s="77">
        <f>CC147+CD147</f>
        <v>6.6918422806747682</v>
      </c>
    </row>
    <row r="148" spans="1:83" s="17" customFormat="1" hidden="1" x14ac:dyDescent="0.35">
      <c r="A148" s="15" t="s">
        <v>227</v>
      </c>
      <c r="B148" s="15" t="s">
        <v>228</v>
      </c>
      <c r="C148" s="16">
        <v>20160413</v>
      </c>
      <c r="D148" s="16" t="str">
        <f>[1]!f_info_regulopenfundornot(A148)</f>
        <v>否</v>
      </c>
      <c r="E148" s="16" t="str">
        <f>[1]!f_dq_status(A148,$E$1)</f>
        <v>开放申购|开放赎回</v>
      </c>
      <c r="F148" s="17" t="str">
        <f>[1]!f_info_fundmanager(A148)</f>
        <v>李洁</v>
      </c>
      <c r="G148" s="16">
        <v>20200512</v>
      </c>
      <c r="H148" s="18">
        <f>[1]!f_netasset_total(A148,$E$1,100000000)</f>
        <v>9.6022884200000005E-2</v>
      </c>
      <c r="I148" s="18">
        <f>[1]!f_prt_convertiblebondtonav(A148,$E$1)</f>
        <v>16.113971710205078</v>
      </c>
      <c r="J148" s="18">
        <f>[1]!f_prt_stocktonav(A148,$E$1)+0.5*I148</f>
        <v>23.694726943969727</v>
      </c>
      <c r="K148" s="19">
        <v>0</v>
      </c>
      <c r="L148" s="19">
        <f>[1]!f_return($A148,"1",L$2,$E$1)</f>
        <v>3.1550624775368519</v>
      </c>
      <c r="M148" s="19">
        <f>[1]!f_risk_stdevyearly($A148,L$2,$E$1,1,1)</f>
        <v>4.9006916932046503</v>
      </c>
      <c r="N148" s="19">
        <f>IFERROR(L148/M148,"-")</f>
        <v>0.64379942160240244</v>
      </c>
      <c r="O148" s="19" t="str">
        <f>IFERROR(RANK(N148,N:N)&amp;"/"&amp;COUNT(N:N),"-")</f>
        <v>168/197</v>
      </c>
      <c r="P148" s="26">
        <f>IF(O148="-","-",RANK(N148,N:N)/COUNT(N:N))</f>
        <v>0.85279187817258884</v>
      </c>
      <c r="Q148" s="56">
        <v>0.82233502538071068</v>
      </c>
      <c r="R148" s="33" t="str">
        <f>IF(OR($C148&gt;20190630,$K148&gt;30,N148="-",$D148="是",$E148="封闭期",$H148&lt;10,$BN148&lt;-6,$BR148&lt;70),"-",COUNTIFS(N$4:N$200,"&lt;&gt;-",$D$4:$D$200,"&lt;&gt;是",$E$4:$E$200,"&lt;&gt;封闭期",$H$4:$H$200,"&gt;10",$BN$4:$BN$200,"&gt;-6",$BR$4:$BR$200,"&gt;=70",$K$4:$K$200,"&lt;=30",$C$4:$C$200,"&lt;20190630",N$4:N$200,"&gt;="&amp;N148)/COUNTIFS(N$4:N$200,"&lt;&gt;-",$D$4:$D$200,"&lt;&gt;是",$E$4:$E$200,"&lt;&gt;封闭期",$H$4:$H$200,"&gt;10",$BN$4:$BN$200,"&gt;-6",$BR$4:$BR$200,"&gt;=70",$C$4:$C$200,"&lt;20190630",$K$4:$K$200,"&lt;=30"))</f>
        <v>-</v>
      </c>
      <c r="S148" s="19">
        <f>IFERROR((L148-3)/M148,"-")</f>
        <v>3.1640937084832968E-2</v>
      </c>
      <c r="T148" s="19" t="str">
        <f>IFERROR(RANK(S148,S:S)&amp;"/"&amp;COUNT(S:S),"-")</f>
        <v>160/197</v>
      </c>
      <c r="U148" s="26">
        <f>IFERROR(RANK(S148,S:S)/COUNT(S:S),"-")</f>
        <v>0.81218274111675126</v>
      </c>
      <c r="V148" s="34" t="str">
        <f>IF(OR($C148&gt;20190630,$K148&gt;30,S148="-",$D148="是",$E148="封闭期",$H148&lt;10,$BN148&lt;-6,$BR148&lt;70),"-",COUNTIFS(S$4:S$200,"&lt;&gt;-",$D$4:$D$200,"&lt;&gt;是",$E$4:$E$200,"&lt;&gt;封闭期",$H$4:$H$200,"&gt;10",$BN$4:$BN$200,"&gt;-6",$BR$4:$BR$200,"&gt;=70",$K$4:$K$200,"&lt;=30",$C$4:$C$200,"&lt;20190630",S$4:S$200,"&gt;="&amp;S148)&amp;"/"&amp;COUNTIFS(S$4:S$200,"&lt;&gt;-",$D$4:$D$200,"&lt;&gt;是",$E$4:$E$200,"&lt;&gt;封闭期",$H$4:$H$200,"&gt;10",$BN$4:$BN$200,"&gt;-6",$BR$4:$BR$200,"&gt;=70",$C$4:$C$200,"&lt;20190630",$K$4:$K$200,"&lt;=30"))</f>
        <v>-</v>
      </c>
      <c r="W148" s="33" t="str">
        <f>IF(OR($C148&gt;20190630,$K148&gt;30,S148="-",$D148="是",$E148="封闭期",$H148&lt;10,$BN148&lt;-6,$BR148&lt;70),"-",COUNTIFS(S$4:S$200,"&lt;&gt;-",$D$4:$D$200,"&lt;&gt;是",$E$4:$E$200,"&lt;&gt;封闭期",$H$4:$H$200,"&gt;10",$BN$4:$BN$200,"&gt;-6",$BR$4:$BR$200,"&gt;=70",$K$4:$K$200,"&lt;=30",$C$4:$C$200,"&lt;20190630",S$4:S$200,"&gt;="&amp;S148)/COUNTIFS(S$4:S$200,"&lt;&gt;-",$D$4:$D$200,"&lt;&gt;是",$E$4:$E$200,"&lt;&gt;封闭期",$H$4:$H$200,"&gt;10",$BN$4:$BN$200,"&gt;-6",$BR$4:$BR$200,"&gt;=70",$C$4:$C$200,"&lt;20190630",$K$4:$K$200,"&lt;=30"))</f>
        <v>-</v>
      </c>
      <c r="X148" s="19">
        <f>[1]!f_risk_calmar(A148,$L$2,$E$1)</f>
        <v>0.80943891182775296</v>
      </c>
      <c r="Y148" s="19" t="str">
        <f>IFERROR(RANK(X148,X:X)&amp;"/"&amp;COUNT(X:X),"-")</f>
        <v>168/197</v>
      </c>
      <c r="Z148" s="26">
        <f>IFERROR(RANK(X148,X:X)/COUNT(X:X),"-")</f>
        <v>0.85279187817258884</v>
      </c>
      <c r="AA148" s="34" t="str">
        <f>IF(OR($C148&gt;20190630,$K148&gt;30,X148="-",$D148="是",$E148="封闭期",$H148&lt;10,$BN148&lt;-6,$BR148&lt;70),"-",COUNTIFS(X$4:X$200,"&lt;&gt;-",$D$4:$D$200,"&lt;&gt;是",$E$4:$E$200,"&lt;&gt;封闭期",$H$4:$H$200,"&gt;10",$BN$4:$BN$200,"&gt;-6",$BR$4:$BR$200,"&gt;=70",$K$4:$K$200,"&lt;=30",$C$4:$C$200,"&lt;20190630",X$4:X$200,"&gt;="&amp;X148)&amp;"/"&amp;COUNTIFS(X$4:X$200,"&lt;&gt;-",$D$4:$D$200,"&lt;&gt;是",$E$4:$E$200,"&lt;&gt;封闭期",$H$4:$H$200,"&gt;10",$BN$4:$BN$200,"&gt;-6",$BR$4:$BR$200,"&gt;=70",$C$4:$C$200,"&lt;20190630",$K$4:$K$200,"&lt;=30"))</f>
        <v>-</v>
      </c>
      <c r="AB148" s="33" t="str">
        <f>IF(OR($C148&gt;20190630,$K148&gt;30,X148="-",$D148="是",$E148="封闭期",$H148&lt;10,$BN148&lt;-6,$BR148&lt;70),"-",COUNTIFS(X$4:X$200,"&lt;&gt;-",$D$4:$D$200,"&lt;&gt;是",$E$4:$E$200,"&lt;&gt;封闭期",$H$4:$H$200,"&gt;10",$BN$4:$BN$200,"&gt;-6",$BR$4:$BR$200,"&gt;=70",$K$4:$K$200,"&lt;=30",$C$4:$C$200,"&lt;20190630",X$4:X$200,"&gt;="&amp;X148)/COUNTIFS(X$4:X$200,"&lt;&gt;-",$D$4:$D$200,"&lt;&gt;是",$E$4:$E$200,"&lt;&gt;封闭期",$H$4:$H$200,"&gt;10",$BN$4:$BN$200,"&gt;-6",$BR$4:$BR$200,"&gt;=70",$C$4:$C$200,"&lt;20190630",$K$4:$K$200,"&lt;=30"))</f>
        <v>-</v>
      </c>
      <c r="AC148" s="20">
        <v>0.84873949579831931</v>
      </c>
      <c r="AD148" s="19" t="str">
        <f>IFERROR(RANK(AC148,AC:AC)&amp;"/"&amp;COUNT(AC:AC),"-")</f>
        <v>138/197</v>
      </c>
      <c r="AE148" s="26">
        <f>IFERROR(RANK(AC148,AC:AC)/COUNT(AC:AC),"-")</f>
        <v>0.70050761421319796</v>
      </c>
      <c r="AF148" s="34" t="str">
        <f>IF(OR($C148&gt;20190630,$K148&gt;30,AC148="-",$D148="是",$E148="封闭期",$H148&lt;10,$BN148&lt;-6,$BR148&lt;70),"-",COUNTIFS(AC$4:AC$200,"&lt;&gt;-",$D$4:$D$200,"&lt;&gt;是",$E$4:$E$200,"&lt;&gt;封闭期",$H$4:$H$200,"&gt;10",$BN$4:$BN$200,"&gt;-6",$BR$4:$BR$200,"&gt;=70",$K$4:$K$200,"&lt;=30",$C$4:$C$200,"&lt;20190630",AC$4:AC$200,"&gt;="&amp;AC148)&amp;"/"&amp;COUNTIFS(AC$4:AC$200,"&lt;&gt;-",$D$4:$D$200,"&lt;&gt;是",$E$4:$E$200,"&lt;&gt;封闭期",$H$4:$H$200,"&gt;10",$BN$4:$BN$200,"&gt;-6",$BR$4:$BR$200,"&gt;=70",$C$4:$C$200,"&lt;20190630",$K$4:$K$200,"&lt;=30"))</f>
        <v>-</v>
      </c>
      <c r="AG148" s="33" t="str">
        <f>IF(OR($C148&gt;20190630,$K148&gt;30,AC148="-",$D148="是",$E148="封闭期",$H148&lt;10,$BN148&lt;-6,$BR148&lt;70),"-",COUNTIFS(AC$4:AC$200,"&lt;&gt;-",$D$4:$D$200,"&lt;&gt;是",$E$4:$E$200,"&lt;&gt;封闭期",$H$4:$H$200,"&gt;10",$BN$4:$BN$200,"&gt;-6",$BR$4:$BR$200,"&gt;=70",$K$4:$K$200,"&lt;=30",$C$4:$C$200,"&lt;20190630",AC$4:AC$200,"&gt;="&amp;AC148)/COUNTIFS(AC$4:AC$200,"&lt;&gt;-",$D$4:$D$200,"&lt;&gt;是",$E$4:$E$200,"&lt;&gt;封闭期",$H$4:$H$200,"&gt;10",$BN$4:$BN$200,"&gt;-6",$BR$4:$BR$200,"&gt;=70",$C$4:$C$200,"&lt;20190630",$K$4:$K$200,"&lt;=30"))</f>
        <v>-</v>
      </c>
      <c r="AH148" s="21">
        <f>[1]!f_risk_maxdownside(A148,$L$2,$E$1)</f>
        <v>-3.897838899803526</v>
      </c>
      <c r="AI148" s="19" t="str">
        <f>IFERROR(RANK(AH148,AH:AH)&amp;"/"&amp;COUNT(AH:AH),"-")</f>
        <v>122/197</v>
      </c>
      <c r="AJ148" s="26">
        <f>IFERROR(RANK(AH148,AH:AH)/COUNT(AH:AH),"-")</f>
        <v>0.61928934010152281</v>
      </c>
      <c r="AK148" s="34" t="str">
        <f>IF(OR($C148&gt;20190630,$K148&gt;30,AH148="-",$D148="是",$E148="封闭期",$H148&lt;10,$BN148&lt;-6,$BR148&lt;70),"-",COUNTIFS(AH$4:AH$200,"&lt;&gt;-",$D$4:$D$200,"&lt;&gt;是",$E$4:$E$200,"&lt;&gt;封闭期",$H$4:$H$200,"&gt;10",$BN$4:$BN$200,"&gt;-6",$BR$4:$BR$200,"&gt;=70",$K$4:$K$200,"&lt;=30",$C$4:$C$200,"&lt;20190630",AH$4:AH$200,"&gt;="&amp;AH148)&amp;"/"&amp;COUNTIFS(AH$4:AH$200,"&lt;&gt;-",$D$4:$D$200,"&lt;&gt;是",$E$4:$E$200,"&lt;&gt;封闭期",$H$4:$H$200,"&gt;10",$BN$4:$BN$200,"&gt;-6",$BR$4:$BR$200,"&gt;=70",$C$4:$C$200,"&lt;20190630",$K$4:$K$200,"&lt;=30"))</f>
        <v>-</v>
      </c>
      <c r="AL148" s="33" t="str">
        <f>IF(OR($C148&gt;20190630,$K148&gt;30,AH148="-",$D148="是",$E148="封闭期",$H148&lt;10,$BN148&lt;-6,$BR148&lt;70),"-",COUNTIFS(AH$4:AH$200,"&lt;&gt;-",$D$4:$D$200,"&lt;&gt;是",$E$4:$E$200,"&lt;&gt;封闭期",$H$4:$H$200,"&gt;10",$BN$4:$BN$200,"&gt;-6",$BR$4:$BR$200,"&gt;=70",$K$4:$K$200,"&lt;=30",$C$4:$C$200,"&lt;20190630",AH$4:AH$200,"&gt;="&amp;AH148)/COUNTIFS(AH$4:AH$200,"&lt;&gt;-",$D$4:$D$200,"&lt;&gt;是",$E$4:$E$200,"&lt;&gt;封闭期",$H$4:$H$200,"&gt;10",$BN$4:$BN$200,"&gt;-6",$BR$4:$BR$200,"&gt;=70",$C$4:$C$200,"&lt;20190630",$K$4:$K$200,"&lt;=30"))</f>
        <v>-</v>
      </c>
      <c r="AM148" s="19">
        <f>[1]!f_return($A148,"1",AM$2,$L$2)</f>
        <v>4.6837018441057809</v>
      </c>
      <c r="AN148" s="19">
        <f>[1]!f_risk_stdevyearly($A148,AM$2,$L$2,1,1)</f>
        <v>5.9204828570946377</v>
      </c>
      <c r="AO148" s="19">
        <f>IFERROR(AM148/AN148,"-")</f>
        <v>0.79110132689485002</v>
      </c>
      <c r="AP148" s="19" t="str">
        <f>IFERROR(RANK(AO148,AO:AO)&amp;"/"&amp;COUNT(AO:AO),"-")</f>
        <v>177/197</v>
      </c>
      <c r="AQ148" s="26">
        <f>IF(AP148="-","-",RANK(AO148,AO:AO)/COUNT(AO:AO))</f>
        <v>0.89847715736040612</v>
      </c>
      <c r="AR148" s="57">
        <v>0.73604060913705582</v>
      </c>
      <c r="AS148" s="33" t="str">
        <f>IF(OR($C148&gt;20190630,$K148&gt;30,AO148="-",$D148="是",$E148="封闭期",$H148&lt;10,$BN148&lt;-6,$BR148&lt;70),"-",COUNTIFS(AO$4:AO$200,"&lt;&gt;-",$D$4:$D$200,"&lt;&gt;是",$E$4:$E$200,"&lt;&gt;封闭期",$H$4:$H$200,"&gt;10",$BN$4:$BN$200,"&gt;-6",$BR$4:$BR$200,"&gt;=70",$K$4:$K$200,"&lt;=30",$C$4:$C$200,"&lt;20190630",AO$4:AO$200,"&gt;="&amp;AO148)/COUNTIFS(AO$4:AO$200,"&lt;&gt;-",$D$4:$D$200,"&lt;&gt;是",$E$4:$E$200,"&lt;&gt;封闭期",$H$4:$H$200,"&gt;10",$BN$4:$BN$200,"&gt;-6",$BR$4:$BR$200,"&gt;=70",$C$4:$C$200,"&lt;20190630",$K$4:$K$200,"&lt;=30"))</f>
        <v>-</v>
      </c>
      <c r="AT148" s="19">
        <f>IFERROR((AM148-3)/AN148,"-")</f>
        <v>0.28438589972237921</v>
      </c>
      <c r="AU148" s="19" t="str">
        <f>IFERROR(RANK(AT148,AT:AT)&amp;"/"&amp;COUNT(AT:AT),"-")</f>
        <v>155/197</v>
      </c>
      <c r="AV148" s="26">
        <f>IFERROR(RANK(AT148,AT:AT)/COUNT(AT:AT),"-")</f>
        <v>0.78680203045685282</v>
      </c>
      <c r="AW148" s="34" t="str">
        <f>IF(OR($C148&gt;20190630,$K148&gt;30,AT148="-",$D148="是",$E148="封闭期",$H148&lt;10,$BN148&lt;-6,$BR148&lt;70),"-",COUNTIFS(AT$4:AT$200,"&lt;&gt;-",$D$4:$D$200,"&lt;&gt;是",$E$4:$E$200,"&lt;&gt;封闭期",$H$4:$H$200,"&gt;10",$BN$4:$BN$200,"&gt;-6",$BR$4:$BR$200,"&gt;=70",$K$4:$K$200,"&lt;=30",$C$4:$C$200,"&lt;20190630",AT$4:AT$200,"&gt;="&amp;AT148)&amp;"/"&amp;COUNTIFS(AT$4:AT$200,"&lt;&gt;-",$D$4:$D$200,"&lt;&gt;是",$E$4:$E$200,"&lt;&gt;封闭期",$H$4:$H$200,"&gt;10",$BN$4:$BN$200,"&gt;-6",$BR$4:$BR$200,"&gt;=70",$C$4:$C$200,"&lt;20190630",$K$4:$K$200,"&lt;=30"))</f>
        <v>-</v>
      </c>
      <c r="AX148" s="33" t="str">
        <f>IF(OR($C148&gt;20190630,$K148&gt;30,AT148="-",$D148="是",$E148="封闭期",$H148&lt;10,$BN148&lt;-6,$BR148&lt;70),"-",COUNTIFS(AT$4:AT$200,"&lt;&gt;-",$D$4:$D$200,"&lt;&gt;是",$E$4:$E$200,"&lt;&gt;封闭期",$H$4:$H$200,"&gt;10",$BN$4:$BN$200,"&gt;-6",$BR$4:$BR$200,"&gt;=70",$K$4:$K$200,"&lt;=30",$C$4:$C$200,"&lt;20190630",AT$4:AT$200,"&gt;="&amp;AT148)/COUNTIFS(AT$4:AT$200,"&lt;&gt;-",$D$4:$D$200,"&lt;&gt;是",$E$4:$E$200,"&lt;&gt;封闭期",$H$4:$H$200,"&gt;10",$BN$4:$BN$200,"&gt;-6",$BR$4:$BR$200,"&gt;=70",$C$4:$C$200,"&lt;20190630",$K$4:$K$200,"&lt;=30"))</f>
        <v>-</v>
      </c>
      <c r="AY148" s="19">
        <f>[1]!f_risk_calmar(A148,$AM$2,$L$2)</f>
        <v>0.8463292882310135</v>
      </c>
      <c r="AZ148" s="19" t="str">
        <f>IFERROR(RANK(AY148,AY:AY)&amp;"/"&amp;COUNT(AY:AY),"-")</f>
        <v>175/197</v>
      </c>
      <c r="BA148" s="26">
        <f>IFERROR(RANK(AY148,AY:AY)/COUNT(AY:AY),"-")</f>
        <v>0.8883248730964467</v>
      </c>
      <c r="BB148" s="34" t="str">
        <f>IF(OR($C148&gt;20190630,$K148&gt;30,AY148="-",$D148="是",$E148="封闭期",$H148&lt;10,$BN148&lt;-6,$BR148&lt;70),"-",COUNTIFS(AY$4:AY$200,"&lt;&gt;-",$D$4:$D$200,"&lt;&gt;是",$E$4:$E$200,"&lt;&gt;封闭期",$H$4:$H$200,"&gt;10",$BN$4:$BN$200,"&gt;-6",$BR$4:$BR$200,"&gt;=70",$K$4:$K$200,"&lt;=30",$C$4:$C$200,"&lt;20190630",AY$4:AY$200,"&gt;="&amp;AY148)&amp;"/"&amp;COUNTIFS(AY$4:AY$200,"&lt;&gt;-",$D$4:$D$200,"&lt;&gt;是",$E$4:$E$200,"&lt;&gt;封闭期",$H$4:$H$200,"&gt;10",$BN$4:$BN$200,"&gt;-6",$BR$4:$BR$200,"&gt;=70",$C$4:$C$200,"&lt;20190630",$K$4:$K$200,"&lt;=30"))</f>
        <v>-</v>
      </c>
      <c r="BC148" s="33" t="str">
        <f>IF(OR($C148&gt;20190630,$K148&gt;30,AY148="-",$D148="是",$E148="封闭期",$H148&lt;10,$BN148&lt;-6,$BR148&lt;70),"-",COUNTIFS(AY$4:AY$200,"&lt;&gt;-",$D$4:$D$200,"&lt;&gt;是",$E$4:$E$200,"&lt;&gt;封闭期",$H$4:$H$200,"&gt;10",$BN$4:$BN$200,"&gt;-6",$BR$4:$BR$200,"&gt;=70",$K$4:$K$200,"&lt;=30",$C$4:$C$200,"&lt;20190630",AY$4:AY$200,"&gt;="&amp;AY148)/COUNTIFS(AY$4:AY$200,"&lt;&gt;-",$D$4:$D$200,"&lt;&gt;是",$E$4:$E$200,"&lt;&gt;封闭期",$H$4:$H$200,"&gt;10",$BN$4:$BN$200,"&gt;-6",$BR$4:$BR$200,"&gt;=70",$C$4:$C$200,"&lt;20190630",$K$4:$K$200,"&lt;=30"))</f>
        <v>-</v>
      </c>
      <c r="BD148" s="20">
        <v>1</v>
      </c>
      <c r="BE148" s="19" t="str">
        <f>IFERROR(RANK(BD148,BD:BD)&amp;"/"&amp;COUNT(BD:BD),"-")</f>
        <v>1/197</v>
      </c>
      <c r="BF148" s="26">
        <f>IFERROR(RANK(BD148,BD:BD)/COUNT(BD:BD),"-")</f>
        <v>5.076142131979695E-3</v>
      </c>
      <c r="BG148" s="34" t="str">
        <f>IF(OR($C148&gt;20190630,$K148&gt;30,BD148="-",$D148="是",$E148="封闭期",$H148&lt;10,$BN148&lt;-6,$BR148&lt;70),"-",COUNTIFS(BD$4:BD$200,"&lt;&gt;-",$D$4:$D$200,"&lt;&gt;是",$E$4:$E$200,"&lt;&gt;封闭期",$H$4:$H$200,"&gt;10",$BN$4:$BN$200,"&gt;-6",$BR$4:$BR$200,"&gt;=70",$K$4:$K$200,"&lt;=30",$C$4:$C$200,"&lt;20190630",BD$4:BD$200,"&gt;="&amp;BD148)&amp;"/"&amp;COUNTIFS(BD$4:BD$200,"&lt;&gt;-",$D$4:$D$200,"&lt;&gt;是",$E$4:$E$200,"&lt;&gt;封闭期",$H$4:$H$200,"&gt;10",$BN$4:$BN$200,"&gt;-6",$BR$4:$BR$200,"&gt;=70",$C$4:$C$200,"&lt;20190630",$K$4:$K$200,"&lt;=30"))</f>
        <v>-</v>
      </c>
      <c r="BH148" s="33" t="str">
        <f>IF(OR($C148&gt;20190630,$K148&gt;30,BD148="-",$D148="是",$E148="封闭期",$H148&lt;10,$BN148&lt;-6,$BR148&lt;70),"-",COUNTIFS(BD$4:BD$200,"&lt;&gt;-",$D$4:$D$200,"&lt;&gt;是",$E$4:$E$200,"&lt;&gt;封闭期",$H$4:$H$200,"&gt;10",$BN$4:$BN$200,"&gt;-6",$BR$4:$BR$200,"&gt;=70",$K$4:$K$200,"&lt;=30",$C$4:$C$200,"&lt;20190630",BD$4:BD$200,"&gt;="&amp;BD148)/COUNTIFS(BD$4:BD$200,"&lt;&gt;-",$D$4:$D$200,"&lt;&gt;是",$E$4:$E$200,"&lt;&gt;封闭期",$H$4:$H$200,"&gt;10",$BN$4:$BN$200,"&gt;-6",$BR$4:$BR$200,"&gt;=70",$C$4:$C$200,"&lt;20190630",$K$4:$K$200,"&lt;=30"))</f>
        <v>-</v>
      </c>
      <c r="BI148" s="21">
        <f>[1]!f_risk_maxdownside(A148,$AM$2,$L$2)</f>
        <v>-5.5341365461847527</v>
      </c>
      <c r="BJ148" s="19" t="str">
        <f>IFERROR(RANK(BI148,BI:BI)&amp;"/"&amp;COUNT(BI:BI),"-")</f>
        <v>164/197</v>
      </c>
      <c r="BK148" s="26">
        <f>IFERROR(RANK(BI148,BI:BI)/COUNT(BI:BI),"-")</f>
        <v>0.8324873096446701</v>
      </c>
      <c r="BL148" s="34" t="str">
        <f>IF(OR($C148&gt;20190630,$K148&gt;30,BI148="-",$D148="是",$E148="封闭期",$H148&lt;10,$BN148&lt;-6,$BR148&lt;70),"-",COUNTIFS(BI$4:BI$200,"&lt;&gt;-",$D$4:$D$200,"&lt;&gt;是",$E$4:$E$200,"&lt;&gt;封闭期",$H$4:$H$200,"&gt;10",$BN$4:$BN$200,"&gt;-6",$BR$4:$BR$200,"&gt;=70",$K$4:$K$200,"&lt;=30",$C$4:$C$200,"&lt;20190630",BI$4:BI$200,"&gt;="&amp;BI148)&amp;"/"&amp;COUNTIFS(BI$4:BI$200,"&lt;&gt;-",$D$4:$D$200,"&lt;&gt;是",$E$4:$E$200,"&lt;&gt;封闭期",$H$4:$H$200,"&gt;10",$BN$4:$BN$200,"&gt;-6",$BR$4:$BR$200,"&gt;=70",$C$4:$C$200,"&lt;20190630",$K$4:$K$200,"&lt;=30"))</f>
        <v>-</v>
      </c>
      <c r="BM148" s="33" t="str">
        <f>IF(OR($C148&gt;20190630,$K148&gt;30,BI148="-",$D148="是",$E148="封闭期",$H148&lt;10,$BN148&lt;-6,$BR148&lt;70),"-",COUNTIFS(BI$4:BI$200,"&lt;&gt;-",$D$4:$D$200,"&lt;&gt;是",$E$4:$E$200,"&lt;&gt;封闭期",$H$4:$H$200,"&gt;10",$BN$4:$BN$200,"&gt;-6",$BR$4:$BR$200,"&gt;=70",$K$4:$K$200,"&lt;=30",$C$4:$C$200,"&lt;20190630",BI$4:BI$200,"&gt;="&amp;BI148)/COUNTIFS(BI$4:BI$200,"&lt;&gt;-",$D$4:$D$200,"&lt;&gt;是",$E$4:$E$200,"&lt;&gt;封闭期",$H$4:$H$200,"&gt;10",$BN$4:$BN$200,"&gt;-6",$BR$4:$BR$200,"&gt;=70",$C$4:$C$200,"&lt;20190630",$K$4:$K$200,"&lt;=30"))</f>
        <v>-</v>
      </c>
      <c r="BN148" s="21">
        <f>[1]!f_risk_maxdownside(A148,$AM$2,$E$1)</f>
        <v>-5.5341365461847527</v>
      </c>
      <c r="BO148" s="21">
        <f>IF(C148&lt;20190930,[1]!f_return_2y(A148,"0","20210930"),"-")</f>
        <v>8.5427989130434803</v>
      </c>
      <c r="BP148" s="19" t="str">
        <f>IFERROR(RANK(BO148,BO:BO)&amp;"/"&amp;COUNT(BO:BO),"-")</f>
        <v>160/197</v>
      </c>
      <c r="BQ148" s="25">
        <f>IFERROR(RANK(BO148,BO:BO)/COUNT(BO:BO),"-")</f>
        <v>0.81218274111675126</v>
      </c>
      <c r="BR148" s="19">
        <f>IF(C148&lt;20190930,[1]!f_absolute_profitmonthper(A148,"20190930","20210930"),"-")</f>
        <v>70.833333333333343</v>
      </c>
      <c r="BS148" s="19" t="str">
        <f>IFERROR(RANK(BR148,BR:BR)&amp;"/"&amp;COUNT(BR:BR),"-")</f>
        <v>55/198</v>
      </c>
      <c r="BT148" s="25">
        <f>IFERROR(RANK(BR148,BR:BR)/COUNT(BR:BR),"-")</f>
        <v>0.27777777777777779</v>
      </c>
      <c r="BV148" s="12">
        <f>X148-3/M148</f>
        <v>0.19728042731018358</v>
      </c>
      <c r="BW148" s="76">
        <f>IFERROR(RANK(BV148,BV:BV)/COUNT(BV:BV),"-")</f>
        <v>0.8375634517766497</v>
      </c>
      <c r="BX148" s="76">
        <f>IFERROR(RANK(L148,L:L)/COUNT(L:L),"-")</f>
        <v>0.8232323232323232</v>
      </c>
      <c r="BY148" s="12">
        <f>AY148-3/AN148</f>
        <v>0.33961386105854263</v>
      </c>
      <c r="BZ148" s="76">
        <f>IFERROR(RANK(BY148,BY:BY)/COUNT(BY:BY),"-")</f>
        <v>0.80710659898477155</v>
      </c>
      <c r="CA148" s="76">
        <f>IFERROR(RANK(AM148,AM:AM)/COUNT(AM:AM),"-")</f>
        <v>0.73737373737373735</v>
      </c>
      <c r="CB148" s="2"/>
      <c r="CC148" s="77">
        <f>AV148+BF148+BZ148+CA148</f>
        <v>2.3363585089473413</v>
      </c>
      <c r="CD148" s="77">
        <f>BW148+BX148+AE148+U148</f>
        <v>3.1734861303389224</v>
      </c>
      <c r="CE148" s="77">
        <f>CC148+CD148</f>
        <v>5.5098446392862641</v>
      </c>
    </row>
    <row r="149" spans="1:83" s="17" customFormat="1" x14ac:dyDescent="0.35">
      <c r="A149" s="3" t="s">
        <v>29</v>
      </c>
      <c r="B149" s="3" t="s">
        <v>30</v>
      </c>
      <c r="C149" s="4">
        <v>20170323</v>
      </c>
      <c r="D149" s="4" t="str">
        <f>[1]!f_info_regulopenfundornot(A149)</f>
        <v>否</v>
      </c>
      <c r="E149" s="4" t="str">
        <f>[1]!f_dq_status(A149,$E$1)</f>
        <v>开放申购|开放赎回</v>
      </c>
      <c r="F149" s="17" t="str">
        <f>[1]!f_info_fundmanager(A149)</f>
        <v>刘薇,孙蕾</v>
      </c>
      <c r="G149" s="4">
        <v>20210127</v>
      </c>
      <c r="H149" s="11">
        <f>[1]!f_netasset_total(A149,$E$1,100000000)</f>
        <v>10.2021456491</v>
      </c>
      <c r="I149" s="11">
        <f>[1]!f_prt_convertiblebondtonav(A149,$E$1)</f>
        <v>0</v>
      </c>
      <c r="J149" s="11">
        <f>[1]!f_prt_stocktonav(A149,$E$1)+0.5*I149</f>
        <v>0</v>
      </c>
      <c r="K149" s="12">
        <v>0</v>
      </c>
      <c r="L149" s="19">
        <f>[1]!f_return($A149,"1",L$2,$E$1)</f>
        <v>4.3062469242046042</v>
      </c>
      <c r="M149" s="19">
        <f>[1]!f_risk_stdevyearly($A149,L$2,$E$1,1,1)</f>
        <v>1.0835532148839426</v>
      </c>
      <c r="N149" s="12">
        <f>IFERROR(L149/M149,"-")</f>
        <v>3.9741905289495527</v>
      </c>
      <c r="O149" s="12" t="str">
        <f>IFERROR(RANK(N149,N:N)&amp;"/"&amp;COUNT(N:N),"-")</f>
        <v>12/197</v>
      </c>
      <c r="P149" s="26">
        <f>IF(O149="-","-",RANK(N149,N:N)/COUNT(N:N))</f>
        <v>6.0913705583756347E-2</v>
      </c>
      <c r="Q149" s="58">
        <v>0.68527918781725883</v>
      </c>
      <c r="R149" s="33">
        <f>IF(OR($C149&gt;20190630,$K149&gt;30,N149="-",$D149="是",$E149="封闭期",$H149&lt;10,$BN149&lt;-6,$BR149&lt;70),"-",COUNTIFS(N$4:N$200,"&lt;&gt;-",$D$4:$D$200,"&lt;&gt;是",$E$4:$E$200,"&lt;&gt;封闭期",$H$4:$H$200,"&gt;10",$BN$4:$BN$200,"&gt;-6",$BR$4:$BR$200,"&gt;=70",$K$4:$K$200,"&lt;=30",$C$4:$C$200,"&lt;20190630",N$4:N$200,"&gt;="&amp;N149)/COUNTIFS(N$4:N$200,"&lt;&gt;-",$D$4:$D$200,"&lt;&gt;是",$E$4:$E$200,"&lt;&gt;封闭期",$H$4:$H$200,"&gt;10",$BN$4:$BN$200,"&gt;-6",$BR$4:$BR$200,"&gt;=70",$C$4:$C$200,"&lt;20190630",$K$4:$K$200,"&lt;=30"))</f>
        <v>5.128205128205128E-2</v>
      </c>
      <c r="S149" s="12">
        <f>IFERROR((L149-3)/M149,"-")</f>
        <v>1.2055217097431747</v>
      </c>
      <c r="T149" s="12" t="str">
        <f>IFERROR(RANK(S149,S:S)&amp;"/"&amp;COUNT(S:S),"-")</f>
        <v>54/197</v>
      </c>
      <c r="U149" s="26">
        <f>IFERROR(RANK(S149,S:S)/COUNT(S:S),"-")</f>
        <v>0.27411167512690354</v>
      </c>
      <c r="V149" s="13" t="str">
        <f>IF(OR($C149&gt;20190630,$K149&gt;30,S149="-",$D149="是",$E149="封闭期",$H149&lt;10,$BN149&lt;-6,$BR149&lt;70),"-",COUNTIFS(S$4:S$200,"&lt;&gt;-",$D$4:$D$200,"&lt;&gt;是",$E$4:$E$200,"&lt;&gt;封闭期",$H$4:$H$200,"&gt;10",$BN$4:$BN$200,"&gt;-6",$BR$4:$BR$200,"&gt;=70",$K$4:$K$200,"&lt;=30",$C$4:$C$200,"&lt;20190630",S$4:S$200,"&gt;="&amp;S149)&amp;"/"&amp;COUNTIFS(S$4:S$200,"&lt;&gt;-",$D$4:$D$200,"&lt;&gt;是",$E$4:$E$200,"&lt;&gt;封闭期",$H$4:$H$200,"&gt;10",$BN$4:$BN$200,"&gt;-6",$BR$4:$BR$200,"&gt;=70",$C$4:$C$200,"&lt;20190630",$K$4:$K$200,"&lt;=30"))</f>
        <v>17/39</v>
      </c>
      <c r="W149" s="33">
        <f>IF(OR($C149&gt;20190630,$K149&gt;30,S149="-",$D149="是",$E149="封闭期",$H149&lt;10,$BN149&lt;-6,$BR149&lt;70),"-",COUNTIFS(S$4:S$200,"&lt;&gt;-",$D$4:$D$200,"&lt;&gt;是",$E$4:$E$200,"&lt;&gt;封闭期",$H$4:$H$200,"&gt;10",$BN$4:$BN$200,"&gt;-6",$BR$4:$BR$200,"&gt;=70",$K$4:$K$200,"&lt;=30",$C$4:$C$200,"&lt;20190630",S$4:S$200,"&gt;="&amp;S149)/COUNTIFS(S$4:S$200,"&lt;&gt;-",$D$4:$D$200,"&lt;&gt;是",$E$4:$E$200,"&lt;&gt;封闭期",$H$4:$H$200,"&gt;10",$BN$4:$BN$200,"&gt;-6",$BR$4:$BR$200,"&gt;=70",$C$4:$C$200,"&lt;20190630",$K$4:$K$200,"&lt;=30"))</f>
        <v>0.4358974358974359</v>
      </c>
      <c r="X149" s="19">
        <f>[1]!f_risk_calmar(A149,$L$2,$E$1)</f>
        <v>9.7716652143325256</v>
      </c>
      <c r="Y149" s="12" t="str">
        <f>IFERROR(RANK(X149,X:X)&amp;"/"&amp;COUNT(X:X),"-")</f>
        <v>7/197</v>
      </c>
      <c r="Z149" s="26">
        <f>IFERROR(RANK(X149,X:X)/COUNT(X:X),"-")</f>
        <v>3.553299492385787E-2</v>
      </c>
      <c r="AA149" s="13" t="str">
        <f>IF(OR($C149&gt;20190630,$K149&gt;30,X149="-",$D149="是",$E149="封闭期",$H149&lt;10,$BN149&lt;-6,$BR149&lt;70),"-",COUNTIFS(X$4:X$200,"&lt;&gt;-",$D$4:$D$200,"&lt;&gt;是",$E$4:$E$200,"&lt;&gt;封闭期",$H$4:$H$200,"&gt;10",$BN$4:$BN$200,"&gt;-6",$BR$4:$BR$200,"&gt;=70",$K$4:$K$200,"&lt;=30",$C$4:$C$200,"&lt;20190630",X$4:X$200,"&gt;="&amp;X149)&amp;"/"&amp;COUNTIFS(X$4:X$200,"&lt;&gt;-",$D$4:$D$200,"&lt;&gt;是",$E$4:$E$200,"&lt;&gt;封闭期",$H$4:$H$200,"&gt;10",$BN$4:$BN$200,"&gt;-6",$BR$4:$BR$200,"&gt;=70",$C$4:$C$200,"&lt;20190630",$K$4:$K$200,"&lt;=30"))</f>
        <v>2/39</v>
      </c>
      <c r="AB149" s="33">
        <f>IF(OR($C149&gt;20190630,$K149&gt;30,X149="-",$D149="是",$E149="封闭期",$H149&lt;10,$BN149&lt;-6,$BR149&lt;70),"-",COUNTIFS(X$4:X$200,"&lt;&gt;-",$D$4:$D$200,"&lt;&gt;是",$E$4:$E$200,"&lt;&gt;封闭期",$H$4:$H$200,"&gt;10",$BN$4:$BN$200,"&gt;-6",$BR$4:$BR$200,"&gt;=70",$K$4:$K$200,"&lt;=30",$C$4:$C$200,"&lt;20190630",X$4:X$200,"&gt;="&amp;X149)/COUNTIFS(X$4:X$200,"&lt;&gt;-",$D$4:$D$200,"&lt;&gt;是",$E$4:$E$200,"&lt;&gt;封闭期",$H$4:$H$200,"&gt;10",$BN$4:$BN$200,"&gt;-6",$BR$4:$BR$200,"&gt;=70",$C$4:$C$200,"&lt;20190630",$K$4:$K$200,"&lt;=30"))</f>
        <v>5.128205128205128E-2</v>
      </c>
      <c r="AC149" s="20">
        <v>1</v>
      </c>
      <c r="AD149" s="12" t="str">
        <f>IFERROR(RANK(AC149,AC:AC)&amp;"/"&amp;COUNT(AC:AC),"-")</f>
        <v>1/197</v>
      </c>
      <c r="AE149" s="26">
        <f>IFERROR(RANK(AC149,AC:AC)/COUNT(AC:AC),"-")</f>
        <v>5.076142131979695E-3</v>
      </c>
      <c r="AF149" s="13" t="str">
        <f>IF(OR($C149&gt;20190630,$K149&gt;30,AC149="-",$D149="是",$E149="封闭期",$H149&lt;10,$BN149&lt;-6,$BR149&lt;70),"-",COUNTIFS(AC$4:AC$200,"&lt;&gt;-",$D$4:$D$200,"&lt;&gt;是",$E$4:$E$200,"&lt;&gt;封闭期",$H$4:$H$200,"&gt;10",$BN$4:$BN$200,"&gt;-6",$BR$4:$BR$200,"&gt;=70",$K$4:$K$200,"&lt;=30",$C$4:$C$200,"&lt;20190630",AC$4:AC$200,"&gt;="&amp;AC149)&amp;"/"&amp;COUNTIFS(AC$4:AC$200,"&lt;&gt;-",$D$4:$D$200,"&lt;&gt;是",$E$4:$E$200,"&lt;&gt;封闭期",$H$4:$H$200,"&gt;10",$BN$4:$BN$200,"&gt;-6",$BR$4:$BR$200,"&gt;=70",$C$4:$C$200,"&lt;20190630",$K$4:$K$200,"&lt;=30"))</f>
        <v>28/39</v>
      </c>
      <c r="AG149" s="33">
        <f>IF(OR($C149&gt;20190630,$K149&gt;30,AC149="-",$D149="是",$E149="封闭期",$H149&lt;10,$BN149&lt;-6,$BR149&lt;70),"-",COUNTIFS(AC$4:AC$200,"&lt;&gt;-",$D$4:$D$200,"&lt;&gt;是",$E$4:$E$200,"&lt;&gt;封闭期",$H$4:$H$200,"&gt;10",$BN$4:$BN$200,"&gt;-6",$BR$4:$BR$200,"&gt;=70",$K$4:$K$200,"&lt;=30",$C$4:$C$200,"&lt;20190630",AC$4:AC$200,"&gt;="&amp;AC149)/COUNTIFS(AC$4:AC$200,"&lt;&gt;-",$D$4:$D$200,"&lt;&gt;是",$E$4:$E$200,"&lt;&gt;封闭期",$H$4:$H$200,"&gt;10",$BN$4:$BN$200,"&gt;-6",$BR$4:$BR$200,"&gt;=70",$C$4:$C$200,"&lt;20190630",$K$4:$K$200,"&lt;=30"))</f>
        <v>0.71794871794871795</v>
      </c>
      <c r="AH149" s="21">
        <f>[1]!f_risk_maxdownside(A149,$L$2,$E$1)</f>
        <v>-0.44068711215038814</v>
      </c>
      <c r="AI149" s="19" t="str">
        <f>IFERROR(RANK(AH149,AH:AH)&amp;"/"&amp;COUNT(AH:AH),"-")</f>
        <v>7/197</v>
      </c>
      <c r="AJ149" s="26">
        <f>IFERROR(RANK(AH149,AH:AH)/COUNT(AH:AH),"-")</f>
        <v>3.553299492385787E-2</v>
      </c>
      <c r="AK149" s="34" t="str">
        <f>IF(OR($C149&gt;20190630,$K149&gt;30,AH149="-",$D149="是",$E149="封闭期",$H149&lt;10,$BN149&lt;-6,$BR149&lt;70),"-",COUNTIFS(AH$4:AH$200,"&lt;&gt;-",$D$4:$D$200,"&lt;&gt;是",$E$4:$E$200,"&lt;&gt;封闭期",$H$4:$H$200,"&gt;10",$BN$4:$BN$200,"&gt;-6",$BR$4:$BR$200,"&gt;=70",$K$4:$K$200,"&lt;=30",$C$4:$C$200,"&lt;20190630",AH$4:AH$200,"&gt;="&amp;AH149)&amp;"/"&amp;COUNTIFS(AH$4:AH$200,"&lt;&gt;-",$D$4:$D$200,"&lt;&gt;是",$E$4:$E$200,"&lt;&gt;封闭期",$H$4:$H$200,"&gt;10",$BN$4:$BN$200,"&gt;-6",$BR$4:$BR$200,"&gt;=70",$C$4:$C$200,"&lt;20190630",$K$4:$K$200,"&lt;=30"))</f>
        <v>2/39</v>
      </c>
      <c r="AL149" s="33">
        <f>IF(OR($C149&gt;20190630,$K149&gt;30,AH149="-",$D149="是",$E149="封闭期",$H149&lt;10,$BN149&lt;-6,$BR149&lt;70),"-",COUNTIFS(AH$4:AH$200,"&lt;&gt;-",$D$4:$D$200,"&lt;&gt;是",$E$4:$E$200,"&lt;&gt;封闭期",$H$4:$H$200,"&gt;10",$BN$4:$BN$200,"&gt;-6",$BR$4:$BR$200,"&gt;=70",$K$4:$K$200,"&lt;=30",$C$4:$C$200,"&lt;20190630",AH$4:AH$200,"&gt;="&amp;AH149)/COUNTIFS(AH$4:AH$200,"&lt;&gt;-",$D$4:$D$200,"&lt;&gt;是",$E$4:$E$200,"&lt;&gt;封闭期",$H$4:$H$200,"&gt;10",$BN$4:$BN$200,"&gt;-6",$BR$4:$BR$200,"&gt;=70",$C$4:$C$200,"&lt;20190630",$K$4:$K$200,"&lt;=30"))</f>
        <v>5.128205128205128E-2</v>
      </c>
      <c r="AM149" s="19">
        <f>[1]!f_return($A149,"1",AM$2,$L$2)</f>
        <v>4.4819587297533658</v>
      </c>
      <c r="AN149" s="19">
        <f>[1]!f_risk_stdevyearly($A149,AM$2,$L$2,1,1)</f>
        <v>2.3856249237457359</v>
      </c>
      <c r="AO149" s="12">
        <f>IFERROR(AM149/AN149,"-")</f>
        <v>1.878735707839654</v>
      </c>
      <c r="AP149" s="12" t="str">
        <f>IFERROR(RANK(AO149,AO:AO)&amp;"/"&amp;COUNT(AO:AO),"-")</f>
        <v>65/197</v>
      </c>
      <c r="AQ149" s="26">
        <f>IF(AP149="-","-",RANK(AO149,AO:AO)/COUNT(AO:AO))</f>
        <v>0.32994923857868019</v>
      </c>
      <c r="AR149" s="60">
        <v>0.74111675126903553</v>
      </c>
      <c r="AS149" s="35">
        <f>IF(OR($C149&gt;20190630,$K149&gt;30,AO149="-",$D149="是",$E149="封闭期",$H149&lt;10,$BN149&lt;-6,$BR149&lt;70),"-",COUNTIFS(AO$4:AO$200,"&lt;&gt;-",$D$4:$D$200,"&lt;&gt;是",$E$4:$E$200,"&lt;&gt;封闭期",$H$4:$H$200,"&gt;10",$BN$4:$BN$200,"&gt;-6",$BR$4:$BR$200,"&gt;=70",$K$4:$K$200,"&lt;=30",$C$4:$C$200,"&lt;20190630",AO$4:AO$200,"&gt;="&amp;AO149)/COUNTIFS(AO$4:AO$200,"&lt;&gt;-",$D$4:$D$200,"&lt;&gt;是",$E$4:$E$200,"&lt;&gt;封闭期",$H$4:$H$200,"&gt;10",$BN$4:$BN$200,"&gt;-6",$BR$4:$BR$200,"&gt;=70",$C$4:$C$200,"&lt;20190630",$K$4:$K$200,"&lt;=30"))</f>
        <v>0.5641025641025641</v>
      </c>
      <c r="AT149" s="12">
        <f>IFERROR((AM149-3)/AN149,"-")</f>
        <v>0.62120357437685603</v>
      </c>
      <c r="AU149" s="12" t="str">
        <f>IFERROR(RANK(AT149,AT:AT)&amp;"/"&amp;COUNT(AT:AT),"-")</f>
        <v>127/197</v>
      </c>
      <c r="AV149" s="26">
        <f>IFERROR(RANK(AT149,AT:AT)/COUNT(AT:AT),"-")</f>
        <v>0.64467005076142136</v>
      </c>
      <c r="AW149" s="13" t="str">
        <f>IF(OR($C149&gt;20190630,$K149&gt;30,AT149="-",$D149="是",$E149="封闭期",$H149&lt;10,$BN149&lt;-6,$BR149&lt;70),"-",COUNTIFS(AT$4:AT$200,"&lt;&gt;-",$D$4:$D$200,"&lt;&gt;是",$E$4:$E$200,"&lt;&gt;封闭期",$H$4:$H$200,"&gt;10",$BN$4:$BN$200,"&gt;-6",$BR$4:$BR$200,"&gt;=70",$K$4:$K$200,"&lt;=30",$C$4:$C$200,"&lt;20190630",AT$4:AT$200,"&gt;="&amp;AT149)&amp;"/"&amp;COUNTIFS(AT$4:AT$200,"&lt;&gt;-",$D$4:$D$200,"&lt;&gt;是",$E$4:$E$200,"&lt;&gt;封闭期",$H$4:$H$200,"&gt;10",$BN$4:$BN$200,"&gt;-6",$BR$4:$BR$200,"&gt;=70",$C$4:$C$200,"&lt;20190630",$K$4:$K$200,"&lt;=30"))</f>
        <v>32/39</v>
      </c>
      <c r="AX149" s="33">
        <f>IF(OR($C149&gt;20190630,$K149&gt;30,AT149="-",$D149="是",$E149="封闭期",$H149&lt;10,$BN149&lt;-6,$BR149&lt;70),"-",COUNTIFS(AT$4:AT$200,"&lt;&gt;-",$D$4:$D$200,"&lt;&gt;是",$E$4:$E$200,"&lt;&gt;封闭期",$H$4:$H$200,"&gt;10",$BN$4:$BN$200,"&gt;-6",$BR$4:$BR$200,"&gt;=70",$K$4:$K$200,"&lt;=30",$C$4:$C$200,"&lt;20190630",AT$4:AT$200,"&gt;="&amp;AT149)/COUNTIFS(AT$4:AT$200,"&lt;&gt;-",$D$4:$D$200,"&lt;&gt;是",$E$4:$E$200,"&lt;&gt;封闭期",$H$4:$H$200,"&gt;10",$BN$4:$BN$200,"&gt;-6",$BR$4:$BR$200,"&gt;=70",$C$4:$C$200,"&lt;20190630",$K$4:$K$200,"&lt;=30"))</f>
        <v>0.82051282051282048</v>
      </c>
      <c r="AY149" s="19">
        <f>[1]!f_risk_calmar(A149,$AM$2,$L$2)</f>
        <v>3.1833325984381937</v>
      </c>
      <c r="AZ149" s="12" t="str">
        <f>IFERROR(RANK(AY149,AY:AY)&amp;"/"&amp;COUNT(AY:AY),"-")</f>
        <v>41/197</v>
      </c>
      <c r="BA149" s="26">
        <f>IFERROR(RANK(AY149,AY:AY)/COUNT(AY:AY),"-")</f>
        <v>0.20812182741116753</v>
      </c>
      <c r="BB149" s="13" t="str">
        <f>IF(OR($C149&gt;20190630,$K149&gt;30,AY149="-",$D149="是",$E149="封闭期",$H149&lt;10,$BN149&lt;-6,$BR149&lt;70),"-",COUNTIFS(AY$4:AY$200,"&lt;&gt;-",$D$4:$D$200,"&lt;&gt;是",$E$4:$E$200,"&lt;&gt;封闭期",$H$4:$H$200,"&gt;10",$BN$4:$BN$200,"&gt;-6",$BR$4:$BR$200,"&gt;=70",$K$4:$K$200,"&lt;=30",$C$4:$C$200,"&lt;20190630",AY$4:AY$200,"&gt;="&amp;AY149)&amp;"/"&amp;COUNTIFS(AY$4:AY$200,"&lt;&gt;-",$D$4:$D$200,"&lt;&gt;是",$E$4:$E$200,"&lt;&gt;封闭期",$H$4:$H$200,"&gt;10",$BN$4:$BN$200,"&gt;-6",$BR$4:$BR$200,"&gt;=70",$C$4:$C$200,"&lt;20190630",$K$4:$K$200,"&lt;=30"))</f>
        <v>16/39</v>
      </c>
      <c r="BC149" s="33">
        <f>IF(OR($C149&gt;20190630,$K149&gt;30,AY149="-",$D149="是",$E149="封闭期",$H149&lt;10,$BN149&lt;-6,$BR149&lt;70),"-",COUNTIFS(AY$4:AY$200,"&lt;&gt;-",$D$4:$D$200,"&lt;&gt;是",$E$4:$E$200,"&lt;&gt;封闭期",$H$4:$H$200,"&gt;10",$BN$4:$BN$200,"&gt;-6",$BR$4:$BR$200,"&gt;=70",$K$4:$K$200,"&lt;=30",$C$4:$C$200,"&lt;20190630",AY$4:AY$200,"&gt;="&amp;AY149)/COUNTIFS(AY$4:AY$200,"&lt;&gt;-",$D$4:$D$200,"&lt;&gt;是",$E$4:$E$200,"&lt;&gt;封闭期",$H$4:$H$200,"&gt;10",$BN$4:$BN$200,"&gt;-6",$BR$4:$BR$200,"&gt;=70",$C$4:$C$200,"&lt;20190630",$K$4:$K$200,"&lt;=30"))</f>
        <v>0.41025641025641024</v>
      </c>
      <c r="BD149" s="20">
        <v>1</v>
      </c>
      <c r="BE149" s="12" t="str">
        <f>IFERROR(RANK(BD149,BD:BD)&amp;"/"&amp;COUNT(BD:BD),"-")</f>
        <v>1/197</v>
      </c>
      <c r="BF149" s="26">
        <f>IFERROR(RANK(BD149,BD:BD)/COUNT(BD:BD),"-")</f>
        <v>5.076142131979695E-3</v>
      </c>
      <c r="BG149" s="13" t="str">
        <f>IF(OR($C149&gt;20190630,$K149&gt;30,BD149="-",$D149="是",$E149="封闭期",$H149&lt;10,$BN149&lt;-6,$BR149&lt;70),"-",COUNTIFS(BD$4:BD$200,"&lt;&gt;-",$D$4:$D$200,"&lt;&gt;是",$E$4:$E$200,"&lt;&gt;封闭期",$H$4:$H$200,"&gt;10",$BN$4:$BN$200,"&gt;-6",$BR$4:$BR$200,"&gt;=70",$K$4:$K$200,"&lt;=30",$C$4:$C$200,"&lt;20190630",BD$4:BD$200,"&gt;="&amp;BD149)&amp;"/"&amp;COUNTIFS(BD$4:BD$200,"&lt;&gt;-",$D$4:$D$200,"&lt;&gt;是",$E$4:$E$200,"&lt;&gt;封闭期",$H$4:$H$200,"&gt;10",$BN$4:$BN$200,"&gt;-6",$BR$4:$BR$200,"&gt;=70",$C$4:$C$200,"&lt;20190630",$K$4:$K$200,"&lt;=30"))</f>
        <v>35/39</v>
      </c>
      <c r="BH149" s="33">
        <f>IF(OR($C149&gt;20190630,$K149&gt;30,BD149="-",$D149="是",$E149="封闭期",$H149&lt;10,$BN149&lt;-6,$BR149&lt;70),"-",COUNTIFS(BD$4:BD$200,"&lt;&gt;-",$D$4:$D$200,"&lt;&gt;是",$E$4:$E$200,"&lt;&gt;封闭期",$H$4:$H$200,"&gt;10",$BN$4:$BN$200,"&gt;-6",$BR$4:$BR$200,"&gt;=70",$K$4:$K$200,"&lt;=30",$C$4:$C$200,"&lt;20190630",BD$4:BD$200,"&gt;="&amp;BD149)/COUNTIFS(BD$4:BD$200,"&lt;&gt;-",$D$4:$D$200,"&lt;&gt;是",$E$4:$E$200,"&lt;&gt;封闭期",$H$4:$H$200,"&gt;10",$BN$4:$BN$200,"&gt;-6",$BR$4:$BR$200,"&gt;=70",$C$4:$C$200,"&lt;20190630",$K$4:$K$200,"&lt;=30"))</f>
        <v>0.89743589743589747</v>
      </c>
      <c r="BI149" s="21">
        <f>[1]!f_risk_maxdownside(A149,$AM$2,$L$2)</f>
        <v>-1.4079454757420899</v>
      </c>
      <c r="BJ149" s="19" t="str">
        <f>IFERROR(RANK(BI149,BI:BI)&amp;"/"&amp;COUNT(BI:BI),"-")</f>
        <v>13/197</v>
      </c>
      <c r="BK149" s="26">
        <f>IFERROR(RANK(BI149,BI:BI)/COUNT(BI:BI),"-")</f>
        <v>6.5989847715736044E-2</v>
      </c>
      <c r="BL149" s="34" t="str">
        <f>IF(OR($C149&gt;20190630,$K149&gt;30,BI149="-",$D149="是",$E149="封闭期",$H149&lt;10,$BN149&lt;-6,$BR149&lt;70),"-",COUNTIFS(BI$4:BI$200,"&lt;&gt;-",$D$4:$D$200,"&lt;&gt;是",$E$4:$E$200,"&lt;&gt;封闭期",$H$4:$H$200,"&gt;10",$BN$4:$BN$200,"&gt;-6",$BR$4:$BR$200,"&gt;=70",$K$4:$K$200,"&lt;=30",$C$4:$C$200,"&lt;20190630",BI$4:BI$200,"&gt;="&amp;BI149)&amp;"/"&amp;COUNTIFS(BI$4:BI$200,"&lt;&gt;-",$D$4:$D$200,"&lt;&gt;是",$E$4:$E$200,"&lt;&gt;封闭期",$H$4:$H$200,"&gt;10",$BN$4:$BN$200,"&gt;-6",$BR$4:$BR$200,"&gt;=70",$C$4:$C$200,"&lt;20190630",$K$4:$K$200,"&lt;=30"))</f>
        <v>2/39</v>
      </c>
      <c r="BM149" s="33">
        <f>IF(OR($C149&gt;20190630,$K149&gt;30,BI149="-",$D149="是",$E149="封闭期",$H149&lt;10,$BN149&lt;-6,$BR149&lt;70),"-",COUNTIFS(BI$4:BI$200,"&lt;&gt;-",$D$4:$D$200,"&lt;&gt;是",$E$4:$E$200,"&lt;&gt;封闭期",$H$4:$H$200,"&gt;10",$BN$4:$BN$200,"&gt;-6",$BR$4:$BR$200,"&gt;=70",$K$4:$K$200,"&lt;=30",$C$4:$C$200,"&lt;20190630",BI$4:BI$200,"&gt;="&amp;BI149)/COUNTIFS(BI$4:BI$200,"&lt;&gt;-",$D$4:$D$200,"&lt;&gt;是",$E$4:$E$200,"&lt;&gt;封闭期",$H$4:$H$200,"&gt;10",$BN$4:$BN$200,"&gt;-6",$BR$4:$BR$200,"&gt;=70",$C$4:$C$200,"&lt;20190630",$K$4:$K$200,"&lt;=30"))</f>
        <v>5.128205128205128E-2</v>
      </c>
      <c r="BN149" s="21">
        <f>[1]!f_risk_maxdownside(A149,$AM$2,$E$1)</f>
        <v>-1.4079454757420899</v>
      </c>
      <c r="BO149" s="14">
        <f>IF(C149&lt;20190930,[1]!f_return_2y(A149,"0","20210930"),"-")</f>
        <v>8.9793823271262045</v>
      </c>
      <c r="BP149" s="12" t="str">
        <f>IFERROR(RANK(BO149,BO:BO)&amp;"/"&amp;COUNT(BO:BO),"-")</f>
        <v>155/197</v>
      </c>
      <c r="BQ149" s="25">
        <f>IFERROR(RANK(BO149,BO:BO)/COUNT(BO:BO),"-")</f>
        <v>0.78680203045685282</v>
      </c>
      <c r="BR149" s="12">
        <f>IF(C149&lt;20190930,[1]!f_absolute_profitmonthper(A149,"20190930","20210930"),"-")</f>
        <v>70.833333333333343</v>
      </c>
      <c r="BS149" s="12" t="str">
        <f>IFERROR(RANK(BR149,BR:BR)&amp;"/"&amp;COUNT(BR:BR),"-")</f>
        <v>55/198</v>
      </c>
      <c r="BT149" s="25">
        <f>IFERROR(RANK(BR149,BR:BR)/COUNT(BR:BR),"-")</f>
        <v>0.27777777777777779</v>
      </c>
      <c r="BV149" s="12">
        <f>X149-3/M149</f>
        <v>7.0029963951261482</v>
      </c>
      <c r="BW149" s="76">
        <f>IFERROR(RANK(BV149,BV:BV)/COUNT(BV:BV),"-")</f>
        <v>3.0456852791878174E-2</v>
      </c>
      <c r="BX149" s="76">
        <f>IFERROR(RANK(L149,L:L)/COUNT(L:L),"-")</f>
        <v>0.68686868686868685</v>
      </c>
      <c r="BY149" s="12">
        <f>AY149-3/AN149</f>
        <v>1.9258004649753957</v>
      </c>
      <c r="BZ149" s="76">
        <f>IFERROR(RANK(BY149,BY:BY)/COUNT(BY:BY),"-")</f>
        <v>0.36548223350253806</v>
      </c>
      <c r="CA149" s="76">
        <f>IFERROR(RANK(AM149,AM:AM)/COUNT(AM:AM),"-")</f>
        <v>0.74242424242424243</v>
      </c>
      <c r="CB149" s="2"/>
      <c r="CC149" s="77">
        <f>AV149+BF149+BZ149+CA149</f>
        <v>1.7576526688201815</v>
      </c>
      <c r="CD149" s="77">
        <f>BW149+BX149+AE149+U149</f>
        <v>0.9965133569194482</v>
      </c>
      <c r="CE149" s="77">
        <f>CC149+CD149</f>
        <v>2.7541660257396297</v>
      </c>
    </row>
    <row r="150" spans="1:83" s="17" customFormat="1" hidden="1" x14ac:dyDescent="0.35">
      <c r="A150" s="15" t="s">
        <v>23</v>
      </c>
      <c r="B150" s="15" t="s">
        <v>24</v>
      </c>
      <c r="C150" s="16">
        <v>20060523</v>
      </c>
      <c r="D150" s="16" t="str">
        <f>[1]!f_info_regulopenfundornot(A150)</f>
        <v>否</v>
      </c>
      <c r="E150" s="16" t="str">
        <f>[1]!f_dq_status(A150,$E$1)</f>
        <v>开放申购|开放赎回</v>
      </c>
      <c r="F150" s="17" t="str">
        <f>[1]!f_info_fundmanager(A150)</f>
        <v>蔡若林</v>
      </c>
      <c r="G150" s="16">
        <v>20160130</v>
      </c>
      <c r="H150" s="18">
        <f>[1]!f_netasset_total(A150,$E$1,100000000)</f>
        <v>1.3341399078</v>
      </c>
      <c r="I150" s="18">
        <f>[1]!f_prt_convertiblebondtonav(A150,$E$1)</f>
        <v>12.457004547119141</v>
      </c>
      <c r="J150" s="18">
        <f>[1]!f_prt_stocktonav(A150,$E$1)+0.5*I150</f>
        <v>7.3828788995742798</v>
      </c>
      <c r="K150" s="19">
        <v>19.199635548148169</v>
      </c>
      <c r="L150" s="19">
        <f>[1]!f_return($A150,"1",L$2,$E$1)</f>
        <v>5.4091811815727864</v>
      </c>
      <c r="M150" s="19">
        <f>[1]!f_risk_stdevyearly($A150,L$2,$E$1,1,1)</f>
        <v>1.805603186184749</v>
      </c>
      <c r="N150" s="19">
        <f>IFERROR(L150/M150,"-")</f>
        <v>2.9957751642000701</v>
      </c>
      <c r="O150" s="19" t="str">
        <f>IFERROR(RANK(N150,N:N)&amp;"/"&amp;COUNT(N:N),"-")</f>
        <v>20/197</v>
      </c>
      <c r="P150" s="26">
        <f>IF(O150="-","-",RANK(N150,N:N)/COUNT(N:N))</f>
        <v>0.10152284263959391</v>
      </c>
      <c r="Q150" s="56">
        <v>0.53807106598984766</v>
      </c>
      <c r="R150" s="33" t="str">
        <f>IF(OR($C150&gt;20190630,$K150&gt;30,N150="-",$D150="是",$E150="封闭期",$H150&lt;10,$BN150&lt;-6,$BR150&lt;70),"-",COUNTIFS(N$4:N$200,"&lt;&gt;-",$D$4:$D$200,"&lt;&gt;是",$E$4:$E$200,"&lt;&gt;封闭期",$H$4:$H$200,"&gt;10",$BN$4:$BN$200,"&gt;-6",$BR$4:$BR$200,"&gt;=70",$K$4:$K$200,"&lt;=30",$C$4:$C$200,"&lt;20190630",N$4:N$200,"&gt;="&amp;N150)/COUNTIFS(N$4:N$200,"&lt;&gt;-",$D$4:$D$200,"&lt;&gt;是",$E$4:$E$200,"&lt;&gt;封闭期",$H$4:$H$200,"&gt;10",$BN$4:$BN$200,"&gt;-6",$BR$4:$BR$200,"&gt;=70",$C$4:$C$200,"&lt;20190630",$K$4:$K$200,"&lt;=30"))</f>
        <v>-</v>
      </c>
      <c r="S150" s="19">
        <f>IFERROR((L150-3)/M150,"-")</f>
        <v>1.3342805329577434</v>
      </c>
      <c r="T150" s="19" t="str">
        <f>IFERROR(RANK(S150,S:S)&amp;"/"&amp;COUNT(S:S),"-")</f>
        <v>41/197</v>
      </c>
      <c r="U150" s="26">
        <f>IFERROR(RANK(S150,S:S)/COUNT(S:S),"-")</f>
        <v>0.20812182741116753</v>
      </c>
      <c r="V150" s="34" t="str">
        <f>IF(OR($C150&gt;20190630,$K150&gt;30,S150="-",$D150="是",$E150="封闭期",$H150&lt;10,$BN150&lt;-6,$BR150&lt;70),"-",COUNTIFS(S$4:S$200,"&lt;&gt;-",$D$4:$D$200,"&lt;&gt;是",$E$4:$E$200,"&lt;&gt;封闭期",$H$4:$H$200,"&gt;10",$BN$4:$BN$200,"&gt;-6",$BR$4:$BR$200,"&gt;=70",$K$4:$K$200,"&lt;=30",$C$4:$C$200,"&lt;20190630",S$4:S$200,"&gt;="&amp;S150)&amp;"/"&amp;COUNTIFS(S$4:S$200,"&lt;&gt;-",$D$4:$D$200,"&lt;&gt;是",$E$4:$E$200,"&lt;&gt;封闭期",$H$4:$H$200,"&gt;10",$BN$4:$BN$200,"&gt;-6",$BR$4:$BR$200,"&gt;=70",$C$4:$C$200,"&lt;20190630",$K$4:$K$200,"&lt;=30"))</f>
        <v>-</v>
      </c>
      <c r="W150" s="33" t="str">
        <f>IF(OR($C150&gt;20190630,$K150&gt;30,S150="-",$D150="是",$E150="封闭期",$H150&lt;10,$BN150&lt;-6,$BR150&lt;70),"-",COUNTIFS(S$4:S$200,"&lt;&gt;-",$D$4:$D$200,"&lt;&gt;是",$E$4:$E$200,"&lt;&gt;封闭期",$H$4:$H$200,"&gt;10",$BN$4:$BN$200,"&gt;-6",$BR$4:$BR$200,"&gt;=70",$K$4:$K$200,"&lt;=30",$C$4:$C$200,"&lt;20190630",S$4:S$200,"&gt;="&amp;S150)/COUNTIFS(S$4:S$200,"&lt;&gt;-",$D$4:$D$200,"&lt;&gt;是",$E$4:$E$200,"&lt;&gt;封闭期",$H$4:$H$200,"&gt;10",$BN$4:$BN$200,"&gt;-6",$BR$4:$BR$200,"&gt;=70",$C$4:$C$200,"&lt;20190630",$K$4:$K$200,"&lt;=30"))</f>
        <v>-</v>
      </c>
      <c r="X150" s="19">
        <f>[1]!f_risk_calmar(A150,$L$2,$E$1)</f>
        <v>4.4008129284706134</v>
      </c>
      <c r="Y150" s="19" t="str">
        <f>IFERROR(RANK(X150,X:X)&amp;"/"&amp;COUNT(X:X),"-")</f>
        <v>40/197</v>
      </c>
      <c r="Z150" s="26">
        <f>IFERROR(RANK(X150,X:X)/COUNT(X:X),"-")</f>
        <v>0.20304568527918782</v>
      </c>
      <c r="AA150" s="34" t="str">
        <f>IF(OR($C150&gt;20190630,$K150&gt;30,X150="-",$D150="是",$E150="封闭期",$H150&lt;10,$BN150&lt;-6,$BR150&lt;70),"-",COUNTIFS(X$4:X$200,"&lt;&gt;-",$D$4:$D$200,"&lt;&gt;是",$E$4:$E$200,"&lt;&gt;封闭期",$H$4:$H$200,"&gt;10",$BN$4:$BN$200,"&gt;-6",$BR$4:$BR$200,"&gt;=70",$K$4:$K$200,"&lt;=30",$C$4:$C$200,"&lt;20190630",X$4:X$200,"&gt;="&amp;X150)&amp;"/"&amp;COUNTIFS(X$4:X$200,"&lt;&gt;-",$D$4:$D$200,"&lt;&gt;是",$E$4:$E$200,"&lt;&gt;封闭期",$H$4:$H$200,"&gt;10",$BN$4:$BN$200,"&gt;-6",$BR$4:$BR$200,"&gt;=70",$C$4:$C$200,"&lt;20190630",$K$4:$K$200,"&lt;=30"))</f>
        <v>-</v>
      </c>
      <c r="AB150" s="33" t="str">
        <f>IF(OR($C150&gt;20190630,$K150&gt;30,X150="-",$D150="是",$E150="封闭期",$H150&lt;10,$BN150&lt;-6,$BR150&lt;70),"-",COUNTIFS(X$4:X$200,"&lt;&gt;-",$D$4:$D$200,"&lt;&gt;是",$E$4:$E$200,"&lt;&gt;封闭期",$H$4:$H$200,"&gt;10",$BN$4:$BN$200,"&gt;-6",$BR$4:$BR$200,"&gt;=70",$K$4:$K$200,"&lt;=30",$C$4:$C$200,"&lt;20190630",X$4:X$200,"&gt;="&amp;X150)/COUNTIFS(X$4:X$200,"&lt;&gt;-",$D$4:$D$200,"&lt;&gt;是",$E$4:$E$200,"&lt;&gt;封闭期",$H$4:$H$200,"&gt;10",$BN$4:$BN$200,"&gt;-6",$BR$4:$BR$200,"&gt;=70",$C$4:$C$200,"&lt;20190630",$K$4:$K$200,"&lt;=30"))</f>
        <v>-</v>
      </c>
      <c r="AC150" s="20">
        <v>1</v>
      </c>
      <c r="AD150" s="19" t="str">
        <f>IFERROR(RANK(AC150,AC:AC)&amp;"/"&amp;COUNT(AC:AC),"-")</f>
        <v>1/197</v>
      </c>
      <c r="AE150" s="26">
        <f>IFERROR(RANK(AC150,AC:AC)/COUNT(AC:AC),"-")</f>
        <v>5.076142131979695E-3</v>
      </c>
      <c r="AF150" s="34" t="str">
        <f>IF(OR($C150&gt;20190630,$K150&gt;30,AC150="-",$D150="是",$E150="封闭期",$H150&lt;10,$BN150&lt;-6,$BR150&lt;70),"-",COUNTIFS(AC$4:AC$200,"&lt;&gt;-",$D$4:$D$200,"&lt;&gt;是",$E$4:$E$200,"&lt;&gt;封闭期",$H$4:$H$200,"&gt;10",$BN$4:$BN$200,"&gt;-6",$BR$4:$BR$200,"&gt;=70",$K$4:$K$200,"&lt;=30",$C$4:$C$200,"&lt;20190630",AC$4:AC$200,"&gt;="&amp;AC150)&amp;"/"&amp;COUNTIFS(AC$4:AC$200,"&lt;&gt;-",$D$4:$D$200,"&lt;&gt;是",$E$4:$E$200,"&lt;&gt;封闭期",$H$4:$H$200,"&gt;10",$BN$4:$BN$200,"&gt;-6",$BR$4:$BR$200,"&gt;=70",$C$4:$C$200,"&lt;20190630",$K$4:$K$200,"&lt;=30"))</f>
        <v>-</v>
      </c>
      <c r="AG150" s="33" t="str">
        <f>IF(OR($C150&gt;20190630,$K150&gt;30,AC150="-",$D150="是",$E150="封闭期",$H150&lt;10,$BN150&lt;-6,$BR150&lt;70),"-",COUNTIFS(AC$4:AC$200,"&lt;&gt;-",$D$4:$D$200,"&lt;&gt;是",$E$4:$E$200,"&lt;&gt;封闭期",$H$4:$H$200,"&gt;10",$BN$4:$BN$200,"&gt;-6",$BR$4:$BR$200,"&gt;=70",$K$4:$K$200,"&lt;=30",$C$4:$C$200,"&lt;20190630",AC$4:AC$200,"&gt;="&amp;AC150)/COUNTIFS(AC$4:AC$200,"&lt;&gt;-",$D$4:$D$200,"&lt;&gt;是",$E$4:$E$200,"&lt;&gt;封闭期",$H$4:$H$200,"&gt;10",$BN$4:$BN$200,"&gt;-6",$BR$4:$BR$200,"&gt;=70",$C$4:$C$200,"&lt;20190630",$K$4:$K$200,"&lt;=30"))</f>
        <v>-</v>
      </c>
      <c r="AH150" s="21">
        <f>[1]!f_risk_maxdownside(A150,$L$2,$E$1)</f>
        <v>-1.2291322693083899</v>
      </c>
      <c r="AI150" s="19" t="str">
        <f>IFERROR(RANK(AH150,AH:AH)&amp;"/"&amp;COUNT(AH:AH),"-")</f>
        <v>32/197</v>
      </c>
      <c r="AJ150" s="26">
        <f>IFERROR(RANK(AH150,AH:AH)/COUNT(AH:AH),"-")</f>
        <v>0.16243654822335024</v>
      </c>
      <c r="AK150" s="34" t="str">
        <f>IF(OR($C150&gt;20190630,$K150&gt;30,AH150="-",$D150="是",$E150="封闭期",$H150&lt;10,$BN150&lt;-6,$BR150&lt;70),"-",COUNTIFS(AH$4:AH$200,"&lt;&gt;-",$D$4:$D$200,"&lt;&gt;是",$E$4:$E$200,"&lt;&gt;封闭期",$H$4:$H$200,"&gt;10",$BN$4:$BN$200,"&gt;-6",$BR$4:$BR$200,"&gt;=70",$K$4:$K$200,"&lt;=30",$C$4:$C$200,"&lt;20190630",AH$4:AH$200,"&gt;="&amp;AH150)&amp;"/"&amp;COUNTIFS(AH$4:AH$200,"&lt;&gt;-",$D$4:$D$200,"&lt;&gt;是",$E$4:$E$200,"&lt;&gt;封闭期",$H$4:$H$200,"&gt;10",$BN$4:$BN$200,"&gt;-6",$BR$4:$BR$200,"&gt;=70",$C$4:$C$200,"&lt;20190630",$K$4:$K$200,"&lt;=30"))</f>
        <v>-</v>
      </c>
      <c r="AL150" s="33" t="str">
        <f>IF(OR($C150&gt;20190630,$K150&gt;30,AH150="-",$D150="是",$E150="封闭期",$H150&lt;10,$BN150&lt;-6,$BR150&lt;70),"-",COUNTIFS(AH$4:AH$200,"&lt;&gt;-",$D$4:$D$200,"&lt;&gt;是",$E$4:$E$200,"&lt;&gt;封闭期",$H$4:$H$200,"&gt;10",$BN$4:$BN$200,"&gt;-6",$BR$4:$BR$200,"&gt;=70",$K$4:$K$200,"&lt;=30",$C$4:$C$200,"&lt;20190630",AH$4:AH$200,"&gt;="&amp;AH150)/COUNTIFS(AH$4:AH$200,"&lt;&gt;-",$D$4:$D$200,"&lt;&gt;是",$E$4:$E$200,"&lt;&gt;封闭期",$H$4:$H$200,"&gt;10",$BN$4:$BN$200,"&gt;-6",$BR$4:$BR$200,"&gt;=70",$C$4:$C$200,"&lt;20190630",$K$4:$K$200,"&lt;=30"))</f>
        <v>-</v>
      </c>
      <c r="AM150" s="19">
        <f>[1]!f_return($A150,"1",AM$2,$L$2)</f>
        <v>4.4653031013077271</v>
      </c>
      <c r="AN150" s="19">
        <f>[1]!f_risk_stdevyearly($A150,AM$2,$L$2,1,1)</f>
        <v>2.0108301457968567</v>
      </c>
      <c r="AO150" s="19">
        <f>IFERROR(AM150/AN150,"-")</f>
        <v>2.2206266952190563</v>
      </c>
      <c r="AP150" s="19" t="str">
        <f>IFERROR(RANK(AO150,AO:AO)&amp;"/"&amp;COUNT(AO:AO),"-")</f>
        <v>31/197</v>
      </c>
      <c r="AQ150" s="26">
        <f>IF(AP150="-","-",RANK(AO150,AO:AO)/COUNT(AO:AO))</f>
        <v>0.15736040609137056</v>
      </c>
      <c r="AR150" s="57">
        <v>0.74619289340101524</v>
      </c>
      <c r="AS150" s="33" t="str">
        <f>IF(OR($C150&gt;20190630,$K150&gt;30,AO150="-",$D150="是",$E150="封闭期",$H150&lt;10,$BN150&lt;-6,$BR150&lt;70),"-",COUNTIFS(AO$4:AO$200,"&lt;&gt;-",$D$4:$D$200,"&lt;&gt;是",$E$4:$E$200,"&lt;&gt;封闭期",$H$4:$H$200,"&gt;10",$BN$4:$BN$200,"&gt;-6",$BR$4:$BR$200,"&gt;=70",$K$4:$K$200,"&lt;=30",$C$4:$C$200,"&lt;20190630",AO$4:AO$200,"&gt;="&amp;AO150)/COUNTIFS(AO$4:AO$200,"&lt;&gt;-",$D$4:$D$200,"&lt;&gt;是",$E$4:$E$200,"&lt;&gt;封闭期",$H$4:$H$200,"&gt;10",$BN$4:$BN$200,"&gt;-6",$BR$4:$BR$200,"&gt;=70",$C$4:$C$200,"&lt;20190630",$K$4:$K$200,"&lt;=30"))</f>
        <v>-</v>
      </c>
      <c r="AT150" s="19">
        <f>IFERROR((AM150-3)/AN150,"-")</f>
        <v>0.72870555694153527</v>
      </c>
      <c r="AU150" s="19" t="str">
        <f>IFERROR(RANK(AT150,AT:AT)&amp;"/"&amp;COUNT(AT:AT),"-")</f>
        <v>118/197</v>
      </c>
      <c r="AV150" s="26">
        <f>IFERROR(RANK(AT150,AT:AT)/COUNT(AT:AT),"-")</f>
        <v>0.59898477157360408</v>
      </c>
      <c r="AW150" s="34" t="str">
        <f>IF(OR($C150&gt;20190630,$K150&gt;30,AT150="-",$D150="是",$E150="封闭期",$H150&lt;10,$BN150&lt;-6,$BR150&lt;70),"-",COUNTIFS(AT$4:AT$200,"&lt;&gt;-",$D$4:$D$200,"&lt;&gt;是",$E$4:$E$200,"&lt;&gt;封闭期",$H$4:$H$200,"&gt;10",$BN$4:$BN$200,"&gt;-6",$BR$4:$BR$200,"&gt;=70",$K$4:$K$200,"&lt;=30",$C$4:$C$200,"&lt;20190630",AT$4:AT$200,"&gt;="&amp;AT150)&amp;"/"&amp;COUNTIFS(AT$4:AT$200,"&lt;&gt;-",$D$4:$D$200,"&lt;&gt;是",$E$4:$E$200,"&lt;&gt;封闭期",$H$4:$H$200,"&gt;10",$BN$4:$BN$200,"&gt;-6",$BR$4:$BR$200,"&gt;=70",$C$4:$C$200,"&lt;20190630",$K$4:$K$200,"&lt;=30"))</f>
        <v>-</v>
      </c>
      <c r="AX150" s="33" t="str">
        <f>IF(OR($C150&gt;20190630,$K150&gt;30,AT150="-",$D150="是",$E150="封闭期",$H150&lt;10,$BN150&lt;-6,$BR150&lt;70),"-",COUNTIFS(AT$4:AT$200,"&lt;&gt;-",$D$4:$D$200,"&lt;&gt;是",$E$4:$E$200,"&lt;&gt;封闭期",$H$4:$H$200,"&gt;10",$BN$4:$BN$200,"&gt;-6",$BR$4:$BR$200,"&gt;=70",$K$4:$K$200,"&lt;=30",$C$4:$C$200,"&lt;20190630",AT$4:AT$200,"&gt;="&amp;AT150)/COUNTIFS(AT$4:AT$200,"&lt;&gt;-",$D$4:$D$200,"&lt;&gt;是",$E$4:$E$200,"&lt;&gt;封闭期",$H$4:$H$200,"&gt;10",$BN$4:$BN$200,"&gt;-6",$BR$4:$BR$200,"&gt;=70",$C$4:$C$200,"&lt;20190630",$K$4:$K$200,"&lt;=30"))</f>
        <v>-</v>
      </c>
      <c r="AY150" s="19">
        <f>[1]!f_risk_calmar(A150,$AM$2,$L$2)</f>
        <v>2.7545499824945847</v>
      </c>
      <c r="AZ150" s="19" t="str">
        <f>IFERROR(RANK(AY150,AY:AY)&amp;"/"&amp;COUNT(AY:AY),"-")</f>
        <v>65/197</v>
      </c>
      <c r="BA150" s="26">
        <f>IFERROR(RANK(AY150,AY:AY)/COUNT(AY:AY),"-")</f>
        <v>0.32994923857868019</v>
      </c>
      <c r="BB150" s="34" t="str">
        <f>IF(OR($C150&gt;20190630,$K150&gt;30,AY150="-",$D150="是",$E150="封闭期",$H150&lt;10,$BN150&lt;-6,$BR150&lt;70),"-",COUNTIFS(AY$4:AY$200,"&lt;&gt;-",$D$4:$D$200,"&lt;&gt;是",$E$4:$E$200,"&lt;&gt;封闭期",$H$4:$H$200,"&gt;10",$BN$4:$BN$200,"&gt;-6",$BR$4:$BR$200,"&gt;=70",$K$4:$K$200,"&lt;=30",$C$4:$C$200,"&lt;20190630",AY$4:AY$200,"&gt;="&amp;AY150)&amp;"/"&amp;COUNTIFS(AY$4:AY$200,"&lt;&gt;-",$D$4:$D$200,"&lt;&gt;是",$E$4:$E$200,"&lt;&gt;封闭期",$H$4:$H$200,"&gt;10",$BN$4:$BN$200,"&gt;-6",$BR$4:$BR$200,"&gt;=70",$C$4:$C$200,"&lt;20190630",$K$4:$K$200,"&lt;=30"))</f>
        <v>-</v>
      </c>
      <c r="BC150" s="33" t="str">
        <f>IF(OR($C150&gt;20190630,$K150&gt;30,AY150="-",$D150="是",$E150="封闭期",$H150&lt;10,$BN150&lt;-6,$BR150&lt;70),"-",COUNTIFS(AY$4:AY$200,"&lt;&gt;-",$D$4:$D$200,"&lt;&gt;是",$E$4:$E$200,"&lt;&gt;封闭期",$H$4:$H$200,"&gt;10",$BN$4:$BN$200,"&gt;-6",$BR$4:$BR$200,"&gt;=70",$K$4:$K$200,"&lt;=30",$C$4:$C$200,"&lt;20190630",AY$4:AY$200,"&gt;="&amp;AY150)/COUNTIFS(AY$4:AY$200,"&lt;&gt;-",$D$4:$D$200,"&lt;&gt;是",$E$4:$E$200,"&lt;&gt;封闭期",$H$4:$H$200,"&gt;10",$BN$4:$BN$200,"&gt;-6",$BR$4:$BR$200,"&gt;=70",$C$4:$C$200,"&lt;20190630",$K$4:$K$200,"&lt;=30"))</f>
        <v>-</v>
      </c>
      <c r="BD150" s="20">
        <v>1</v>
      </c>
      <c r="BE150" s="19" t="str">
        <f>IFERROR(RANK(BD150,BD:BD)&amp;"/"&amp;COUNT(BD:BD),"-")</f>
        <v>1/197</v>
      </c>
      <c r="BF150" s="26">
        <f>IFERROR(RANK(BD150,BD:BD)/COUNT(BD:BD),"-")</f>
        <v>5.076142131979695E-3</v>
      </c>
      <c r="BG150" s="34" t="str">
        <f>IF(OR($C150&gt;20190630,$K150&gt;30,BD150="-",$D150="是",$E150="封闭期",$H150&lt;10,$BN150&lt;-6,$BR150&lt;70),"-",COUNTIFS(BD$4:BD$200,"&lt;&gt;-",$D$4:$D$200,"&lt;&gt;是",$E$4:$E$200,"&lt;&gt;封闭期",$H$4:$H$200,"&gt;10",$BN$4:$BN$200,"&gt;-6",$BR$4:$BR$200,"&gt;=70",$K$4:$K$200,"&lt;=30",$C$4:$C$200,"&lt;20190630",BD$4:BD$200,"&gt;="&amp;BD150)&amp;"/"&amp;COUNTIFS(BD$4:BD$200,"&lt;&gt;-",$D$4:$D$200,"&lt;&gt;是",$E$4:$E$200,"&lt;&gt;封闭期",$H$4:$H$200,"&gt;10",$BN$4:$BN$200,"&gt;-6",$BR$4:$BR$200,"&gt;=70",$C$4:$C$200,"&lt;20190630",$K$4:$K$200,"&lt;=30"))</f>
        <v>-</v>
      </c>
      <c r="BH150" s="33" t="str">
        <f>IF(OR($C150&gt;20190630,$K150&gt;30,BD150="-",$D150="是",$E150="封闭期",$H150&lt;10,$BN150&lt;-6,$BR150&lt;70),"-",COUNTIFS(BD$4:BD$200,"&lt;&gt;-",$D$4:$D$200,"&lt;&gt;是",$E$4:$E$200,"&lt;&gt;封闭期",$H$4:$H$200,"&gt;10",$BN$4:$BN$200,"&gt;-6",$BR$4:$BR$200,"&gt;=70",$K$4:$K$200,"&lt;=30",$C$4:$C$200,"&lt;20190630",BD$4:BD$200,"&gt;="&amp;BD150)/COUNTIFS(BD$4:BD$200,"&lt;&gt;-",$D$4:$D$200,"&lt;&gt;是",$E$4:$E$200,"&lt;&gt;封闭期",$H$4:$H$200,"&gt;10",$BN$4:$BN$200,"&gt;-6",$BR$4:$BR$200,"&gt;=70",$C$4:$C$200,"&lt;20190630",$K$4:$K$200,"&lt;=30"))</f>
        <v>-</v>
      </c>
      <c r="BI150" s="21">
        <f>[1]!f_risk_maxdownside(A150,$AM$2,$L$2)</f>
        <v>-1.6210644677661084</v>
      </c>
      <c r="BJ150" s="19" t="str">
        <f>IFERROR(RANK(BI150,BI:BI)&amp;"/"&amp;COUNT(BI:BI),"-")</f>
        <v>22/197</v>
      </c>
      <c r="BK150" s="26">
        <f>IFERROR(RANK(BI150,BI:BI)/COUNT(BI:BI),"-")</f>
        <v>0.1116751269035533</v>
      </c>
      <c r="BL150" s="34" t="str">
        <f>IF(OR($C150&gt;20190630,$K150&gt;30,BI150="-",$D150="是",$E150="封闭期",$H150&lt;10,$BN150&lt;-6,$BR150&lt;70),"-",COUNTIFS(BI$4:BI$200,"&lt;&gt;-",$D$4:$D$200,"&lt;&gt;是",$E$4:$E$200,"&lt;&gt;封闭期",$H$4:$H$200,"&gt;10",$BN$4:$BN$200,"&gt;-6",$BR$4:$BR$200,"&gt;=70",$K$4:$K$200,"&lt;=30",$C$4:$C$200,"&lt;20190630",BI$4:BI$200,"&gt;="&amp;BI150)&amp;"/"&amp;COUNTIFS(BI$4:BI$200,"&lt;&gt;-",$D$4:$D$200,"&lt;&gt;是",$E$4:$E$200,"&lt;&gt;封闭期",$H$4:$H$200,"&gt;10",$BN$4:$BN$200,"&gt;-6",$BR$4:$BR$200,"&gt;=70",$C$4:$C$200,"&lt;20190630",$K$4:$K$200,"&lt;=30"))</f>
        <v>-</v>
      </c>
      <c r="BM150" s="33" t="str">
        <f>IF(OR($C150&gt;20190630,$K150&gt;30,BI150="-",$D150="是",$E150="封闭期",$H150&lt;10,$BN150&lt;-6,$BR150&lt;70),"-",COUNTIFS(BI$4:BI$200,"&lt;&gt;-",$D$4:$D$200,"&lt;&gt;是",$E$4:$E$200,"&lt;&gt;封闭期",$H$4:$H$200,"&gt;10",$BN$4:$BN$200,"&gt;-6",$BR$4:$BR$200,"&gt;=70",$K$4:$K$200,"&lt;=30",$C$4:$C$200,"&lt;20190630",BI$4:BI$200,"&gt;="&amp;BI150)/COUNTIFS(BI$4:BI$200,"&lt;&gt;-",$D$4:$D$200,"&lt;&gt;是",$E$4:$E$200,"&lt;&gt;封闭期",$H$4:$H$200,"&gt;10",$BN$4:$BN$200,"&gt;-6",$BR$4:$BR$200,"&gt;=70",$C$4:$C$200,"&lt;20190630",$K$4:$K$200,"&lt;=30"))</f>
        <v>-</v>
      </c>
      <c r="BN150" s="21">
        <f>[1]!f_risk_maxdownside(A150,$AM$2,$E$1)</f>
        <v>-1.6210644677661084</v>
      </c>
      <c r="BO150" s="21">
        <f>IF(C150&lt;20190930,[1]!f_return_2y(A150,"0","20210930"),"-")</f>
        <v>10.07567515355681</v>
      </c>
      <c r="BP150" s="19" t="str">
        <f>IFERROR(RANK(BO150,BO:BO)&amp;"/"&amp;COUNT(BO:BO),"-")</f>
        <v>141/197</v>
      </c>
      <c r="BQ150" s="25">
        <f>IFERROR(RANK(BO150,BO:BO)/COUNT(BO:BO),"-")</f>
        <v>0.71573604060913709</v>
      </c>
      <c r="BR150" s="19">
        <f>IF(C150&lt;20190930,[1]!f_absolute_profitmonthper(A150,"20190930","20210930"),"-")</f>
        <v>75</v>
      </c>
      <c r="BS150" s="19" t="str">
        <f>IFERROR(RANK(BR150,BR:BR)&amp;"/"&amp;COUNT(BR:BR),"-")</f>
        <v>26/198</v>
      </c>
      <c r="BT150" s="25">
        <f>IFERROR(RANK(BR150,BR:BR)/COUNT(BR:BR),"-")</f>
        <v>0.13131313131313133</v>
      </c>
      <c r="BV150" s="12">
        <f>X150-3/M150</f>
        <v>2.7393182972282863</v>
      </c>
      <c r="BW150" s="76">
        <f>IFERROR(RANK(BV150,BV:BV)/COUNT(BV:BV),"-")</f>
        <v>0.24365482233502539</v>
      </c>
      <c r="BX150" s="76">
        <f>IFERROR(RANK(L150,L:L)/COUNT(L:L),"-")</f>
        <v>0.54040404040404044</v>
      </c>
      <c r="BY150" s="12">
        <f>AY150-3/AN150</f>
        <v>1.2626288442170637</v>
      </c>
      <c r="BZ150" s="76">
        <f>IFERROR(RANK(BY150,BY:BY)/COUNT(BY:BY),"-")</f>
        <v>0.60406091370558379</v>
      </c>
      <c r="CA150" s="76">
        <f>IFERROR(RANK(AM150,AM:AM)/COUNT(AM:AM),"-")</f>
        <v>0.74747474747474751</v>
      </c>
      <c r="CB150" s="2"/>
      <c r="CC150" s="77">
        <f>AV150+BF150+BZ150+CA150</f>
        <v>1.9555965748859152</v>
      </c>
      <c r="CD150" s="77">
        <f>BW150+BX150+AE150+U150</f>
        <v>0.99725683228221307</v>
      </c>
      <c r="CE150" s="77">
        <f>CC150+CD150</f>
        <v>2.9528534071681283</v>
      </c>
    </row>
    <row r="151" spans="1:83" s="17" customFormat="1" hidden="1" x14ac:dyDescent="0.35">
      <c r="A151" s="15" t="s">
        <v>197</v>
      </c>
      <c r="B151" s="15" t="s">
        <v>198</v>
      </c>
      <c r="C151" s="16">
        <v>20150515</v>
      </c>
      <c r="D151" s="16" t="str">
        <f>[1]!f_info_regulopenfundornot(A151)</f>
        <v>否</v>
      </c>
      <c r="E151" s="16" t="str">
        <f>[1]!f_dq_status(A151,$E$1)</f>
        <v>开放申购|开放赎回</v>
      </c>
      <c r="F151" s="17" t="str">
        <f>[1]!f_info_fundmanager(A151)</f>
        <v>黄佳祥,黄弢</v>
      </c>
      <c r="G151" s="16">
        <v>20200821</v>
      </c>
      <c r="H151" s="18">
        <f>[1]!f_netasset_total(A151,$E$1,100000000)</f>
        <v>0.65873141120000001</v>
      </c>
      <c r="I151" s="18">
        <f>[1]!f_prt_convertiblebondtonav(A151,$E$1)</f>
        <v>1.5907924622297287E-2</v>
      </c>
      <c r="J151" s="18">
        <f>[1]!f_prt_stocktonav(A151,$E$1)+0.5*I151</f>
        <v>19.662885984405875</v>
      </c>
      <c r="K151" s="19">
        <v>23.212040203374471</v>
      </c>
      <c r="L151" s="19">
        <f>[1]!f_return($A151,"1",L$2,$E$1)</f>
        <v>0.47319634890543583</v>
      </c>
      <c r="M151" s="19">
        <f>[1]!f_risk_stdevyearly($A151,L$2,$E$1,1,1)</f>
        <v>3.6038503936084343</v>
      </c>
      <c r="N151" s="19">
        <f>IFERROR(L151/M151,"-")</f>
        <v>0.13130299463725451</v>
      </c>
      <c r="O151" s="19" t="str">
        <f>IFERROR(RANK(N151,N:N)&amp;"/"&amp;COUNT(N:N),"-")</f>
        <v>186/197</v>
      </c>
      <c r="P151" s="26">
        <f>IF(O151="-","-",RANK(N151,N:N)/COUNT(N:N))</f>
        <v>0.9441624365482234</v>
      </c>
      <c r="Q151" s="56">
        <v>0.9441624365482234</v>
      </c>
      <c r="R151" s="33" t="str">
        <f>IF(OR($C151&gt;20190630,$K151&gt;30,N151="-",$D151="是",$E151="封闭期",$H151&lt;10,$BN151&lt;-6,$BR151&lt;70),"-",COUNTIFS(N$4:N$200,"&lt;&gt;-",$D$4:$D$200,"&lt;&gt;是",$E$4:$E$200,"&lt;&gt;封闭期",$H$4:$H$200,"&gt;10",$BN$4:$BN$200,"&gt;-6",$BR$4:$BR$200,"&gt;=70",$K$4:$K$200,"&lt;=30",$C$4:$C$200,"&lt;20190630",N$4:N$200,"&gt;="&amp;N151)/COUNTIFS(N$4:N$200,"&lt;&gt;-",$D$4:$D$200,"&lt;&gt;是",$E$4:$E$200,"&lt;&gt;封闭期",$H$4:$H$200,"&gt;10",$BN$4:$BN$200,"&gt;-6",$BR$4:$BR$200,"&gt;=70",$C$4:$C$200,"&lt;20190630",$K$4:$K$200,"&lt;=30"))</f>
        <v>-</v>
      </c>
      <c r="S151" s="19">
        <f>IFERROR((L151-3)/M151,"-")</f>
        <v>-0.70113999614854894</v>
      </c>
      <c r="T151" s="19" t="str">
        <f>IFERROR(RANK(S151,S:S)&amp;"/"&amp;COUNT(S:S),"-")</f>
        <v>186/197</v>
      </c>
      <c r="U151" s="26">
        <f>IFERROR(RANK(S151,S:S)/COUNT(S:S),"-")</f>
        <v>0.9441624365482234</v>
      </c>
      <c r="V151" s="34" t="str">
        <f>IF(OR($C151&gt;20190630,$K151&gt;30,S151="-",$D151="是",$E151="封闭期",$H151&lt;10,$BN151&lt;-6,$BR151&lt;70),"-",COUNTIFS(S$4:S$200,"&lt;&gt;-",$D$4:$D$200,"&lt;&gt;是",$E$4:$E$200,"&lt;&gt;封闭期",$H$4:$H$200,"&gt;10",$BN$4:$BN$200,"&gt;-6",$BR$4:$BR$200,"&gt;=70",$K$4:$K$200,"&lt;=30",$C$4:$C$200,"&lt;20190630",S$4:S$200,"&gt;="&amp;S151)&amp;"/"&amp;COUNTIFS(S$4:S$200,"&lt;&gt;-",$D$4:$D$200,"&lt;&gt;是",$E$4:$E$200,"&lt;&gt;封闭期",$H$4:$H$200,"&gt;10",$BN$4:$BN$200,"&gt;-6",$BR$4:$BR$200,"&gt;=70",$C$4:$C$200,"&lt;20190630",$K$4:$K$200,"&lt;=30"))</f>
        <v>-</v>
      </c>
      <c r="W151" s="33" t="str">
        <f>IF(OR($C151&gt;20190630,$K151&gt;30,S151="-",$D151="是",$E151="封闭期",$H151&lt;10,$BN151&lt;-6,$BR151&lt;70),"-",COUNTIFS(S$4:S$200,"&lt;&gt;-",$D$4:$D$200,"&lt;&gt;是",$E$4:$E$200,"&lt;&gt;封闭期",$H$4:$H$200,"&gt;10",$BN$4:$BN$200,"&gt;-6",$BR$4:$BR$200,"&gt;=70",$K$4:$K$200,"&lt;=30",$C$4:$C$200,"&lt;20190630",S$4:S$200,"&gt;="&amp;S151)/COUNTIFS(S$4:S$200,"&lt;&gt;-",$D$4:$D$200,"&lt;&gt;是",$E$4:$E$200,"&lt;&gt;封闭期",$H$4:$H$200,"&gt;10",$BN$4:$BN$200,"&gt;-6",$BR$4:$BR$200,"&gt;=70",$C$4:$C$200,"&lt;20190630",$K$4:$K$200,"&lt;=30"))</f>
        <v>-</v>
      </c>
      <c r="X151" s="19">
        <f>[1]!f_risk_calmar(A151,$L$2,$E$1)</f>
        <v>0.17668917990919647</v>
      </c>
      <c r="Y151" s="19" t="str">
        <f>IFERROR(RANK(X151,X:X)&amp;"/"&amp;COUNT(X:X),"-")</f>
        <v>186/197</v>
      </c>
      <c r="Z151" s="26">
        <f>IFERROR(RANK(X151,X:X)/COUNT(X:X),"-")</f>
        <v>0.9441624365482234</v>
      </c>
      <c r="AA151" s="34" t="str">
        <f>IF(OR($C151&gt;20190630,$K151&gt;30,X151="-",$D151="是",$E151="封闭期",$H151&lt;10,$BN151&lt;-6,$BR151&lt;70),"-",COUNTIFS(X$4:X$200,"&lt;&gt;-",$D$4:$D$200,"&lt;&gt;是",$E$4:$E$200,"&lt;&gt;封闭期",$H$4:$H$200,"&gt;10",$BN$4:$BN$200,"&gt;-6",$BR$4:$BR$200,"&gt;=70",$K$4:$K$200,"&lt;=30",$C$4:$C$200,"&lt;20190630",X$4:X$200,"&gt;="&amp;X151)&amp;"/"&amp;COUNTIFS(X$4:X$200,"&lt;&gt;-",$D$4:$D$200,"&lt;&gt;是",$E$4:$E$200,"&lt;&gt;封闭期",$H$4:$H$200,"&gt;10",$BN$4:$BN$200,"&gt;-6",$BR$4:$BR$200,"&gt;=70",$C$4:$C$200,"&lt;20190630",$K$4:$K$200,"&lt;=30"))</f>
        <v>-</v>
      </c>
      <c r="AB151" s="33" t="str">
        <f>IF(OR($C151&gt;20190630,$K151&gt;30,X151="-",$D151="是",$E151="封闭期",$H151&lt;10,$BN151&lt;-6,$BR151&lt;70),"-",COUNTIFS(X$4:X$200,"&lt;&gt;-",$D$4:$D$200,"&lt;&gt;是",$E$4:$E$200,"&lt;&gt;封闭期",$H$4:$H$200,"&gt;10",$BN$4:$BN$200,"&gt;-6",$BR$4:$BR$200,"&gt;=70",$K$4:$K$200,"&lt;=30",$C$4:$C$200,"&lt;20190630",X$4:X$200,"&gt;="&amp;X151)/COUNTIFS(X$4:X$200,"&lt;&gt;-",$D$4:$D$200,"&lt;&gt;是",$E$4:$E$200,"&lt;&gt;封闭期",$H$4:$H$200,"&gt;10",$BN$4:$BN$200,"&gt;-6",$BR$4:$BR$200,"&gt;=70",$C$4:$C$200,"&lt;20190630",$K$4:$K$200,"&lt;=30"))</f>
        <v>-</v>
      </c>
      <c r="AC151" s="20">
        <v>0.68907563025210083</v>
      </c>
      <c r="AD151" s="19" t="str">
        <f>IFERROR(RANK(AC151,AC:AC)&amp;"/"&amp;COUNT(AC:AC),"-")</f>
        <v>169/197</v>
      </c>
      <c r="AE151" s="26">
        <f>IFERROR(RANK(AC151,AC:AC)/COUNT(AC:AC),"-")</f>
        <v>0.85786802030456855</v>
      </c>
      <c r="AF151" s="34" t="str">
        <f>IF(OR($C151&gt;20190630,$K151&gt;30,AC151="-",$D151="是",$E151="封闭期",$H151&lt;10,$BN151&lt;-6,$BR151&lt;70),"-",COUNTIFS(AC$4:AC$200,"&lt;&gt;-",$D$4:$D$200,"&lt;&gt;是",$E$4:$E$200,"&lt;&gt;封闭期",$H$4:$H$200,"&gt;10",$BN$4:$BN$200,"&gt;-6",$BR$4:$BR$200,"&gt;=70",$K$4:$K$200,"&lt;=30",$C$4:$C$200,"&lt;20190630",AC$4:AC$200,"&gt;="&amp;AC151)&amp;"/"&amp;COUNTIFS(AC$4:AC$200,"&lt;&gt;-",$D$4:$D$200,"&lt;&gt;是",$E$4:$E$200,"&lt;&gt;封闭期",$H$4:$H$200,"&gt;10",$BN$4:$BN$200,"&gt;-6",$BR$4:$BR$200,"&gt;=70",$C$4:$C$200,"&lt;20190630",$K$4:$K$200,"&lt;=30"))</f>
        <v>-</v>
      </c>
      <c r="AG151" s="33" t="str">
        <f>IF(OR($C151&gt;20190630,$K151&gt;30,AC151="-",$D151="是",$E151="封闭期",$H151&lt;10,$BN151&lt;-6,$BR151&lt;70),"-",COUNTIFS(AC$4:AC$200,"&lt;&gt;-",$D$4:$D$200,"&lt;&gt;是",$E$4:$E$200,"&lt;&gt;封闭期",$H$4:$H$200,"&gt;10",$BN$4:$BN$200,"&gt;-6",$BR$4:$BR$200,"&gt;=70",$K$4:$K$200,"&lt;=30",$C$4:$C$200,"&lt;20190630",AC$4:AC$200,"&gt;="&amp;AC151)/COUNTIFS(AC$4:AC$200,"&lt;&gt;-",$D$4:$D$200,"&lt;&gt;是",$E$4:$E$200,"&lt;&gt;封闭期",$H$4:$H$200,"&gt;10",$BN$4:$BN$200,"&gt;-6",$BR$4:$BR$200,"&gt;=70",$C$4:$C$200,"&lt;20190630",$K$4:$K$200,"&lt;=30"))</f>
        <v>-</v>
      </c>
      <c r="AH151" s="21">
        <f>[1]!f_risk_maxdownside(A151,$L$2,$E$1)</f>
        <v>-2.6781286163002136</v>
      </c>
      <c r="AI151" s="19" t="str">
        <f>IFERROR(RANK(AH151,AH:AH)&amp;"/"&amp;COUNT(AH:AH),"-")</f>
        <v>80/197</v>
      </c>
      <c r="AJ151" s="26">
        <f>IFERROR(RANK(AH151,AH:AH)/COUNT(AH:AH),"-")</f>
        <v>0.40609137055837563</v>
      </c>
      <c r="AK151" s="34" t="str">
        <f>IF(OR($C151&gt;20190630,$K151&gt;30,AH151="-",$D151="是",$E151="封闭期",$H151&lt;10,$BN151&lt;-6,$BR151&lt;70),"-",COUNTIFS(AH$4:AH$200,"&lt;&gt;-",$D$4:$D$200,"&lt;&gt;是",$E$4:$E$200,"&lt;&gt;封闭期",$H$4:$H$200,"&gt;10",$BN$4:$BN$200,"&gt;-6",$BR$4:$BR$200,"&gt;=70",$K$4:$K$200,"&lt;=30",$C$4:$C$200,"&lt;20190630",AH$4:AH$200,"&gt;="&amp;AH151)&amp;"/"&amp;COUNTIFS(AH$4:AH$200,"&lt;&gt;-",$D$4:$D$200,"&lt;&gt;是",$E$4:$E$200,"&lt;&gt;封闭期",$H$4:$H$200,"&gt;10",$BN$4:$BN$200,"&gt;-6",$BR$4:$BR$200,"&gt;=70",$C$4:$C$200,"&lt;20190630",$K$4:$K$200,"&lt;=30"))</f>
        <v>-</v>
      </c>
      <c r="AL151" s="33" t="str">
        <f>IF(OR($C151&gt;20190630,$K151&gt;30,AH151="-",$D151="是",$E151="封闭期",$H151&lt;10,$BN151&lt;-6,$BR151&lt;70),"-",COUNTIFS(AH$4:AH$200,"&lt;&gt;-",$D$4:$D$200,"&lt;&gt;是",$E$4:$E$200,"&lt;&gt;封闭期",$H$4:$H$200,"&gt;10",$BN$4:$BN$200,"&gt;-6",$BR$4:$BR$200,"&gt;=70",$K$4:$K$200,"&lt;=30",$C$4:$C$200,"&lt;20190630",AH$4:AH$200,"&gt;="&amp;AH151)/COUNTIFS(AH$4:AH$200,"&lt;&gt;-",$D$4:$D$200,"&lt;&gt;是",$E$4:$E$200,"&lt;&gt;封闭期",$H$4:$H$200,"&gt;10",$BN$4:$BN$200,"&gt;-6",$BR$4:$BR$200,"&gt;=70",$C$4:$C$200,"&lt;20190630",$K$4:$K$200,"&lt;=30"))</f>
        <v>-</v>
      </c>
      <c r="AM151" s="19">
        <f>[1]!f_return($A151,"1",AM$2,$L$2)</f>
        <v>4.3610866807739956</v>
      </c>
      <c r="AN151" s="19">
        <f>[1]!f_risk_stdevyearly($A151,AM$2,$L$2,1,1)</f>
        <v>1.4835471025357405</v>
      </c>
      <c r="AO151" s="19">
        <f>IFERROR(AM151/AN151,"-")</f>
        <v>2.939634793745237</v>
      </c>
      <c r="AP151" s="19" t="str">
        <f>IFERROR(RANK(AO151,AO:AO)&amp;"/"&amp;COUNT(AO:AO),"-")</f>
        <v>12/197</v>
      </c>
      <c r="AQ151" s="26">
        <f>IF(AP151="-","-",RANK(AO151,AO:AO)/COUNT(AO:AO))</f>
        <v>6.0913705583756347E-2</v>
      </c>
      <c r="AR151" s="57">
        <v>0.75126903553299496</v>
      </c>
      <c r="AS151" s="33" t="str">
        <f>IF(OR($C151&gt;20190630,$K151&gt;30,AO151="-",$D151="是",$E151="封闭期",$H151&lt;10,$BN151&lt;-6,$BR151&lt;70),"-",COUNTIFS(AO$4:AO$200,"&lt;&gt;-",$D$4:$D$200,"&lt;&gt;是",$E$4:$E$200,"&lt;&gt;封闭期",$H$4:$H$200,"&gt;10",$BN$4:$BN$200,"&gt;-6",$BR$4:$BR$200,"&gt;=70",$K$4:$K$200,"&lt;=30",$C$4:$C$200,"&lt;20190630",AO$4:AO$200,"&gt;="&amp;AO151)/COUNTIFS(AO$4:AO$200,"&lt;&gt;-",$D$4:$D$200,"&lt;&gt;是",$E$4:$E$200,"&lt;&gt;封闭期",$H$4:$H$200,"&gt;10",$BN$4:$BN$200,"&gt;-6",$BR$4:$BR$200,"&gt;=70",$C$4:$C$200,"&lt;20190630",$K$4:$K$200,"&lt;=30"))</f>
        <v>-</v>
      </c>
      <c r="AT151" s="19">
        <f>IFERROR((AM151-3)/AN151,"-")</f>
        <v>0.91745430829096664</v>
      </c>
      <c r="AU151" s="19" t="str">
        <f>IFERROR(RANK(AT151,AT:AT)&amp;"/"&amp;COUNT(AT:AT),"-")</f>
        <v>94/197</v>
      </c>
      <c r="AV151" s="26">
        <f>IFERROR(RANK(AT151,AT:AT)/COUNT(AT:AT),"-")</f>
        <v>0.47715736040609136</v>
      </c>
      <c r="AW151" s="34" t="str">
        <f>IF(OR($C151&gt;20190630,$K151&gt;30,AT151="-",$D151="是",$E151="封闭期",$H151&lt;10,$BN151&lt;-6,$BR151&lt;70),"-",COUNTIFS(AT$4:AT$200,"&lt;&gt;-",$D$4:$D$200,"&lt;&gt;是",$E$4:$E$200,"&lt;&gt;封闭期",$H$4:$H$200,"&gt;10",$BN$4:$BN$200,"&gt;-6",$BR$4:$BR$200,"&gt;=70",$K$4:$K$200,"&lt;=30",$C$4:$C$200,"&lt;20190630",AT$4:AT$200,"&gt;="&amp;AT151)&amp;"/"&amp;COUNTIFS(AT$4:AT$200,"&lt;&gt;-",$D$4:$D$200,"&lt;&gt;是",$E$4:$E$200,"&lt;&gt;封闭期",$H$4:$H$200,"&gt;10",$BN$4:$BN$200,"&gt;-6",$BR$4:$BR$200,"&gt;=70",$C$4:$C$200,"&lt;20190630",$K$4:$K$200,"&lt;=30"))</f>
        <v>-</v>
      </c>
      <c r="AX151" s="33" t="str">
        <f>IF(OR($C151&gt;20190630,$K151&gt;30,AT151="-",$D151="是",$E151="封闭期",$H151&lt;10,$BN151&lt;-6,$BR151&lt;70),"-",COUNTIFS(AT$4:AT$200,"&lt;&gt;-",$D$4:$D$200,"&lt;&gt;是",$E$4:$E$200,"&lt;&gt;封闭期",$H$4:$H$200,"&gt;10",$BN$4:$BN$200,"&gt;-6",$BR$4:$BR$200,"&gt;=70",$K$4:$K$200,"&lt;=30",$C$4:$C$200,"&lt;20190630",AT$4:AT$200,"&gt;="&amp;AT151)/COUNTIFS(AT$4:AT$200,"&lt;&gt;-",$D$4:$D$200,"&lt;&gt;是",$E$4:$E$200,"&lt;&gt;封闭期",$H$4:$H$200,"&gt;10",$BN$4:$BN$200,"&gt;-6",$BR$4:$BR$200,"&gt;=70",$C$4:$C$200,"&lt;20190630",$K$4:$K$200,"&lt;=30"))</f>
        <v>-</v>
      </c>
      <c r="AY151" s="19">
        <f>[1]!f_risk_calmar(A151,$AM$2,$L$2)</f>
        <v>3.0708243491840714</v>
      </c>
      <c r="AZ151" s="19" t="str">
        <f>IFERROR(RANK(AY151,AY:AY)&amp;"/"&amp;COUNT(AY:AY),"-")</f>
        <v>46/197</v>
      </c>
      <c r="BA151" s="26">
        <f>IFERROR(RANK(AY151,AY:AY)/COUNT(AY:AY),"-")</f>
        <v>0.233502538071066</v>
      </c>
      <c r="BB151" s="34" t="str">
        <f>IF(OR($C151&gt;20190630,$K151&gt;30,AY151="-",$D151="是",$E151="封闭期",$H151&lt;10,$BN151&lt;-6,$BR151&lt;70),"-",COUNTIFS(AY$4:AY$200,"&lt;&gt;-",$D$4:$D$200,"&lt;&gt;是",$E$4:$E$200,"&lt;&gt;封闭期",$H$4:$H$200,"&gt;10",$BN$4:$BN$200,"&gt;-6",$BR$4:$BR$200,"&gt;=70",$K$4:$K$200,"&lt;=30",$C$4:$C$200,"&lt;20190630",AY$4:AY$200,"&gt;="&amp;AY151)&amp;"/"&amp;COUNTIFS(AY$4:AY$200,"&lt;&gt;-",$D$4:$D$200,"&lt;&gt;是",$E$4:$E$200,"&lt;&gt;封闭期",$H$4:$H$200,"&gt;10",$BN$4:$BN$200,"&gt;-6",$BR$4:$BR$200,"&gt;=70",$C$4:$C$200,"&lt;20190630",$K$4:$K$200,"&lt;=30"))</f>
        <v>-</v>
      </c>
      <c r="BC151" s="33" t="str">
        <f>IF(OR($C151&gt;20190630,$K151&gt;30,AY151="-",$D151="是",$E151="封闭期",$H151&lt;10,$BN151&lt;-6,$BR151&lt;70),"-",COUNTIFS(AY$4:AY$200,"&lt;&gt;-",$D$4:$D$200,"&lt;&gt;是",$E$4:$E$200,"&lt;&gt;封闭期",$H$4:$H$200,"&gt;10",$BN$4:$BN$200,"&gt;-6",$BR$4:$BR$200,"&gt;=70",$K$4:$K$200,"&lt;=30",$C$4:$C$200,"&lt;20190630",AY$4:AY$200,"&gt;="&amp;AY151)/COUNTIFS(AY$4:AY$200,"&lt;&gt;-",$D$4:$D$200,"&lt;&gt;是",$E$4:$E$200,"&lt;&gt;封闭期",$H$4:$H$200,"&gt;10",$BN$4:$BN$200,"&gt;-6",$BR$4:$BR$200,"&gt;=70",$C$4:$C$200,"&lt;20190630",$K$4:$K$200,"&lt;=30"))</f>
        <v>-</v>
      </c>
      <c r="BD151" s="20">
        <v>1</v>
      </c>
      <c r="BE151" s="19" t="str">
        <f>IFERROR(RANK(BD151,BD:BD)&amp;"/"&amp;COUNT(BD:BD),"-")</f>
        <v>1/197</v>
      </c>
      <c r="BF151" s="26">
        <f>IFERROR(RANK(BD151,BD:BD)/COUNT(BD:BD),"-")</f>
        <v>5.076142131979695E-3</v>
      </c>
      <c r="BG151" s="34" t="str">
        <f>IF(OR($C151&gt;20190630,$K151&gt;30,BD151="-",$D151="是",$E151="封闭期",$H151&lt;10,$BN151&lt;-6,$BR151&lt;70),"-",COUNTIFS(BD$4:BD$200,"&lt;&gt;-",$D$4:$D$200,"&lt;&gt;是",$E$4:$E$200,"&lt;&gt;封闭期",$H$4:$H$200,"&gt;10",$BN$4:$BN$200,"&gt;-6",$BR$4:$BR$200,"&gt;=70",$K$4:$K$200,"&lt;=30",$C$4:$C$200,"&lt;20190630",BD$4:BD$200,"&gt;="&amp;BD151)&amp;"/"&amp;COUNTIFS(BD$4:BD$200,"&lt;&gt;-",$D$4:$D$200,"&lt;&gt;是",$E$4:$E$200,"&lt;&gt;封闭期",$H$4:$H$200,"&gt;10",$BN$4:$BN$200,"&gt;-6",$BR$4:$BR$200,"&gt;=70",$C$4:$C$200,"&lt;20190630",$K$4:$K$200,"&lt;=30"))</f>
        <v>-</v>
      </c>
      <c r="BH151" s="33" t="str">
        <f>IF(OR($C151&gt;20190630,$K151&gt;30,BD151="-",$D151="是",$E151="封闭期",$H151&lt;10,$BN151&lt;-6,$BR151&lt;70),"-",COUNTIFS(BD$4:BD$200,"&lt;&gt;-",$D$4:$D$200,"&lt;&gt;是",$E$4:$E$200,"&lt;&gt;封闭期",$H$4:$H$200,"&gt;10",$BN$4:$BN$200,"&gt;-6",$BR$4:$BR$200,"&gt;=70",$K$4:$K$200,"&lt;=30",$C$4:$C$200,"&lt;20190630",BD$4:BD$200,"&gt;="&amp;BD151)/COUNTIFS(BD$4:BD$200,"&lt;&gt;-",$D$4:$D$200,"&lt;&gt;是",$E$4:$E$200,"&lt;&gt;封闭期",$H$4:$H$200,"&gt;10",$BN$4:$BN$200,"&gt;-6",$BR$4:$BR$200,"&gt;=70",$C$4:$C$200,"&lt;20190630",$K$4:$K$200,"&lt;=30"))</f>
        <v>-</v>
      </c>
      <c r="BI151" s="21">
        <f>[1]!f_risk_maxdownside(A151,$AM$2,$L$2)</f>
        <v>-1.4201680672268837</v>
      </c>
      <c r="BJ151" s="19" t="str">
        <f>IFERROR(RANK(BI151,BI:BI)&amp;"/"&amp;COUNT(BI:BI),"-")</f>
        <v>15/197</v>
      </c>
      <c r="BK151" s="26">
        <f>IFERROR(RANK(BI151,BI:BI)/COUNT(BI:BI),"-")</f>
        <v>7.6142131979695438E-2</v>
      </c>
      <c r="BL151" s="34" t="str">
        <f>IF(OR($C151&gt;20190630,$K151&gt;30,BI151="-",$D151="是",$E151="封闭期",$H151&lt;10,$BN151&lt;-6,$BR151&lt;70),"-",COUNTIFS(BI$4:BI$200,"&lt;&gt;-",$D$4:$D$200,"&lt;&gt;是",$E$4:$E$200,"&lt;&gt;封闭期",$H$4:$H$200,"&gt;10",$BN$4:$BN$200,"&gt;-6",$BR$4:$BR$200,"&gt;=70",$K$4:$K$200,"&lt;=30",$C$4:$C$200,"&lt;20190630",BI$4:BI$200,"&gt;="&amp;BI151)&amp;"/"&amp;COUNTIFS(BI$4:BI$200,"&lt;&gt;-",$D$4:$D$200,"&lt;&gt;是",$E$4:$E$200,"&lt;&gt;封闭期",$H$4:$H$200,"&gt;10",$BN$4:$BN$200,"&gt;-6",$BR$4:$BR$200,"&gt;=70",$C$4:$C$200,"&lt;20190630",$K$4:$K$200,"&lt;=30"))</f>
        <v>-</v>
      </c>
      <c r="BM151" s="33" t="str">
        <f>IF(OR($C151&gt;20190630,$K151&gt;30,BI151="-",$D151="是",$E151="封闭期",$H151&lt;10,$BN151&lt;-6,$BR151&lt;70),"-",COUNTIFS(BI$4:BI$200,"&lt;&gt;-",$D$4:$D$200,"&lt;&gt;是",$E$4:$E$200,"&lt;&gt;封闭期",$H$4:$H$200,"&gt;10",$BN$4:$BN$200,"&gt;-6",$BR$4:$BR$200,"&gt;=70",$K$4:$K$200,"&lt;=30",$C$4:$C$200,"&lt;20190630",BI$4:BI$200,"&gt;="&amp;BI151)/COUNTIFS(BI$4:BI$200,"&lt;&gt;-",$D$4:$D$200,"&lt;&gt;是",$E$4:$E$200,"&lt;&gt;封闭期",$H$4:$H$200,"&gt;10",$BN$4:$BN$200,"&gt;-6",$BR$4:$BR$200,"&gt;=70",$C$4:$C$200,"&lt;20190630",$K$4:$K$200,"&lt;=30"))</f>
        <v>-</v>
      </c>
      <c r="BN151" s="21">
        <f>[1]!f_risk_maxdownside(A151,$AM$2,$E$1)</f>
        <v>-2.6781286163002136</v>
      </c>
      <c r="BO151" s="21">
        <f>IF(C151&lt;20190930,[1]!f_return_2y(A151,"0","20210930"),"-")</f>
        <v>5.0310008857395889</v>
      </c>
      <c r="BP151" s="19" t="str">
        <f>IFERROR(RANK(BO151,BO:BO)&amp;"/"&amp;COUNT(BO:BO),"-")</f>
        <v>185/197</v>
      </c>
      <c r="BQ151" s="25">
        <f>IFERROR(RANK(BO151,BO:BO)/COUNT(BO:BO),"-")</f>
        <v>0.93908629441624369</v>
      </c>
      <c r="BR151" s="19">
        <f>IF(C151&lt;20190930,[1]!f_absolute_profitmonthper(A151,"20190930","20210930"),"-")</f>
        <v>66.666666666666657</v>
      </c>
      <c r="BS151" s="19" t="str">
        <f>IFERROR(RANK(BR151,BR:BR)&amp;"/"&amp;COUNT(BR:BR),"-")</f>
        <v>115/198</v>
      </c>
      <c r="BT151" s="25">
        <f>IFERROR(RANK(BR151,BR:BR)/COUNT(BR:BR),"-")</f>
        <v>0.58080808080808077</v>
      </c>
      <c r="BV151" s="12">
        <f>X151-3/M151</f>
        <v>-0.655753810876607</v>
      </c>
      <c r="BW151" s="76">
        <f>IFERROR(RANK(BV151,BV:BV)/COUNT(BV:BV),"-")</f>
        <v>0.93908629441624369</v>
      </c>
      <c r="BX151" s="76">
        <f>IFERROR(RANK(L151,L:L)/COUNT(L:L),"-")</f>
        <v>0.94444444444444442</v>
      </c>
      <c r="BY151" s="12">
        <f>AY151-3/AN151</f>
        <v>1.0486438637298012</v>
      </c>
      <c r="BZ151" s="76">
        <f>IFERROR(RANK(BY151,BY:BY)/COUNT(BY:BY),"-")</f>
        <v>0.65989847715736039</v>
      </c>
      <c r="CA151" s="76">
        <f>IFERROR(RANK(AM151,AM:AM)/COUNT(AM:AM),"-")</f>
        <v>0.75252525252525249</v>
      </c>
      <c r="CB151" s="2"/>
      <c r="CC151" s="77">
        <f>AV151+BF151+BZ151+CA151</f>
        <v>1.8946572322206841</v>
      </c>
      <c r="CD151" s="77">
        <f>BW151+BX151+AE151+U151</f>
        <v>3.68556119571348</v>
      </c>
      <c r="CE151" s="77">
        <f>CC151+CD151</f>
        <v>5.580218427934164</v>
      </c>
    </row>
    <row r="152" spans="1:83" s="17" customFormat="1" hidden="1" x14ac:dyDescent="0.35">
      <c r="A152" s="15" t="s">
        <v>139</v>
      </c>
      <c r="B152" s="15" t="s">
        <v>140</v>
      </c>
      <c r="C152" s="16">
        <v>20130424</v>
      </c>
      <c r="D152" s="16" t="str">
        <f>[1]!f_info_regulopenfundornot(A152)</f>
        <v>否</v>
      </c>
      <c r="E152" s="16" t="str">
        <f>[1]!f_dq_status(A152,$E$1)</f>
        <v>开放申购|开放赎回</v>
      </c>
      <c r="F152" s="17" t="str">
        <f>[1]!f_info_fundmanager(A152)</f>
        <v>唐赟</v>
      </c>
      <c r="G152" s="16">
        <v>20200714</v>
      </c>
      <c r="H152" s="18">
        <f>[1]!f_netasset_total(A152,$E$1,100000000)</f>
        <v>0.46963657619999999</v>
      </c>
      <c r="I152" s="18">
        <f>[1]!f_prt_convertiblebondtonav(A152,$E$1)</f>
        <v>3.3153033256530762</v>
      </c>
      <c r="J152" s="18">
        <f>[1]!f_prt_stocktonav(A152,$E$1)+0.5*I152</f>
        <v>3.7543356418609619</v>
      </c>
      <c r="K152" s="19">
        <v>0</v>
      </c>
      <c r="L152" s="19">
        <f>[1]!f_return($A152,"1",L$2,$E$1)</f>
        <v>5.4797668741693784</v>
      </c>
      <c r="M152" s="19">
        <f>[1]!f_risk_stdevyearly($A152,L$2,$E$1,1,1)</f>
        <v>3.9764970164382865</v>
      </c>
      <c r="N152" s="19">
        <f>IFERROR(L152/M152,"-")</f>
        <v>1.3780387239112171</v>
      </c>
      <c r="O152" s="19" t="str">
        <f>IFERROR(RANK(N152,N:N)&amp;"/"&amp;COUNT(N:N),"-")</f>
        <v>102/197</v>
      </c>
      <c r="P152" s="26">
        <f>IF(O152="-","-",RANK(N152,N:N)/COUNT(N:N))</f>
        <v>0.51776649746192893</v>
      </c>
      <c r="Q152" s="56">
        <v>0.52284263959390864</v>
      </c>
      <c r="R152" s="33" t="str">
        <f>IF(OR($C152&gt;20190630,$K152&gt;30,N152="-",$D152="是",$E152="封闭期",$H152&lt;10,$BN152&lt;-6,$BR152&lt;70),"-",COUNTIFS(N$4:N$200,"&lt;&gt;-",$D$4:$D$200,"&lt;&gt;是",$E$4:$E$200,"&lt;&gt;封闭期",$H$4:$H$200,"&gt;10",$BN$4:$BN$200,"&gt;-6",$BR$4:$BR$200,"&gt;=70",$K$4:$K$200,"&lt;=30",$C$4:$C$200,"&lt;20190630",N$4:N$200,"&gt;="&amp;N152)/COUNTIFS(N$4:N$200,"&lt;&gt;-",$D$4:$D$200,"&lt;&gt;是",$E$4:$E$200,"&lt;&gt;封闭期",$H$4:$H$200,"&gt;10",$BN$4:$BN$200,"&gt;-6",$BR$4:$BR$200,"&gt;=70",$C$4:$C$200,"&lt;20190630",$K$4:$K$200,"&lt;=30"))</f>
        <v>-</v>
      </c>
      <c r="S152" s="19">
        <f>IFERROR((L152-3)/M152,"-")</f>
        <v>0.62360586815942942</v>
      </c>
      <c r="T152" s="19" t="str">
        <f>IFERROR(RANK(S152,S:S)&amp;"/"&amp;COUNT(S:S),"-")</f>
        <v>111/197</v>
      </c>
      <c r="U152" s="26">
        <f>IFERROR(RANK(S152,S:S)/COUNT(S:S),"-")</f>
        <v>0.56345177664974622</v>
      </c>
      <c r="V152" s="34" t="str">
        <f>IF(OR($C152&gt;20190630,$K152&gt;30,S152="-",$D152="是",$E152="封闭期",$H152&lt;10,$BN152&lt;-6,$BR152&lt;70),"-",COUNTIFS(S$4:S$200,"&lt;&gt;-",$D$4:$D$200,"&lt;&gt;是",$E$4:$E$200,"&lt;&gt;封闭期",$H$4:$H$200,"&gt;10",$BN$4:$BN$200,"&gt;-6",$BR$4:$BR$200,"&gt;=70",$K$4:$K$200,"&lt;=30",$C$4:$C$200,"&lt;20190630",S$4:S$200,"&gt;="&amp;S152)&amp;"/"&amp;COUNTIFS(S$4:S$200,"&lt;&gt;-",$D$4:$D$200,"&lt;&gt;是",$E$4:$E$200,"&lt;&gt;封闭期",$H$4:$H$200,"&gt;10",$BN$4:$BN$200,"&gt;-6",$BR$4:$BR$200,"&gt;=70",$C$4:$C$200,"&lt;20190630",$K$4:$K$200,"&lt;=30"))</f>
        <v>-</v>
      </c>
      <c r="W152" s="33" t="str">
        <f>IF(OR($C152&gt;20190630,$K152&gt;30,S152="-",$D152="是",$E152="封闭期",$H152&lt;10,$BN152&lt;-6,$BR152&lt;70),"-",COUNTIFS(S$4:S$200,"&lt;&gt;-",$D$4:$D$200,"&lt;&gt;是",$E$4:$E$200,"&lt;&gt;封闭期",$H$4:$H$200,"&gt;10",$BN$4:$BN$200,"&gt;-6",$BR$4:$BR$200,"&gt;=70",$K$4:$K$200,"&lt;=30",$C$4:$C$200,"&lt;20190630",S$4:S$200,"&gt;="&amp;S152)/COUNTIFS(S$4:S$200,"&lt;&gt;-",$D$4:$D$200,"&lt;&gt;是",$E$4:$E$200,"&lt;&gt;封闭期",$H$4:$H$200,"&gt;10",$BN$4:$BN$200,"&gt;-6",$BR$4:$BR$200,"&gt;=70",$C$4:$C$200,"&lt;20190630",$K$4:$K$200,"&lt;=30"))</f>
        <v>-</v>
      </c>
      <c r="X152" s="19">
        <f>[1]!f_risk_calmar(A152,$L$2,$E$1)</f>
        <v>2.3454208069514699</v>
      </c>
      <c r="Y152" s="19" t="str">
        <f>IFERROR(RANK(X152,X:X)&amp;"/"&amp;COUNT(X:X),"-")</f>
        <v>79/197</v>
      </c>
      <c r="Z152" s="26">
        <f>IFERROR(RANK(X152,X:X)/COUNT(X:X),"-")</f>
        <v>0.40101522842639592</v>
      </c>
      <c r="AA152" s="34" t="str">
        <f>IF(OR($C152&gt;20190630,$K152&gt;30,X152="-",$D152="是",$E152="封闭期",$H152&lt;10,$BN152&lt;-6,$BR152&lt;70),"-",COUNTIFS(X$4:X$200,"&lt;&gt;-",$D$4:$D$200,"&lt;&gt;是",$E$4:$E$200,"&lt;&gt;封闭期",$H$4:$H$200,"&gt;10",$BN$4:$BN$200,"&gt;-6",$BR$4:$BR$200,"&gt;=70",$K$4:$K$200,"&lt;=30",$C$4:$C$200,"&lt;20190630",X$4:X$200,"&gt;="&amp;X152)&amp;"/"&amp;COUNTIFS(X$4:X$200,"&lt;&gt;-",$D$4:$D$200,"&lt;&gt;是",$E$4:$E$200,"&lt;&gt;封闭期",$H$4:$H$200,"&gt;10",$BN$4:$BN$200,"&gt;-6",$BR$4:$BR$200,"&gt;=70",$C$4:$C$200,"&lt;20190630",$K$4:$K$200,"&lt;=30"))</f>
        <v>-</v>
      </c>
      <c r="AB152" s="33" t="str">
        <f>IF(OR($C152&gt;20190630,$K152&gt;30,X152="-",$D152="是",$E152="封闭期",$H152&lt;10,$BN152&lt;-6,$BR152&lt;70),"-",COUNTIFS(X$4:X$200,"&lt;&gt;-",$D$4:$D$200,"&lt;&gt;是",$E$4:$E$200,"&lt;&gt;封闭期",$H$4:$H$200,"&gt;10",$BN$4:$BN$200,"&gt;-6",$BR$4:$BR$200,"&gt;=70",$K$4:$K$200,"&lt;=30",$C$4:$C$200,"&lt;20190630",X$4:X$200,"&gt;="&amp;X152)/COUNTIFS(X$4:X$200,"&lt;&gt;-",$D$4:$D$200,"&lt;&gt;是",$E$4:$E$200,"&lt;&gt;封闭期",$H$4:$H$200,"&gt;10",$BN$4:$BN$200,"&gt;-6",$BR$4:$BR$200,"&gt;=70",$C$4:$C$200,"&lt;20190630",$K$4:$K$200,"&lt;=30"))</f>
        <v>-</v>
      </c>
      <c r="AC152" s="20">
        <v>0.96638655462184875</v>
      </c>
      <c r="AD152" s="19" t="str">
        <f>IFERROR(RANK(AC152,AC:AC)&amp;"/"&amp;COUNT(AC:AC),"-")</f>
        <v>101/197</v>
      </c>
      <c r="AE152" s="26">
        <f>IFERROR(RANK(AC152,AC:AC)/COUNT(AC:AC),"-")</f>
        <v>0.51269035532994922</v>
      </c>
      <c r="AF152" s="34" t="str">
        <f>IF(OR($C152&gt;20190630,$K152&gt;30,AC152="-",$D152="是",$E152="封闭期",$H152&lt;10,$BN152&lt;-6,$BR152&lt;70),"-",COUNTIFS(AC$4:AC$200,"&lt;&gt;-",$D$4:$D$200,"&lt;&gt;是",$E$4:$E$200,"&lt;&gt;封闭期",$H$4:$H$200,"&gt;10",$BN$4:$BN$200,"&gt;-6",$BR$4:$BR$200,"&gt;=70",$K$4:$K$200,"&lt;=30",$C$4:$C$200,"&lt;20190630",AC$4:AC$200,"&gt;="&amp;AC152)&amp;"/"&amp;COUNTIFS(AC$4:AC$200,"&lt;&gt;-",$D$4:$D$200,"&lt;&gt;是",$E$4:$E$200,"&lt;&gt;封闭期",$H$4:$H$200,"&gt;10",$BN$4:$BN$200,"&gt;-6",$BR$4:$BR$200,"&gt;=70",$C$4:$C$200,"&lt;20190630",$K$4:$K$200,"&lt;=30"))</f>
        <v>-</v>
      </c>
      <c r="AG152" s="33" t="str">
        <f>IF(OR($C152&gt;20190630,$K152&gt;30,AC152="-",$D152="是",$E152="封闭期",$H152&lt;10,$BN152&lt;-6,$BR152&lt;70),"-",COUNTIFS(AC$4:AC$200,"&lt;&gt;-",$D$4:$D$200,"&lt;&gt;是",$E$4:$E$200,"&lt;&gt;封闭期",$H$4:$H$200,"&gt;10",$BN$4:$BN$200,"&gt;-6",$BR$4:$BR$200,"&gt;=70",$K$4:$K$200,"&lt;=30",$C$4:$C$200,"&lt;20190630",AC$4:AC$200,"&gt;="&amp;AC152)/COUNTIFS(AC$4:AC$200,"&lt;&gt;-",$D$4:$D$200,"&lt;&gt;是",$E$4:$E$200,"&lt;&gt;封闭期",$H$4:$H$200,"&gt;10",$BN$4:$BN$200,"&gt;-6",$BR$4:$BR$200,"&gt;=70",$C$4:$C$200,"&lt;20190630",$K$4:$K$200,"&lt;=30"))</f>
        <v>-</v>
      </c>
      <c r="AH152" s="21">
        <f>[1]!f_risk_maxdownside(A152,$L$2,$E$1)</f>
        <v>-2.3363683215942248</v>
      </c>
      <c r="AI152" s="19" t="str">
        <f>IFERROR(RANK(AH152,AH:AH)&amp;"/"&amp;COUNT(AH:AH),"-")</f>
        <v>70/197</v>
      </c>
      <c r="AJ152" s="26">
        <f>IFERROR(RANK(AH152,AH:AH)/COUNT(AH:AH),"-")</f>
        <v>0.35532994923857869</v>
      </c>
      <c r="AK152" s="34" t="str">
        <f>IF(OR($C152&gt;20190630,$K152&gt;30,AH152="-",$D152="是",$E152="封闭期",$H152&lt;10,$BN152&lt;-6,$BR152&lt;70),"-",COUNTIFS(AH$4:AH$200,"&lt;&gt;-",$D$4:$D$200,"&lt;&gt;是",$E$4:$E$200,"&lt;&gt;封闭期",$H$4:$H$200,"&gt;10",$BN$4:$BN$200,"&gt;-6",$BR$4:$BR$200,"&gt;=70",$K$4:$K$200,"&lt;=30",$C$4:$C$200,"&lt;20190630",AH$4:AH$200,"&gt;="&amp;AH152)&amp;"/"&amp;COUNTIFS(AH$4:AH$200,"&lt;&gt;-",$D$4:$D$200,"&lt;&gt;是",$E$4:$E$200,"&lt;&gt;封闭期",$H$4:$H$200,"&gt;10",$BN$4:$BN$200,"&gt;-6",$BR$4:$BR$200,"&gt;=70",$C$4:$C$200,"&lt;20190630",$K$4:$K$200,"&lt;=30"))</f>
        <v>-</v>
      </c>
      <c r="AL152" s="33" t="str">
        <f>IF(OR($C152&gt;20190630,$K152&gt;30,AH152="-",$D152="是",$E152="封闭期",$H152&lt;10,$BN152&lt;-6,$BR152&lt;70),"-",COUNTIFS(AH$4:AH$200,"&lt;&gt;-",$D$4:$D$200,"&lt;&gt;是",$E$4:$E$200,"&lt;&gt;封闭期",$H$4:$H$200,"&gt;10",$BN$4:$BN$200,"&gt;-6",$BR$4:$BR$200,"&gt;=70",$K$4:$K$200,"&lt;=30",$C$4:$C$200,"&lt;20190630",AH$4:AH$200,"&gt;="&amp;AH152)/COUNTIFS(AH$4:AH$200,"&lt;&gt;-",$D$4:$D$200,"&lt;&gt;是",$E$4:$E$200,"&lt;&gt;封闭期",$H$4:$H$200,"&gt;10",$BN$4:$BN$200,"&gt;-6",$BR$4:$BR$200,"&gt;=70",$C$4:$C$200,"&lt;20190630",$K$4:$K$200,"&lt;=30"))</f>
        <v>-</v>
      </c>
      <c r="AM152" s="19">
        <f>[1]!f_return($A152,"1",AM$2,$L$2)</f>
        <v>4.2814697222623543</v>
      </c>
      <c r="AN152" s="19">
        <f>[1]!f_risk_stdevyearly($A152,AM$2,$L$2,1,1)</f>
        <v>3.9360095546404059</v>
      </c>
      <c r="AO152" s="19">
        <f>IFERROR(AM152/AN152,"-")</f>
        <v>1.0877691384703738</v>
      </c>
      <c r="AP152" s="19" t="str">
        <f>IFERROR(RANK(AO152,AO:AO)&amp;"/"&amp;COUNT(AO:AO),"-")</f>
        <v>153/197</v>
      </c>
      <c r="AQ152" s="26">
        <f>IF(AP152="-","-",RANK(AO152,AO:AO)/COUNT(AO:AO))</f>
        <v>0.7766497461928934</v>
      </c>
      <c r="AR152" s="57">
        <v>0.75634517766497467</v>
      </c>
      <c r="AS152" s="33" t="str">
        <f>IF(OR($C152&gt;20190630,$K152&gt;30,AO152="-",$D152="是",$E152="封闭期",$H152&lt;10,$BN152&lt;-6,$BR152&lt;70),"-",COUNTIFS(AO$4:AO$200,"&lt;&gt;-",$D$4:$D$200,"&lt;&gt;是",$E$4:$E$200,"&lt;&gt;封闭期",$H$4:$H$200,"&gt;10",$BN$4:$BN$200,"&gt;-6",$BR$4:$BR$200,"&gt;=70",$K$4:$K$200,"&lt;=30",$C$4:$C$200,"&lt;20190630",AO$4:AO$200,"&gt;="&amp;AO152)/COUNTIFS(AO$4:AO$200,"&lt;&gt;-",$D$4:$D$200,"&lt;&gt;是",$E$4:$E$200,"&lt;&gt;封闭期",$H$4:$H$200,"&gt;10",$BN$4:$BN$200,"&gt;-6",$BR$4:$BR$200,"&gt;=70",$C$4:$C$200,"&lt;20190630",$K$4:$K$200,"&lt;=30"))</f>
        <v>-</v>
      </c>
      <c r="AT152" s="19">
        <f>IFERROR((AM152-3)/AN152,"-")</f>
        <v>0.32557586674340011</v>
      </c>
      <c r="AU152" s="19" t="str">
        <f>IFERROR(RANK(AT152,AT:AT)&amp;"/"&amp;COUNT(AT:AT),"-")</f>
        <v>153/197</v>
      </c>
      <c r="AV152" s="26">
        <f>IFERROR(RANK(AT152,AT:AT)/COUNT(AT:AT),"-")</f>
        <v>0.7766497461928934</v>
      </c>
      <c r="AW152" s="34" t="str">
        <f>IF(OR($C152&gt;20190630,$K152&gt;30,AT152="-",$D152="是",$E152="封闭期",$H152&lt;10,$BN152&lt;-6,$BR152&lt;70),"-",COUNTIFS(AT$4:AT$200,"&lt;&gt;-",$D$4:$D$200,"&lt;&gt;是",$E$4:$E$200,"&lt;&gt;封闭期",$H$4:$H$200,"&gt;10",$BN$4:$BN$200,"&gt;-6",$BR$4:$BR$200,"&gt;=70",$K$4:$K$200,"&lt;=30",$C$4:$C$200,"&lt;20190630",AT$4:AT$200,"&gt;="&amp;AT152)&amp;"/"&amp;COUNTIFS(AT$4:AT$200,"&lt;&gt;-",$D$4:$D$200,"&lt;&gt;是",$E$4:$E$200,"&lt;&gt;封闭期",$H$4:$H$200,"&gt;10",$BN$4:$BN$200,"&gt;-6",$BR$4:$BR$200,"&gt;=70",$C$4:$C$200,"&lt;20190630",$K$4:$K$200,"&lt;=30"))</f>
        <v>-</v>
      </c>
      <c r="AX152" s="33" t="str">
        <f>IF(OR($C152&gt;20190630,$K152&gt;30,AT152="-",$D152="是",$E152="封闭期",$H152&lt;10,$BN152&lt;-6,$BR152&lt;70),"-",COUNTIFS(AT$4:AT$200,"&lt;&gt;-",$D$4:$D$200,"&lt;&gt;是",$E$4:$E$200,"&lt;&gt;封闭期",$H$4:$H$200,"&gt;10",$BN$4:$BN$200,"&gt;-6",$BR$4:$BR$200,"&gt;=70",$K$4:$K$200,"&lt;=30",$C$4:$C$200,"&lt;20190630",AT$4:AT$200,"&gt;="&amp;AT152)/COUNTIFS(AT$4:AT$200,"&lt;&gt;-",$D$4:$D$200,"&lt;&gt;是",$E$4:$E$200,"&lt;&gt;封闭期",$H$4:$H$200,"&gt;10",$BN$4:$BN$200,"&gt;-6",$BR$4:$BR$200,"&gt;=70",$C$4:$C$200,"&lt;20190630",$K$4:$K$200,"&lt;=30"))</f>
        <v>-</v>
      </c>
      <c r="AY152" s="19">
        <f>[1]!f_risk_calmar(A152,$AM$2,$L$2)</f>
        <v>1.1523634676777217</v>
      </c>
      <c r="AZ152" s="19" t="str">
        <f>IFERROR(RANK(AY152,AY:AY)&amp;"/"&amp;COUNT(AY:AY),"-")</f>
        <v>157/197</v>
      </c>
      <c r="BA152" s="26">
        <f>IFERROR(RANK(AY152,AY:AY)/COUNT(AY:AY),"-")</f>
        <v>0.79695431472081213</v>
      </c>
      <c r="BB152" s="34" t="str">
        <f>IF(OR($C152&gt;20190630,$K152&gt;30,AY152="-",$D152="是",$E152="封闭期",$H152&lt;10,$BN152&lt;-6,$BR152&lt;70),"-",COUNTIFS(AY$4:AY$200,"&lt;&gt;-",$D$4:$D$200,"&lt;&gt;是",$E$4:$E$200,"&lt;&gt;封闭期",$H$4:$H$200,"&gt;10",$BN$4:$BN$200,"&gt;-6",$BR$4:$BR$200,"&gt;=70",$K$4:$K$200,"&lt;=30",$C$4:$C$200,"&lt;20190630",AY$4:AY$200,"&gt;="&amp;AY152)&amp;"/"&amp;COUNTIFS(AY$4:AY$200,"&lt;&gt;-",$D$4:$D$200,"&lt;&gt;是",$E$4:$E$200,"&lt;&gt;封闭期",$H$4:$H$200,"&gt;10",$BN$4:$BN$200,"&gt;-6",$BR$4:$BR$200,"&gt;=70",$C$4:$C$200,"&lt;20190630",$K$4:$K$200,"&lt;=30"))</f>
        <v>-</v>
      </c>
      <c r="BC152" s="33" t="str">
        <f>IF(OR($C152&gt;20190630,$K152&gt;30,AY152="-",$D152="是",$E152="封闭期",$H152&lt;10,$BN152&lt;-6,$BR152&lt;70),"-",COUNTIFS(AY$4:AY$200,"&lt;&gt;-",$D$4:$D$200,"&lt;&gt;是",$E$4:$E$200,"&lt;&gt;封闭期",$H$4:$H$200,"&gt;10",$BN$4:$BN$200,"&gt;-6",$BR$4:$BR$200,"&gt;=70",$K$4:$K$200,"&lt;=30",$C$4:$C$200,"&lt;20190630",AY$4:AY$200,"&gt;="&amp;AY152)/COUNTIFS(AY$4:AY$200,"&lt;&gt;-",$D$4:$D$200,"&lt;&gt;是",$E$4:$E$200,"&lt;&gt;封闭期",$H$4:$H$200,"&gt;10",$BN$4:$BN$200,"&gt;-6",$BR$4:$BR$200,"&gt;=70",$C$4:$C$200,"&lt;20190630",$K$4:$K$200,"&lt;=30"))</f>
        <v>-</v>
      </c>
      <c r="BD152" s="20">
        <v>1</v>
      </c>
      <c r="BE152" s="19" t="str">
        <f>IFERROR(RANK(BD152,BD:BD)&amp;"/"&amp;COUNT(BD:BD),"-")</f>
        <v>1/197</v>
      </c>
      <c r="BF152" s="26">
        <f>IFERROR(RANK(BD152,BD:BD)/COUNT(BD:BD),"-")</f>
        <v>5.076142131979695E-3</v>
      </c>
      <c r="BG152" s="34" t="str">
        <f>IF(OR($C152&gt;20190630,$K152&gt;30,BD152="-",$D152="是",$E152="封闭期",$H152&lt;10,$BN152&lt;-6,$BR152&lt;70),"-",COUNTIFS(BD$4:BD$200,"&lt;&gt;-",$D$4:$D$200,"&lt;&gt;是",$E$4:$E$200,"&lt;&gt;封闭期",$H$4:$H$200,"&gt;10",$BN$4:$BN$200,"&gt;-6",$BR$4:$BR$200,"&gt;=70",$K$4:$K$200,"&lt;=30",$C$4:$C$200,"&lt;20190630",BD$4:BD$200,"&gt;="&amp;BD152)&amp;"/"&amp;COUNTIFS(BD$4:BD$200,"&lt;&gt;-",$D$4:$D$200,"&lt;&gt;是",$E$4:$E$200,"&lt;&gt;封闭期",$H$4:$H$200,"&gt;10",$BN$4:$BN$200,"&gt;-6",$BR$4:$BR$200,"&gt;=70",$C$4:$C$200,"&lt;20190630",$K$4:$K$200,"&lt;=30"))</f>
        <v>-</v>
      </c>
      <c r="BH152" s="33" t="str">
        <f>IF(OR($C152&gt;20190630,$K152&gt;30,BD152="-",$D152="是",$E152="封闭期",$H152&lt;10,$BN152&lt;-6,$BR152&lt;70),"-",COUNTIFS(BD$4:BD$200,"&lt;&gt;-",$D$4:$D$200,"&lt;&gt;是",$E$4:$E$200,"&lt;&gt;封闭期",$H$4:$H$200,"&gt;10",$BN$4:$BN$200,"&gt;-6",$BR$4:$BR$200,"&gt;=70",$K$4:$K$200,"&lt;=30",$C$4:$C$200,"&lt;20190630",BD$4:BD$200,"&gt;="&amp;BD152)/COUNTIFS(BD$4:BD$200,"&lt;&gt;-",$D$4:$D$200,"&lt;&gt;是",$E$4:$E$200,"&lt;&gt;封闭期",$H$4:$H$200,"&gt;10",$BN$4:$BN$200,"&gt;-6",$BR$4:$BR$200,"&gt;=70",$C$4:$C$200,"&lt;20190630",$K$4:$K$200,"&lt;=30"))</f>
        <v>-</v>
      </c>
      <c r="BI152" s="21">
        <f>[1]!f_risk_maxdownside(A152,$AM$2,$L$2)</f>
        <v>-3.7153813378781471</v>
      </c>
      <c r="BJ152" s="19" t="str">
        <f>IFERROR(RANK(BI152,BI:BI)&amp;"/"&amp;COUNT(BI:BI),"-")</f>
        <v>119/197</v>
      </c>
      <c r="BK152" s="26">
        <f>IFERROR(RANK(BI152,BI:BI)/COUNT(BI:BI),"-")</f>
        <v>0.60406091370558379</v>
      </c>
      <c r="BL152" s="34" t="str">
        <f>IF(OR($C152&gt;20190630,$K152&gt;30,BI152="-",$D152="是",$E152="封闭期",$H152&lt;10,$BN152&lt;-6,$BR152&lt;70),"-",COUNTIFS(BI$4:BI$200,"&lt;&gt;-",$D$4:$D$200,"&lt;&gt;是",$E$4:$E$200,"&lt;&gt;封闭期",$H$4:$H$200,"&gt;10",$BN$4:$BN$200,"&gt;-6",$BR$4:$BR$200,"&gt;=70",$K$4:$K$200,"&lt;=30",$C$4:$C$200,"&lt;20190630",BI$4:BI$200,"&gt;="&amp;BI152)&amp;"/"&amp;COUNTIFS(BI$4:BI$200,"&lt;&gt;-",$D$4:$D$200,"&lt;&gt;是",$E$4:$E$200,"&lt;&gt;封闭期",$H$4:$H$200,"&gt;10",$BN$4:$BN$200,"&gt;-6",$BR$4:$BR$200,"&gt;=70",$C$4:$C$200,"&lt;20190630",$K$4:$K$200,"&lt;=30"))</f>
        <v>-</v>
      </c>
      <c r="BM152" s="33" t="str">
        <f>IF(OR($C152&gt;20190630,$K152&gt;30,BI152="-",$D152="是",$E152="封闭期",$H152&lt;10,$BN152&lt;-6,$BR152&lt;70),"-",COUNTIFS(BI$4:BI$200,"&lt;&gt;-",$D$4:$D$200,"&lt;&gt;是",$E$4:$E$200,"&lt;&gt;封闭期",$H$4:$H$200,"&gt;10",$BN$4:$BN$200,"&gt;-6",$BR$4:$BR$200,"&gt;=70",$K$4:$K$200,"&lt;=30",$C$4:$C$200,"&lt;20190630",BI$4:BI$200,"&gt;="&amp;BI152)/COUNTIFS(BI$4:BI$200,"&lt;&gt;-",$D$4:$D$200,"&lt;&gt;是",$E$4:$E$200,"&lt;&gt;封闭期",$H$4:$H$200,"&gt;10",$BN$4:$BN$200,"&gt;-6",$BR$4:$BR$200,"&gt;=70",$C$4:$C$200,"&lt;20190630",$K$4:$K$200,"&lt;=30"))</f>
        <v>-</v>
      </c>
      <c r="BN152" s="21">
        <f>[1]!f_risk_maxdownside(A152,$AM$2,$E$1)</f>
        <v>-4.5675330208777165</v>
      </c>
      <c r="BO152" s="21">
        <f>IF(C152&lt;20190930,[1]!f_return_2y(A152,"0","20210930"),"-")</f>
        <v>9.8528058877644877</v>
      </c>
      <c r="BP152" s="19" t="str">
        <f>IFERROR(RANK(BO152,BO:BO)&amp;"/"&amp;COUNT(BO:BO),"-")</f>
        <v>146/197</v>
      </c>
      <c r="BQ152" s="25">
        <f>IFERROR(RANK(BO152,BO:BO)/COUNT(BO:BO),"-")</f>
        <v>0.74111675126903553</v>
      </c>
      <c r="BR152" s="19">
        <f>IF(C152&lt;20190930,[1]!f_absolute_profitmonthper(A152,"20190930","20210930"),"-")</f>
        <v>75</v>
      </c>
      <c r="BS152" s="19" t="str">
        <f>IFERROR(RANK(BR152,BR:BR)&amp;"/"&amp;COUNT(BR:BR),"-")</f>
        <v>26/198</v>
      </c>
      <c r="BT152" s="25">
        <f>IFERROR(RANK(BR152,BR:BR)/COUNT(BR:BR),"-")</f>
        <v>0.13131313131313133</v>
      </c>
      <c r="BV152" s="12">
        <f>X152-3/M152</f>
        <v>1.5909879511996823</v>
      </c>
      <c r="BW152" s="76">
        <f>IFERROR(RANK(BV152,BV:BV)/COUNT(BV:BV),"-")</f>
        <v>0.42639593908629442</v>
      </c>
      <c r="BX152" s="76">
        <f>IFERROR(RANK(L152,L:L)/COUNT(L:L),"-")</f>
        <v>0.5252525252525253</v>
      </c>
      <c r="BY152" s="12">
        <f>AY152-3/AN152</f>
        <v>0.39017019595074787</v>
      </c>
      <c r="BZ152" s="76">
        <f>IFERROR(RANK(BY152,BY:BY)/COUNT(BY:BY),"-")</f>
        <v>0.79695431472081213</v>
      </c>
      <c r="CA152" s="76">
        <f>IFERROR(RANK(AM152,AM:AM)/COUNT(AM:AM),"-")</f>
        <v>0.75757575757575757</v>
      </c>
      <c r="CB152" s="2"/>
      <c r="CC152" s="77">
        <f>AV152+BF152+BZ152+CA152</f>
        <v>2.3362559606214428</v>
      </c>
      <c r="CD152" s="77">
        <f>BW152+BX152+AE152+U152</f>
        <v>2.027790596318515</v>
      </c>
      <c r="CE152" s="77">
        <f>CC152+CD152</f>
        <v>4.3640465569399574</v>
      </c>
    </row>
    <row r="153" spans="1:83" s="17" customFormat="1" hidden="1" x14ac:dyDescent="0.35">
      <c r="A153" s="15" t="s">
        <v>353</v>
      </c>
      <c r="B153" s="15" t="s">
        <v>354</v>
      </c>
      <c r="C153" s="16">
        <v>20171128</v>
      </c>
      <c r="D153" s="16" t="str">
        <f>[1]!f_info_regulopenfundornot(A153)</f>
        <v>否</v>
      </c>
      <c r="E153" s="16" t="str">
        <f>[1]!f_dq_status(A153,$E$1)</f>
        <v>暂停大额申购|开放赎回</v>
      </c>
      <c r="F153" s="17" t="str">
        <f>[1]!f_info_fundmanager(A153)</f>
        <v>陈晨</v>
      </c>
      <c r="G153" s="16">
        <v>20200709</v>
      </c>
      <c r="H153" s="18">
        <f>[1]!f_netasset_total(A153,$E$1,100000000)</f>
        <v>1.5288957584</v>
      </c>
      <c r="I153" s="18">
        <f>[1]!f_prt_convertiblebondtonav(A153,$E$1)</f>
        <v>13.410345077514648</v>
      </c>
      <c r="J153" s="18">
        <f>[1]!f_prt_stocktonav(A153,$E$1)+0.5*I153</f>
        <v>18.525975227355957</v>
      </c>
      <c r="K153" s="19">
        <v>33.222016426518977</v>
      </c>
      <c r="L153" s="19">
        <f>[1]!f_return($A153,"1",L$2,$E$1)</f>
        <v>5.7083829817628162</v>
      </c>
      <c r="M153" s="19">
        <f>[1]!f_risk_stdevyearly($A153,L$2,$E$1,1,1)</f>
        <v>3.4283136882696255</v>
      </c>
      <c r="N153" s="19">
        <f>IFERROR(L153/M153,"-")</f>
        <v>1.665070206759292</v>
      </c>
      <c r="O153" s="19" t="str">
        <f>IFERROR(RANK(N153,N:N)&amp;"/"&amp;COUNT(N:N),"-")</f>
        <v>73/197</v>
      </c>
      <c r="P153" s="26">
        <f>IF(O153="-","-",RANK(N153,N:N)/COUNT(N:N))</f>
        <v>0.37055837563451777</v>
      </c>
      <c r="Q153" s="56">
        <v>0.49746192893401014</v>
      </c>
      <c r="R153" s="33" t="str">
        <f>IF(OR($C153&gt;20190630,$K153&gt;30,N153="-",$D153="是",$E153="封闭期",$H153&lt;10,$BN153&lt;-6,$BR153&lt;70),"-",COUNTIFS(N$4:N$200,"&lt;&gt;-",$D$4:$D$200,"&lt;&gt;是",$E$4:$E$200,"&lt;&gt;封闭期",$H$4:$H$200,"&gt;10",$BN$4:$BN$200,"&gt;-6",$BR$4:$BR$200,"&gt;=70",$K$4:$K$200,"&lt;=30",$C$4:$C$200,"&lt;20190630",N$4:N$200,"&gt;="&amp;N153)/COUNTIFS(N$4:N$200,"&lt;&gt;-",$D$4:$D$200,"&lt;&gt;是",$E$4:$E$200,"&lt;&gt;封闭期",$H$4:$H$200,"&gt;10",$BN$4:$BN$200,"&gt;-6",$BR$4:$BR$200,"&gt;=70",$C$4:$C$200,"&lt;20190630",$K$4:$K$200,"&lt;=30"))</f>
        <v>-</v>
      </c>
      <c r="S153" s="19">
        <f>IFERROR((L153-3)/M153,"-")</f>
        <v>0.79000442434129181</v>
      </c>
      <c r="T153" s="19" t="str">
        <f>IFERROR(RANK(S153,S:S)&amp;"/"&amp;COUNT(S:S),"-")</f>
        <v>93/197</v>
      </c>
      <c r="U153" s="26">
        <f>IFERROR(RANK(S153,S:S)/COUNT(S:S),"-")</f>
        <v>0.4720812182741117</v>
      </c>
      <c r="V153" s="34" t="str">
        <f>IF(OR($C153&gt;20190630,$K153&gt;30,S153="-",$D153="是",$E153="封闭期",$H153&lt;10,$BN153&lt;-6,$BR153&lt;70),"-",COUNTIFS(S$4:S$200,"&lt;&gt;-",$D$4:$D$200,"&lt;&gt;是",$E$4:$E$200,"&lt;&gt;封闭期",$H$4:$H$200,"&gt;10",$BN$4:$BN$200,"&gt;-6",$BR$4:$BR$200,"&gt;=70",$K$4:$K$200,"&lt;=30",$C$4:$C$200,"&lt;20190630",S$4:S$200,"&gt;="&amp;S153)&amp;"/"&amp;COUNTIFS(S$4:S$200,"&lt;&gt;-",$D$4:$D$200,"&lt;&gt;是",$E$4:$E$200,"&lt;&gt;封闭期",$H$4:$H$200,"&gt;10",$BN$4:$BN$200,"&gt;-6",$BR$4:$BR$200,"&gt;=70",$C$4:$C$200,"&lt;20190630",$K$4:$K$200,"&lt;=30"))</f>
        <v>-</v>
      </c>
      <c r="W153" s="33" t="str">
        <f>IF(OR($C153&gt;20190630,$K153&gt;30,S153="-",$D153="是",$E153="封闭期",$H153&lt;10,$BN153&lt;-6,$BR153&lt;70),"-",COUNTIFS(S$4:S$200,"&lt;&gt;-",$D$4:$D$200,"&lt;&gt;是",$E$4:$E$200,"&lt;&gt;封闭期",$H$4:$H$200,"&gt;10",$BN$4:$BN$200,"&gt;-6",$BR$4:$BR$200,"&gt;=70",$K$4:$K$200,"&lt;=30",$C$4:$C$200,"&lt;20190630",S$4:S$200,"&gt;="&amp;S153)/COUNTIFS(S$4:S$200,"&lt;&gt;-",$D$4:$D$200,"&lt;&gt;是",$E$4:$E$200,"&lt;&gt;封闭期",$H$4:$H$200,"&gt;10",$BN$4:$BN$200,"&gt;-6",$BR$4:$BR$200,"&gt;=70",$C$4:$C$200,"&lt;20190630",$K$4:$K$200,"&lt;=30"))</f>
        <v>-</v>
      </c>
      <c r="X153" s="19">
        <f>[1]!f_risk_calmar(A153,$L$2,$E$1)</f>
        <v>2.0932719677221256</v>
      </c>
      <c r="Y153" s="19" t="str">
        <f>IFERROR(RANK(X153,X:X)&amp;"/"&amp;COUNT(X:X),"-")</f>
        <v>94/197</v>
      </c>
      <c r="Z153" s="26">
        <f>IFERROR(RANK(X153,X:X)/COUNT(X:X),"-")</f>
        <v>0.47715736040609136</v>
      </c>
      <c r="AA153" s="34" t="str">
        <f>IF(OR($C153&gt;20190630,$K153&gt;30,X153="-",$D153="是",$E153="封闭期",$H153&lt;10,$BN153&lt;-6,$BR153&lt;70),"-",COUNTIFS(X$4:X$200,"&lt;&gt;-",$D$4:$D$200,"&lt;&gt;是",$E$4:$E$200,"&lt;&gt;封闭期",$H$4:$H$200,"&gt;10",$BN$4:$BN$200,"&gt;-6",$BR$4:$BR$200,"&gt;=70",$K$4:$K$200,"&lt;=30",$C$4:$C$200,"&lt;20190630",X$4:X$200,"&gt;="&amp;X153)&amp;"/"&amp;COUNTIFS(X$4:X$200,"&lt;&gt;-",$D$4:$D$200,"&lt;&gt;是",$E$4:$E$200,"&lt;&gt;封闭期",$H$4:$H$200,"&gt;10",$BN$4:$BN$200,"&gt;-6",$BR$4:$BR$200,"&gt;=70",$C$4:$C$200,"&lt;20190630",$K$4:$K$200,"&lt;=30"))</f>
        <v>-</v>
      </c>
      <c r="AB153" s="33" t="str">
        <f>IF(OR($C153&gt;20190630,$K153&gt;30,X153="-",$D153="是",$E153="封闭期",$H153&lt;10,$BN153&lt;-6,$BR153&lt;70),"-",COUNTIFS(X$4:X$200,"&lt;&gt;-",$D$4:$D$200,"&lt;&gt;是",$E$4:$E$200,"&lt;&gt;封闭期",$H$4:$H$200,"&gt;10",$BN$4:$BN$200,"&gt;-6",$BR$4:$BR$200,"&gt;=70",$K$4:$K$200,"&lt;=30",$C$4:$C$200,"&lt;20190630",X$4:X$200,"&gt;="&amp;X153)/COUNTIFS(X$4:X$200,"&lt;&gt;-",$D$4:$D$200,"&lt;&gt;是",$E$4:$E$200,"&lt;&gt;封闭期",$H$4:$H$200,"&gt;10",$BN$4:$BN$200,"&gt;-6",$BR$4:$BR$200,"&gt;=70",$C$4:$C$200,"&lt;20190630",$K$4:$K$200,"&lt;=30"))</f>
        <v>-</v>
      </c>
      <c r="AC153" s="20">
        <v>1</v>
      </c>
      <c r="AD153" s="19" t="str">
        <f>IFERROR(RANK(AC153,AC:AC)&amp;"/"&amp;COUNT(AC:AC),"-")</f>
        <v>1/197</v>
      </c>
      <c r="AE153" s="26">
        <f>IFERROR(RANK(AC153,AC:AC)/COUNT(AC:AC),"-")</f>
        <v>5.076142131979695E-3</v>
      </c>
      <c r="AF153" s="34" t="str">
        <f>IF(OR($C153&gt;20190630,$K153&gt;30,AC153="-",$D153="是",$E153="封闭期",$H153&lt;10,$BN153&lt;-6,$BR153&lt;70),"-",COUNTIFS(AC$4:AC$200,"&lt;&gt;-",$D$4:$D$200,"&lt;&gt;是",$E$4:$E$200,"&lt;&gt;封闭期",$H$4:$H$200,"&gt;10",$BN$4:$BN$200,"&gt;-6",$BR$4:$BR$200,"&gt;=70",$K$4:$K$200,"&lt;=30",$C$4:$C$200,"&lt;20190630",AC$4:AC$200,"&gt;="&amp;AC153)&amp;"/"&amp;COUNTIFS(AC$4:AC$200,"&lt;&gt;-",$D$4:$D$200,"&lt;&gt;是",$E$4:$E$200,"&lt;&gt;封闭期",$H$4:$H$200,"&gt;10",$BN$4:$BN$200,"&gt;-6",$BR$4:$BR$200,"&gt;=70",$C$4:$C$200,"&lt;20190630",$K$4:$K$200,"&lt;=30"))</f>
        <v>-</v>
      </c>
      <c r="AG153" s="33" t="str">
        <f>IF(OR($C153&gt;20190630,$K153&gt;30,AC153="-",$D153="是",$E153="封闭期",$H153&lt;10,$BN153&lt;-6,$BR153&lt;70),"-",COUNTIFS(AC$4:AC$200,"&lt;&gt;-",$D$4:$D$200,"&lt;&gt;是",$E$4:$E$200,"&lt;&gt;封闭期",$H$4:$H$200,"&gt;10",$BN$4:$BN$200,"&gt;-6",$BR$4:$BR$200,"&gt;=70",$K$4:$K$200,"&lt;=30",$C$4:$C$200,"&lt;20190630",AC$4:AC$200,"&gt;="&amp;AC153)/COUNTIFS(AC$4:AC$200,"&lt;&gt;-",$D$4:$D$200,"&lt;&gt;是",$E$4:$E$200,"&lt;&gt;封闭期",$H$4:$H$200,"&gt;10",$BN$4:$BN$200,"&gt;-6",$BR$4:$BR$200,"&gt;=70",$C$4:$C$200,"&lt;20190630",$K$4:$K$200,"&lt;=30"))</f>
        <v>-</v>
      </c>
      <c r="AH153" s="21">
        <f>[1]!f_risk_maxdownside(A153,$L$2,$E$1)</f>
        <v>-2.7270144872644586</v>
      </c>
      <c r="AI153" s="19" t="str">
        <f>IFERROR(RANK(AH153,AH:AH)&amp;"/"&amp;COUNT(AH:AH),"-")</f>
        <v>82/197</v>
      </c>
      <c r="AJ153" s="26">
        <f>IFERROR(RANK(AH153,AH:AH)/COUNT(AH:AH),"-")</f>
        <v>0.41624365482233505</v>
      </c>
      <c r="AK153" s="34" t="str">
        <f>IF(OR($C153&gt;20190630,$K153&gt;30,AH153="-",$D153="是",$E153="封闭期",$H153&lt;10,$BN153&lt;-6,$BR153&lt;70),"-",COUNTIFS(AH$4:AH$200,"&lt;&gt;-",$D$4:$D$200,"&lt;&gt;是",$E$4:$E$200,"&lt;&gt;封闭期",$H$4:$H$200,"&gt;10",$BN$4:$BN$200,"&gt;-6",$BR$4:$BR$200,"&gt;=70",$K$4:$K$200,"&lt;=30",$C$4:$C$200,"&lt;20190630",AH$4:AH$200,"&gt;="&amp;AH153)&amp;"/"&amp;COUNTIFS(AH$4:AH$200,"&lt;&gt;-",$D$4:$D$200,"&lt;&gt;是",$E$4:$E$200,"&lt;&gt;封闭期",$H$4:$H$200,"&gt;10",$BN$4:$BN$200,"&gt;-6",$BR$4:$BR$200,"&gt;=70",$C$4:$C$200,"&lt;20190630",$K$4:$K$200,"&lt;=30"))</f>
        <v>-</v>
      </c>
      <c r="AL153" s="33" t="str">
        <f>IF(OR($C153&gt;20190630,$K153&gt;30,AH153="-",$D153="是",$E153="封闭期",$H153&lt;10,$BN153&lt;-6,$BR153&lt;70),"-",COUNTIFS(AH$4:AH$200,"&lt;&gt;-",$D$4:$D$200,"&lt;&gt;是",$E$4:$E$200,"&lt;&gt;封闭期",$H$4:$H$200,"&gt;10",$BN$4:$BN$200,"&gt;-6",$BR$4:$BR$200,"&gt;=70",$K$4:$K$200,"&lt;=30",$C$4:$C$200,"&lt;20190630",AH$4:AH$200,"&gt;="&amp;AH153)/COUNTIFS(AH$4:AH$200,"&lt;&gt;-",$D$4:$D$200,"&lt;&gt;是",$E$4:$E$200,"&lt;&gt;封闭期",$H$4:$H$200,"&gt;10",$BN$4:$BN$200,"&gt;-6",$BR$4:$BR$200,"&gt;=70",$C$4:$C$200,"&lt;20190630",$K$4:$K$200,"&lt;=30"))</f>
        <v>-</v>
      </c>
      <c r="AM153" s="19">
        <f>[1]!f_return($A153,"1",AM$2,$L$2)</f>
        <v>4.2476788668245113</v>
      </c>
      <c r="AN153" s="19">
        <f>[1]!f_risk_stdevyearly($A153,AM$2,$L$2,1,1)</f>
        <v>3.2943865497155236</v>
      </c>
      <c r="AO153" s="19">
        <f>IFERROR(AM153/AN153,"-")</f>
        <v>1.2893686890481344</v>
      </c>
      <c r="AP153" s="19" t="str">
        <f>IFERROR(RANK(AO153,AO:AO)&amp;"/"&amp;COUNT(AO:AO),"-")</f>
        <v>136/197</v>
      </c>
      <c r="AQ153" s="26">
        <f>IF(AP153="-","-",RANK(AO153,AO:AO)/COUNT(AO:AO))</f>
        <v>0.69035532994923854</v>
      </c>
      <c r="AR153" s="57">
        <v>0.76142131979695427</v>
      </c>
      <c r="AS153" s="33" t="str">
        <f>IF(OR($C153&gt;20190630,$K153&gt;30,AO153="-",$D153="是",$E153="封闭期",$H153&lt;10,$BN153&lt;-6,$BR153&lt;70),"-",COUNTIFS(AO$4:AO$200,"&lt;&gt;-",$D$4:$D$200,"&lt;&gt;是",$E$4:$E$200,"&lt;&gt;封闭期",$H$4:$H$200,"&gt;10",$BN$4:$BN$200,"&gt;-6",$BR$4:$BR$200,"&gt;=70",$K$4:$K$200,"&lt;=30",$C$4:$C$200,"&lt;20190630",AO$4:AO$200,"&gt;="&amp;AO153)/COUNTIFS(AO$4:AO$200,"&lt;&gt;-",$D$4:$D$200,"&lt;&gt;是",$E$4:$E$200,"&lt;&gt;封闭期",$H$4:$H$200,"&gt;10",$BN$4:$BN$200,"&gt;-6",$BR$4:$BR$200,"&gt;=70",$C$4:$C$200,"&lt;20190630",$K$4:$K$200,"&lt;=30"))</f>
        <v>-</v>
      </c>
      <c r="AT153" s="19">
        <f>IFERROR((AM153-3)/AN153,"-")</f>
        <v>0.37872873993255307</v>
      </c>
      <c r="AU153" s="19" t="str">
        <f>IFERROR(RANK(AT153,AT:AT)&amp;"/"&amp;COUNT(AT:AT),"-")</f>
        <v>150/197</v>
      </c>
      <c r="AV153" s="26">
        <f>IFERROR(RANK(AT153,AT:AT)/COUNT(AT:AT),"-")</f>
        <v>0.76142131979695427</v>
      </c>
      <c r="AW153" s="34" t="str">
        <f>IF(OR($C153&gt;20190630,$K153&gt;30,AT153="-",$D153="是",$E153="封闭期",$H153&lt;10,$BN153&lt;-6,$BR153&lt;70),"-",COUNTIFS(AT$4:AT$200,"&lt;&gt;-",$D$4:$D$200,"&lt;&gt;是",$E$4:$E$200,"&lt;&gt;封闭期",$H$4:$H$200,"&gt;10",$BN$4:$BN$200,"&gt;-6",$BR$4:$BR$200,"&gt;=70",$K$4:$K$200,"&lt;=30",$C$4:$C$200,"&lt;20190630",AT$4:AT$200,"&gt;="&amp;AT153)&amp;"/"&amp;COUNTIFS(AT$4:AT$200,"&lt;&gt;-",$D$4:$D$200,"&lt;&gt;是",$E$4:$E$200,"&lt;&gt;封闭期",$H$4:$H$200,"&gt;10",$BN$4:$BN$200,"&gt;-6",$BR$4:$BR$200,"&gt;=70",$C$4:$C$200,"&lt;20190630",$K$4:$K$200,"&lt;=30"))</f>
        <v>-</v>
      </c>
      <c r="AX153" s="33" t="str">
        <f>IF(OR($C153&gt;20190630,$K153&gt;30,AT153="-",$D153="是",$E153="封闭期",$H153&lt;10,$BN153&lt;-6,$BR153&lt;70),"-",COUNTIFS(AT$4:AT$200,"&lt;&gt;-",$D$4:$D$200,"&lt;&gt;是",$E$4:$E$200,"&lt;&gt;封闭期",$H$4:$H$200,"&gt;10",$BN$4:$BN$200,"&gt;-6",$BR$4:$BR$200,"&gt;=70",$K$4:$K$200,"&lt;=30",$C$4:$C$200,"&lt;20190630",AT$4:AT$200,"&gt;="&amp;AT153)/COUNTIFS(AT$4:AT$200,"&lt;&gt;-",$D$4:$D$200,"&lt;&gt;是",$E$4:$E$200,"&lt;&gt;封闭期",$H$4:$H$200,"&gt;10",$BN$4:$BN$200,"&gt;-6",$BR$4:$BR$200,"&gt;=70",$C$4:$C$200,"&lt;20190630",$K$4:$K$200,"&lt;=30"))</f>
        <v>-</v>
      </c>
      <c r="AY153" s="19">
        <f>[1]!f_risk_calmar(A153,$AM$2,$L$2)</f>
        <v>1.8801041507683802</v>
      </c>
      <c r="AZ153" s="19" t="str">
        <f>IFERROR(RANK(AY153,AY:AY)&amp;"/"&amp;COUNT(AY:AY),"-")</f>
        <v>123/197</v>
      </c>
      <c r="BA153" s="26">
        <f>IFERROR(RANK(AY153,AY:AY)/COUNT(AY:AY),"-")</f>
        <v>0.62436548223350252</v>
      </c>
      <c r="BB153" s="34" t="str">
        <f>IF(OR($C153&gt;20190630,$K153&gt;30,AY153="-",$D153="是",$E153="封闭期",$H153&lt;10,$BN153&lt;-6,$BR153&lt;70),"-",COUNTIFS(AY$4:AY$200,"&lt;&gt;-",$D$4:$D$200,"&lt;&gt;是",$E$4:$E$200,"&lt;&gt;封闭期",$H$4:$H$200,"&gt;10",$BN$4:$BN$200,"&gt;-6",$BR$4:$BR$200,"&gt;=70",$K$4:$K$200,"&lt;=30",$C$4:$C$200,"&lt;20190630",AY$4:AY$200,"&gt;="&amp;AY153)&amp;"/"&amp;COUNTIFS(AY$4:AY$200,"&lt;&gt;-",$D$4:$D$200,"&lt;&gt;是",$E$4:$E$200,"&lt;&gt;封闭期",$H$4:$H$200,"&gt;10",$BN$4:$BN$200,"&gt;-6",$BR$4:$BR$200,"&gt;=70",$C$4:$C$200,"&lt;20190630",$K$4:$K$200,"&lt;=30"))</f>
        <v>-</v>
      </c>
      <c r="BC153" s="33" t="str">
        <f>IF(OR($C153&gt;20190630,$K153&gt;30,AY153="-",$D153="是",$E153="封闭期",$H153&lt;10,$BN153&lt;-6,$BR153&lt;70),"-",COUNTIFS(AY$4:AY$200,"&lt;&gt;-",$D$4:$D$200,"&lt;&gt;是",$E$4:$E$200,"&lt;&gt;封闭期",$H$4:$H$200,"&gt;10",$BN$4:$BN$200,"&gt;-6",$BR$4:$BR$200,"&gt;=70",$K$4:$K$200,"&lt;=30",$C$4:$C$200,"&lt;20190630",AY$4:AY$200,"&gt;="&amp;AY153)/COUNTIFS(AY$4:AY$200,"&lt;&gt;-",$D$4:$D$200,"&lt;&gt;是",$E$4:$E$200,"&lt;&gt;封闭期",$H$4:$H$200,"&gt;10",$BN$4:$BN$200,"&gt;-6",$BR$4:$BR$200,"&gt;=70",$C$4:$C$200,"&lt;20190630",$K$4:$K$200,"&lt;=30"))</f>
        <v>-</v>
      </c>
      <c r="BD153" s="20">
        <v>1</v>
      </c>
      <c r="BE153" s="19" t="str">
        <f>IFERROR(RANK(BD153,BD:BD)&amp;"/"&amp;COUNT(BD:BD),"-")</f>
        <v>1/197</v>
      </c>
      <c r="BF153" s="26">
        <f>IFERROR(RANK(BD153,BD:BD)/COUNT(BD:BD),"-")</f>
        <v>5.076142131979695E-3</v>
      </c>
      <c r="BG153" s="34" t="str">
        <f>IF(OR($C153&gt;20190630,$K153&gt;30,BD153="-",$D153="是",$E153="封闭期",$H153&lt;10,$BN153&lt;-6,$BR153&lt;70),"-",COUNTIFS(BD$4:BD$200,"&lt;&gt;-",$D$4:$D$200,"&lt;&gt;是",$E$4:$E$200,"&lt;&gt;封闭期",$H$4:$H$200,"&gt;10",$BN$4:$BN$200,"&gt;-6",$BR$4:$BR$200,"&gt;=70",$K$4:$K$200,"&lt;=30",$C$4:$C$200,"&lt;20190630",BD$4:BD$200,"&gt;="&amp;BD153)&amp;"/"&amp;COUNTIFS(BD$4:BD$200,"&lt;&gt;-",$D$4:$D$200,"&lt;&gt;是",$E$4:$E$200,"&lt;&gt;封闭期",$H$4:$H$200,"&gt;10",$BN$4:$BN$200,"&gt;-6",$BR$4:$BR$200,"&gt;=70",$C$4:$C$200,"&lt;20190630",$K$4:$K$200,"&lt;=30"))</f>
        <v>-</v>
      </c>
      <c r="BH153" s="33" t="str">
        <f>IF(OR($C153&gt;20190630,$K153&gt;30,BD153="-",$D153="是",$E153="封闭期",$H153&lt;10,$BN153&lt;-6,$BR153&lt;70),"-",COUNTIFS(BD$4:BD$200,"&lt;&gt;-",$D$4:$D$200,"&lt;&gt;是",$E$4:$E$200,"&lt;&gt;封闭期",$H$4:$H$200,"&gt;10",$BN$4:$BN$200,"&gt;-6",$BR$4:$BR$200,"&gt;=70",$K$4:$K$200,"&lt;=30",$C$4:$C$200,"&lt;20190630",BD$4:BD$200,"&gt;="&amp;BD153)/COUNTIFS(BD$4:BD$200,"&lt;&gt;-",$D$4:$D$200,"&lt;&gt;是",$E$4:$E$200,"&lt;&gt;封闭期",$H$4:$H$200,"&gt;10",$BN$4:$BN$200,"&gt;-6",$BR$4:$BR$200,"&gt;=70",$C$4:$C$200,"&lt;20190630",$K$4:$K$200,"&lt;=30"))</f>
        <v>-</v>
      </c>
      <c r="BI153" s="21">
        <f>[1]!f_risk_maxdownside(A153,$AM$2,$L$2)</f>
        <v>-2.2592784900179739</v>
      </c>
      <c r="BJ153" s="19" t="str">
        <f>IFERROR(RANK(BI153,BI:BI)&amp;"/"&amp;COUNT(BI:BI),"-")</f>
        <v>48/197</v>
      </c>
      <c r="BK153" s="26">
        <f>IFERROR(RANK(BI153,BI:BI)/COUNT(BI:BI),"-")</f>
        <v>0.24365482233502539</v>
      </c>
      <c r="BL153" s="34" t="str">
        <f>IF(OR($C153&gt;20190630,$K153&gt;30,BI153="-",$D153="是",$E153="封闭期",$H153&lt;10,$BN153&lt;-6,$BR153&lt;70),"-",COUNTIFS(BI$4:BI$200,"&lt;&gt;-",$D$4:$D$200,"&lt;&gt;是",$E$4:$E$200,"&lt;&gt;封闭期",$H$4:$H$200,"&gt;10",$BN$4:$BN$200,"&gt;-6",$BR$4:$BR$200,"&gt;=70",$K$4:$K$200,"&lt;=30",$C$4:$C$200,"&lt;20190630",BI$4:BI$200,"&gt;="&amp;BI153)&amp;"/"&amp;COUNTIFS(BI$4:BI$200,"&lt;&gt;-",$D$4:$D$200,"&lt;&gt;是",$E$4:$E$200,"&lt;&gt;封闭期",$H$4:$H$200,"&gt;10",$BN$4:$BN$200,"&gt;-6",$BR$4:$BR$200,"&gt;=70",$C$4:$C$200,"&lt;20190630",$K$4:$K$200,"&lt;=30"))</f>
        <v>-</v>
      </c>
      <c r="BM153" s="33" t="str">
        <f>IF(OR($C153&gt;20190630,$K153&gt;30,BI153="-",$D153="是",$E153="封闭期",$H153&lt;10,$BN153&lt;-6,$BR153&lt;70),"-",COUNTIFS(BI$4:BI$200,"&lt;&gt;-",$D$4:$D$200,"&lt;&gt;是",$E$4:$E$200,"&lt;&gt;封闭期",$H$4:$H$200,"&gt;10",$BN$4:$BN$200,"&gt;-6",$BR$4:$BR$200,"&gt;=70",$K$4:$K$200,"&lt;=30",$C$4:$C$200,"&lt;20190630",BI$4:BI$200,"&gt;="&amp;BI153)/COUNTIFS(BI$4:BI$200,"&lt;&gt;-",$D$4:$D$200,"&lt;&gt;是",$E$4:$E$200,"&lt;&gt;封闭期",$H$4:$H$200,"&gt;10",$BN$4:$BN$200,"&gt;-6",$BR$4:$BR$200,"&gt;=70",$C$4:$C$200,"&lt;20190630",$K$4:$K$200,"&lt;=30"))</f>
        <v>-</v>
      </c>
      <c r="BN153" s="21">
        <f>[1]!f_risk_maxdownside(A153,$AM$2,$E$1)</f>
        <v>-2.7270144872644586</v>
      </c>
      <c r="BO153" s="21">
        <f>IF(C153&lt;20190930,[1]!f_return_2y(A153,"0","20210930"),"-")</f>
        <v>10.198039041388132</v>
      </c>
      <c r="BP153" s="19" t="str">
        <f>IFERROR(RANK(BO153,BO:BO)&amp;"/"&amp;COUNT(BO:BO),"-")</f>
        <v>137/197</v>
      </c>
      <c r="BQ153" s="25">
        <f>IFERROR(RANK(BO153,BO:BO)/COUNT(BO:BO),"-")</f>
        <v>0.69543147208121825</v>
      </c>
      <c r="BR153" s="19">
        <f>IF(C153&lt;20190930,[1]!f_absolute_profitmonthper(A153,"20190930","20210930"),"-")</f>
        <v>70.833333333333343</v>
      </c>
      <c r="BS153" s="19" t="str">
        <f>IFERROR(RANK(BR153,BR:BR)&amp;"/"&amp;COUNT(BR:BR),"-")</f>
        <v>55/198</v>
      </c>
      <c r="BT153" s="25">
        <f>IFERROR(RANK(BR153,BR:BR)/COUNT(BR:BR),"-")</f>
        <v>0.27777777777777779</v>
      </c>
      <c r="BV153" s="12">
        <f>X153-3/M153</f>
        <v>1.2182061853041253</v>
      </c>
      <c r="BW153" s="76">
        <f>IFERROR(RANK(BV153,BV:BV)/COUNT(BV:BV),"-")</f>
        <v>0.54314720812182737</v>
      </c>
      <c r="BX153" s="76">
        <f>IFERROR(RANK(L153,L:L)/COUNT(L:L),"-")</f>
        <v>0.5</v>
      </c>
      <c r="BY153" s="12">
        <f>AY153-3/AN153</f>
        <v>0.9694642016527989</v>
      </c>
      <c r="BZ153" s="76">
        <f>IFERROR(RANK(BY153,BY:BY)/COUNT(BY:BY),"-")</f>
        <v>0.69035532994923854</v>
      </c>
      <c r="CA153" s="76">
        <f>IFERROR(RANK(AM153,AM:AM)/COUNT(AM:AM),"-")</f>
        <v>0.76262626262626265</v>
      </c>
      <c r="CB153" s="2"/>
      <c r="CC153" s="77">
        <f>AV153+BF153+BZ153+CA153</f>
        <v>2.2194790545044349</v>
      </c>
      <c r="CD153" s="77">
        <f>BW153+BX153+AE153+U153</f>
        <v>1.5203045685279186</v>
      </c>
      <c r="CE153" s="77">
        <f>CC153+CD153</f>
        <v>3.7397836230323538</v>
      </c>
    </row>
    <row r="154" spans="1:83" s="17" customFormat="1" hidden="1" x14ac:dyDescent="0.35">
      <c r="A154" s="15" t="s">
        <v>323</v>
      </c>
      <c r="B154" s="15" t="s">
        <v>324</v>
      </c>
      <c r="C154" s="16">
        <v>20170323</v>
      </c>
      <c r="D154" s="16" t="str">
        <f>[1]!f_info_regulopenfundornot(A154)</f>
        <v>否</v>
      </c>
      <c r="E154" s="16" t="str">
        <f>[1]!f_dq_status(A154,$E$1)</f>
        <v>开放申购|开放赎回</v>
      </c>
      <c r="F154" s="17" t="str">
        <f>[1]!f_info_fundmanager(A154)</f>
        <v>陶尹斌,丁宇佳</v>
      </c>
      <c r="G154" s="16">
        <v>20190909</v>
      </c>
      <c r="H154" s="18">
        <f>[1]!f_netasset_total(A154,$E$1,100000000)</f>
        <v>3.1569956374000001</v>
      </c>
      <c r="I154" s="18">
        <f>[1]!f_prt_convertiblebondtonav(A154,$E$1)</f>
        <v>0.89663523435592651</v>
      </c>
      <c r="J154" s="18">
        <f>[1]!f_prt_stocktonav(A154,$E$1)+0.5*I154</f>
        <v>12.781216710805893</v>
      </c>
      <c r="K154" s="19">
        <v>19.127045753452581</v>
      </c>
      <c r="L154" s="19">
        <f>[1]!f_return($A154,"1",L$2,$E$1)</f>
        <v>0.29446763997904579</v>
      </c>
      <c r="M154" s="19">
        <f>[1]!f_risk_stdevyearly($A154,L$2,$E$1,1,1)</f>
        <v>3.0211164400469879</v>
      </c>
      <c r="N154" s="19">
        <f>IFERROR(L154/M154,"-")</f>
        <v>9.7469808205891559E-2</v>
      </c>
      <c r="O154" s="19" t="str">
        <f>IFERROR(RANK(N154,N:N)&amp;"/"&amp;COUNT(N:N),"-")</f>
        <v>187/197</v>
      </c>
      <c r="P154" s="26">
        <f>IF(O154="-","-",RANK(N154,N:N)/COUNT(N:N))</f>
        <v>0.949238578680203</v>
      </c>
      <c r="Q154" s="56">
        <v>0.949238578680203</v>
      </c>
      <c r="R154" s="33" t="str">
        <f>IF(OR($C154&gt;20190630,$K154&gt;30,N154="-",$D154="是",$E154="封闭期",$H154&lt;10,$BN154&lt;-6,$BR154&lt;70),"-",COUNTIFS(N$4:N$200,"&lt;&gt;-",$D$4:$D$200,"&lt;&gt;是",$E$4:$E$200,"&lt;&gt;封闭期",$H$4:$H$200,"&gt;10",$BN$4:$BN$200,"&gt;-6",$BR$4:$BR$200,"&gt;=70",$K$4:$K$200,"&lt;=30",$C$4:$C$200,"&lt;20190630",N$4:N$200,"&gt;="&amp;N154)/COUNTIFS(N$4:N$200,"&lt;&gt;-",$D$4:$D$200,"&lt;&gt;是",$E$4:$E$200,"&lt;&gt;封闭期",$H$4:$H$200,"&gt;10",$BN$4:$BN$200,"&gt;-6",$BR$4:$BR$200,"&gt;=70",$C$4:$C$200,"&lt;20190630",$K$4:$K$200,"&lt;=30"))</f>
        <v>-</v>
      </c>
      <c r="S154" s="19">
        <f>IFERROR((L154-3)/M154,"-")</f>
        <v>-0.89554057703875678</v>
      </c>
      <c r="T154" s="19" t="str">
        <f>IFERROR(RANK(S154,S:S)&amp;"/"&amp;COUNT(S:S),"-")</f>
        <v>188/197</v>
      </c>
      <c r="U154" s="26">
        <f>IFERROR(RANK(S154,S:S)/COUNT(S:S),"-")</f>
        <v>0.95431472081218272</v>
      </c>
      <c r="V154" s="34" t="str">
        <f>IF(OR($C154&gt;20190630,$K154&gt;30,S154="-",$D154="是",$E154="封闭期",$H154&lt;10,$BN154&lt;-6,$BR154&lt;70),"-",COUNTIFS(S$4:S$200,"&lt;&gt;-",$D$4:$D$200,"&lt;&gt;是",$E$4:$E$200,"&lt;&gt;封闭期",$H$4:$H$200,"&gt;10",$BN$4:$BN$200,"&gt;-6",$BR$4:$BR$200,"&gt;=70",$K$4:$K$200,"&lt;=30",$C$4:$C$200,"&lt;20190630",S$4:S$200,"&gt;="&amp;S154)&amp;"/"&amp;COUNTIFS(S$4:S$200,"&lt;&gt;-",$D$4:$D$200,"&lt;&gt;是",$E$4:$E$200,"&lt;&gt;封闭期",$H$4:$H$200,"&gt;10",$BN$4:$BN$200,"&gt;-6",$BR$4:$BR$200,"&gt;=70",$C$4:$C$200,"&lt;20190630",$K$4:$K$200,"&lt;=30"))</f>
        <v>-</v>
      </c>
      <c r="W154" s="33" t="str">
        <f>IF(OR($C154&gt;20190630,$K154&gt;30,S154="-",$D154="是",$E154="封闭期",$H154&lt;10,$BN154&lt;-6,$BR154&lt;70),"-",COUNTIFS(S$4:S$200,"&lt;&gt;-",$D$4:$D$200,"&lt;&gt;是",$E$4:$E$200,"&lt;&gt;封闭期",$H$4:$H$200,"&gt;10",$BN$4:$BN$200,"&gt;-6",$BR$4:$BR$200,"&gt;=70",$K$4:$K$200,"&lt;=30",$C$4:$C$200,"&lt;20190630",S$4:S$200,"&gt;="&amp;S154)/COUNTIFS(S$4:S$200,"&lt;&gt;-",$D$4:$D$200,"&lt;&gt;是",$E$4:$E$200,"&lt;&gt;封闭期",$H$4:$H$200,"&gt;10",$BN$4:$BN$200,"&gt;-6",$BR$4:$BR$200,"&gt;=70",$C$4:$C$200,"&lt;20190630",$K$4:$K$200,"&lt;=30"))</f>
        <v>-</v>
      </c>
      <c r="X154" s="19">
        <f>[1]!f_risk_calmar(A154,$L$2,$E$1)</f>
        <v>8.8773332640742122E-2</v>
      </c>
      <c r="Y154" s="19" t="str">
        <f>IFERROR(RANK(X154,X:X)&amp;"/"&amp;COUNT(X:X),"-")</f>
        <v>187/197</v>
      </c>
      <c r="Z154" s="26">
        <f>IFERROR(RANK(X154,X:X)/COUNT(X:X),"-")</f>
        <v>0.949238578680203</v>
      </c>
      <c r="AA154" s="34" t="str">
        <f>IF(OR($C154&gt;20190630,$K154&gt;30,X154="-",$D154="是",$E154="封闭期",$H154&lt;10,$BN154&lt;-6,$BR154&lt;70),"-",COUNTIFS(X$4:X$200,"&lt;&gt;-",$D$4:$D$200,"&lt;&gt;是",$E$4:$E$200,"&lt;&gt;封闭期",$H$4:$H$200,"&gt;10",$BN$4:$BN$200,"&gt;-6",$BR$4:$BR$200,"&gt;=70",$K$4:$K$200,"&lt;=30",$C$4:$C$200,"&lt;20190630",X$4:X$200,"&gt;="&amp;X154)&amp;"/"&amp;COUNTIFS(X$4:X$200,"&lt;&gt;-",$D$4:$D$200,"&lt;&gt;是",$E$4:$E$200,"&lt;&gt;封闭期",$H$4:$H$200,"&gt;10",$BN$4:$BN$200,"&gt;-6",$BR$4:$BR$200,"&gt;=70",$C$4:$C$200,"&lt;20190630",$K$4:$K$200,"&lt;=30"))</f>
        <v>-</v>
      </c>
      <c r="AB154" s="33" t="str">
        <f>IF(OR($C154&gt;20190630,$K154&gt;30,X154="-",$D154="是",$E154="封闭期",$H154&lt;10,$BN154&lt;-6,$BR154&lt;70),"-",COUNTIFS(X$4:X$200,"&lt;&gt;-",$D$4:$D$200,"&lt;&gt;是",$E$4:$E$200,"&lt;&gt;封闭期",$H$4:$H$200,"&gt;10",$BN$4:$BN$200,"&gt;-6",$BR$4:$BR$200,"&gt;=70",$K$4:$K$200,"&lt;=30",$C$4:$C$200,"&lt;20190630",X$4:X$200,"&gt;="&amp;X154)/COUNTIFS(X$4:X$200,"&lt;&gt;-",$D$4:$D$200,"&lt;&gt;是",$E$4:$E$200,"&lt;&gt;封闭期",$H$4:$H$200,"&gt;10",$BN$4:$BN$200,"&gt;-6",$BR$4:$BR$200,"&gt;=70",$C$4:$C$200,"&lt;20190630",$K$4:$K$200,"&lt;=30"))</f>
        <v>-</v>
      </c>
      <c r="AC154" s="20">
        <v>0.21008403361344541</v>
      </c>
      <c r="AD154" s="19" t="str">
        <f>IFERROR(RANK(AC154,AC:AC)&amp;"/"&amp;COUNT(AC:AC),"-")</f>
        <v>192/197</v>
      </c>
      <c r="AE154" s="26">
        <f>IFERROR(RANK(AC154,AC:AC)/COUNT(AC:AC),"-")</f>
        <v>0.97461928934010156</v>
      </c>
      <c r="AF154" s="34" t="str">
        <f>IF(OR($C154&gt;20190630,$K154&gt;30,AC154="-",$D154="是",$E154="封闭期",$H154&lt;10,$BN154&lt;-6,$BR154&lt;70),"-",COUNTIFS(AC$4:AC$200,"&lt;&gt;-",$D$4:$D$200,"&lt;&gt;是",$E$4:$E$200,"&lt;&gt;封闭期",$H$4:$H$200,"&gt;10",$BN$4:$BN$200,"&gt;-6",$BR$4:$BR$200,"&gt;=70",$K$4:$K$200,"&lt;=30",$C$4:$C$200,"&lt;20190630",AC$4:AC$200,"&gt;="&amp;AC154)&amp;"/"&amp;COUNTIFS(AC$4:AC$200,"&lt;&gt;-",$D$4:$D$200,"&lt;&gt;是",$E$4:$E$200,"&lt;&gt;封闭期",$H$4:$H$200,"&gt;10",$BN$4:$BN$200,"&gt;-6",$BR$4:$BR$200,"&gt;=70",$C$4:$C$200,"&lt;20190630",$K$4:$K$200,"&lt;=30"))</f>
        <v>-</v>
      </c>
      <c r="AG154" s="33" t="str">
        <f>IF(OR($C154&gt;20190630,$K154&gt;30,AC154="-",$D154="是",$E154="封闭期",$H154&lt;10,$BN154&lt;-6,$BR154&lt;70),"-",COUNTIFS(AC$4:AC$200,"&lt;&gt;-",$D$4:$D$200,"&lt;&gt;是",$E$4:$E$200,"&lt;&gt;封闭期",$H$4:$H$200,"&gt;10",$BN$4:$BN$200,"&gt;-6",$BR$4:$BR$200,"&gt;=70",$K$4:$K$200,"&lt;=30",$C$4:$C$200,"&lt;20190630",AC$4:AC$200,"&gt;="&amp;AC154)/COUNTIFS(AC$4:AC$200,"&lt;&gt;-",$D$4:$D$200,"&lt;&gt;是",$E$4:$E$200,"&lt;&gt;封闭期",$H$4:$H$200,"&gt;10",$BN$4:$BN$200,"&gt;-6",$BR$4:$BR$200,"&gt;=70",$C$4:$C$200,"&lt;20190630",$K$4:$K$200,"&lt;=30"))</f>
        <v>-</v>
      </c>
      <c r="AH154" s="21">
        <f>[1]!f_risk_maxdownside(A154,$L$2,$E$1)</f>
        <v>-3.3170731707316934</v>
      </c>
      <c r="AI154" s="19" t="str">
        <f>IFERROR(RANK(AH154,AH:AH)&amp;"/"&amp;COUNT(AH:AH),"-")</f>
        <v>108/197</v>
      </c>
      <c r="AJ154" s="26">
        <f>IFERROR(RANK(AH154,AH:AH)/COUNT(AH:AH),"-")</f>
        <v>0.54822335025380708</v>
      </c>
      <c r="AK154" s="34" t="str">
        <f>IF(OR($C154&gt;20190630,$K154&gt;30,AH154="-",$D154="是",$E154="封闭期",$H154&lt;10,$BN154&lt;-6,$BR154&lt;70),"-",COUNTIFS(AH$4:AH$200,"&lt;&gt;-",$D$4:$D$200,"&lt;&gt;是",$E$4:$E$200,"&lt;&gt;封闭期",$H$4:$H$200,"&gt;10",$BN$4:$BN$200,"&gt;-6",$BR$4:$BR$200,"&gt;=70",$K$4:$K$200,"&lt;=30",$C$4:$C$200,"&lt;20190630",AH$4:AH$200,"&gt;="&amp;AH154)&amp;"/"&amp;COUNTIFS(AH$4:AH$200,"&lt;&gt;-",$D$4:$D$200,"&lt;&gt;是",$E$4:$E$200,"&lt;&gt;封闭期",$H$4:$H$200,"&gt;10",$BN$4:$BN$200,"&gt;-6",$BR$4:$BR$200,"&gt;=70",$C$4:$C$200,"&lt;20190630",$K$4:$K$200,"&lt;=30"))</f>
        <v>-</v>
      </c>
      <c r="AL154" s="33" t="str">
        <f>IF(OR($C154&gt;20190630,$K154&gt;30,AH154="-",$D154="是",$E154="封闭期",$H154&lt;10,$BN154&lt;-6,$BR154&lt;70),"-",COUNTIFS(AH$4:AH$200,"&lt;&gt;-",$D$4:$D$200,"&lt;&gt;是",$E$4:$E$200,"&lt;&gt;封闭期",$H$4:$H$200,"&gt;10",$BN$4:$BN$200,"&gt;-6",$BR$4:$BR$200,"&gt;=70",$K$4:$K$200,"&lt;=30",$C$4:$C$200,"&lt;20190630",AH$4:AH$200,"&gt;="&amp;AH154)/COUNTIFS(AH$4:AH$200,"&lt;&gt;-",$D$4:$D$200,"&lt;&gt;是",$E$4:$E$200,"&lt;&gt;封闭期",$H$4:$H$200,"&gt;10",$BN$4:$BN$200,"&gt;-6",$BR$4:$BR$200,"&gt;=70",$C$4:$C$200,"&lt;20190630",$K$4:$K$200,"&lt;=30"))</f>
        <v>-</v>
      </c>
      <c r="AM154" s="19">
        <f>[1]!f_return($A154,"1",AM$2,$L$2)</f>
        <v>4.0769463983695742</v>
      </c>
      <c r="AN154" s="19">
        <f>[1]!f_risk_stdevyearly($A154,AM$2,$L$2,1,1)</f>
        <v>1.1244114077027123</v>
      </c>
      <c r="AO154" s="19">
        <f>IFERROR(AM154/AN154,"-")</f>
        <v>3.6258493736729274</v>
      </c>
      <c r="AP154" s="19" t="str">
        <f>IFERROR(RANK(AO154,AO:AO)&amp;"/"&amp;COUNT(AO:AO),"-")</f>
        <v>4/197</v>
      </c>
      <c r="AQ154" s="26">
        <f>IF(AP154="-","-",RANK(AO154,AO:AO)/COUNT(AO:AO))</f>
        <v>2.030456852791878E-2</v>
      </c>
      <c r="AR154" s="57">
        <v>0.76649746192893398</v>
      </c>
      <c r="AS154" s="33" t="str">
        <f>IF(OR($C154&gt;20190630,$K154&gt;30,AO154="-",$D154="是",$E154="封闭期",$H154&lt;10,$BN154&lt;-6,$BR154&lt;70),"-",COUNTIFS(AO$4:AO$200,"&lt;&gt;-",$D$4:$D$200,"&lt;&gt;是",$E$4:$E$200,"&lt;&gt;封闭期",$H$4:$H$200,"&gt;10",$BN$4:$BN$200,"&gt;-6",$BR$4:$BR$200,"&gt;=70",$K$4:$K$200,"&lt;=30",$C$4:$C$200,"&lt;20190630",AO$4:AO$200,"&gt;="&amp;AO154)/COUNTIFS(AO$4:AO$200,"&lt;&gt;-",$D$4:$D$200,"&lt;&gt;是",$E$4:$E$200,"&lt;&gt;封闭期",$H$4:$H$200,"&gt;10",$BN$4:$BN$200,"&gt;-6",$BR$4:$BR$200,"&gt;=70",$C$4:$C$200,"&lt;20190630",$K$4:$K$200,"&lt;=30"))</f>
        <v>-</v>
      </c>
      <c r="AT154" s="19">
        <f>IFERROR((AM154-3)/AN154,"-")</f>
        <v>0.95778679493290275</v>
      </c>
      <c r="AU154" s="19" t="str">
        <f>IFERROR(RANK(AT154,AT:AT)&amp;"/"&amp;COUNT(AT:AT),"-")</f>
        <v>90/197</v>
      </c>
      <c r="AV154" s="26">
        <f>IFERROR(RANK(AT154,AT:AT)/COUNT(AT:AT),"-")</f>
        <v>0.45685279187817257</v>
      </c>
      <c r="AW154" s="34" t="str">
        <f>IF(OR($C154&gt;20190630,$K154&gt;30,AT154="-",$D154="是",$E154="封闭期",$H154&lt;10,$BN154&lt;-6,$BR154&lt;70),"-",COUNTIFS(AT$4:AT$200,"&lt;&gt;-",$D$4:$D$200,"&lt;&gt;是",$E$4:$E$200,"&lt;&gt;封闭期",$H$4:$H$200,"&gt;10",$BN$4:$BN$200,"&gt;-6",$BR$4:$BR$200,"&gt;=70",$K$4:$K$200,"&lt;=30",$C$4:$C$200,"&lt;20190630",AT$4:AT$200,"&gt;="&amp;AT154)&amp;"/"&amp;COUNTIFS(AT$4:AT$200,"&lt;&gt;-",$D$4:$D$200,"&lt;&gt;是",$E$4:$E$200,"&lt;&gt;封闭期",$H$4:$H$200,"&gt;10",$BN$4:$BN$200,"&gt;-6",$BR$4:$BR$200,"&gt;=70",$C$4:$C$200,"&lt;20190630",$K$4:$K$200,"&lt;=30"))</f>
        <v>-</v>
      </c>
      <c r="AX154" s="33" t="str">
        <f>IF(OR($C154&gt;20190630,$K154&gt;30,AT154="-",$D154="是",$E154="封闭期",$H154&lt;10,$BN154&lt;-6,$BR154&lt;70),"-",COUNTIFS(AT$4:AT$200,"&lt;&gt;-",$D$4:$D$200,"&lt;&gt;是",$E$4:$E$200,"&lt;&gt;封闭期",$H$4:$H$200,"&gt;10",$BN$4:$BN$200,"&gt;-6",$BR$4:$BR$200,"&gt;=70",$K$4:$K$200,"&lt;=30",$C$4:$C$200,"&lt;20190630",AT$4:AT$200,"&gt;="&amp;AT154)/COUNTIFS(AT$4:AT$200,"&lt;&gt;-",$D$4:$D$200,"&lt;&gt;是",$E$4:$E$200,"&lt;&gt;封闭期",$H$4:$H$200,"&gt;10",$BN$4:$BN$200,"&gt;-6",$BR$4:$BR$200,"&gt;=70",$C$4:$C$200,"&lt;20190630",$K$4:$K$200,"&lt;=30"))</f>
        <v>-</v>
      </c>
      <c r="AY154" s="19">
        <f>[1]!f_risk_calmar(A154,$AM$2,$L$2)</f>
        <v>3.6135639599979119</v>
      </c>
      <c r="AZ154" s="19" t="str">
        <f>IFERROR(RANK(AY154,AY:AY)&amp;"/"&amp;COUNT(AY:AY),"-")</f>
        <v>28/197</v>
      </c>
      <c r="BA154" s="26">
        <f>IFERROR(RANK(AY154,AY:AY)/COUNT(AY:AY),"-")</f>
        <v>0.14213197969543148</v>
      </c>
      <c r="BB154" s="34" t="str">
        <f>IF(OR($C154&gt;20190630,$K154&gt;30,AY154="-",$D154="是",$E154="封闭期",$H154&lt;10,$BN154&lt;-6,$BR154&lt;70),"-",COUNTIFS(AY$4:AY$200,"&lt;&gt;-",$D$4:$D$200,"&lt;&gt;是",$E$4:$E$200,"&lt;&gt;封闭期",$H$4:$H$200,"&gt;10",$BN$4:$BN$200,"&gt;-6",$BR$4:$BR$200,"&gt;=70",$K$4:$K$200,"&lt;=30",$C$4:$C$200,"&lt;20190630",AY$4:AY$200,"&gt;="&amp;AY154)&amp;"/"&amp;COUNTIFS(AY$4:AY$200,"&lt;&gt;-",$D$4:$D$200,"&lt;&gt;是",$E$4:$E$200,"&lt;&gt;封闭期",$H$4:$H$200,"&gt;10",$BN$4:$BN$200,"&gt;-6",$BR$4:$BR$200,"&gt;=70",$C$4:$C$200,"&lt;20190630",$K$4:$K$200,"&lt;=30"))</f>
        <v>-</v>
      </c>
      <c r="BC154" s="33" t="str">
        <f>IF(OR($C154&gt;20190630,$K154&gt;30,AY154="-",$D154="是",$E154="封闭期",$H154&lt;10,$BN154&lt;-6,$BR154&lt;70),"-",COUNTIFS(AY$4:AY$200,"&lt;&gt;-",$D$4:$D$200,"&lt;&gt;是",$E$4:$E$200,"&lt;&gt;封闭期",$H$4:$H$200,"&gt;10",$BN$4:$BN$200,"&gt;-6",$BR$4:$BR$200,"&gt;=70",$K$4:$K$200,"&lt;=30",$C$4:$C$200,"&lt;20190630",AY$4:AY$200,"&gt;="&amp;AY154)/COUNTIFS(AY$4:AY$200,"&lt;&gt;-",$D$4:$D$200,"&lt;&gt;是",$E$4:$E$200,"&lt;&gt;封闭期",$H$4:$H$200,"&gt;10",$BN$4:$BN$200,"&gt;-6",$BR$4:$BR$200,"&gt;=70",$C$4:$C$200,"&lt;20190630",$K$4:$K$200,"&lt;=30"))</f>
        <v>-</v>
      </c>
      <c r="BD154" s="20">
        <v>1</v>
      </c>
      <c r="BE154" s="19" t="str">
        <f>IFERROR(RANK(BD154,BD:BD)&amp;"/"&amp;COUNT(BD:BD),"-")</f>
        <v>1/197</v>
      </c>
      <c r="BF154" s="26">
        <f>IFERROR(RANK(BD154,BD:BD)/COUNT(BD:BD),"-")</f>
        <v>5.076142131979695E-3</v>
      </c>
      <c r="BG154" s="34" t="str">
        <f>IF(OR($C154&gt;20190630,$K154&gt;30,BD154="-",$D154="是",$E154="封闭期",$H154&lt;10,$BN154&lt;-6,$BR154&lt;70),"-",COUNTIFS(BD$4:BD$200,"&lt;&gt;-",$D$4:$D$200,"&lt;&gt;是",$E$4:$E$200,"&lt;&gt;封闭期",$H$4:$H$200,"&gt;10",$BN$4:$BN$200,"&gt;-6",$BR$4:$BR$200,"&gt;=70",$K$4:$K$200,"&lt;=30",$C$4:$C$200,"&lt;20190630",BD$4:BD$200,"&gt;="&amp;BD154)&amp;"/"&amp;COUNTIFS(BD$4:BD$200,"&lt;&gt;-",$D$4:$D$200,"&lt;&gt;是",$E$4:$E$200,"&lt;&gt;封闭期",$H$4:$H$200,"&gt;10",$BN$4:$BN$200,"&gt;-6",$BR$4:$BR$200,"&gt;=70",$C$4:$C$200,"&lt;20190630",$K$4:$K$200,"&lt;=30"))</f>
        <v>-</v>
      </c>
      <c r="BH154" s="33" t="str">
        <f>IF(OR($C154&gt;20190630,$K154&gt;30,BD154="-",$D154="是",$E154="封闭期",$H154&lt;10,$BN154&lt;-6,$BR154&lt;70),"-",COUNTIFS(BD$4:BD$200,"&lt;&gt;-",$D$4:$D$200,"&lt;&gt;是",$E$4:$E$200,"&lt;&gt;封闭期",$H$4:$H$200,"&gt;10",$BN$4:$BN$200,"&gt;-6",$BR$4:$BR$200,"&gt;=70",$K$4:$K$200,"&lt;=30",$C$4:$C$200,"&lt;20190630",BD$4:BD$200,"&gt;="&amp;BD154)/COUNTIFS(BD$4:BD$200,"&lt;&gt;-",$D$4:$D$200,"&lt;&gt;是",$E$4:$E$200,"&lt;&gt;封闭期",$H$4:$H$200,"&gt;10",$BN$4:$BN$200,"&gt;-6",$BR$4:$BR$200,"&gt;=70",$C$4:$C$200,"&lt;20190630",$K$4:$K$200,"&lt;=30"))</f>
        <v>-</v>
      </c>
      <c r="BI154" s="21">
        <f>[1]!f_risk_maxdownside(A154,$AM$2,$L$2)</f>
        <v>-1.1282341874950319</v>
      </c>
      <c r="BJ154" s="19" t="str">
        <f>IFERROR(RANK(BI154,BI:BI)&amp;"/"&amp;COUNT(BI:BI),"-")</f>
        <v>7/197</v>
      </c>
      <c r="BK154" s="26">
        <f>IFERROR(RANK(BI154,BI:BI)/COUNT(BI:BI),"-")</f>
        <v>3.553299492385787E-2</v>
      </c>
      <c r="BL154" s="34" t="str">
        <f>IF(OR($C154&gt;20190630,$K154&gt;30,BI154="-",$D154="是",$E154="封闭期",$H154&lt;10,$BN154&lt;-6,$BR154&lt;70),"-",COUNTIFS(BI$4:BI$200,"&lt;&gt;-",$D$4:$D$200,"&lt;&gt;是",$E$4:$E$200,"&lt;&gt;封闭期",$H$4:$H$200,"&gt;10",$BN$4:$BN$200,"&gt;-6",$BR$4:$BR$200,"&gt;=70",$K$4:$K$200,"&lt;=30",$C$4:$C$200,"&lt;20190630",BI$4:BI$200,"&gt;="&amp;BI154)&amp;"/"&amp;COUNTIFS(BI$4:BI$200,"&lt;&gt;-",$D$4:$D$200,"&lt;&gt;是",$E$4:$E$200,"&lt;&gt;封闭期",$H$4:$H$200,"&gt;10",$BN$4:$BN$200,"&gt;-6",$BR$4:$BR$200,"&gt;=70",$C$4:$C$200,"&lt;20190630",$K$4:$K$200,"&lt;=30"))</f>
        <v>-</v>
      </c>
      <c r="BM154" s="33" t="str">
        <f>IF(OR($C154&gt;20190630,$K154&gt;30,BI154="-",$D154="是",$E154="封闭期",$H154&lt;10,$BN154&lt;-6,$BR154&lt;70),"-",COUNTIFS(BI$4:BI$200,"&lt;&gt;-",$D$4:$D$200,"&lt;&gt;是",$E$4:$E$200,"&lt;&gt;封闭期",$H$4:$H$200,"&gt;10",$BN$4:$BN$200,"&gt;-6",$BR$4:$BR$200,"&gt;=70",$K$4:$K$200,"&lt;=30",$C$4:$C$200,"&lt;20190630",BI$4:BI$200,"&gt;="&amp;BI154)/COUNTIFS(BI$4:BI$200,"&lt;&gt;-",$D$4:$D$200,"&lt;&gt;是",$E$4:$E$200,"&lt;&gt;封闭期",$H$4:$H$200,"&gt;10",$BN$4:$BN$200,"&gt;-6",$BR$4:$BR$200,"&gt;=70",$C$4:$C$200,"&lt;20190630",$K$4:$K$200,"&lt;=30"))</f>
        <v>-</v>
      </c>
      <c r="BN154" s="21">
        <f>[1]!f_risk_maxdownside(A154,$AM$2,$E$1)</f>
        <v>-3.3170731707316934</v>
      </c>
      <c r="BO154" s="21">
        <f>IF(C154&lt;20190930,[1]!f_return_2y(A154,"0","20210930"),"-")</f>
        <v>4.4071187587909133</v>
      </c>
      <c r="BP154" s="19" t="str">
        <f>IFERROR(RANK(BO154,BO:BO)&amp;"/"&amp;COUNT(BO:BO),"-")</f>
        <v>188/197</v>
      </c>
      <c r="BQ154" s="25">
        <f>IFERROR(RANK(BO154,BO:BO)/COUNT(BO:BO),"-")</f>
        <v>0.95431472081218272</v>
      </c>
      <c r="BR154" s="19">
        <f>IF(C154&lt;20190930,[1]!f_absolute_profitmonthper(A154,"20190930","20210930"),"-")</f>
        <v>62.5</v>
      </c>
      <c r="BS154" s="19" t="str">
        <f>IFERROR(RANK(BR154,BR:BR)&amp;"/"&amp;COUNT(BR:BR),"-")</f>
        <v>142/198</v>
      </c>
      <c r="BT154" s="25">
        <f>IFERROR(RANK(BR154,BR:BR)/COUNT(BR:BR),"-")</f>
        <v>0.71717171717171713</v>
      </c>
      <c r="BV154" s="12">
        <f>X154-3/M154</f>
        <v>-0.90423705260390619</v>
      </c>
      <c r="BW154" s="76">
        <f>IFERROR(RANK(BV154,BV:BV)/COUNT(BV:BV),"-")</f>
        <v>0.96446700507614214</v>
      </c>
      <c r="BX154" s="76">
        <f>IFERROR(RANK(L154,L:L)/COUNT(L:L),"-")</f>
        <v>0.9494949494949495</v>
      </c>
      <c r="BY154" s="12">
        <f>AY154-3/AN154</f>
        <v>0.94550138125788719</v>
      </c>
      <c r="BZ154" s="76">
        <f>IFERROR(RANK(BY154,BY:BY)/COUNT(BY:BY),"-")</f>
        <v>0.70050761421319796</v>
      </c>
      <c r="CA154" s="76">
        <f>IFERROR(RANK(AM154,AM:AM)/COUNT(AM:AM),"-")</f>
        <v>0.76767676767676762</v>
      </c>
      <c r="CB154" s="2"/>
      <c r="CC154" s="77">
        <f>AV154+BF154+BZ154+CA154</f>
        <v>1.930113315900118</v>
      </c>
      <c r="CD154" s="77">
        <f>BW154+BX154+AE154+U154</f>
        <v>3.8428959647233754</v>
      </c>
      <c r="CE154" s="77">
        <f>CC154+CD154</f>
        <v>5.7730092806234934</v>
      </c>
    </row>
    <row r="155" spans="1:83" s="17" customFormat="1" hidden="1" x14ac:dyDescent="0.35">
      <c r="A155" s="15" t="s">
        <v>233</v>
      </c>
      <c r="B155" s="15" t="s">
        <v>234</v>
      </c>
      <c r="C155" s="16">
        <v>20160513</v>
      </c>
      <c r="D155" s="16" t="str">
        <f>[1]!f_info_regulopenfundornot(A155)</f>
        <v>是</v>
      </c>
      <c r="E155" s="16" t="str">
        <f>[1]!f_dq_status(A155,$E$1)</f>
        <v>暂停申购|暂停赎回</v>
      </c>
      <c r="F155" s="17" t="str">
        <f>[1]!f_info_fundmanager(A155)</f>
        <v>许富强</v>
      </c>
      <c r="G155" s="16">
        <v>20180518</v>
      </c>
      <c r="H155" s="18">
        <f>[1]!f_netasset_total(A155,$E$1,100000000)</f>
        <v>3.3486553935000001</v>
      </c>
      <c r="I155" s="18">
        <f>[1]!f_prt_convertiblebondtonav(A155,$E$1)</f>
        <v>17.689554214477539</v>
      </c>
      <c r="J155" s="18">
        <f>[1]!f_prt_stocktonav(A155,$E$1)+0.5*I155</f>
        <v>8.8447771072387695</v>
      </c>
      <c r="K155" s="19">
        <v>24.3888935715893</v>
      </c>
      <c r="L155" s="19">
        <f>[1]!f_return($A155,"1",L$2,$E$1)</f>
        <v>22.649483713120834</v>
      </c>
      <c r="M155" s="19">
        <f>[1]!f_risk_stdevyearly($A155,L$2,$E$1,1,1)</f>
        <v>15.085613868141124</v>
      </c>
      <c r="N155" s="19">
        <f>IFERROR(L155/M155,"-")</f>
        <v>1.5013962249791923</v>
      </c>
      <c r="O155" s="19" t="str">
        <f>IFERROR(RANK(N155,N:N)&amp;"/"&amp;COUNT(N:N),"-")</f>
        <v>87/197</v>
      </c>
      <c r="P155" s="26">
        <f>IF(O155="-","-",RANK(N155,N:N)/COUNT(N:N))</f>
        <v>0.44162436548223349</v>
      </c>
      <c r="Q155" s="56">
        <v>1.015228426395939E-2</v>
      </c>
      <c r="R155" s="33" t="str">
        <f>IF(OR($C155&gt;20190630,$K155&gt;30,N155="-",$D155="是",$E155="封闭期",$H155&lt;10,$BN155&lt;-6,$BR155&lt;70),"-",COUNTIFS(N$4:N$200,"&lt;&gt;-",$D$4:$D$200,"&lt;&gt;是",$E$4:$E$200,"&lt;&gt;封闭期",$H$4:$H$200,"&gt;10",$BN$4:$BN$200,"&gt;-6",$BR$4:$BR$200,"&gt;=70",$K$4:$K$200,"&lt;=30",$C$4:$C$200,"&lt;20190630",N$4:N$200,"&gt;="&amp;N155)/COUNTIFS(N$4:N$200,"&lt;&gt;-",$D$4:$D$200,"&lt;&gt;是",$E$4:$E$200,"&lt;&gt;封闭期",$H$4:$H$200,"&gt;10",$BN$4:$BN$200,"&gt;-6",$BR$4:$BR$200,"&gt;=70",$C$4:$C$200,"&lt;20190630",$K$4:$K$200,"&lt;=30"))</f>
        <v>-</v>
      </c>
      <c r="S155" s="19">
        <f>IFERROR((L155-3)/M155,"-")</f>
        <v>1.3025312648773291</v>
      </c>
      <c r="T155" s="19" t="str">
        <f>IFERROR(RANK(S155,S:S)&amp;"/"&amp;COUNT(S:S),"-")</f>
        <v>45/197</v>
      </c>
      <c r="U155" s="26">
        <f>IFERROR(RANK(S155,S:S)/COUNT(S:S),"-")</f>
        <v>0.22842639593908629</v>
      </c>
      <c r="V155" s="34" t="str">
        <f>IF(OR($C155&gt;20190630,$K155&gt;30,S155="-",$D155="是",$E155="封闭期",$H155&lt;10,$BN155&lt;-6,$BR155&lt;70),"-",COUNTIFS(S$4:S$200,"&lt;&gt;-",$D$4:$D$200,"&lt;&gt;是",$E$4:$E$200,"&lt;&gt;封闭期",$H$4:$H$200,"&gt;10",$BN$4:$BN$200,"&gt;-6",$BR$4:$BR$200,"&gt;=70",$K$4:$K$200,"&lt;=30",$C$4:$C$200,"&lt;20190630",S$4:S$200,"&gt;="&amp;S155)&amp;"/"&amp;COUNTIFS(S$4:S$200,"&lt;&gt;-",$D$4:$D$200,"&lt;&gt;是",$E$4:$E$200,"&lt;&gt;封闭期",$H$4:$H$200,"&gt;10",$BN$4:$BN$200,"&gt;-6",$BR$4:$BR$200,"&gt;=70",$C$4:$C$200,"&lt;20190630",$K$4:$K$200,"&lt;=30"))</f>
        <v>-</v>
      </c>
      <c r="W155" s="33" t="str">
        <f>IF(OR($C155&gt;20190630,$K155&gt;30,S155="-",$D155="是",$E155="封闭期",$H155&lt;10,$BN155&lt;-6,$BR155&lt;70),"-",COUNTIFS(S$4:S$200,"&lt;&gt;-",$D$4:$D$200,"&lt;&gt;是",$E$4:$E$200,"&lt;&gt;封闭期",$H$4:$H$200,"&gt;10",$BN$4:$BN$200,"&gt;-6",$BR$4:$BR$200,"&gt;=70",$K$4:$K$200,"&lt;=30",$C$4:$C$200,"&lt;20190630",S$4:S$200,"&gt;="&amp;S155)/COUNTIFS(S$4:S$200,"&lt;&gt;-",$D$4:$D$200,"&lt;&gt;是",$E$4:$E$200,"&lt;&gt;封闭期",$H$4:$H$200,"&gt;10",$BN$4:$BN$200,"&gt;-6",$BR$4:$BR$200,"&gt;=70",$C$4:$C$200,"&lt;20190630",$K$4:$K$200,"&lt;=30"))</f>
        <v>-</v>
      </c>
      <c r="X155" s="19">
        <f>[1]!f_risk_calmar(A155,$L$2,$E$1)</f>
        <v>20.29719419546403</v>
      </c>
      <c r="Y155" s="19" t="str">
        <f>IFERROR(RANK(X155,X:X)&amp;"/"&amp;COUNT(X:X),"-")</f>
        <v>2/197</v>
      </c>
      <c r="Z155" s="26">
        <f>IFERROR(RANK(X155,X:X)/COUNT(X:X),"-")</f>
        <v>1.015228426395939E-2</v>
      </c>
      <c r="AA155" s="34" t="str">
        <f>IF(OR($C155&gt;20190630,$K155&gt;30,X155="-",$D155="是",$E155="封闭期",$H155&lt;10,$BN155&lt;-6,$BR155&lt;70),"-",COUNTIFS(X$4:X$200,"&lt;&gt;-",$D$4:$D$200,"&lt;&gt;是",$E$4:$E$200,"&lt;&gt;封闭期",$H$4:$H$200,"&gt;10",$BN$4:$BN$200,"&gt;-6",$BR$4:$BR$200,"&gt;=70",$K$4:$K$200,"&lt;=30",$C$4:$C$200,"&lt;20190630",X$4:X$200,"&gt;="&amp;X155)&amp;"/"&amp;COUNTIFS(X$4:X$200,"&lt;&gt;-",$D$4:$D$200,"&lt;&gt;是",$E$4:$E$200,"&lt;&gt;封闭期",$H$4:$H$200,"&gt;10",$BN$4:$BN$200,"&gt;-6",$BR$4:$BR$200,"&gt;=70",$C$4:$C$200,"&lt;20190630",$K$4:$K$200,"&lt;=30"))</f>
        <v>-</v>
      </c>
      <c r="AB155" s="33" t="str">
        <f>IF(OR($C155&gt;20190630,$K155&gt;30,X155="-",$D155="是",$E155="封闭期",$H155&lt;10,$BN155&lt;-6,$BR155&lt;70),"-",COUNTIFS(X$4:X$200,"&lt;&gt;-",$D$4:$D$200,"&lt;&gt;是",$E$4:$E$200,"&lt;&gt;封闭期",$H$4:$H$200,"&gt;10",$BN$4:$BN$200,"&gt;-6",$BR$4:$BR$200,"&gt;=70",$K$4:$K$200,"&lt;=30",$C$4:$C$200,"&lt;20190630",X$4:X$200,"&gt;="&amp;X155)/COUNTIFS(X$4:X$200,"&lt;&gt;-",$D$4:$D$200,"&lt;&gt;是",$E$4:$E$200,"&lt;&gt;封闭期",$H$4:$H$200,"&gt;10",$BN$4:$BN$200,"&gt;-6",$BR$4:$BR$200,"&gt;=70",$C$4:$C$200,"&lt;20190630",$K$4:$K$200,"&lt;=30"))</f>
        <v>-</v>
      </c>
      <c r="AC155" s="20">
        <v>1</v>
      </c>
      <c r="AD155" s="19" t="str">
        <f>IFERROR(RANK(AC155,AC:AC)&amp;"/"&amp;COUNT(AC:AC),"-")</f>
        <v>1/197</v>
      </c>
      <c r="AE155" s="26">
        <f>IFERROR(RANK(AC155,AC:AC)/COUNT(AC:AC),"-")</f>
        <v>5.076142131979695E-3</v>
      </c>
      <c r="AF155" s="34" t="str">
        <f>IF(OR($C155&gt;20190630,$K155&gt;30,AC155="-",$D155="是",$E155="封闭期",$H155&lt;10,$BN155&lt;-6,$BR155&lt;70),"-",COUNTIFS(AC$4:AC$200,"&lt;&gt;-",$D$4:$D$200,"&lt;&gt;是",$E$4:$E$200,"&lt;&gt;封闭期",$H$4:$H$200,"&gt;10",$BN$4:$BN$200,"&gt;-6",$BR$4:$BR$200,"&gt;=70",$K$4:$K$200,"&lt;=30",$C$4:$C$200,"&lt;20190630",AC$4:AC$200,"&gt;="&amp;AC155)&amp;"/"&amp;COUNTIFS(AC$4:AC$200,"&lt;&gt;-",$D$4:$D$200,"&lt;&gt;是",$E$4:$E$200,"&lt;&gt;封闭期",$H$4:$H$200,"&gt;10",$BN$4:$BN$200,"&gt;-6",$BR$4:$BR$200,"&gt;=70",$C$4:$C$200,"&lt;20190630",$K$4:$K$200,"&lt;=30"))</f>
        <v>-</v>
      </c>
      <c r="AG155" s="33" t="str">
        <f>IF(OR($C155&gt;20190630,$K155&gt;30,AC155="-",$D155="是",$E155="封闭期",$H155&lt;10,$BN155&lt;-6,$BR155&lt;70),"-",COUNTIFS(AC$4:AC$200,"&lt;&gt;-",$D$4:$D$200,"&lt;&gt;是",$E$4:$E$200,"&lt;&gt;封闭期",$H$4:$H$200,"&gt;10",$BN$4:$BN$200,"&gt;-6",$BR$4:$BR$200,"&gt;=70",$K$4:$K$200,"&lt;=30",$C$4:$C$200,"&lt;20190630",AC$4:AC$200,"&gt;="&amp;AC155)/COUNTIFS(AC$4:AC$200,"&lt;&gt;-",$D$4:$D$200,"&lt;&gt;是",$E$4:$E$200,"&lt;&gt;封闭期",$H$4:$H$200,"&gt;10",$BN$4:$BN$200,"&gt;-6",$BR$4:$BR$200,"&gt;=70",$C$4:$C$200,"&lt;20190630",$K$4:$K$200,"&lt;=30"))</f>
        <v>-</v>
      </c>
      <c r="AH155" s="21">
        <f>[1]!f_risk_maxdownside(A155,$L$2,$E$1)</f>
        <v>-1.115892349208665</v>
      </c>
      <c r="AI155" s="19" t="str">
        <f>IFERROR(RANK(AH155,AH:AH)&amp;"/"&amp;COUNT(AH:AH),"-")</f>
        <v>28/197</v>
      </c>
      <c r="AJ155" s="26">
        <f>IFERROR(RANK(AH155,AH:AH)/COUNT(AH:AH),"-")</f>
        <v>0.14213197969543148</v>
      </c>
      <c r="AK155" s="34" t="str">
        <f>IF(OR($C155&gt;20190630,$K155&gt;30,AH155="-",$D155="是",$E155="封闭期",$H155&lt;10,$BN155&lt;-6,$BR155&lt;70),"-",COUNTIFS(AH$4:AH$200,"&lt;&gt;-",$D$4:$D$200,"&lt;&gt;是",$E$4:$E$200,"&lt;&gt;封闭期",$H$4:$H$200,"&gt;10",$BN$4:$BN$200,"&gt;-6",$BR$4:$BR$200,"&gt;=70",$K$4:$K$200,"&lt;=30",$C$4:$C$200,"&lt;20190630",AH$4:AH$200,"&gt;="&amp;AH155)&amp;"/"&amp;COUNTIFS(AH$4:AH$200,"&lt;&gt;-",$D$4:$D$200,"&lt;&gt;是",$E$4:$E$200,"&lt;&gt;封闭期",$H$4:$H$200,"&gt;10",$BN$4:$BN$200,"&gt;-6",$BR$4:$BR$200,"&gt;=70",$C$4:$C$200,"&lt;20190630",$K$4:$K$200,"&lt;=30"))</f>
        <v>-</v>
      </c>
      <c r="AL155" s="33" t="str">
        <f>IF(OR($C155&gt;20190630,$K155&gt;30,AH155="-",$D155="是",$E155="封闭期",$H155&lt;10,$BN155&lt;-6,$BR155&lt;70),"-",COUNTIFS(AH$4:AH$200,"&lt;&gt;-",$D$4:$D$200,"&lt;&gt;是",$E$4:$E$200,"&lt;&gt;封闭期",$H$4:$H$200,"&gt;10",$BN$4:$BN$200,"&gt;-6",$BR$4:$BR$200,"&gt;=70",$K$4:$K$200,"&lt;=30",$C$4:$C$200,"&lt;20190630",AH$4:AH$200,"&gt;="&amp;AH155)/COUNTIFS(AH$4:AH$200,"&lt;&gt;-",$D$4:$D$200,"&lt;&gt;是",$E$4:$E$200,"&lt;&gt;封闭期",$H$4:$H$200,"&gt;10",$BN$4:$BN$200,"&gt;-6",$BR$4:$BR$200,"&gt;=70",$C$4:$C$200,"&lt;20190630",$K$4:$K$200,"&lt;=30"))</f>
        <v>-</v>
      </c>
      <c r="AM155" s="19">
        <f>[1]!f_return($A155,"1",AM$2,$L$2)</f>
        <v>4.0376516576275501</v>
      </c>
      <c r="AN155" s="19">
        <f>[1]!f_risk_stdevyearly($A155,AM$2,$L$2,1,1)</f>
        <v>2.8376835377421963</v>
      </c>
      <c r="AO155" s="19">
        <f>IFERROR(AM155/AN155,"-")</f>
        <v>1.4228689013152287</v>
      </c>
      <c r="AP155" s="19" t="str">
        <f>IFERROR(RANK(AO155,AO:AO)&amp;"/"&amp;COUNT(AO:AO),"-")</f>
        <v>116/197</v>
      </c>
      <c r="AQ155" s="26">
        <f>IF(AP155="-","-",RANK(AO155,AO:AO)/COUNT(AO:AO))</f>
        <v>0.58883248730964466</v>
      </c>
      <c r="AR155" s="57">
        <v>0.77157360406091369</v>
      </c>
      <c r="AS155" s="33" t="str">
        <f>IF(OR($C155&gt;20190630,$K155&gt;30,AO155="-",$D155="是",$E155="封闭期",$H155&lt;10,$BN155&lt;-6,$BR155&lt;70),"-",COUNTIFS(AO$4:AO$200,"&lt;&gt;-",$D$4:$D$200,"&lt;&gt;是",$E$4:$E$200,"&lt;&gt;封闭期",$H$4:$H$200,"&gt;10",$BN$4:$BN$200,"&gt;-6",$BR$4:$BR$200,"&gt;=70",$K$4:$K$200,"&lt;=30",$C$4:$C$200,"&lt;20190630",AO$4:AO$200,"&gt;="&amp;AO155)/COUNTIFS(AO$4:AO$200,"&lt;&gt;-",$D$4:$D$200,"&lt;&gt;是",$E$4:$E$200,"&lt;&gt;封闭期",$H$4:$H$200,"&gt;10",$BN$4:$BN$200,"&gt;-6",$BR$4:$BR$200,"&gt;=70",$C$4:$C$200,"&lt;20190630",$K$4:$K$200,"&lt;=30"))</f>
        <v>-</v>
      </c>
      <c r="AT155" s="19">
        <f>IFERROR((AM155-3)/AN155,"-")</f>
        <v>0.36566856163712952</v>
      </c>
      <c r="AU155" s="19" t="str">
        <f>IFERROR(RANK(AT155,AT:AT)&amp;"/"&amp;COUNT(AT:AT),"-")</f>
        <v>151/197</v>
      </c>
      <c r="AV155" s="26">
        <f>IFERROR(RANK(AT155,AT:AT)/COUNT(AT:AT),"-")</f>
        <v>0.76649746192893398</v>
      </c>
      <c r="AW155" s="34" t="str">
        <f>IF(OR($C155&gt;20190630,$K155&gt;30,AT155="-",$D155="是",$E155="封闭期",$H155&lt;10,$BN155&lt;-6,$BR155&lt;70),"-",COUNTIFS(AT$4:AT$200,"&lt;&gt;-",$D$4:$D$200,"&lt;&gt;是",$E$4:$E$200,"&lt;&gt;封闭期",$H$4:$H$200,"&gt;10",$BN$4:$BN$200,"&gt;-6",$BR$4:$BR$200,"&gt;=70",$K$4:$K$200,"&lt;=30",$C$4:$C$200,"&lt;20190630",AT$4:AT$200,"&gt;="&amp;AT155)&amp;"/"&amp;COUNTIFS(AT$4:AT$200,"&lt;&gt;-",$D$4:$D$200,"&lt;&gt;是",$E$4:$E$200,"&lt;&gt;封闭期",$H$4:$H$200,"&gt;10",$BN$4:$BN$200,"&gt;-6",$BR$4:$BR$200,"&gt;=70",$C$4:$C$200,"&lt;20190630",$K$4:$K$200,"&lt;=30"))</f>
        <v>-</v>
      </c>
      <c r="AX155" s="33" t="str">
        <f>IF(OR($C155&gt;20190630,$K155&gt;30,AT155="-",$D155="是",$E155="封闭期",$H155&lt;10,$BN155&lt;-6,$BR155&lt;70),"-",COUNTIFS(AT$4:AT$200,"&lt;&gt;-",$D$4:$D$200,"&lt;&gt;是",$E$4:$E$200,"&lt;&gt;封闭期",$H$4:$H$200,"&gt;10",$BN$4:$BN$200,"&gt;-6",$BR$4:$BR$200,"&gt;=70",$K$4:$K$200,"&lt;=30",$C$4:$C$200,"&lt;20190630",AT$4:AT$200,"&gt;="&amp;AT155)/COUNTIFS(AT$4:AT$200,"&lt;&gt;-",$D$4:$D$200,"&lt;&gt;是",$E$4:$E$200,"&lt;&gt;封闭期",$H$4:$H$200,"&gt;10",$BN$4:$BN$200,"&gt;-6",$BR$4:$BR$200,"&gt;=70",$C$4:$C$200,"&lt;20190630",$K$4:$K$200,"&lt;=30"))</f>
        <v>-</v>
      </c>
      <c r="AY155" s="19">
        <f>[1]!f_risk_calmar(A155,$AM$2,$L$2)</f>
        <v>2.8573549053236325</v>
      </c>
      <c r="AZ155" s="19" t="str">
        <f>IFERROR(RANK(AY155,AY:AY)&amp;"/"&amp;COUNT(AY:AY),"-")</f>
        <v>56/197</v>
      </c>
      <c r="BA155" s="26">
        <f>IFERROR(RANK(AY155,AY:AY)/COUNT(AY:AY),"-")</f>
        <v>0.28426395939086296</v>
      </c>
      <c r="BB155" s="34" t="str">
        <f>IF(OR($C155&gt;20190630,$K155&gt;30,AY155="-",$D155="是",$E155="封闭期",$H155&lt;10,$BN155&lt;-6,$BR155&lt;70),"-",COUNTIFS(AY$4:AY$200,"&lt;&gt;-",$D$4:$D$200,"&lt;&gt;是",$E$4:$E$200,"&lt;&gt;封闭期",$H$4:$H$200,"&gt;10",$BN$4:$BN$200,"&gt;-6",$BR$4:$BR$200,"&gt;=70",$K$4:$K$200,"&lt;=30",$C$4:$C$200,"&lt;20190630",AY$4:AY$200,"&gt;="&amp;AY155)&amp;"/"&amp;COUNTIFS(AY$4:AY$200,"&lt;&gt;-",$D$4:$D$200,"&lt;&gt;是",$E$4:$E$200,"&lt;&gt;封闭期",$H$4:$H$200,"&gt;10",$BN$4:$BN$200,"&gt;-6",$BR$4:$BR$200,"&gt;=70",$C$4:$C$200,"&lt;20190630",$K$4:$K$200,"&lt;=30"))</f>
        <v>-</v>
      </c>
      <c r="BC155" s="33" t="str">
        <f>IF(OR($C155&gt;20190630,$K155&gt;30,AY155="-",$D155="是",$E155="封闭期",$H155&lt;10,$BN155&lt;-6,$BR155&lt;70),"-",COUNTIFS(AY$4:AY$200,"&lt;&gt;-",$D$4:$D$200,"&lt;&gt;是",$E$4:$E$200,"&lt;&gt;封闭期",$H$4:$H$200,"&gt;10",$BN$4:$BN$200,"&gt;-6",$BR$4:$BR$200,"&gt;=70",$K$4:$K$200,"&lt;=30",$C$4:$C$200,"&lt;20190630",AY$4:AY$200,"&gt;="&amp;AY155)/COUNTIFS(AY$4:AY$200,"&lt;&gt;-",$D$4:$D$200,"&lt;&gt;是",$E$4:$E$200,"&lt;&gt;封闭期",$H$4:$H$200,"&gt;10",$BN$4:$BN$200,"&gt;-6",$BR$4:$BR$200,"&gt;=70",$C$4:$C$200,"&lt;20190630",$K$4:$K$200,"&lt;=30"))</f>
        <v>-</v>
      </c>
      <c r="BD155" s="20">
        <v>0.9916666666666667</v>
      </c>
      <c r="BE155" s="19" t="str">
        <f>IFERROR(RANK(BD155,BD:BD)&amp;"/"&amp;COUNT(BD:BD),"-")</f>
        <v>146/197</v>
      </c>
      <c r="BF155" s="26">
        <f>IFERROR(RANK(BD155,BD:BD)/COUNT(BD:BD),"-")</f>
        <v>0.74111675126903553</v>
      </c>
      <c r="BG155" s="34" t="str">
        <f>IF(OR($C155&gt;20190630,$K155&gt;30,BD155="-",$D155="是",$E155="封闭期",$H155&lt;10,$BN155&lt;-6,$BR155&lt;70),"-",COUNTIFS(BD$4:BD$200,"&lt;&gt;-",$D$4:$D$200,"&lt;&gt;是",$E$4:$E$200,"&lt;&gt;封闭期",$H$4:$H$200,"&gt;10",$BN$4:$BN$200,"&gt;-6",$BR$4:$BR$200,"&gt;=70",$K$4:$K$200,"&lt;=30",$C$4:$C$200,"&lt;20190630",BD$4:BD$200,"&gt;="&amp;BD155)&amp;"/"&amp;COUNTIFS(BD$4:BD$200,"&lt;&gt;-",$D$4:$D$200,"&lt;&gt;是",$E$4:$E$200,"&lt;&gt;封闭期",$H$4:$H$200,"&gt;10",$BN$4:$BN$200,"&gt;-6",$BR$4:$BR$200,"&gt;=70",$C$4:$C$200,"&lt;20190630",$K$4:$K$200,"&lt;=30"))</f>
        <v>-</v>
      </c>
      <c r="BH155" s="33" t="str">
        <f>IF(OR($C155&gt;20190630,$K155&gt;30,BD155="-",$D155="是",$E155="封闭期",$H155&lt;10,$BN155&lt;-6,$BR155&lt;70),"-",COUNTIFS(BD$4:BD$200,"&lt;&gt;-",$D$4:$D$200,"&lt;&gt;是",$E$4:$E$200,"&lt;&gt;封闭期",$H$4:$H$200,"&gt;10",$BN$4:$BN$200,"&gt;-6",$BR$4:$BR$200,"&gt;=70",$K$4:$K$200,"&lt;=30",$C$4:$C$200,"&lt;20190630",BD$4:BD$200,"&gt;="&amp;BD155)/COUNTIFS(BD$4:BD$200,"&lt;&gt;-",$D$4:$D$200,"&lt;&gt;是",$E$4:$E$200,"&lt;&gt;封闭期",$H$4:$H$200,"&gt;10",$BN$4:$BN$200,"&gt;-6",$BR$4:$BR$200,"&gt;=70",$C$4:$C$200,"&lt;20190630",$K$4:$K$200,"&lt;=30"))</f>
        <v>-</v>
      </c>
      <c r="BI155" s="21">
        <f>[1]!f_risk_maxdownside(A155,$AM$2,$L$2)</f>
        <v>-1.4130732063086975</v>
      </c>
      <c r="BJ155" s="19" t="str">
        <f>IFERROR(RANK(BI155,BI:BI)&amp;"/"&amp;COUNT(BI:BI),"-")</f>
        <v>14/197</v>
      </c>
      <c r="BK155" s="26">
        <f>IFERROR(RANK(BI155,BI:BI)/COUNT(BI:BI),"-")</f>
        <v>7.1065989847715741E-2</v>
      </c>
      <c r="BL155" s="34" t="str">
        <f>IF(OR($C155&gt;20190630,$K155&gt;30,BI155="-",$D155="是",$E155="封闭期",$H155&lt;10,$BN155&lt;-6,$BR155&lt;70),"-",COUNTIFS(BI$4:BI$200,"&lt;&gt;-",$D$4:$D$200,"&lt;&gt;是",$E$4:$E$200,"&lt;&gt;封闭期",$H$4:$H$200,"&gt;10",$BN$4:$BN$200,"&gt;-6",$BR$4:$BR$200,"&gt;=70",$K$4:$K$200,"&lt;=30",$C$4:$C$200,"&lt;20190630",BI$4:BI$200,"&gt;="&amp;BI155)&amp;"/"&amp;COUNTIFS(BI$4:BI$200,"&lt;&gt;-",$D$4:$D$200,"&lt;&gt;是",$E$4:$E$200,"&lt;&gt;封闭期",$H$4:$H$200,"&gt;10",$BN$4:$BN$200,"&gt;-6",$BR$4:$BR$200,"&gt;=70",$C$4:$C$200,"&lt;20190630",$K$4:$K$200,"&lt;=30"))</f>
        <v>-</v>
      </c>
      <c r="BM155" s="33" t="str">
        <f>IF(OR($C155&gt;20190630,$K155&gt;30,BI155="-",$D155="是",$E155="封闭期",$H155&lt;10,$BN155&lt;-6,$BR155&lt;70),"-",COUNTIFS(BI$4:BI$200,"&lt;&gt;-",$D$4:$D$200,"&lt;&gt;是",$E$4:$E$200,"&lt;&gt;封闭期",$H$4:$H$200,"&gt;10",$BN$4:$BN$200,"&gt;-6",$BR$4:$BR$200,"&gt;=70",$K$4:$K$200,"&lt;=30",$C$4:$C$200,"&lt;20190630",BI$4:BI$200,"&gt;="&amp;BI155)/COUNTIFS(BI$4:BI$200,"&lt;&gt;-",$D$4:$D$200,"&lt;&gt;是",$E$4:$E$200,"&lt;&gt;封闭期",$H$4:$H$200,"&gt;10",$BN$4:$BN$200,"&gt;-6",$BR$4:$BR$200,"&gt;=70",$C$4:$C$200,"&lt;20190630",$K$4:$K$200,"&lt;=30"))</f>
        <v>-</v>
      </c>
      <c r="BN155" s="21">
        <f>[1]!f_risk_maxdownside(A155,$AM$2,$E$1)</f>
        <v>-1.4130732063086975</v>
      </c>
      <c r="BO155" s="21">
        <f>IF(C155&lt;20190930,[1]!f_return_2y(A155,"0","20210930"),"-")</f>
        <v>27.595952229009026</v>
      </c>
      <c r="BP155" s="19" t="str">
        <f>IFERROR(RANK(BO155,BO:BO)&amp;"/"&amp;COUNT(BO:BO),"-")</f>
        <v>15/197</v>
      </c>
      <c r="BQ155" s="25">
        <f>IFERROR(RANK(BO155,BO:BO)/COUNT(BO:BO),"-")</f>
        <v>7.6142131979695438E-2</v>
      </c>
      <c r="BR155" s="19">
        <f>IF(C155&lt;20190930,[1]!f_absolute_profitmonthper(A155,"20190930","20210930"),"-")</f>
        <v>70.833333333333343</v>
      </c>
      <c r="BS155" s="19" t="str">
        <f>IFERROR(RANK(BR155,BR:BR)&amp;"/"&amp;COUNT(BR:BR),"-")</f>
        <v>55/198</v>
      </c>
      <c r="BT155" s="25">
        <f>IFERROR(RANK(BR155,BR:BR)/COUNT(BR:BR),"-")</f>
        <v>0.27777777777777779</v>
      </c>
      <c r="BV155" s="12">
        <f>X155-3/M155</f>
        <v>20.098329235362165</v>
      </c>
      <c r="BW155" s="76">
        <f>IFERROR(RANK(BV155,BV:BV)/COUNT(BV:BV),"-")</f>
        <v>5.076142131979695E-3</v>
      </c>
      <c r="BX155" s="76">
        <f>IFERROR(RANK(L155,L:L)/COUNT(L:L),"-")</f>
        <v>1.5151515151515152E-2</v>
      </c>
      <c r="BY155" s="12">
        <f>AY155-3/AN155</f>
        <v>1.8001545656455333</v>
      </c>
      <c r="BZ155" s="76">
        <f>IFERROR(RANK(BY155,BY:BY)/COUNT(BY:BY),"-")</f>
        <v>0.39593908629441626</v>
      </c>
      <c r="CA155" s="76">
        <f>IFERROR(RANK(AM155,AM:AM)/COUNT(AM:AM),"-")</f>
        <v>0.77272727272727271</v>
      </c>
      <c r="CB155" s="2"/>
      <c r="CC155" s="77">
        <f>AV155+BF155+BZ155+CA155</f>
        <v>2.6762805722196585</v>
      </c>
      <c r="CD155" s="77">
        <f>BW155+BX155+AE155+U155</f>
        <v>0.25373019535456082</v>
      </c>
      <c r="CE155" s="77">
        <f>CC155+CD155</f>
        <v>2.9300107675742195</v>
      </c>
    </row>
    <row r="156" spans="1:83" s="17" customFormat="1" x14ac:dyDescent="0.35">
      <c r="A156" s="3" t="s">
        <v>117</v>
      </c>
      <c r="B156" s="3" t="s">
        <v>118</v>
      </c>
      <c r="C156" s="4">
        <v>20130204</v>
      </c>
      <c r="D156" s="4" t="str">
        <f>[1]!f_info_regulopenfundornot(A156)</f>
        <v>否</v>
      </c>
      <c r="E156" s="4" t="str">
        <f>[1]!f_dq_status(A156,$E$1)</f>
        <v>开放申购|开放赎回</v>
      </c>
      <c r="F156" s="17" t="str">
        <f>[1]!f_info_fundmanager(A156)</f>
        <v>陈玮</v>
      </c>
      <c r="G156" s="4">
        <v>20141231</v>
      </c>
      <c r="H156" s="11">
        <f>[1]!f_netasset_total(A156,$E$1,100000000)</f>
        <v>58.660637906800005</v>
      </c>
      <c r="I156" s="11">
        <f>[1]!f_prt_convertiblebondtonav(A156,$E$1)</f>
        <v>3.3480691909790039</v>
      </c>
      <c r="J156" s="11">
        <f>[1]!f_prt_stocktonav(A156,$E$1)+0.5*I156</f>
        <v>4.5415358543395996</v>
      </c>
      <c r="K156" s="12">
        <v>5.6493248594827259</v>
      </c>
      <c r="L156" s="19">
        <f>[1]!f_return($A156,"1",L$2,$E$1)</f>
        <v>5.4263287200938537</v>
      </c>
      <c r="M156" s="19">
        <f>[1]!f_risk_stdevyearly($A156,L$2,$E$1,1,1)</f>
        <v>1.4592705630208433</v>
      </c>
      <c r="N156" s="12">
        <f>IFERROR(L156/M156,"-")</f>
        <v>3.7185213336043614</v>
      </c>
      <c r="O156" s="12" t="str">
        <f>IFERROR(RANK(N156,N:N)&amp;"/"&amp;COUNT(N:N),"-")</f>
        <v>13/197</v>
      </c>
      <c r="P156" s="26">
        <f>IF(O156="-","-",RANK(N156,N:N)/COUNT(N:N))</f>
        <v>6.5989847715736044E-2</v>
      </c>
      <c r="Q156" s="58">
        <v>0.53299492385786806</v>
      </c>
      <c r="R156" s="33">
        <f>IF(OR($C156&gt;20190630,$K156&gt;30,N156="-",$D156="是",$E156="封闭期",$H156&lt;10,$BN156&lt;-6,$BR156&lt;70),"-",COUNTIFS(N$4:N$200,"&lt;&gt;-",$D$4:$D$200,"&lt;&gt;是",$E$4:$E$200,"&lt;&gt;封闭期",$H$4:$H$200,"&gt;10",$BN$4:$BN$200,"&gt;-6",$BR$4:$BR$200,"&gt;=70",$K$4:$K$200,"&lt;=30",$C$4:$C$200,"&lt;20190630",N$4:N$200,"&gt;="&amp;N156)/COUNTIFS(N$4:N$200,"&lt;&gt;-",$D$4:$D$200,"&lt;&gt;是",$E$4:$E$200,"&lt;&gt;封闭期",$H$4:$H$200,"&gt;10",$BN$4:$BN$200,"&gt;-6",$BR$4:$BR$200,"&gt;=70",$C$4:$C$200,"&lt;20190630",$K$4:$K$200,"&lt;=30"))</f>
        <v>7.6923076923076927E-2</v>
      </c>
      <c r="S156" s="12">
        <f>IFERROR((L156-3)/M156,"-")</f>
        <v>1.6626996950250941</v>
      </c>
      <c r="T156" s="12" t="str">
        <f>IFERROR(RANK(S156,S:S)&amp;"/"&amp;COUNT(S:S),"-")</f>
        <v>23/197</v>
      </c>
      <c r="U156" s="26">
        <f>IFERROR(RANK(S156,S:S)/COUNT(S:S),"-")</f>
        <v>0.116751269035533</v>
      </c>
      <c r="V156" s="13" t="str">
        <f>IF(OR($C156&gt;20190630,$K156&gt;30,S156="-",$D156="是",$E156="封闭期",$H156&lt;10,$BN156&lt;-6,$BR156&lt;70),"-",COUNTIFS(S$4:S$200,"&lt;&gt;-",$D$4:$D$200,"&lt;&gt;是",$E$4:$E$200,"&lt;&gt;封闭期",$H$4:$H$200,"&gt;10",$BN$4:$BN$200,"&gt;-6",$BR$4:$BR$200,"&gt;=70",$K$4:$K$200,"&lt;=30",$C$4:$C$200,"&lt;20190630",S$4:S$200,"&gt;="&amp;S156)&amp;"/"&amp;COUNTIFS(S$4:S$200,"&lt;&gt;-",$D$4:$D$200,"&lt;&gt;是",$E$4:$E$200,"&lt;&gt;封闭期",$H$4:$H$200,"&gt;10",$BN$4:$BN$200,"&gt;-6",$BR$4:$BR$200,"&gt;=70",$C$4:$C$200,"&lt;20190630",$K$4:$K$200,"&lt;=30"))</f>
        <v>8/39</v>
      </c>
      <c r="W156" s="33">
        <f>IF(OR($C156&gt;20190630,$K156&gt;30,S156="-",$D156="是",$E156="封闭期",$H156&lt;10,$BN156&lt;-6,$BR156&lt;70),"-",COUNTIFS(S$4:S$200,"&lt;&gt;-",$D$4:$D$200,"&lt;&gt;是",$E$4:$E$200,"&lt;&gt;封闭期",$H$4:$H$200,"&gt;10",$BN$4:$BN$200,"&gt;-6",$BR$4:$BR$200,"&gt;=70",$K$4:$K$200,"&lt;=30",$C$4:$C$200,"&lt;20190630",S$4:S$200,"&gt;="&amp;S156)/COUNTIFS(S$4:S$200,"&lt;&gt;-",$D$4:$D$200,"&lt;&gt;是",$E$4:$E$200,"&lt;&gt;封闭期",$H$4:$H$200,"&gt;10",$BN$4:$BN$200,"&gt;-6",$BR$4:$BR$200,"&gt;=70",$C$4:$C$200,"&lt;20190630",$K$4:$K$200,"&lt;=30"))</f>
        <v>0.20512820512820512</v>
      </c>
      <c r="X156" s="19">
        <f>[1]!f_risk_calmar(A156,$L$2,$E$1)</f>
        <v>7.2550014987654157</v>
      </c>
      <c r="Y156" s="12" t="str">
        <f>IFERROR(RANK(X156,X:X)&amp;"/"&amp;COUNT(X:X),"-")</f>
        <v>14/197</v>
      </c>
      <c r="Z156" s="26">
        <f>IFERROR(RANK(X156,X:X)/COUNT(X:X),"-")</f>
        <v>7.1065989847715741E-2</v>
      </c>
      <c r="AA156" s="13" t="str">
        <f>IF(OR($C156&gt;20190630,$K156&gt;30,X156="-",$D156="是",$E156="封闭期",$H156&lt;10,$BN156&lt;-6,$BR156&lt;70),"-",COUNTIFS(X$4:X$200,"&lt;&gt;-",$D$4:$D$200,"&lt;&gt;是",$E$4:$E$200,"&lt;&gt;封闭期",$H$4:$H$200,"&gt;10",$BN$4:$BN$200,"&gt;-6",$BR$4:$BR$200,"&gt;=70",$K$4:$K$200,"&lt;=30",$C$4:$C$200,"&lt;20190630",X$4:X$200,"&gt;="&amp;X156)&amp;"/"&amp;COUNTIFS(X$4:X$200,"&lt;&gt;-",$D$4:$D$200,"&lt;&gt;是",$E$4:$E$200,"&lt;&gt;封闭期",$H$4:$H$200,"&gt;10",$BN$4:$BN$200,"&gt;-6",$BR$4:$BR$200,"&gt;=70",$C$4:$C$200,"&lt;20190630",$K$4:$K$200,"&lt;=30"))</f>
        <v>4/39</v>
      </c>
      <c r="AB156" s="33">
        <f>IF(OR($C156&gt;20190630,$K156&gt;30,X156="-",$D156="是",$E156="封闭期",$H156&lt;10,$BN156&lt;-6,$BR156&lt;70),"-",COUNTIFS(X$4:X$200,"&lt;&gt;-",$D$4:$D$200,"&lt;&gt;是",$E$4:$E$200,"&lt;&gt;封闭期",$H$4:$H$200,"&gt;10",$BN$4:$BN$200,"&gt;-6",$BR$4:$BR$200,"&gt;=70",$K$4:$K$200,"&lt;=30",$C$4:$C$200,"&lt;20190630",X$4:X$200,"&gt;="&amp;X156)/COUNTIFS(X$4:X$200,"&lt;&gt;-",$D$4:$D$200,"&lt;&gt;是",$E$4:$E$200,"&lt;&gt;封闭期",$H$4:$H$200,"&gt;10",$BN$4:$BN$200,"&gt;-6",$BR$4:$BR$200,"&gt;=70",$C$4:$C$200,"&lt;20190630",$K$4:$K$200,"&lt;=30"))</f>
        <v>0.10256410256410256</v>
      </c>
      <c r="AC156" s="20">
        <v>1</v>
      </c>
      <c r="AD156" s="12" t="str">
        <f>IFERROR(RANK(AC156,AC:AC)&amp;"/"&amp;COUNT(AC:AC),"-")</f>
        <v>1/197</v>
      </c>
      <c r="AE156" s="26">
        <f>IFERROR(RANK(AC156,AC:AC)/COUNT(AC:AC),"-")</f>
        <v>5.076142131979695E-3</v>
      </c>
      <c r="AF156" s="13" t="str">
        <f>IF(OR($C156&gt;20190630,$K156&gt;30,AC156="-",$D156="是",$E156="封闭期",$H156&lt;10,$BN156&lt;-6,$BR156&lt;70),"-",COUNTIFS(AC$4:AC$200,"&lt;&gt;-",$D$4:$D$200,"&lt;&gt;是",$E$4:$E$200,"&lt;&gt;封闭期",$H$4:$H$200,"&gt;10",$BN$4:$BN$200,"&gt;-6",$BR$4:$BR$200,"&gt;=70",$K$4:$K$200,"&lt;=30",$C$4:$C$200,"&lt;20190630",AC$4:AC$200,"&gt;="&amp;AC156)&amp;"/"&amp;COUNTIFS(AC$4:AC$200,"&lt;&gt;-",$D$4:$D$200,"&lt;&gt;是",$E$4:$E$200,"&lt;&gt;封闭期",$H$4:$H$200,"&gt;10",$BN$4:$BN$200,"&gt;-6",$BR$4:$BR$200,"&gt;=70",$C$4:$C$200,"&lt;20190630",$K$4:$K$200,"&lt;=30"))</f>
        <v>28/39</v>
      </c>
      <c r="AG156" s="33">
        <f>IF(OR($C156&gt;20190630,$K156&gt;30,AC156="-",$D156="是",$E156="封闭期",$H156&lt;10,$BN156&lt;-6,$BR156&lt;70),"-",COUNTIFS(AC$4:AC$200,"&lt;&gt;-",$D$4:$D$200,"&lt;&gt;是",$E$4:$E$200,"&lt;&gt;封闭期",$H$4:$H$200,"&gt;10",$BN$4:$BN$200,"&gt;-6",$BR$4:$BR$200,"&gt;=70",$K$4:$K$200,"&lt;=30",$C$4:$C$200,"&lt;20190630",AC$4:AC$200,"&gt;="&amp;AC156)/COUNTIFS(AC$4:AC$200,"&lt;&gt;-",$D$4:$D$200,"&lt;&gt;是",$E$4:$E$200,"&lt;&gt;封闭期",$H$4:$H$200,"&gt;10",$BN$4:$BN$200,"&gt;-6",$BR$4:$BR$200,"&gt;=70",$C$4:$C$200,"&lt;20190630",$K$4:$K$200,"&lt;=30"))</f>
        <v>0.71794871794871795</v>
      </c>
      <c r="AH156" s="21">
        <f>[1]!f_risk_maxdownside(A156,$L$2,$E$1)</f>
        <v>-0.74794315632012653</v>
      </c>
      <c r="AI156" s="19" t="str">
        <f>IFERROR(RANK(AH156,AH:AH)&amp;"/"&amp;COUNT(AH:AH),"-")</f>
        <v>15/197</v>
      </c>
      <c r="AJ156" s="26">
        <f>IFERROR(RANK(AH156,AH:AH)/COUNT(AH:AH),"-")</f>
        <v>7.6142131979695438E-2</v>
      </c>
      <c r="AK156" s="34" t="str">
        <f>IF(OR($C156&gt;20190630,$K156&gt;30,AH156="-",$D156="是",$E156="封闭期",$H156&lt;10,$BN156&lt;-6,$BR156&lt;70),"-",COUNTIFS(AH$4:AH$200,"&lt;&gt;-",$D$4:$D$200,"&lt;&gt;是",$E$4:$E$200,"&lt;&gt;封闭期",$H$4:$H$200,"&gt;10",$BN$4:$BN$200,"&gt;-6",$BR$4:$BR$200,"&gt;=70",$K$4:$K$200,"&lt;=30",$C$4:$C$200,"&lt;20190630",AH$4:AH$200,"&gt;="&amp;AH156)&amp;"/"&amp;COUNTIFS(AH$4:AH$200,"&lt;&gt;-",$D$4:$D$200,"&lt;&gt;是",$E$4:$E$200,"&lt;&gt;封闭期",$H$4:$H$200,"&gt;10",$BN$4:$BN$200,"&gt;-6",$BR$4:$BR$200,"&gt;=70",$C$4:$C$200,"&lt;20190630",$K$4:$K$200,"&lt;=30"))</f>
        <v>3/39</v>
      </c>
      <c r="AL156" s="33">
        <f>IF(OR($C156&gt;20190630,$K156&gt;30,AH156="-",$D156="是",$E156="封闭期",$H156&lt;10,$BN156&lt;-6,$BR156&lt;70),"-",COUNTIFS(AH$4:AH$200,"&lt;&gt;-",$D$4:$D$200,"&lt;&gt;是",$E$4:$E$200,"&lt;&gt;封闭期",$H$4:$H$200,"&gt;10",$BN$4:$BN$200,"&gt;-6",$BR$4:$BR$200,"&gt;=70",$K$4:$K$200,"&lt;=30",$C$4:$C$200,"&lt;20190630",AH$4:AH$200,"&gt;="&amp;AH156)/COUNTIFS(AH$4:AH$200,"&lt;&gt;-",$D$4:$D$200,"&lt;&gt;是",$E$4:$E$200,"&lt;&gt;封闭期",$H$4:$H$200,"&gt;10",$BN$4:$BN$200,"&gt;-6",$BR$4:$BR$200,"&gt;=70",$C$4:$C$200,"&lt;20190630",$K$4:$K$200,"&lt;=30"))</f>
        <v>7.6923076923076927E-2</v>
      </c>
      <c r="AM156" s="19">
        <f>[1]!f_return($A156,"1",AM$2,$L$2)</f>
        <v>4.0132786311327218</v>
      </c>
      <c r="AN156" s="19">
        <f>[1]!f_risk_stdevyearly($A156,AM$2,$L$2,1,1)</f>
        <v>2.0079081953019471</v>
      </c>
      <c r="AO156" s="12">
        <f>IFERROR(AM156/AN156,"-")</f>
        <v>1.9987361177781384</v>
      </c>
      <c r="AP156" s="12" t="str">
        <f>IFERROR(RANK(AO156,AO:AO)&amp;"/"&amp;COUNT(AO:AO),"-")</f>
        <v>46/197</v>
      </c>
      <c r="AQ156" s="26">
        <f>IF(AP156="-","-",RANK(AO156,AO:AO)/COUNT(AO:AO))</f>
        <v>0.233502538071066</v>
      </c>
      <c r="AR156" s="60">
        <v>0.7766497461928934</v>
      </c>
      <c r="AS156" s="35">
        <f>IF(OR($C156&gt;20190630,$K156&gt;30,AO156="-",$D156="是",$E156="封闭期",$H156&lt;10,$BN156&lt;-6,$BR156&lt;70),"-",COUNTIFS(AO$4:AO$200,"&lt;&gt;-",$D$4:$D$200,"&lt;&gt;是",$E$4:$E$200,"&lt;&gt;封闭期",$H$4:$H$200,"&gt;10",$BN$4:$BN$200,"&gt;-6",$BR$4:$BR$200,"&gt;=70",$K$4:$K$200,"&lt;=30",$C$4:$C$200,"&lt;20190630",AO$4:AO$200,"&gt;="&amp;AO156)/COUNTIFS(AO$4:AO$200,"&lt;&gt;-",$D$4:$D$200,"&lt;&gt;是",$E$4:$E$200,"&lt;&gt;封闭期",$H$4:$H$200,"&gt;10",$BN$4:$BN$200,"&gt;-6",$BR$4:$BR$200,"&gt;=70",$C$4:$C$200,"&lt;20190630",$K$4:$K$200,"&lt;=30"))</f>
        <v>0.4358974358974359</v>
      </c>
      <c r="AT156" s="12">
        <f>IFERROR((AM156-3)/AN156,"-")</f>
        <v>0.5046439042898303</v>
      </c>
      <c r="AU156" s="12" t="str">
        <f>IFERROR(RANK(AT156,AT:AT)&amp;"/"&amp;COUNT(AT:AT),"-")</f>
        <v>139/197</v>
      </c>
      <c r="AV156" s="26">
        <f>IFERROR(RANK(AT156,AT:AT)/COUNT(AT:AT),"-")</f>
        <v>0.70558375634517767</v>
      </c>
      <c r="AW156" s="13" t="str">
        <f>IF(OR($C156&gt;20190630,$K156&gt;30,AT156="-",$D156="是",$E156="封闭期",$H156&lt;10,$BN156&lt;-6,$BR156&lt;70),"-",COUNTIFS(AT$4:AT$200,"&lt;&gt;-",$D$4:$D$200,"&lt;&gt;是",$E$4:$E$200,"&lt;&gt;封闭期",$H$4:$H$200,"&gt;10",$BN$4:$BN$200,"&gt;-6",$BR$4:$BR$200,"&gt;=70",$K$4:$K$200,"&lt;=30",$C$4:$C$200,"&lt;20190630",AT$4:AT$200,"&gt;="&amp;AT156)&amp;"/"&amp;COUNTIFS(AT$4:AT$200,"&lt;&gt;-",$D$4:$D$200,"&lt;&gt;是",$E$4:$E$200,"&lt;&gt;封闭期",$H$4:$H$200,"&gt;10",$BN$4:$BN$200,"&gt;-6",$BR$4:$BR$200,"&gt;=70",$C$4:$C$200,"&lt;20190630",$K$4:$K$200,"&lt;=30"))</f>
        <v>36/39</v>
      </c>
      <c r="AX156" s="33">
        <f>IF(OR($C156&gt;20190630,$K156&gt;30,AT156="-",$D156="是",$E156="封闭期",$H156&lt;10,$BN156&lt;-6,$BR156&lt;70),"-",COUNTIFS(AT$4:AT$200,"&lt;&gt;-",$D$4:$D$200,"&lt;&gt;是",$E$4:$E$200,"&lt;&gt;封闭期",$H$4:$H$200,"&gt;10",$BN$4:$BN$200,"&gt;-6",$BR$4:$BR$200,"&gt;=70",$K$4:$K$200,"&lt;=30",$C$4:$C$200,"&lt;20190630",AT$4:AT$200,"&gt;="&amp;AT156)/COUNTIFS(AT$4:AT$200,"&lt;&gt;-",$D$4:$D$200,"&lt;&gt;是",$E$4:$E$200,"&lt;&gt;封闭期",$H$4:$H$200,"&gt;10",$BN$4:$BN$200,"&gt;-6",$BR$4:$BR$200,"&gt;=70",$C$4:$C$200,"&lt;20190630",$K$4:$K$200,"&lt;=30"))</f>
        <v>0.92307692307692313</v>
      </c>
      <c r="AY156" s="19">
        <f>[1]!f_risk_calmar(A156,$AM$2,$L$2)</f>
        <v>2.8895606144155281</v>
      </c>
      <c r="AZ156" s="12" t="str">
        <f>IFERROR(RANK(AY156,AY:AY)&amp;"/"&amp;COUNT(AY:AY),"-")</f>
        <v>55/197</v>
      </c>
      <c r="BA156" s="26">
        <f>IFERROR(RANK(AY156,AY:AY)/COUNT(AY:AY),"-")</f>
        <v>0.27918781725888325</v>
      </c>
      <c r="BB156" s="13" t="str">
        <f>IF(OR($C156&gt;20190630,$K156&gt;30,AY156="-",$D156="是",$E156="封闭期",$H156&lt;10,$BN156&lt;-6,$BR156&lt;70),"-",COUNTIFS(AY$4:AY$200,"&lt;&gt;-",$D$4:$D$200,"&lt;&gt;是",$E$4:$E$200,"&lt;&gt;封闭期",$H$4:$H$200,"&gt;10",$BN$4:$BN$200,"&gt;-6",$BR$4:$BR$200,"&gt;=70",$K$4:$K$200,"&lt;=30",$C$4:$C$200,"&lt;20190630",AY$4:AY$200,"&gt;="&amp;AY156)&amp;"/"&amp;COUNTIFS(AY$4:AY$200,"&lt;&gt;-",$D$4:$D$200,"&lt;&gt;是",$E$4:$E$200,"&lt;&gt;封闭期",$H$4:$H$200,"&gt;10",$BN$4:$BN$200,"&gt;-6",$BR$4:$BR$200,"&gt;=70",$C$4:$C$200,"&lt;20190630",$K$4:$K$200,"&lt;=30"))</f>
        <v>19/39</v>
      </c>
      <c r="BC156" s="33">
        <f>IF(OR($C156&gt;20190630,$K156&gt;30,AY156="-",$D156="是",$E156="封闭期",$H156&lt;10,$BN156&lt;-6,$BR156&lt;70),"-",COUNTIFS(AY$4:AY$200,"&lt;&gt;-",$D$4:$D$200,"&lt;&gt;是",$E$4:$E$200,"&lt;&gt;封闭期",$H$4:$H$200,"&gt;10",$BN$4:$BN$200,"&gt;-6",$BR$4:$BR$200,"&gt;=70",$K$4:$K$200,"&lt;=30",$C$4:$C$200,"&lt;20190630",AY$4:AY$200,"&gt;="&amp;AY156)/COUNTIFS(AY$4:AY$200,"&lt;&gt;-",$D$4:$D$200,"&lt;&gt;是",$E$4:$E$200,"&lt;&gt;封闭期",$H$4:$H$200,"&gt;10",$BN$4:$BN$200,"&gt;-6",$BR$4:$BR$200,"&gt;=70",$C$4:$C$200,"&lt;20190630",$K$4:$K$200,"&lt;=30"))</f>
        <v>0.48717948717948717</v>
      </c>
      <c r="BD156" s="20">
        <v>1</v>
      </c>
      <c r="BE156" s="12" t="str">
        <f>IFERROR(RANK(BD156,BD:BD)&amp;"/"&amp;COUNT(BD:BD),"-")</f>
        <v>1/197</v>
      </c>
      <c r="BF156" s="26">
        <f>IFERROR(RANK(BD156,BD:BD)/COUNT(BD:BD),"-")</f>
        <v>5.076142131979695E-3</v>
      </c>
      <c r="BG156" s="13" t="str">
        <f>IF(OR($C156&gt;20190630,$K156&gt;30,BD156="-",$D156="是",$E156="封闭期",$H156&lt;10,$BN156&lt;-6,$BR156&lt;70),"-",COUNTIFS(BD$4:BD$200,"&lt;&gt;-",$D$4:$D$200,"&lt;&gt;是",$E$4:$E$200,"&lt;&gt;封闭期",$H$4:$H$200,"&gt;10",$BN$4:$BN$200,"&gt;-6",$BR$4:$BR$200,"&gt;=70",$K$4:$K$200,"&lt;=30",$C$4:$C$200,"&lt;20190630",BD$4:BD$200,"&gt;="&amp;BD156)&amp;"/"&amp;COUNTIFS(BD$4:BD$200,"&lt;&gt;-",$D$4:$D$200,"&lt;&gt;是",$E$4:$E$200,"&lt;&gt;封闭期",$H$4:$H$200,"&gt;10",$BN$4:$BN$200,"&gt;-6",$BR$4:$BR$200,"&gt;=70",$C$4:$C$200,"&lt;20190630",$K$4:$K$200,"&lt;=30"))</f>
        <v>35/39</v>
      </c>
      <c r="BH156" s="33">
        <f>IF(OR($C156&gt;20190630,$K156&gt;30,BD156="-",$D156="是",$E156="封闭期",$H156&lt;10,$BN156&lt;-6,$BR156&lt;70),"-",COUNTIFS(BD$4:BD$200,"&lt;&gt;-",$D$4:$D$200,"&lt;&gt;是",$E$4:$E$200,"&lt;&gt;封闭期",$H$4:$H$200,"&gt;10",$BN$4:$BN$200,"&gt;-6",$BR$4:$BR$200,"&gt;=70",$K$4:$K$200,"&lt;=30",$C$4:$C$200,"&lt;20190630",BD$4:BD$200,"&gt;="&amp;BD156)/COUNTIFS(BD$4:BD$200,"&lt;&gt;-",$D$4:$D$200,"&lt;&gt;是",$E$4:$E$200,"&lt;&gt;封闭期",$H$4:$H$200,"&gt;10",$BN$4:$BN$200,"&gt;-6",$BR$4:$BR$200,"&gt;=70",$C$4:$C$200,"&lt;20190630",$K$4:$K$200,"&lt;=30"))</f>
        <v>0.89743589743589747</v>
      </c>
      <c r="BI156" s="21">
        <f>[1]!f_risk_maxdownside(A156,$AM$2,$L$2)</f>
        <v>-1.3888888888889039</v>
      </c>
      <c r="BJ156" s="19" t="str">
        <f>IFERROR(RANK(BI156,BI:BI)&amp;"/"&amp;COUNT(BI:BI),"-")</f>
        <v>12/197</v>
      </c>
      <c r="BK156" s="26">
        <f>IFERROR(RANK(BI156,BI:BI)/COUNT(BI:BI),"-")</f>
        <v>6.0913705583756347E-2</v>
      </c>
      <c r="BL156" s="34" t="str">
        <f>IF(OR($C156&gt;20190630,$K156&gt;30,BI156="-",$D156="是",$E156="封闭期",$H156&lt;10,$BN156&lt;-6,$BR156&lt;70),"-",COUNTIFS(BI$4:BI$200,"&lt;&gt;-",$D$4:$D$200,"&lt;&gt;是",$E$4:$E$200,"&lt;&gt;封闭期",$H$4:$H$200,"&gt;10",$BN$4:$BN$200,"&gt;-6",$BR$4:$BR$200,"&gt;=70",$K$4:$K$200,"&lt;=30",$C$4:$C$200,"&lt;20190630",BI$4:BI$200,"&gt;="&amp;BI156)&amp;"/"&amp;COUNTIFS(BI$4:BI$200,"&lt;&gt;-",$D$4:$D$200,"&lt;&gt;是",$E$4:$E$200,"&lt;&gt;封闭期",$H$4:$H$200,"&gt;10",$BN$4:$BN$200,"&gt;-6",$BR$4:$BR$200,"&gt;=70",$C$4:$C$200,"&lt;20190630",$K$4:$K$200,"&lt;=30"))</f>
        <v>1/39</v>
      </c>
      <c r="BM156" s="33">
        <f>IF(OR($C156&gt;20190630,$K156&gt;30,BI156="-",$D156="是",$E156="封闭期",$H156&lt;10,$BN156&lt;-6,$BR156&lt;70),"-",COUNTIFS(BI$4:BI$200,"&lt;&gt;-",$D$4:$D$200,"&lt;&gt;是",$E$4:$E$200,"&lt;&gt;封闭期",$H$4:$H$200,"&gt;10",$BN$4:$BN$200,"&gt;-6",$BR$4:$BR$200,"&gt;=70",$K$4:$K$200,"&lt;=30",$C$4:$C$200,"&lt;20190630",BI$4:BI$200,"&gt;="&amp;BI156)/COUNTIFS(BI$4:BI$200,"&lt;&gt;-",$D$4:$D$200,"&lt;&gt;是",$E$4:$E$200,"&lt;&gt;封闭期",$H$4:$H$200,"&gt;10",$BN$4:$BN$200,"&gt;-6",$BR$4:$BR$200,"&gt;=70",$C$4:$C$200,"&lt;20190630",$K$4:$K$200,"&lt;=30"))</f>
        <v>2.564102564102564E-2</v>
      </c>
      <c r="BN156" s="21">
        <f>[1]!f_risk_maxdownside(A156,$AM$2,$E$1)</f>
        <v>-1.3888888888889039</v>
      </c>
      <c r="BO156" s="14">
        <f>IF(C156&lt;20190930,[1]!f_return_2y(A156,"0","20210930"),"-")</f>
        <v>9.7806446732227705</v>
      </c>
      <c r="BP156" s="12" t="str">
        <f>IFERROR(RANK(BO156,BO:BO)&amp;"/"&amp;COUNT(BO:BO),"-")</f>
        <v>147/197</v>
      </c>
      <c r="BQ156" s="25">
        <f>IFERROR(RANK(BO156,BO:BO)/COUNT(BO:BO),"-")</f>
        <v>0.74619289340101524</v>
      </c>
      <c r="BR156" s="12">
        <f>IF(C156&lt;20190930,[1]!f_absolute_profitmonthper(A156,"20190930","20210930"),"-")</f>
        <v>70.833333333333343</v>
      </c>
      <c r="BS156" s="12" t="str">
        <f>IFERROR(RANK(BR156,BR:BR)&amp;"/"&amp;COUNT(BR:BR),"-")</f>
        <v>55/198</v>
      </c>
      <c r="BT156" s="25">
        <f>IFERROR(RANK(BR156,BR:BR)/COUNT(BR:BR),"-")</f>
        <v>0.27777777777777779</v>
      </c>
      <c r="BV156" s="12">
        <f>X156-3/M156</f>
        <v>5.199179860186149</v>
      </c>
      <c r="BW156" s="76">
        <f>IFERROR(RANK(BV156,BV:BV)/COUNT(BV:BV),"-")</f>
        <v>8.6294416243654817E-2</v>
      </c>
      <c r="BX156" s="76">
        <f>IFERROR(RANK(L156,L:L)/COUNT(L:L),"-")</f>
        <v>0.53535353535353536</v>
      </c>
      <c r="BY156" s="12">
        <f>AY156-3/AN156</f>
        <v>1.39546840092722</v>
      </c>
      <c r="BZ156" s="76">
        <f>IFERROR(RANK(BY156,BY:BY)/COUNT(BY:BY),"-")</f>
        <v>0.57360406091370564</v>
      </c>
      <c r="CA156" s="76">
        <f>IFERROR(RANK(AM156,AM:AM)/COUNT(AM:AM),"-")</f>
        <v>0.77777777777777779</v>
      </c>
      <c r="CB156" s="2"/>
      <c r="CC156" s="77">
        <f>AV156+BF156+BZ156+CA156</f>
        <v>2.0620417371686406</v>
      </c>
      <c r="CD156" s="77">
        <f>BW156+BX156+AE156+U156</f>
        <v>0.74347536276470294</v>
      </c>
      <c r="CE156" s="77">
        <f>CC156+CD156</f>
        <v>2.8055170999333434</v>
      </c>
    </row>
    <row r="157" spans="1:83" s="2" customFormat="1" hidden="1" x14ac:dyDescent="0.35">
      <c r="A157" s="15" t="s">
        <v>407</v>
      </c>
      <c r="B157" s="15" t="s">
        <v>408</v>
      </c>
      <c r="C157" s="16">
        <v>20190926</v>
      </c>
      <c r="D157" s="16" t="str">
        <f>[1]!f_info_regulopenfundornot(A157)</f>
        <v>是</v>
      </c>
      <c r="E157" s="16" t="str">
        <f>[1]!f_dq_status(A157,$E$1)</f>
        <v>暂停申购|暂停赎回</v>
      </c>
      <c r="F157" s="17" t="str">
        <f>[1]!f_info_fundmanager(A157)</f>
        <v>赖礼辉</v>
      </c>
      <c r="G157" s="16">
        <v>20201019</v>
      </c>
      <c r="H157" s="18">
        <f>[1]!f_netasset_total(A157,$E$1,100000000)</f>
        <v>4.9193016077999996</v>
      </c>
      <c r="I157" s="18">
        <f>[1]!f_prt_convertiblebondtonav(A157,$E$1)</f>
        <v>2.7731478214263916</v>
      </c>
      <c r="J157" s="18">
        <f>[1]!f_prt_stocktonav(A157,$E$1)+0.5*I157</f>
        <v>1.8887155055999756</v>
      </c>
      <c r="K157" s="19">
        <v>38.736799487523378</v>
      </c>
      <c r="L157" s="19">
        <f>[1]!f_return($A157,"1",L$2,$E$1)</f>
        <v>6.4293425669232906</v>
      </c>
      <c r="M157" s="19">
        <f>[1]!f_risk_stdevyearly($A157,L$2,$E$1,1,1)</f>
        <v>4.6556762438781227</v>
      </c>
      <c r="N157" s="19">
        <f>IFERROR(L157/M157,"-")</f>
        <v>1.3809685704364454</v>
      </c>
      <c r="O157" s="19" t="str">
        <f>IFERROR(RANK(N157,N:N)&amp;"/"&amp;COUNT(N:N),"-")</f>
        <v>101/197</v>
      </c>
      <c r="P157" s="26">
        <f>IF(O157="-","-",RANK(N157,N:N)/COUNT(N:N))</f>
        <v>0.51269035532994922</v>
      </c>
      <c r="Q157" s="56">
        <v>0.42639593908629442</v>
      </c>
      <c r="R157" s="33" t="str">
        <f>IF(OR($C157&gt;20190630,$K157&gt;30,N157="-",$D157="是",$E157="封闭期",$H157&lt;10,$BN157&lt;-6,$BR157&lt;70),"-",COUNTIFS(N$4:N$200,"&lt;&gt;-",$D$4:$D$200,"&lt;&gt;是",$E$4:$E$200,"&lt;&gt;封闭期",$H$4:$H$200,"&gt;10",$BN$4:$BN$200,"&gt;-6",$BR$4:$BR$200,"&gt;=70",$K$4:$K$200,"&lt;=30",$C$4:$C$200,"&lt;20190630",N$4:N$200,"&gt;="&amp;N157)/COUNTIFS(N$4:N$200,"&lt;&gt;-",$D$4:$D$200,"&lt;&gt;是",$E$4:$E$200,"&lt;&gt;封闭期",$H$4:$H$200,"&gt;10",$BN$4:$BN$200,"&gt;-6",$BR$4:$BR$200,"&gt;=70",$C$4:$C$200,"&lt;20190630",$K$4:$K$200,"&lt;=30"))</f>
        <v>-</v>
      </c>
      <c r="S157" s="19">
        <f>IFERROR((L157-3)/M157,"-")</f>
        <v>0.73659386677340977</v>
      </c>
      <c r="T157" s="19" t="str">
        <f>IFERROR(RANK(S157,S:S)&amp;"/"&amp;COUNT(S:S),"-")</f>
        <v>99/197</v>
      </c>
      <c r="U157" s="26">
        <f>IFERROR(RANK(S157,S:S)/COUNT(S:S),"-")</f>
        <v>0.5025380710659898</v>
      </c>
      <c r="V157" s="34" t="str">
        <f>IF(OR($C157&gt;20190630,$K157&gt;30,S157="-",$D157="是",$E157="封闭期",$H157&lt;10,$BN157&lt;-6,$BR157&lt;70),"-",COUNTIFS(S$4:S$200,"&lt;&gt;-",$D$4:$D$200,"&lt;&gt;是",$E$4:$E$200,"&lt;&gt;封闭期",$H$4:$H$200,"&gt;10",$BN$4:$BN$200,"&gt;-6",$BR$4:$BR$200,"&gt;=70",$K$4:$K$200,"&lt;=30",$C$4:$C$200,"&lt;20190630",S$4:S$200,"&gt;="&amp;S157)&amp;"/"&amp;COUNTIFS(S$4:S$200,"&lt;&gt;-",$D$4:$D$200,"&lt;&gt;是",$E$4:$E$200,"&lt;&gt;封闭期",$H$4:$H$200,"&gt;10",$BN$4:$BN$200,"&gt;-6",$BR$4:$BR$200,"&gt;=70",$C$4:$C$200,"&lt;20190630",$K$4:$K$200,"&lt;=30"))</f>
        <v>-</v>
      </c>
      <c r="W157" s="33" t="str">
        <f>IF(OR($C157&gt;20190630,$K157&gt;30,S157="-",$D157="是",$E157="封闭期",$H157&lt;10,$BN157&lt;-6,$BR157&lt;70),"-",COUNTIFS(S$4:S$200,"&lt;&gt;-",$D$4:$D$200,"&lt;&gt;是",$E$4:$E$200,"&lt;&gt;封闭期",$H$4:$H$200,"&gt;10",$BN$4:$BN$200,"&gt;-6",$BR$4:$BR$200,"&gt;=70",$K$4:$K$200,"&lt;=30",$C$4:$C$200,"&lt;20190630",S$4:S$200,"&gt;="&amp;S157)/COUNTIFS(S$4:S$200,"&lt;&gt;-",$D$4:$D$200,"&lt;&gt;是",$E$4:$E$200,"&lt;&gt;封闭期",$H$4:$H$200,"&gt;10",$BN$4:$BN$200,"&gt;-6",$BR$4:$BR$200,"&gt;=70",$C$4:$C$200,"&lt;20190630",$K$4:$K$200,"&lt;=30"))</f>
        <v>-</v>
      </c>
      <c r="X157" s="19">
        <f>[1]!f_risk_calmar(A157,$L$2,$E$1)</f>
        <v>3.7560148233506547</v>
      </c>
      <c r="Y157" s="19" t="str">
        <f>IFERROR(RANK(X157,X:X)&amp;"/"&amp;COUNT(X:X),"-")</f>
        <v>48/197</v>
      </c>
      <c r="Z157" s="26">
        <f>IFERROR(RANK(X157,X:X)/COUNT(X:X),"-")</f>
        <v>0.24365482233502539</v>
      </c>
      <c r="AA157" s="34" t="str">
        <f>IF(OR($C157&gt;20190630,$K157&gt;30,X157="-",$D157="是",$E157="封闭期",$H157&lt;10,$BN157&lt;-6,$BR157&lt;70),"-",COUNTIFS(X$4:X$200,"&lt;&gt;-",$D$4:$D$200,"&lt;&gt;是",$E$4:$E$200,"&lt;&gt;封闭期",$H$4:$H$200,"&gt;10",$BN$4:$BN$200,"&gt;-6",$BR$4:$BR$200,"&gt;=70",$K$4:$K$200,"&lt;=30",$C$4:$C$200,"&lt;20190630",X$4:X$200,"&gt;="&amp;X157)&amp;"/"&amp;COUNTIFS(X$4:X$200,"&lt;&gt;-",$D$4:$D$200,"&lt;&gt;是",$E$4:$E$200,"&lt;&gt;封闭期",$H$4:$H$200,"&gt;10",$BN$4:$BN$200,"&gt;-6",$BR$4:$BR$200,"&gt;=70",$C$4:$C$200,"&lt;20190630",$K$4:$K$200,"&lt;=30"))</f>
        <v>-</v>
      </c>
      <c r="AB157" s="33" t="str">
        <f>IF(OR($C157&gt;20190630,$K157&gt;30,X157="-",$D157="是",$E157="封闭期",$H157&lt;10,$BN157&lt;-6,$BR157&lt;70),"-",COUNTIFS(X$4:X$200,"&lt;&gt;-",$D$4:$D$200,"&lt;&gt;是",$E$4:$E$200,"&lt;&gt;封闭期",$H$4:$H$200,"&gt;10",$BN$4:$BN$200,"&gt;-6",$BR$4:$BR$200,"&gt;=70",$K$4:$K$200,"&lt;=30",$C$4:$C$200,"&lt;20190630",X$4:X$200,"&gt;="&amp;X157)/COUNTIFS(X$4:X$200,"&lt;&gt;-",$D$4:$D$200,"&lt;&gt;是",$E$4:$E$200,"&lt;&gt;封闭期",$H$4:$H$200,"&gt;10",$BN$4:$BN$200,"&gt;-6",$BR$4:$BR$200,"&gt;=70",$C$4:$C$200,"&lt;20190630",$K$4:$K$200,"&lt;=30"))</f>
        <v>-</v>
      </c>
      <c r="AC157" s="20">
        <v>0.95798319327731096</v>
      </c>
      <c r="AD157" s="19" t="str">
        <f>IFERROR(RANK(AC157,AC:AC)&amp;"/"&amp;COUNT(AC:AC),"-")</f>
        <v>107/197</v>
      </c>
      <c r="AE157" s="26">
        <f>IFERROR(RANK(AC157,AC:AC)/COUNT(AC:AC),"-")</f>
        <v>0.54314720812182737</v>
      </c>
      <c r="AF157" s="34" t="str">
        <f>IF(OR($C157&gt;20190630,$K157&gt;30,AC157="-",$D157="是",$E157="封闭期",$H157&lt;10,$BN157&lt;-6,$BR157&lt;70),"-",COUNTIFS(AC$4:AC$200,"&lt;&gt;-",$D$4:$D$200,"&lt;&gt;是",$E$4:$E$200,"&lt;&gt;封闭期",$H$4:$H$200,"&gt;10",$BN$4:$BN$200,"&gt;-6",$BR$4:$BR$200,"&gt;=70",$K$4:$K$200,"&lt;=30",$C$4:$C$200,"&lt;20190630",AC$4:AC$200,"&gt;="&amp;AC157)&amp;"/"&amp;COUNTIFS(AC$4:AC$200,"&lt;&gt;-",$D$4:$D$200,"&lt;&gt;是",$E$4:$E$200,"&lt;&gt;封闭期",$H$4:$H$200,"&gt;10",$BN$4:$BN$200,"&gt;-6",$BR$4:$BR$200,"&gt;=70",$C$4:$C$200,"&lt;20190630",$K$4:$K$200,"&lt;=30"))</f>
        <v>-</v>
      </c>
      <c r="AG157" s="33" t="str">
        <f>IF(OR($C157&gt;20190630,$K157&gt;30,AC157="-",$D157="是",$E157="封闭期",$H157&lt;10,$BN157&lt;-6,$BR157&lt;70),"-",COUNTIFS(AC$4:AC$200,"&lt;&gt;-",$D$4:$D$200,"&lt;&gt;是",$E$4:$E$200,"&lt;&gt;封闭期",$H$4:$H$200,"&gt;10",$BN$4:$BN$200,"&gt;-6",$BR$4:$BR$200,"&gt;=70",$K$4:$K$200,"&lt;=30",$C$4:$C$200,"&lt;20190630",AC$4:AC$200,"&gt;="&amp;AC157)/COUNTIFS(AC$4:AC$200,"&lt;&gt;-",$D$4:$D$200,"&lt;&gt;是",$E$4:$E$200,"&lt;&gt;封闭期",$H$4:$H$200,"&gt;10",$BN$4:$BN$200,"&gt;-6",$BR$4:$BR$200,"&gt;=70",$C$4:$C$200,"&lt;20190630",$K$4:$K$200,"&lt;=30"))</f>
        <v>-</v>
      </c>
      <c r="AH157" s="21">
        <f>[1]!f_risk_maxdownside(A157,$L$2,$E$1)</f>
        <v>-1.7117457915642147</v>
      </c>
      <c r="AI157" s="19" t="str">
        <f>IFERROR(RANK(AH157,AH:AH)&amp;"/"&amp;COUNT(AH:AH),"-")</f>
        <v>50/197</v>
      </c>
      <c r="AJ157" s="26">
        <f>IFERROR(RANK(AH157,AH:AH)/COUNT(AH:AH),"-")</f>
        <v>0.25380710659898476</v>
      </c>
      <c r="AK157" s="34" t="str">
        <f>IF(OR($C157&gt;20190630,$K157&gt;30,AH157="-",$D157="是",$E157="封闭期",$H157&lt;10,$BN157&lt;-6,$BR157&lt;70),"-",COUNTIFS(AH$4:AH$200,"&lt;&gt;-",$D$4:$D$200,"&lt;&gt;是",$E$4:$E$200,"&lt;&gt;封闭期",$H$4:$H$200,"&gt;10",$BN$4:$BN$200,"&gt;-6",$BR$4:$BR$200,"&gt;=70",$K$4:$K$200,"&lt;=30",$C$4:$C$200,"&lt;20190630",AH$4:AH$200,"&gt;="&amp;AH157)&amp;"/"&amp;COUNTIFS(AH$4:AH$200,"&lt;&gt;-",$D$4:$D$200,"&lt;&gt;是",$E$4:$E$200,"&lt;&gt;封闭期",$H$4:$H$200,"&gt;10",$BN$4:$BN$200,"&gt;-6",$BR$4:$BR$200,"&gt;=70",$C$4:$C$200,"&lt;20190630",$K$4:$K$200,"&lt;=30"))</f>
        <v>-</v>
      </c>
      <c r="AL157" s="33" t="str">
        <f>IF(OR($C157&gt;20190630,$K157&gt;30,AH157="-",$D157="是",$E157="封闭期",$H157&lt;10,$BN157&lt;-6,$BR157&lt;70),"-",COUNTIFS(AH$4:AH$200,"&lt;&gt;-",$D$4:$D$200,"&lt;&gt;是",$E$4:$E$200,"&lt;&gt;封闭期",$H$4:$H$200,"&gt;10",$BN$4:$BN$200,"&gt;-6",$BR$4:$BR$200,"&gt;=70",$K$4:$K$200,"&lt;=30",$C$4:$C$200,"&lt;20190630",AH$4:AH$200,"&gt;="&amp;AH157)/COUNTIFS(AH$4:AH$200,"&lt;&gt;-",$D$4:$D$200,"&lt;&gt;是",$E$4:$E$200,"&lt;&gt;封闭期",$H$4:$H$200,"&gt;10",$BN$4:$BN$200,"&gt;-6",$BR$4:$BR$200,"&gt;=70",$C$4:$C$200,"&lt;20190630",$K$4:$K$200,"&lt;=30"))</f>
        <v>-</v>
      </c>
      <c r="AM157" s="19">
        <f>[1]!f_return($A157,"1",AM$2,$L$2)</f>
        <v>3.9380001862398206</v>
      </c>
      <c r="AN157" s="19">
        <f>[1]!f_risk_stdevyearly($A157,AM$2,$L$2,1,1)</f>
        <v>2.4062844525764344</v>
      </c>
      <c r="AO157" s="19">
        <f>IFERROR(AM157/AN157,"-")</f>
        <v>1.6365480739500111</v>
      </c>
      <c r="AP157" s="19" t="str">
        <f>IFERROR(RANK(AO157,AO:AO)&amp;"/"&amp;COUNT(AO:AO),"-")</f>
        <v>93/197</v>
      </c>
      <c r="AQ157" s="26">
        <f>IF(AP157="-","-",RANK(AO157,AO:AO)/COUNT(AO:AO))</f>
        <v>0.4720812182741117</v>
      </c>
      <c r="AR157" s="57">
        <v>0.78172588832487311</v>
      </c>
      <c r="AS157" s="33" t="str">
        <f>IF(OR($C157&gt;20190630,$K157&gt;30,AO157="-",$D157="是",$E157="封闭期",$H157&lt;10,$BN157&lt;-6,$BR157&lt;70),"-",COUNTIFS(AO$4:AO$200,"&lt;&gt;-",$D$4:$D$200,"&lt;&gt;是",$E$4:$E$200,"&lt;&gt;封闭期",$H$4:$H$200,"&gt;10",$BN$4:$BN$200,"&gt;-6",$BR$4:$BR$200,"&gt;=70",$K$4:$K$200,"&lt;=30",$C$4:$C$200,"&lt;20190630",AO$4:AO$200,"&gt;="&amp;AO157)/COUNTIFS(AO$4:AO$200,"&lt;&gt;-",$D$4:$D$200,"&lt;&gt;是",$E$4:$E$200,"&lt;&gt;封闭期",$H$4:$H$200,"&gt;10",$BN$4:$BN$200,"&gt;-6",$BR$4:$BR$200,"&gt;=70",$C$4:$C$200,"&lt;20190630",$K$4:$K$200,"&lt;=30"))</f>
        <v>-</v>
      </c>
      <c r="AT157" s="19">
        <f>IFERROR((AM157-3)/AN157,"-")</f>
        <v>0.38981267789661933</v>
      </c>
      <c r="AU157" s="19" t="str">
        <f>IFERROR(RANK(AT157,AT:AT)&amp;"/"&amp;COUNT(AT:AT),"-")</f>
        <v>146/197</v>
      </c>
      <c r="AV157" s="26">
        <f>IFERROR(RANK(AT157,AT:AT)/COUNT(AT:AT),"-")</f>
        <v>0.74111675126903553</v>
      </c>
      <c r="AW157" s="34" t="str">
        <f>IF(OR($C157&gt;20190630,$K157&gt;30,AT157="-",$D157="是",$E157="封闭期",$H157&lt;10,$BN157&lt;-6,$BR157&lt;70),"-",COUNTIFS(AT$4:AT$200,"&lt;&gt;-",$D$4:$D$200,"&lt;&gt;是",$E$4:$E$200,"&lt;&gt;封闭期",$H$4:$H$200,"&gt;10",$BN$4:$BN$200,"&gt;-6",$BR$4:$BR$200,"&gt;=70",$K$4:$K$200,"&lt;=30",$C$4:$C$200,"&lt;20190630",AT$4:AT$200,"&gt;="&amp;AT157)&amp;"/"&amp;COUNTIFS(AT$4:AT$200,"&lt;&gt;-",$D$4:$D$200,"&lt;&gt;是",$E$4:$E$200,"&lt;&gt;封闭期",$H$4:$H$200,"&gt;10",$BN$4:$BN$200,"&gt;-6",$BR$4:$BR$200,"&gt;=70",$C$4:$C$200,"&lt;20190630",$K$4:$K$200,"&lt;=30"))</f>
        <v>-</v>
      </c>
      <c r="AX157" s="33" t="str">
        <f>IF(OR($C157&gt;20190630,$K157&gt;30,AT157="-",$D157="是",$E157="封闭期",$H157&lt;10,$BN157&lt;-6,$BR157&lt;70),"-",COUNTIFS(AT$4:AT$200,"&lt;&gt;-",$D$4:$D$200,"&lt;&gt;是",$E$4:$E$200,"&lt;&gt;封闭期",$H$4:$H$200,"&gt;10",$BN$4:$BN$200,"&gt;-6",$BR$4:$BR$200,"&gt;=70",$K$4:$K$200,"&lt;=30",$C$4:$C$200,"&lt;20190630",AT$4:AT$200,"&gt;="&amp;AT157)/COUNTIFS(AT$4:AT$200,"&lt;&gt;-",$D$4:$D$200,"&lt;&gt;是",$E$4:$E$200,"&lt;&gt;封闭期",$H$4:$H$200,"&gt;10",$BN$4:$BN$200,"&gt;-6",$BR$4:$BR$200,"&gt;=70",$C$4:$C$200,"&lt;20190630",$K$4:$K$200,"&lt;=30"))</f>
        <v>-</v>
      </c>
      <c r="AY157" s="19">
        <f>[1]!f_risk_calmar(A157,$AM$2,$L$2)</f>
        <v>2.5056119257268139</v>
      </c>
      <c r="AZ157" s="19" t="str">
        <f>IFERROR(RANK(AY157,AY:AY)&amp;"/"&amp;COUNT(AY:AY),"-")</f>
        <v>78/197</v>
      </c>
      <c r="BA157" s="26">
        <f>IFERROR(RANK(AY157,AY:AY)/COUNT(AY:AY),"-")</f>
        <v>0.39593908629441626</v>
      </c>
      <c r="BB157" s="34" t="str">
        <f>IF(OR($C157&gt;20190630,$K157&gt;30,AY157="-",$D157="是",$E157="封闭期",$H157&lt;10,$BN157&lt;-6,$BR157&lt;70),"-",COUNTIFS(AY$4:AY$200,"&lt;&gt;-",$D$4:$D$200,"&lt;&gt;是",$E$4:$E$200,"&lt;&gt;封闭期",$H$4:$H$200,"&gt;10",$BN$4:$BN$200,"&gt;-6",$BR$4:$BR$200,"&gt;=70",$K$4:$K$200,"&lt;=30",$C$4:$C$200,"&lt;20190630",AY$4:AY$200,"&gt;="&amp;AY157)&amp;"/"&amp;COUNTIFS(AY$4:AY$200,"&lt;&gt;-",$D$4:$D$200,"&lt;&gt;是",$E$4:$E$200,"&lt;&gt;封闭期",$H$4:$H$200,"&gt;10",$BN$4:$BN$200,"&gt;-6",$BR$4:$BR$200,"&gt;=70",$C$4:$C$200,"&lt;20190630",$K$4:$K$200,"&lt;=30"))</f>
        <v>-</v>
      </c>
      <c r="BC157" s="33" t="str">
        <f>IF(OR($C157&gt;20190630,$K157&gt;30,AY157="-",$D157="是",$E157="封闭期",$H157&lt;10,$BN157&lt;-6,$BR157&lt;70),"-",COUNTIFS(AY$4:AY$200,"&lt;&gt;-",$D$4:$D$200,"&lt;&gt;是",$E$4:$E$200,"&lt;&gt;封闭期",$H$4:$H$200,"&gt;10",$BN$4:$BN$200,"&gt;-6",$BR$4:$BR$200,"&gt;=70",$K$4:$K$200,"&lt;=30",$C$4:$C$200,"&lt;20190630",AY$4:AY$200,"&gt;="&amp;AY157)/COUNTIFS(AY$4:AY$200,"&lt;&gt;-",$D$4:$D$200,"&lt;&gt;是",$E$4:$E$200,"&lt;&gt;封闭期",$H$4:$H$200,"&gt;10",$BN$4:$BN$200,"&gt;-6",$BR$4:$BR$200,"&gt;=70",$C$4:$C$200,"&lt;20190630",$K$4:$K$200,"&lt;=30"))</f>
        <v>-</v>
      </c>
      <c r="BD157" s="20">
        <v>1</v>
      </c>
      <c r="BE157" s="19" t="str">
        <f>IFERROR(RANK(BD157,BD:BD)&amp;"/"&amp;COUNT(BD:BD),"-")</f>
        <v>1/197</v>
      </c>
      <c r="BF157" s="26">
        <f>IFERROR(RANK(BD157,BD:BD)/COUNT(BD:BD),"-")</f>
        <v>5.076142131979695E-3</v>
      </c>
      <c r="BG157" s="34" t="str">
        <f>IF(OR($C157&gt;20190630,$K157&gt;30,BD157="-",$D157="是",$E157="封闭期",$H157&lt;10,$BN157&lt;-6,$BR157&lt;70),"-",COUNTIFS(BD$4:BD$200,"&lt;&gt;-",$D$4:$D$200,"&lt;&gt;是",$E$4:$E$200,"&lt;&gt;封闭期",$H$4:$H$200,"&gt;10",$BN$4:$BN$200,"&gt;-6",$BR$4:$BR$200,"&gt;=70",$K$4:$K$200,"&lt;=30",$C$4:$C$200,"&lt;20190630",BD$4:BD$200,"&gt;="&amp;BD157)&amp;"/"&amp;COUNTIFS(BD$4:BD$200,"&lt;&gt;-",$D$4:$D$200,"&lt;&gt;是",$E$4:$E$200,"&lt;&gt;封闭期",$H$4:$H$200,"&gt;10",$BN$4:$BN$200,"&gt;-6",$BR$4:$BR$200,"&gt;=70",$C$4:$C$200,"&lt;20190630",$K$4:$K$200,"&lt;=30"))</f>
        <v>-</v>
      </c>
      <c r="BH157" s="33" t="str">
        <f>IF(OR($C157&gt;20190630,$K157&gt;30,BD157="-",$D157="是",$E157="封闭期",$H157&lt;10,$BN157&lt;-6,$BR157&lt;70),"-",COUNTIFS(BD$4:BD$200,"&lt;&gt;-",$D$4:$D$200,"&lt;&gt;是",$E$4:$E$200,"&lt;&gt;封闭期",$H$4:$H$200,"&gt;10",$BN$4:$BN$200,"&gt;-6",$BR$4:$BR$200,"&gt;=70",$K$4:$K$200,"&lt;=30",$C$4:$C$200,"&lt;20190630",BD$4:BD$200,"&gt;="&amp;BD157)/COUNTIFS(BD$4:BD$200,"&lt;&gt;-",$D$4:$D$200,"&lt;&gt;是",$E$4:$E$200,"&lt;&gt;封闭期",$H$4:$H$200,"&gt;10",$BN$4:$BN$200,"&gt;-6",$BR$4:$BR$200,"&gt;=70",$C$4:$C$200,"&lt;20190630",$K$4:$K$200,"&lt;=30"))</f>
        <v>-</v>
      </c>
      <c r="BI157" s="21">
        <f>[1]!f_risk_maxdownside(A157,$AM$2,$L$2)</f>
        <v>-1.571672031812152</v>
      </c>
      <c r="BJ157" s="19" t="str">
        <f>IFERROR(RANK(BI157,BI:BI)&amp;"/"&amp;COUNT(BI:BI),"-")</f>
        <v>21/197</v>
      </c>
      <c r="BK157" s="26">
        <f>IFERROR(RANK(BI157,BI:BI)/COUNT(BI:BI),"-")</f>
        <v>0.1065989847715736</v>
      </c>
      <c r="BL157" s="34" t="str">
        <f>IF(OR($C157&gt;20190630,$K157&gt;30,BI157="-",$D157="是",$E157="封闭期",$H157&lt;10,$BN157&lt;-6,$BR157&lt;70),"-",COUNTIFS(BI$4:BI$200,"&lt;&gt;-",$D$4:$D$200,"&lt;&gt;是",$E$4:$E$200,"&lt;&gt;封闭期",$H$4:$H$200,"&gt;10",$BN$4:$BN$200,"&gt;-6",$BR$4:$BR$200,"&gt;=70",$K$4:$K$200,"&lt;=30",$C$4:$C$200,"&lt;20190630",BI$4:BI$200,"&gt;="&amp;BI157)&amp;"/"&amp;COUNTIFS(BI$4:BI$200,"&lt;&gt;-",$D$4:$D$200,"&lt;&gt;是",$E$4:$E$200,"&lt;&gt;封闭期",$H$4:$H$200,"&gt;10",$BN$4:$BN$200,"&gt;-6",$BR$4:$BR$200,"&gt;=70",$C$4:$C$200,"&lt;20190630",$K$4:$K$200,"&lt;=30"))</f>
        <v>-</v>
      </c>
      <c r="BM157" s="33" t="str">
        <f>IF(OR($C157&gt;20190630,$K157&gt;30,BI157="-",$D157="是",$E157="封闭期",$H157&lt;10,$BN157&lt;-6,$BR157&lt;70),"-",COUNTIFS(BI$4:BI$200,"&lt;&gt;-",$D$4:$D$200,"&lt;&gt;是",$E$4:$E$200,"&lt;&gt;封闭期",$H$4:$H$200,"&gt;10",$BN$4:$BN$200,"&gt;-6",$BR$4:$BR$200,"&gt;=70",$K$4:$K$200,"&lt;=30",$C$4:$C$200,"&lt;20190630",BI$4:BI$200,"&gt;="&amp;BI157)/COUNTIFS(BI$4:BI$200,"&lt;&gt;-",$D$4:$D$200,"&lt;&gt;是",$E$4:$E$200,"&lt;&gt;封闭期",$H$4:$H$200,"&gt;10",$BN$4:$BN$200,"&gt;-6",$BR$4:$BR$200,"&gt;=70",$C$4:$C$200,"&lt;20190630",$K$4:$K$200,"&lt;=30"))</f>
        <v>-</v>
      </c>
      <c r="BN157" s="21">
        <f>[1]!f_risk_maxdownside(A157,$AM$2,$E$1)</f>
        <v>-1.7117457915642147</v>
      </c>
      <c r="BO157" s="21">
        <f>IF(C157&lt;20190930,[1]!f_return_2y(A157,"0","20210930"),"-")</f>
        <v>10.651769595640431</v>
      </c>
      <c r="BP157" s="19" t="str">
        <f>IFERROR(RANK(BO157,BO:BO)&amp;"/"&amp;COUNT(BO:BO),"-")</f>
        <v>133/197</v>
      </c>
      <c r="BQ157" s="25">
        <f>IFERROR(RANK(BO157,BO:BO)/COUNT(BO:BO),"-")</f>
        <v>0.67512690355329952</v>
      </c>
      <c r="BR157" s="19">
        <f>IF(C157&lt;20190930,[1]!f_absolute_profitmonthper(A157,"20190930","20210930"),"-")</f>
        <v>66.666666666666657</v>
      </c>
      <c r="BS157" s="19" t="str">
        <f>IFERROR(RANK(BR157,BR:BR)&amp;"/"&amp;COUNT(BR:BR),"-")</f>
        <v>115/198</v>
      </c>
      <c r="BT157" s="25">
        <f>IFERROR(RANK(BR157,BR:BR)/COUNT(BR:BR),"-")</f>
        <v>0.58080808080808077</v>
      </c>
      <c r="BU157" s="17"/>
      <c r="BV157" s="12">
        <f>X157-3/M157</f>
        <v>3.1116401196876193</v>
      </c>
      <c r="BW157" s="76">
        <f>IFERROR(RANK(BV157,BV:BV)/COUNT(BV:BV),"-")</f>
        <v>0.20812182741116753</v>
      </c>
      <c r="BX157" s="76">
        <f>IFERROR(RANK(L157,L:L)/COUNT(L:L),"-")</f>
        <v>0.42929292929292928</v>
      </c>
      <c r="BY157" s="12">
        <f>AY157-3/AN157</f>
        <v>1.2588765296734221</v>
      </c>
      <c r="BZ157" s="76">
        <f>IFERROR(RANK(BY157,BY:BY)/COUNT(BY:BY),"-")</f>
        <v>0.6091370558375635</v>
      </c>
      <c r="CA157" s="76">
        <f>IFERROR(RANK(AM157,AM:AM)/COUNT(AM:AM),"-")</f>
        <v>0.78282828282828287</v>
      </c>
      <c r="CC157" s="77">
        <f>AV157+BF157+BZ157+CA157</f>
        <v>2.1381582320668615</v>
      </c>
      <c r="CD157" s="77">
        <f>BW157+BX157+AE157+U157</f>
        <v>1.6831000358919139</v>
      </c>
      <c r="CE157" s="77">
        <f>CC157+CD157</f>
        <v>3.8212582679587754</v>
      </c>
    </row>
    <row r="158" spans="1:83" s="17" customFormat="1" x14ac:dyDescent="0.35">
      <c r="A158" s="15" t="s">
        <v>307</v>
      </c>
      <c r="B158" s="15" t="s">
        <v>308</v>
      </c>
      <c r="C158" s="16">
        <v>20161128</v>
      </c>
      <c r="D158" s="16" t="str">
        <f>[1]!f_info_regulopenfundornot(A158)</f>
        <v>否</v>
      </c>
      <c r="E158" s="16" t="str">
        <f>[1]!f_dq_status(A158,$E$1)</f>
        <v>开放申购|开放赎回</v>
      </c>
      <c r="F158" s="17" t="str">
        <f>[1]!f_info_fundmanager(A158)</f>
        <v>章俊</v>
      </c>
      <c r="G158" s="16">
        <v>20210312</v>
      </c>
      <c r="H158" s="18">
        <f>[1]!f_netasset_total(A158,$E$1,100000000)</f>
        <v>16.141036684100001</v>
      </c>
      <c r="I158" s="18">
        <f>[1]!f_prt_convertiblebondtonav(A158,$E$1)</f>
        <v>0.39841094613075256</v>
      </c>
      <c r="J158" s="18">
        <f>[1]!f_prt_stocktonav(A158,$E$1)+0.5*I158</f>
        <v>20.50017936527729</v>
      </c>
      <c r="K158" s="19">
        <v>0</v>
      </c>
      <c r="L158" s="19">
        <f>[1]!f_return($A158,"1",L$2,$E$1)</f>
        <v>20.218664123209116</v>
      </c>
      <c r="M158" s="19">
        <f>[1]!f_risk_stdevyearly($A158,L$2,$E$1,1,1)</f>
        <v>8.1865536738832159</v>
      </c>
      <c r="N158" s="19">
        <f>IFERROR(L158/M158,"-")</f>
        <v>2.4697406171916758</v>
      </c>
      <c r="O158" s="19" t="str">
        <f>IFERROR(RANK(N158,N:N)&amp;"/"&amp;COUNT(N:N),"-")</f>
        <v>30/197</v>
      </c>
      <c r="P158" s="26">
        <f>IF(O158="-","-",RANK(N158,N:N)/COUNT(N:N))</f>
        <v>0.15228426395939088</v>
      </c>
      <c r="Q158" s="56">
        <v>2.5380710659898477E-2</v>
      </c>
      <c r="R158" s="33" t="str">
        <f>IF(OR($C158&gt;20190630,$K158&gt;30,N158="-",$D158="是",$E158="封闭期",$H158&lt;10,$BN158&lt;-6,$BR158&lt;70),"-",COUNTIFS(N$4:N$200,"&lt;&gt;-",$D$4:$D$200,"&lt;&gt;是",$E$4:$E$200,"&lt;&gt;封闭期",$H$4:$H$200,"&gt;10",$BN$4:$BN$200,"&gt;-6",$BR$4:$BR$200,"&gt;=70",$K$4:$K$200,"&lt;=30",$C$4:$C$200,"&lt;20190630",N$4:N$200,"&gt;="&amp;N158)/COUNTIFS(N$4:N$200,"&lt;&gt;-",$D$4:$D$200,"&lt;&gt;是",$E$4:$E$200,"&lt;&gt;封闭期",$H$4:$H$200,"&gt;10",$BN$4:$BN$200,"&gt;-6",$BR$4:$BR$200,"&gt;=70",$C$4:$C$200,"&lt;20190630",$K$4:$K$200,"&lt;=30"))</f>
        <v>-</v>
      </c>
      <c r="S158" s="19">
        <f>IFERROR((L158-3)/M158,"-")</f>
        <v>2.1032860479667024</v>
      </c>
      <c r="T158" s="19" t="str">
        <f>IFERROR(RANK(S158,S:S)&amp;"/"&amp;COUNT(S:S),"-")</f>
        <v>12/197</v>
      </c>
      <c r="U158" s="26">
        <f>IFERROR(RANK(S158,S:S)/COUNT(S:S),"-")</f>
        <v>6.0913705583756347E-2</v>
      </c>
      <c r="V158" s="34" t="str">
        <f>IF(OR($C158&gt;20190630,$K158&gt;30,S158="-",$D158="是",$E158="封闭期",$H158&lt;10,$BN158&lt;-6,$BR158&lt;70),"-",COUNTIFS(S$4:S$200,"&lt;&gt;-",$D$4:$D$200,"&lt;&gt;是",$E$4:$E$200,"&lt;&gt;封闭期",$H$4:$H$200,"&gt;10",$BN$4:$BN$200,"&gt;-6",$BR$4:$BR$200,"&gt;=70",$K$4:$K$200,"&lt;=30",$C$4:$C$200,"&lt;20190630",S$4:S$200,"&gt;="&amp;S158)&amp;"/"&amp;COUNTIFS(S$4:S$200,"&lt;&gt;-",$D$4:$D$200,"&lt;&gt;是",$E$4:$E$200,"&lt;&gt;封闭期",$H$4:$H$200,"&gt;10",$BN$4:$BN$200,"&gt;-6",$BR$4:$BR$200,"&gt;=70",$C$4:$C$200,"&lt;20190630",$K$4:$K$200,"&lt;=30"))</f>
        <v>-</v>
      </c>
      <c r="W158" s="33" t="str">
        <f>IF(OR($C158&gt;20190630,$K158&gt;30,S158="-",$D158="是",$E158="封闭期",$H158&lt;10,$BN158&lt;-6,$BR158&lt;70),"-",COUNTIFS(S$4:S$200,"&lt;&gt;-",$D$4:$D$200,"&lt;&gt;是",$E$4:$E$200,"&lt;&gt;封闭期",$H$4:$H$200,"&gt;10",$BN$4:$BN$200,"&gt;-6",$BR$4:$BR$200,"&gt;=70",$K$4:$K$200,"&lt;=30",$C$4:$C$200,"&lt;20190630",S$4:S$200,"&gt;="&amp;S158)/COUNTIFS(S$4:S$200,"&lt;&gt;-",$D$4:$D$200,"&lt;&gt;是",$E$4:$E$200,"&lt;&gt;封闭期",$H$4:$H$200,"&gt;10",$BN$4:$BN$200,"&gt;-6",$BR$4:$BR$200,"&gt;=70",$C$4:$C$200,"&lt;20190630",$K$4:$K$200,"&lt;=30"))</f>
        <v>-</v>
      </c>
      <c r="X158" s="19">
        <f>[1]!f_risk_calmar(A158,$L$2,$E$1)</f>
        <v>3.5183150590585388</v>
      </c>
      <c r="Y158" s="19" t="str">
        <f>IFERROR(RANK(X158,X:X)&amp;"/"&amp;COUNT(X:X),"-")</f>
        <v>51/197</v>
      </c>
      <c r="Z158" s="26">
        <f>IFERROR(RANK(X158,X:X)/COUNT(X:X),"-")</f>
        <v>0.25888324873096447</v>
      </c>
      <c r="AA158" s="34" t="str">
        <f>IF(OR($C158&gt;20190630,$K158&gt;30,X158="-",$D158="是",$E158="封闭期",$H158&lt;10,$BN158&lt;-6,$BR158&lt;70),"-",COUNTIFS(X$4:X$200,"&lt;&gt;-",$D$4:$D$200,"&lt;&gt;是",$E$4:$E$200,"&lt;&gt;封闭期",$H$4:$H$200,"&gt;10",$BN$4:$BN$200,"&gt;-6",$BR$4:$BR$200,"&gt;=70",$K$4:$K$200,"&lt;=30",$C$4:$C$200,"&lt;20190630",X$4:X$200,"&gt;="&amp;X158)&amp;"/"&amp;COUNTIFS(X$4:X$200,"&lt;&gt;-",$D$4:$D$200,"&lt;&gt;是",$E$4:$E$200,"&lt;&gt;封闭期",$H$4:$H$200,"&gt;10",$BN$4:$BN$200,"&gt;-6",$BR$4:$BR$200,"&gt;=70",$C$4:$C$200,"&lt;20190630",$K$4:$K$200,"&lt;=30"))</f>
        <v>-</v>
      </c>
      <c r="AB158" s="33" t="str">
        <f>IF(OR($C158&gt;20190630,$K158&gt;30,X158="-",$D158="是",$E158="封闭期",$H158&lt;10,$BN158&lt;-6,$BR158&lt;70),"-",COUNTIFS(X$4:X$200,"&lt;&gt;-",$D$4:$D$200,"&lt;&gt;是",$E$4:$E$200,"&lt;&gt;封闭期",$H$4:$H$200,"&gt;10",$BN$4:$BN$200,"&gt;-6",$BR$4:$BR$200,"&gt;=70",$K$4:$K$200,"&lt;=30",$C$4:$C$200,"&lt;20190630",X$4:X$200,"&gt;="&amp;X158)/COUNTIFS(X$4:X$200,"&lt;&gt;-",$D$4:$D$200,"&lt;&gt;是",$E$4:$E$200,"&lt;&gt;封闭期",$H$4:$H$200,"&gt;10",$BN$4:$BN$200,"&gt;-6",$BR$4:$BR$200,"&gt;=70",$C$4:$C$200,"&lt;20190630",$K$4:$K$200,"&lt;=30"))</f>
        <v>-</v>
      </c>
      <c r="AC158" s="20">
        <v>1</v>
      </c>
      <c r="AD158" s="19" t="str">
        <f>IFERROR(RANK(AC158,AC:AC)&amp;"/"&amp;COUNT(AC:AC),"-")</f>
        <v>1/197</v>
      </c>
      <c r="AE158" s="26">
        <f>IFERROR(RANK(AC158,AC:AC)/COUNT(AC:AC),"-")</f>
        <v>5.076142131979695E-3</v>
      </c>
      <c r="AF158" s="34" t="str">
        <f>IF(OR($C158&gt;20190630,$K158&gt;30,AC158="-",$D158="是",$E158="封闭期",$H158&lt;10,$BN158&lt;-6,$BR158&lt;70),"-",COUNTIFS(AC$4:AC$200,"&lt;&gt;-",$D$4:$D$200,"&lt;&gt;是",$E$4:$E$200,"&lt;&gt;封闭期",$H$4:$H$200,"&gt;10",$BN$4:$BN$200,"&gt;-6",$BR$4:$BR$200,"&gt;=70",$K$4:$K$200,"&lt;=30",$C$4:$C$200,"&lt;20190630",AC$4:AC$200,"&gt;="&amp;AC158)&amp;"/"&amp;COUNTIFS(AC$4:AC$200,"&lt;&gt;-",$D$4:$D$200,"&lt;&gt;是",$E$4:$E$200,"&lt;&gt;封闭期",$H$4:$H$200,"&gt;10",$BN$4:$BN$200,"&gt;-6",$BR$4:$BR$200,"&gt;=70",$C$4:$C$200,"&lt;20190630",$K$4:$K$200,"&lt;=30"))</f>
        <v>-</v>
      </c>
      <c r="AG158" s="33" t="str">
        <f>IF(OR($C158&gt;20190630,$K158&gt;30,AC158="-",$D158="是",$E158="封闭期",$H158&lt;10,$BN158&lt;-6,$BR158&lt;70),"-",COUNTIFS(AC$4:AC$200,"&lt;&gt;-",$D$4:$D$200,"&lt;&gt;是",$E$4:$E$200,"&lt;&gt;封闭期",$H$4:$H$200,"&gt;10",$BN$4:$BN$200,"&gt;-6",$BR$4:$BR$200,"&gt;=70",$K$4:$K$200,"&lt;=30",$C$4:$C$200,"&lt;20190630",AC$4:AC$200,"&gt;="&amp;AC158)/COUNTIFS(AC$4:AC$200,"&lt;&gt;-",$D$4:$D$200,"&lt;&gt;是",$E$4:$E$200,"&lt;&gt;封闭期",$H$4:$H$200,"&gt;10",$BN$4:$BN$200,"&gt;-6",$BR$4:$BR$200,"&gt;=70",$C$4:$C$200,"&lt;20190630",$K$4:$K$200,"&lt;=30"))</f>
        <v>-</v>
      </c>
      <c r="AH158" s="21">
        <f>[1]!f_risk_maxdownside(A158,$L$2,$E$1)</f>
        <v>-5.746689476018501</v>
      </c>
      <c r="AI158" s="19" t="str">
        <f>IFERROR(RANK(AH158,AH:AH)&amp;"/"&amp;COUNT(AH:AH),"-")</f>
        <v>169/197</v>
      </c>
      <c r="AJ158" s="26">
        <f>IFERROR(RANK(AH158,AH:AH)/COUNT(AH:AH),"-")</f>
        <v>0.85786802030456855</v>
      </c>
      <c r="AK158" s="34" t="str">
        <f>IF(OR($C158&gt;20190630,$K158&gt;30,AH158="-",$D158="是",$E158="封闭期",$H158&lt;10,$BN158&lt;-6,$BR158&lt;70),"-",COUNTIFS(AH$4:AH$200,"&lt;&gt;-",$D$4:$D$200,"&lt;&gt;是",$E$4:$E$200,"&lt;&gt;封闭期",$H$4:$H$200,"&gt;10",$BN$4:$BN$200,"&gt;-6",$BR$4:$BR$200,"&gt;=70",$K$4:$K$200,"&lt;=30",$C$4:$C$200,"&lt;20190630",AH$4:AH$200,"&gt;="&amp;AH158)&amp;"/"&amp;COUNTIFS(AH$4:AH$200,"&lt;&gt;-",$D$4:$D$200,"&lt;&gt;是",$E$4:$E$200,"&lt;&gt;封闭期",$H$4:$H$200,"&gt;10",$BN$4:$BN$200,"&gt;-6",$BR$4:$BR$200,"&gt;=70",$C$4:$C$200,"&lt;20190630",$K$4:$K$200,"&lt;=30"))</f>
        <v>-</v>
      </c>
      <c r="AL158" s="33" t="str">
        <f>IF(OR($C158&gt;20190630,$K158&gt;30,AH158="-",$D158="是",$E158="封闭期",$H158&lt;10,$BN158&lt;-6,$BR158&lt;70),"-",COUNTIFS(AH$4:AH$200,"&lt;&gt;-",$D$4:$D$200,"&lt;&gt;是",$E$4:$E$200,"&lt;&gt;封闭期",$H$4:$H$200,"&gt;10",$BN$4:$BN$200,"&gt;-6",$BR$4:$BR$200,"&gt;=70",$K$4:$K$200,"&lt;=30",$C$4:$C$200,"&lt;20190630",AH$4:AH$200,"&gt;="&amp;AH158)/COUNTIFS(AH$4:AH$200,"&lt;&gt;-",$D$4:$D$200,"&lt;&gt;是",$E$4:$E$200,"&lt;&gt;封闭期",$H$4:$H$200,"&gt;10",$BN$4:$BN$200,"&gt;-6",$BR$4:$BR$200,"&gt;=70",$C$4:$C$200,"&lt;20190630",$K$4:$K$200,"&lt;=30"))</f>
        <v>-</v>
      </c>
      <c r="AM158" s="19">
        <f>[1]!f_return($A158,"1",AM$2,$L$2)</f>
        <v>3.868895290114871</v>
      </c>
      <c r="AN158" s="19">
        <f>[1]!f_risk_stdevyearly($A158,AM$2,$L$2,1,1)</f>
        <v>2.2416248636812877</v>
      </c>
      <c r="AO158" s="19">
        <f>IFERROR(AM158/AN158,"-")</f>
        <v>1.7259334301642308</v>
      </c>
      <c r="AP158" s="19" t="str">
        <f>IFERROR(RANK(AO158,AO:AO)&amp;"/"&amp;COUNT(AO:AO),"-")</f>
        <v>79/197</v>
      </c>
      <c r="AQ158" s="26">
        <f>IF(AP158="-","-",RANK(AO158,AO:AO)/COUNT(AO:AO))</f>
        <v>0.40101522842639592</v>
      </c>
      <c r="AR158" s="57">
        <v>0.78680203045685282</v>
      </c>
      <c r="AS158" s="33" t="str">
        <f>IF(OR($C158&gt;20190630,$K158&gt;30,AO158="-",$D158="是",$E158="封闭期",$H158&lt;10,$BN158&lt;-6,$BR158&lt;70),"-",COUNTIFS(AO$4:AO$200,"&lt;&gt;-",$D$4:$D$200,"&lt;&gt;是",$E$4:$E$200,"&lt;&gt;封闭期",$H$4:$H$200,"&gt;10",$BN$4:$BN$200,"&gt;-6",$BR$4:$BR$200,"&gt;=70",$K$4:$K$200,"&lt;=30",$C$4:$C$200,"&lt;20190630",AO$4:AO$200,"&gt;="&amp;AO158)/COUNTIFS(AO$4:AO$200,"&lt;&gt;-",$D$4:$D$200,"&lt;&gt;是",$E$4:$E$200,"&lt;&gt;封闭期",$H$4:$H$200,"&gt;10",$BN$4:$BN$200,"&gt;-6",$BR$4:$BR$200,"&gt;=70",$C$4:$C$200,"&lt;20190630",$K$4:$K$200,"&lt;=30"))</f>
        <v>-</v>
      </c>
      <c r="AT158" s="19">
        <f>IFERROR((AM158-3)/AN158,"-")</f>
        <v>0.38761851021224653</v>
      </c>
      <c r="AU158" s="19" t="str">
        <f>IFERROR(RANK(AT158,AT:AT)&amp;"/"&amp;COUNT(AT:AT),"-")</f>
        <v>148/197</v>
      </c>
      <c r="AV158" s="26">
        <f>IFERROR(RANK(AT158,AT:AT)/COUNT(AT:AT),"-")</f>
        <v>0.75126903553299496</v>
      </c>
      <c r="AW158" s="34" t="str">
        <f>IF(OR($C158&gt;20190630,$K158&gt;30,AT158="-",$D158="是",$E158="封闭期",$H158&lt;10,$BN158&lt;-6,$BR158&lt;70),"-",COUNTIFS(AT$4:AT$200,"&lt;&gt;-",$D$4:$D$200,"&lt;&gt;是",$E$4:$E$200,"&lt;&gt;封闭期",$H$4:$H$200,"&gt;10",$BN$4:$BN$200,"&gt;-6",$BR$4:$BR$200,"&gt;=70",$K$4:$K$200,"&lt;=30",$C$4:$C$200,"&lt;20190630",AT$4:AT$200,"&gt;="&amp;AT158)&amp;"/"&amp;COUNTIFS(AT$4:AT$200,"&lt;&gt;-",$D$4:$D$200,"&lt;&gt;是",$E$4:$E$200,"&lt;&gt;封闭期",$H$4:$H$200,"&gt;10",$BN$4:$BN$200,"&gt;-6",$BR$4:$BR$200,"&gt;=70",$C$4:$C$200,"&lt;20190630",$K$4:$K$200,"&lt;=30"))</f>
        <v>-</v>
      </c>
      <c r="AX158" s="33" t="str">
        <f>IF(OR($C158&gt;20190630,$K158&gt;30,AT158="-",$D158="是",$E158="封闭期",$H158&lt;10,$BN158&lt;-6,$BR158&lt;70),"-",COUNTIFS(AT$4:AT$200,"&lt;&gt;-",$D$4:$D$200,"&lt;&gt;是",$E$4:$E$200,"&lt;&gt;封闭期",$H$4:$H$200,"&gt;10",$BN$4:$BN$200,"&gt;-6",$BR$4:$BR$200,"&gt;=70",$K$4:$K$200,"&lt;=30",$C$4:$C$200,"&lt;20190630",AT$4:AT$200,"&gt;="&amp;AT158)/COUNTIFS(AT$4:AT$200,"&lt;&gt;-",$D$4:$D$200,"&lt;&gt;是",$E$4:$E$200,"&lt;&gt;封闭期",$H$4:$H$200,"&gt;10",$BN$4:$BN$200,"&gt;-6",$BR$4:$BR$200,"&gt;=70",$C$4:$C$200,"&lt;20190630",$K$4:$K$200,"&lt;=30"))</f>
        <v>-</v>
      </c>
      <c r="AY158" s="19">
        <f>[1]!f_risk_calmar(A158,$AM$2,$L$2)</f>
        <v>1.9379509754382414</v>
      </c>
      <c r="AZ158" s="19" t="str">
        <f>IFERROR(RANK(AY158,AY:AY)&amp;"/"&amp;COUNT(AY:AY),"-")</f>
        <v>116/197</v>
      </c>
      <c r="BA158" s="26">
        <f>IFERROR(RANK(AY158,AY:AY)/COUNT(AY:AY),"-")</f>
        <v>0.58883248730964466</v>
      </c>
      <c r="BB158" s="34" t="str">
        <f>IF(OR($C158&gt;20190630,$K158&gt;30,AY158="-",$D158="是",$E158="封闭期",$H158&lt;10,$BN158&lt;-6,$BR158&lt;70),"-",COUNTIFS(AY$4:AY$200,"&lt;&gt;-",$D$4:$D$200,"&lt;&gt;是",$E$4:$E$200,"&lt;&gt;封闭期",$H$4:$H$200,"&gt;10",$BN$4:$BN$200,"&gt;-6",$BR$4:$BR$200,"&gt;=70",$K$4:$K$200,"&lt;=30",$C$4:$C$200,"&lt;20190630",AY$4:AY$200,"&gt;="&amp;AY158)&amp;"/"&amp;COUNTIFS(AY$4:AY$200,"&lt;&gt;-",$D$4:$D$200,"&lt;&gt;是",$E$4:$E$200,"&lt;&gt;封闭期",$H$4:$H$200,"&gt;10",$BN$4:$BN$200,"&gt;-6",$BR$4:$BR$200,"&gt;=70",$C$4:$C$200,"&lt;20190630",$K$4:$K$200,"&lt;=30"))</f>
        <v>-</v>
      </c>
      <c r="BC158" s="33" t="str">
        <f>IF(OR($C158&gt;20190630,$K158&gt;30,AY158="-",$D158="是",$E158="封闭期",$H158&lt;10,$BN158&lt;-6,$BR158&lt;70),"-",COUNTIFS(AY$4:AY$200,"&lt;&gt;-",$D$4:$D$200,"&lt;&gt;是",$E$4:$E$200,"&lt;&gt;封闭期",$H$4:$H$200,"&gt;10",$BN$4:$BN$200,"&gt;-6",$BR$4:$BR$200,"&gt;=70",$K$4:$K$200,"&lt;=30",$C$4:$C$200,"&lt;20190630",AY$4:AY$200,"&gt;="&amp;AY158)/COUNTIFS(AY$4:AY$200,"&lt;&gt;-",$D$4:$D$200,"&lt;&gt;是",$E$4:$E$200,"&lt;&gt;封闭期",$H$4:$H$200,"&gt;10",$BN$4:$BN$200,"&gt;-6",$BR$4:$BR$200,"&gt;=70",$C$4:$C$200,"&lt;20190630",$K$4:$K$200,"&lt;=30"))</f>
        <v>-</v>
      </c>
      <c r="BD158" s="20">
        <v>0.97499999999999998</v>
      </c>
      <c r="BE158" s="19" t="str">
        <f>IFERROR(RANK(BD158,BD:BD)&amp;"/"&amp;COUNT(BD:BD),"-")</f>
        <v>154/197</v>
      </c>
      <c r="BF158" s="26">
        <f>IFERROR(RANK(BD158,BD:BD)/COUNT(BD:BD),"-")</f>
        <v>0.78172588832487311</v>
      </c>
      <c r="BG158" s="34" t="str">
        <f>IF(OR($C158&gt;20190630,$K158&gt;30,BD158="-",$D158="是",$E158="封闭期",$H158&lt;10,$BN158&lt;-6,$BR158&lt;70),"-",COUNTIFS(BD$4:BD$200,"&lt;&gt;-",$D$4:$D$200,"&lt;&gt;是",$E$4:$E$200,"&lt;&gt;封闭期",$H$4:$H$200,"&gt;10",$BN$4:$BN$200,"&gt;-6",$BR$4:$BR$200,"&gt;=70",$K$4:$K$200,"&lt;=30",$C$4:$C$200,"&lt;20190630",BD$4:BD$200,"&gt;="&amp;BD158)&amp;"/"&amp;COUNTIFS(BD$4:BD$200,"&lt;&gt;-",$D$4:$D$200,"&lt;&gt;是",$E$4:$E$200,"&lt;&gt;封闭期",$H$4:$H$200,"&gt;10",$BN$4:$BN$200,"&gt;-6",$BR$4:$BR$200,"&gt;=70",$C$4:$C$200,"&lt;20190630",$K$4:$K$200,"&lt;=30"))</f>
        <v>-</v>
      </c>
      <c r="BH158" s="33" t="str">
        <f>IF(OR($C158&gt;20190630,$K158&gt;30,BD158="-",$D158="是",$E158="封闭期",$H158&lt;10,$BN158&lt;-6,$BR158&lt;70),"-",COUNTIFS(BD$4:BD$200,"&lt;&gt;-",$D$4:$D$200,"&lt;&gt;是",$E$4:$E$200,"&lt;&gt;封闭期",$H$4:$H$200,"&gt;10",$BN$4:$BN$200,"&gt;-6",$BR$4:$BR$200,"&gt;=70",$K$4:$K$200,"&lt;=30",$C$4:$C$200,"&lt;20190630",BD$4:BD$200,"&gt;="&amp;BD158)/COUNTIFS(BD$4:BD$200,"&lt;&gt;-",$D$4:$D$200,"&lt;&gt;是",$E$4:$E$200,"&lt;&gt;封闭期",$H$4:$H$200,"&gt;10",$BN$4:$BN$200,"&gt;-6",$BR$4:$BR$200,"&gt;=70",$C$4:$C$200,"&lt;20190630",$K$4:$K$200,"&lt;=30"))</f>
        <v>-</v>
      </c>
      <c r="BI158" s="21">
        <f>[1]!f_risk_maxdownside(A158,$AM$2,$L$2)</f>
        <v>-1.9963845005108929</v>
      </c>
      <c r="BJ158" s="19" t="str">
        <f>IFERROR(RANK(BI158,BI:BI)&amp;"/"&amp;COUNT(BI:BI),"-")</f>
        <v>34/197</v>
      </c>
      <c r="BK158" s="26">
        <f>IFERROR(RANK(BI158,BI:BI)/COUNT(BI:BI),"-")</f>
        <v>0.17258883248730963</v>
      </c>
      <c r="BL158" s="34" t="str">
        <f>IF(OR($C158&gt;20190630,$K158&gt;30,BI158="-",$D158="是",$E158="封闭期",$H158&lt;10,$BN158&lt;-6,$BR158&lt;70),"-",COUNTIFS(BI$4:BI$200,"&lt;&gt;-",$D$4:$D$200,"&lt;&gt;是",$E$4:$E$200,"&lt;&gt;封闭期",$H$4:$H$200,"&gt;10",$BN$4:$BN$200,"&gt;-6",$BR$4:$BR$200,"&gt;=70",$K$4:$K$200,"&lt;=30",$C$4:$C$200,"&lt;20190630",BI$4:BI$200,"&gt;="&amp;BI158)&amp;"/"&amp;COUNTIFS(BI$4:BI$200,"&lt;&gt;-",$D$4:$D$200,"&lt;&gt;是",$E$4:$E$200,"&lt;&gt;封闭期",$H$4:$H$200,"&gt;10",$BN$4:$BN$200,"&gt;-6",$BR$4:$BR$200,"&gt;=70",$C$4:$C$200,"&lt;20190630",$K$4:$K$200,"&lt;=30"))</f>
        <v>-</v>
      </c>
      <c r="BM158" s="33" t="str">
        <f>IF(OR($C158&gt;20190630,$K158&gt;30,BI158="-",$D158="是",$E158="封闭期",$H158&lt;10,$BN158&lt;-6,$BR158&lt;70),"-",COUNTIFS(BI$4:BI$200,"&lt;&gt;-",$D$4:$D$200,"&lt;&gt;是",$E$4:$E$200,"&lt;&gt;封闭期",$H$4:$H$200,"&gt;10",$BN$4:$BN$200,"&gt;-6",$BR$4:$BR$200,"&gt;=70",$K$4:$K$200,"&lt;=30",$C$4:$C$200,"&lt;20190630",BI$4:BI$200,"&gt;="&amp;BI158)/COUNTIFS(BI$4:BI$200,"&lt;&gt;-",$D$4:$D$200,"&lt;&gt;是",$E$4:$E$200,"&lt;&gt;封闭期",$H$4:$H$200,"&gt;10",$BN$4:$BN$200,"&gt;-6",$BR$4:$BR$200,"&gt;=70",$C$4:$C$200,"&lt;20190630",$K$4:$K$200,"&lt;=30"))</f>
        <v>-</v>
      </c>
      <c r="BN158" s="21">
        <f>[1]!f_risk_maxdownside(A158,$AM$2,$E$1)</f>
        <v>-5.746689476018501</v>
      </c>
      <c r="BO158" s="21">
        <f>IF(C158&lt;20190930,[1]!f_return_2y(A158,"0","20210930"),"-")</f>
        <v>25.018664454583167</v>
      </c>
      <c r="BP158" s="19" t="str">
        <f>IFERROR(RANK(BO158,BO:BO)&amp;"/"&amp;COUNT(BO:BO),"-")</f>
        <v>19/197</v>
      </c>
      <c r="BQ158" s="25">
        <f>IFERROR(RANK(BO158,BO:BO)/COUNT(BO:BO),"-")</f>
        <v>9.6446700507614211E-2</v>
      </c>
      <c r="BR158" s="19">
        <f>IF(C158&lt;20190930,[1]!f_absolute_profitmonthper(A158,"20190930","20210930"),"-")</f>
        <v>58.333333333333336</v>
      </c>
      <c r="BS158" s="19" t="str">
        <f>IFERROR(RANK(BR158,BR:BR)&amp;"/"&amp;COUNT(BR:BR),"-")</f>
        <v>165/198</v>
      </c>
      <c r="BT158" s="25">
        <f>IFERROR(RANK(BR158,BR:BR)/COUNT(BR:BR),"-")</f>
        <v>0.83333333333333337</v>
      </c>
      <c r="BV158" s="12">
        <f>X158-3/M158</f>
        <v>3.1518604898335649</v>
      </c>
      <c r="BW158" s="76">
        <f>IFERROR(RANK(BV158,BV:BV)/COUNT(BV:BV),"-")</f>
        <v>0.20304568527918782</v>
      </c>
      <c r="BX158" s="76">
        <f>IFERROR(RANK(L158,L:L)/COUNT(L:L),"-")</f>
        <v>3.0303030303030304E-2</v>
      </c>
      <c r="BY158" s="12">
        <f>AY158-3/AN158</f>
        <v>0.5996360554862572</v>
      </c>
      <c r="BZ158" s="76">
        <f>IFERROR(RANK(BY158,BY:BY)/COUNT(BY:BY),"-")</f>
        <v>0.78172588832487311</v>
      </c>
      <c r="CA158" s="76">
        <f>IFERROR(RANK(AM158,AM:AM)/COUNT(AM:AM),"-")</f>
        <v>0.78787878787878785</v>
      </c>
      <c r="CB158" s="2"/>
      <c r="CC158" s="77">
        <f>AV158+BF158+BZ158+CA158</f>
        <v>3.102599600061529</v>
      </c>
      <c r="CD158" s="77">
        <f>BW158+BX158+AE158+U158</f>
        <v>0.29933856329795416</v>
      </c>
      <c r="CE158" s="77">
        <f>CC158+CD158</f>
        <v>3.4019381633594832</v>
      </c>
    </row>
    <row r="159" spans="1:83" s="17" customFormat="1" hidden="1" x14ac:dyDescent="0.35">
      <c r="A159" s="15" t="s">
        <v>335</v>
      </c>
      <c r="B159" s="15" t="s">
        <v>336</v>
      </c>
      <c r="C159" s="16">
        <v>20170621</v>
      </c>
      <c r="D159" s="16" t="str">
        <f>[1]!f_info_regulopenfundornot(A159)</f>
        <v>否</v>
      </c>
      <c r="E159" s="16" t="str">
        <f>[1]!f_dq_status(A159,$E$1)</f>
        <v>开放申购|开放赎回</v>
      </c>
      <c r="F159" s="17" t="str">
        <f>[1]!f_info_fundmanager(A159)</f>
        <v>赖礼辉</v>
      </c>
      <c r="G159" s="16">
        <v>20210826</v>
      </c>
      <c r="H159" s="18">
        <f>[1]!f_netasset_total(A159,$E$1,100000000)</f>
        <v>0.50676465729999998</v>
      </c>
      <c r="I159" s="18">
        <f>[1]!f_prt_convertiblebondtonav(A159,$E$1)</f>
        <v>7.446009635925293</v>
      </c>
      <c r="J159" s="18">
        <f>[1]!f_prt_stocktonav(A159,$E$1)+0.5*I159</f>
        <v>4.9249764680862427</v>
      </c>
      <c r="K159" s="19">
        <v>0</v>
      </c>
      <c r="L159" s="19">
        <f>[1]!f_return($A159,"1",L$2,$E$1)</f>
        <v>2.6968924403966144</v>
      </c>
      <c r="M159" s="19">
        <f>[1]!f_risk_stdevyearly($A159,L$2,$E$1,1,1)</f>
        <v>3.3519914792660934</v>
      </c>
      <c r="N159" s="19">
        <f>IFERROR(L159/M159,"-")</f>
        <v>0.80456422907945135</v>
      </c>
      <c r="O159" s="19" t="str">
        <f>IFERROR(RANK(N159,N:N)&amp;"/"&amp;COUNT(N:N),"-")</f>
        <v>156/197</v>
      </c>
      <c r="P159" s="26">
        <f>IF(O159="-","-",RANK(N159,N:N)/COUNT(N:N))</f>
        <v>0.79187817258883253</v>
      </c>
      <c r="Q159" s="56">
        <v>0.85786802030456855</v>
      </c>
      <c r="R159" s="33" t="str">
        <f>IF(OR($C159&gt;20190630,$K159&gt;30,N159="-",$D159="是",$E159="封闭期",$H159&lt;10,$BN159&lt;-6,$BR159&lt;70),"-",COUNTIFS(N$4:N$200,"&lt;&gt;-",$D$4:$D$200,"&lt;&gt;是",$E$4:$E$200,"&lt;&gt;封闭期",$H$4:$H$200,"&gt;10",$BN$4:$BN$200,"&gt;-6",$BR$4:$BR$200,"&gt;=70",$K$4:$K$200,"&lt;=30",$C$4:$C$200,"&lt;20190630",N$4:N$200,"&gt;="&amp;N159)/COUNTIFS(N$4:N$200,"&lt;&gt;-",$D$4:$D$200,"&lt;&gt;是",$E$4:$E$200,"&lt;&gt;封闭期",$H$4:$H$200,"&gt;10",$BN$4:$BN$200,"&gt;-6",$BR$4:$BR$200,"&gt;=70",$C$4:$C$200,"&lt;20190630",$K$4:$K$200,"&lt;=30"))</f>
        <v>-</v>
      </c>
      <c r="S159" s="19">
        <f>IFERROR((L159-3)/M159,"-")</f>
        <v>-9.0426112798398267E-2</v>
      </c>
      <c r="T159" s="19" t="str">
        <f>IFERROR(RANK(S159,S:S)&amp;"/"&amp;COUNT(S:S),"-")</f>
        <v>168/197</v>
      </c>
      <c r="U159" s="26">
        <f>IFERROR(RANK(S159,S:S)/COUNT(S:S),"-")</f>
        <v>0.85279187817258884</v>
      </c>
      <c r="V159" s="34" t="str">
        <f>IF(OR($C159&gt;20190630,$K159&gt;30,S159="-",$D159="是",$E159="封闭期",$H159&lt;10,$BN159&lt;-6,$BR159&lt;70),"-",COUNTIFS(S$4:S$200,"&lt;&gt;-",$D$4:$D$200,"&lt;&gt;是",$E$4:$E$200,"&lt;&gt;封闭期",$H$4:$H$200,"&gt;10",$BN$4:$BN$200,"&gt;-6",$BR$4:$BR$200,"&gt;=70",$K$4:$K$200,"&lt;=30",$C$4:$C$200,"&lt;20190630",S$4:S$200,"&gt;="&amp;S159)&amp;"/"&amp;COUNTIFS(S$4:S$200,"&lt;&gt;-",$D$4:$D$200,"&lt;&gt;是",$E$4:$E$200,"&lt;&gt;封闭期",$H$4:$H$200,"&gt;10",$BN$4:$BN$200,"&gt;-6",$BR$4:$BR$200,"&gt;=70",$C$4:$C$200,"&lt;20190630",$K$4:$K$200,"&lt;=30"))</f>
        <v>-</v>
      </c>
      <c r="W159" s="33" t="str">
        <f>IF(OR($C159&gt;20190630,$K159&gt;30,S159="-",$D159="是",$E159="封闭期",$H159&lt;10,$BN159&lt;-6,$BR159&lt;70),"-",COUNTIFS(S$4:S$200,"&lt;&gt;-",$D$4:$D$200,"&lt;&gt;是",$E$4:$E$200,"&lt;&gt;封闭期",$H$4:$H$200,"&gt;10",$BN$4:$BN$200,"&gt;-6",$BR$4:$BR$200,"&gt;=70",$K$4:$K$200,"&lt;=30",$C$4:$C$200,"&lt;20190630",S$4:S$200,"&gt;="&amp;S159)/COUNTIFS(S$4:S$200,"&lt;&gt;-",$D$4:$D$200,"&lt;&gt;是",$E$4:$E$200,"&lt;&gt;封闭期",$H$4:$H$200,"&gt;10",$BN$4:$BN$200,"&gt;-6",$BR$4:$BR$200,"&gt;=70",$C$4:$C$200,"&lt;20190630",$K$4:$K$200,"&lt;=30"))</f>
        <v>-</v>
      </c>
      <c r="X159" s="19">
        <f>[1]!f_risk_calmar(A159,$L$2,$E$1)</f>
        <v>1.4316715887209532</v>
      </c>
      <c r="Y159" s="19" t="str">
        <f>IFERROR(RANK(X159,X:X)&amp;"/"&amp;COUNT(X:X),"-")</f>
        <v>132/197</v>
      </c>
      <c r="Z159" s="26">
        <f>IFERROR(RANK(X159,X:X)/COUNT(X:X),"-")</f>
        <v>0.67005076142131981</v>
      </c>
      <c r="AA159" s="34" t="str">
        <f>IF(OR($C159&gt;20190630,$K159&gt;30,X159="-",$D159="是",$E159="封闭期",$H159&lt;10,$BN159&lt;-6,$BR159&lt;70),"-",COUNTIFS(X$4:X$200,"&lt;&gt;-",$D$4:$D$200,"&lt;&gt;是",$E$4:$E$200,"&lt;&gt;封闭期",$H$4:$H$200,"&gt;10",$BN$4:$BN$200,"&gt;-6",$BR$4:$BR$200,"&gt;=70",$K$4:$K$200,"&lt;=30",$C$4:$C$200,"&lt;20190630",X$4:X$200,"&gt;="&amp;X159)&amp;"/"&amp;COUNTIFS(X$4:X$200,"&lt;&gt;-",$D$4:$D$200,"&lt;&gt;是",$E$4:$E$200,"&lt;&gt;封闭期",$H$4:$H$200,"&gt;10",$BN$4:$BN$200,"&gt;-6",$BR$4:$BR$200,"&gt;=70",$C$4:$C$200,"&lt;20190630",$K$4:$K$200,"&lt;=30"))</f>
        <v>-</v>
      </c>
      <c r="AB159" s="33" t="str">
        <f>IF(OR($C159&gt;20190630,$K159&gt;30,X159="-",$D159="是",$E159="封闭期",$H159&lt;10,$BN159&lt;-6,$BR159&lt;70),"-",COUNTIFS(X$4:X$200,"&lt;&gt;-",$D$4:$D$200,"&lt;&gt;是",$E$4:$E$200,"&lt;&gt;封闭期",$H$4:$H$200,"&gt;10",$BN$4:$BN$200,"&gt;-6",$BR$4:$BR$200,"&gt;=70",$K$4:$K$200,"&lt;=30",$C$4:$C$200,"&lt;20190630",X$4:X$200,"&gt;="&amp;X159)/COUNTIFS(X$4:X$200,"&lt;&gt;-",$D$4:$D$200,"&lt;&gt;是",$E$4:$E$200,"&lt;&gt;封闭期",$H$4:$H$200,"&gt;10",$BN$4:$BN$200,"&gt;-6",$BR$4:$BR$200,"&gt;=70",$C$4:$C$200,"&lt;20190630",$K$4:$K$200,"&lt;=30"))</f>
        <v>-</v>
      </c>
      <c r="AC159" s="20">
        <v>0.77310924369747902</v>
      </c>
      <c r="AD159" s="19" t="str">
        <f>IFERROR(RANK(AC159,AC:AC)&amp;"/"&amp;COUNT(AC:AC),"-")</f>
        <v>152/197</v>
      </c>
      <c r="AE159" s="26">
        <f>IFERROR(RANK(AC159,AC:AC)/COUNT(AC:AC),"-")</f>
        <v>0.77157360406091369</v>
      </c>
      <c r="AF159" s="34" t="str">
        <f>IF(OR($C159&gt;20190630,$K159&gt;30,AC159="-",$D159="是",$E159="封闭期",$H159&lt;10,$BN159&lt;-6,$BR159&lt;70),"-",COUNTIFS(AC$4:AC$200,"&lt;&gt;-",$D$4:$D$200,"&lt;&gt;是",$E$4:$E$200,"&lt;&gt;封闭期",$H$4:$H$200,"&gt;10",$BN$4:$BN$200,"&gt;-6",$BR$4:$BR$200,"&gt;=70",$K$4:$K$200,"&lt;=30",$C$4:$C$200,"&lt;20190630",AC$4:AC$200,"&gt;="&amp;AC159)&amp;"/"&amp;COUNTIFS(AC$4:AC$200,"&lt;&gt;-",$D$4:$D$200,"&lt;&gt;是",$E$4:$E$200,"&lt;&gt;封闭期",$H$4:$H$200,"&gt;10",$BN$4:$BN$200,"&gt;-6",$BR$4:$BR$200,"&gt;=70",$C$4:$C$200,"&lt;20190630",$K$4:$K$200,"&lt;=30"))</f>
        <v>-</v>
      </c>
      <c r="AG159" s="33" t="str">
        <f>IF(OR($C159&gt;20190630,$K159&gt;30,AC159="-",$D159="是",$E159="封闭期",$H159&lt;10,$BN159&lt;-6,$BR159&lt;70),"-",COUNTIFS(AC$4:AC$200,"&lt;&gt;-",$D$4:$D$200,"&lt;&gt;是",$E$4:$E$200,"&lt;&gt;封闭期",$H$4:$H$200,"&gt;10",$BN$4:$BN$200,"&gt;-6",$BR$4:$BR$200,"&gt;=70",$K$4:$K$200,"&lt;=30",$C$4:$C$200,"&lt;20190630",AC$4:AC$200,"&gt;="&amp;AC159)/COUNTIFS(AC$4:AC$200,"&lt;&gt;-",$D$4:$D$200,"&lt;&gt;是",$E$4:$E$200,"&lt;&gt;封闭期",$H$4:$H$200,"&gt;10",$BN$4:$BN$200,"&gt;-6",$BR$4:$BR$200,"&gt;=70",$C$4:$C$200,"&lt;20190630",$K$4:$K$200,"&lt;=30"))</f>
        <v>-</v>
      </c>
      <c r="AH159" s="21">
        <f>[1]!f_risk_maxdownside(A159,$L$2,$E$1)</f>
        <v>-1.8837367882713951</v>
      </c>
      <c r="AI159" s="19" t="str">
        <f>IFERROR(RANK(AH159,AH:AH)&amp;"/"&amp;COUNT(AH:AH),"-")</f>
        <v>55/197</v>
      </c>
      <c r="AJ159" s="26">
        <f>IFERROR(RANK(AH159,AH:AH)/COUNT(AH:AH),"-")</f>
        <v>0.27918781725888325</v>
      </c>
      <c r="AK159" s="34" t="str">
        <f>IF(OR($C159&gt;20190630,$K159&gt;30,AH159="-",$D159="是",$E159="封闭期",$H159&lt;10,$BN159&lt;-6,$BR159&lt;70),"-",COUNTIFS(AH$4:AH$200,"&lt;&gt;-",$D$4:$D$200,"&lt;&gt;是",$E$4:$E$200,"&lt;&gt;封闭期",$H$4:$H$200,"&gt;10",$BN$4:$BN$200,"&gt;-6",$BR$4:$BR$200,"&gt;=70",$K$4:$K$200,"&lt;=30",$C$4:$C$200,"&lt;20190630",AH$4:AH$200,"&gt;="&amp;AH159)&amp;"/"&amp;COUNTIFS(AH$4:AH$200,"&lt;&gt;-",$D$4:$D$200,"&lt;&gt;是",$E$4:$E$200,"&lt;&gt;封闭期",$H$4:$H$200,"&gt;10",$BN$4:$BN$200,"&gt;-6",$BR$4:$BR$200,"&gt;=70",$C$4:$C$200,"&lt;20190630",$K$4:$K$200,"&lt;=30"))</f>
        <v>-</v>
      </c>
      <c r="AL159" s="33" t="str">
        <f>IF(OR($C159&gt;20190630,$K159&gt;30,AH159="-",$D159="是",$E159="封闭期",$H159&lt;10,$BN159&lt;-6,$BR159&lt;70),"-",COUNTIFS(AH$4:AH$200,"&lt;&gt;-",$D$4:$D$200,"&lt;&gt;是",$E$4:$E$200,"&lt;&gt;封闭期",$H$4:$H$200,"&gt;10",$BN$4:$BN$200,"&gt;-6",$BR$4:$BR$200,"&gt;=70",$K$4:$K$200,"&lt;=30",$C$4:$C$200,"&lt;20190630",AH$4:AH$200,"&gt;="&amp;AH159)/COUNTIFS(AH$4:AH$200,"&lt;&gt;-",$D$4:$D$200,"&lt;&gt;是",$E$4:$E$200,"&lt;&gt;封闭期",$H$4:$H$200,"&gt;10",$BN$4:$BN$200,"&gt;-6",$BR$4:$BR$200,"&gt;=70",$C$4:$C$200,"&lt;20190630",$K$4:$K$200,"&lt;=30"))</f>
        <v>-</v>
      </c>
      <c r="AM159" s="19">
        <f>[1]!f_return($A159,"1",AM$2,$L$2)</f>
        <v>3.7790515168417249</v>
      </c>
      <c r="AN159" s="19">
        <f>[1]!f_risk_stdevyearly($A159,AM$2,$L$2,1,1)</f>
        <v>2.6113801582268783</v>
      </c>
      <c r="AO159" s="19">
        <f>IFERROR(AM159/AN159,"-")</f>
        <v>1.4471472125328904</v>
      </c>
      <c r="AP159" s="19" t="str">
        <f>IFERROR(RANK(AO159,AO:AO)&amp;"/"&amp;COUNT(AO:AO),"-")</f>
        <v>112/197</v>
      </c>
      <c r="AQ159" s="26">
        <f>IF(AP159="-","-",RANK(AO159,AO:AO)/COUNT(AO:AO))</f>
        <v>0.56852791878172593</v>
      </c>
      <c r="AR159" s="57">
        <v>0.79187817258883253</v>
      </c>
      <c r="AS159" s="33" t="str">
        <f>IF(OR($C159&gt;20190630,$K159&gt;30,AO159="-",$D159="是",$E159="封闭期",$H159&lt;10,$BN159&lt;-6,$BR159&lt;70),"-",COUNTIFS(AO$4:AO$200,"&lt;&gt;-",$D$4:$D$200,"&lt;&gt;是",$E$4:$E$200,"&lt;&gt;封闭期",$H$4:$H$200,"&gt;10",$BN$4:$BN$200,"&gt;-6",$BR$4:$BR$200,"&gt;=70",$K$4:$K$200,"&lt;=30",$C$4:$C$200,"&lt;20190630",AO$4:AO$200,"&gt;="&amp;AO159)/COUNTIFS(AO$4:AO$200,"&lt;&gt;-",$D$4:$D$200,"&lt;&gt;是",$E$4:$E$200,"&lt;&gt;封闭期",$H$4:$H$200,"&gt;10",$BN$4:$BN$200,"&gt;-6",$BR$4:$BR$200,"&gt;=70",$C$4:$C$200,"&lt;20190630",$K$4:$K$200,"&lt;=30"))</f>
        <v>-</v>
      </c>
      <c r="AT159" s="19">
        <f>IFERROR((AM159-3)/AN159,"-")</f>
        <v>0.29832941572578203</v>
      </c>
      <c r="AU159" s="19" t="str">
        <f>IFERROR(RANK(AT159,AT:AT)&amp;"/"&amp;COUNT(AT:AT),"-")</f>
        <v>154/197</v>
      </c>
      <c r="AV159" s="26">
        <f>IFERROR(RANK(AT159,AT:AT)/COUNT(AT:AT),"-")</f>
        <v>0.78172588832487311</v>
      </c>
      <c r="AW159" s="34" t="str">
        <f>IF(OR($C159&gt;20190630,$K159&gt;30,AT159="-",$D159="是",$E159="封闭期",$H159&lt;10,$BN159&lt;-6,$BR159&lt;70),"-",COUNTIFS(AT$4:AT$200,"&lt;&gt;-",$D$4:$D$200,"&lt;&gt;是",$E$4:$E$200,"&lt;&gt;封闭期",$H$4:$H$200,"&gt;10",$BN$4:$BN$200,"&gt;-6",$BR$4:$BR$200,"&gt;=70",$K$4:$K$200,"&lt;=30",$C$4:$C$200,"&lt;20190630",AT$4:AT$200,"&gt;="&amp;AT159)&amp;"/"&amp;COUNTIFS(AT$4:AT$200,"&lt;&gt;-",$D$4:$D$200,"&lt;&gt;是",$E$4:$E$200,"&lt;&gt;封闭期",$H$4:$H$200,"&gt;10",$BN$4:$BN$200,"&gt;-6",$BR$4:$BR$200,"&gt;=70",$C$4:$C$200,"&lt;20190630",$K$4:$K$200,"&lt;=30"))</f>
        <v>-</v>
      </c>
      <c r="AX159" s="33" t="str">
        <f>IF(OR($C159&gt;20190630,$K159&gt;30,AT159="-",$D159="是",$E159="封闭期",$H159&lt;10,$BN159&lt;-6,$BR159&lt;70),"-",COUNTIFS(AT$4:AT$200,"&lt;&gt;-",$D$4:$D$200,"&lt;&gt;是",$E$4:$E$200,"&lt;&gt;封闭期",$H$4:$H$200,"&gt;10",$BN$4:$BN$200,"&gt;-6",$BR$4:$BR$200,"&gt;=70",$K$4:$K$200,"&lt;=30",$C$4:$C$200,"&lt;20190630",AT$4:AT$200,"&gt;="&amp;AT159)/COUNTIFS(AT$4:AT$200,"&lt;&gt;-",$D$4:$D$200,"&lt;&gt;是",$E$4:$E$200,"&lt;&gt;封闭期",$H$4:$H$200,"&gt;10",$BN$4:$BN$200,"&gt;-6",$BR$4:$BR$200,"&gt;=70",$C$4:$C$200,"&lt;20190630",$K$4:$K$200,"&lt;=30"))</f>
        <v>-</v>
      </c>
      <c r="AY159" s="19">
        <f>[1]!f_risk_calmar(A159,$AM$2,$L$2)</f>
        <v>3.1296893058180317</v>
      </c>
      <c r="AZ159" s="19" t="str">
        <f>IFERROR(RANK(AY159,AY:AY)&amp;"/"&amp;COUNT(AY:AY),"-")</f>
        <v>44/197</v>
      </c>
      <c r="BA159" s="26">
        <f>IFERROR(RANK(AY159,AY:AY)/COUNT(AY:AY),"-")</f>
        <v>0.2233502538071066</v>
      </c>
      <c r="BB159" s="34" t="str">
        <f>IF(OR($C159&gt;20190630,$K159&gt;30,AY159="-",$D159="是",$E159="封闭期",$H159&lt;10,$BN159&lt;-6,$BR159&lt;70),"-",COUNTIFS(AY$4:AY$200,"&lt;&gt;-",$D$4:$D$200,"&lt;&gt;是",$E$4:$E$200,"&lt;&gt;封闭期",$H$4:$H$200,"&gt;10",$BN$4:$BN$200,"&gt;-6",$BR$4:$BR$200,"&gt;=70",$K$4:$K$200,"&lt;=30",$C$4:$C$200,"&lt;20190630",AY$4:AY$200,"&gt;="&amp;AY159)&amp;"/"&amp;COUNTIFS(AY$4:AY$200,"&lt;&gt;-",$D$4:$D$200,"&lt;&gt;是",$E$4:$E$200,"&lt;&gt;封闭期",$H$4:$H$200,"&gt;10",$BN$4:$BN$200,"&gt;-6",$BR$4:$BR$200,"&gt;=70",$C$4:$C$200,"&lt;20190630",$K$4:$K$200,"&lt;=30"))</f>
        <v>-</v>
      </c>
      <c r="BC159" s="33" t="str">
        <f>IF(OR($C159&gt;20190630,$K159&gt;30,AY159="-",$D159="是",$E159="封闭期",$H159&lt;10,$BN159&lt;-6,$BR159&lt;70),"-",COUNTIFS(AY$4:AY$200,"&lt;&gt;-",$D$4:$D$200,"&lt;&gt;是",$E$4:$E$200,"&lt;&gt;封闭期",$H$4:$H$200,"&gt;10",$BN$4:$BN$200,"&gt;-6",$BR$4:$BR$200,"&gt;=70",$K$4:$K$200,"&lt;=30",$C$4:$C$200,"&lt;20190630",AY$4:AY$200,"&gt;="&amp;AY159)/COUNTIFS(AY$4:AY$200,"&lt;&gt;-",$D$4:$D$200,"&lt;&gt;是",$E$4:$E$200,"&lt;&gt;封闭期",$H$4:$H$200,"&gt;10",$BN$4:$BN$200,"&gt;-6",$BR$4:$BR$200,"&gt;=70",$C$4:$C$200,"&lt;20190630",$K$4:$K$200,"&lt;=30"))</f>
        <v>-</v>
      </c>
      <c r="BD159" s="20">
        <v>1</v>
      </c>
      <c r="BE159" s="19" t="str">
        <f>IFERROR(RANK(BD159,BD:BD)&amp;"/"&amp;COUNT(BD:BD),"-")</f>
        <v>1/197</v>
      </c>
      <c r="BF159" s="26">
        <f>IFERROR(RANK(BD159,BD:BD)/COUNT(BD:BD),"-")</f>
        <v>5.076142131979695E-3</v>
      </c>
      <c r="BG159" s="34" t="str">
        <f>IF(OR($C159&gt;20190630,$K159&gt;30,BD159="-",$D159="是",$E159="封闭期",$H159&lt;10,$BN159&lt;-6,$BR159&lt;70),"-",COUNTIFS(BD$4:BD$200,"&lt;&gt;-",$D$4:$D$200,"&lt;&gt;是",$E$4:$E$200,"&lt;&gt;封闭期",$H$4:$H$200,"&gt;10",$BN$4:$BN$200,"&gt;-6",$BR$4:$BR$200,"&gt;=70",$K$4:$K$200,"&lt;=30",$C$4:$C$200,"&lt;20190630",BD$4:BD$200,"&gt;="&amp;BD159)&amp;"/"&amp;COUNTIFS(BD$4:BD$200,"&lt;&gt;-",$D$4:$D$200,"&lt;&gt;是",$E$4:$E$200,"&lt;&gt;封闭期",$H$4:$H$200,"&gt;10",$BN$4:$BN$200,"&gt;-6",$BR$4:$BR$200,"&gt;=70",$C$4:$C$200,"&lt;20190630",$K$4:$K$200,"&lt;=30"))</f>
        <v>-</v>
      </c>
      <c r="BH159" s="33" t="str">
        <f>IF(OR($C159&gt;20190630,$K159&gt;30,BD159="-",$D159="是",$E159="封闭期",$H159&lt;10,$BN159&lt;-6,$BR159&lt;70),"-",COUNTIFS(BD$4:BD$200,"&lt;&gt;-",$D$4:$D$200,"&lt;&gt;是",$E$4:$E$200,"&lt;&gt;封闭期",$H$4:$H$200,"&gt;10",$BN$4:$BN$200,"&gt;-6",$BR$4:$BR$200,"&gt;=70",$K$4:$K$200,"&lt;=30",$C$4:$C$200,"&lt;20190630",BD$4:BD$200,"&gt;="&amp;BD159)/COUNTIFS(BD$4:BD$200,"&lt;&gt;-",$D$4:$D$200,"&lt;&gt;是",$E$4:$E$200,"&lt;&gt;封闭期",$H$4:$H$200,"&gt;10",$BN$4:$BN$200,"&gt;-6",$BR$4:$BR$200,"&gt;=70",$C$4:$C$200,"&lt;20190630",$K$4:$K$200,"&lt;=30"))</f>
        <v>-</v>
      </c>
      <c r="BI159" s="21">
        <f>[1]!f_risk_maxdownside(A159,$AM$2,$L$2)</f>
        <v>-1.2074845607890028</v>
      </c>
      <c r="BJ159" s="19" t="str">
        <f>IFERROR(RANK(BI159,BI:BI)&amp;"/"&amp;COUNT(BI:BI),"-")</f>
        <v>9/197</v>
      </c>
      <c r="BK159" s="26">
        <f>IFERROR(RANK(BI159,BI:BI)/COUNT(BI:BI),"-")</f>
        <v>4.5685279187817257E-2</v>
      </c>
      <c r="BL159" s="34" t="str">
        <f>IF(OR($C159&gt;20190630,$K159&gt;30,BI159="-",$D159="是",$E159="封闭期",$H159&lt;10,$BN159&lt;-6,$BR159&lt;70),"-",COUNTIFS(BI$4:BI$200,"&lt;&gt;-",$D$4:$D$200,"&lt;&gt;是",$E$4:$E$200,"&lt;&gt;封闭期",$H$4:$H$200,"&gt;10",$BN$4:$BN$200,"&gt;-6",$BR$4:$BR$200,"&gt;=70",$K$4:$K$200,"&lt;=30",$C$4:$C$200,"&lt;20190630",BI$4:BI$200,"&gt;="&amp;BI159)&amp;"/"&amp;COUNTIFS(BI$4:BI$200,"&lt;&gt;-",$D$4:$D$200,"&lt;&gt;是",$E$4:$E$200,"&lt;&gt;封闭期",$H$4:$H$200,"&gt;10",$BN$4:$BN$200,"&gt;-6",$BR$4:$BR$200,"&gt;=70",$C$4:$C$200,"&lt;20190630",$K$4:$K$200,"&lt;=30"))</f>
        <v>-</v>
      </c>
      <c r="BM159" s="33" t="str">
        <f>IF(OR($C159&gt;20190630,$K159&gt;30,BI159="-",$D159="是",$E159="封闭期",$H159&lt;10,$BN159&lt;-6,$BR159&lt;70),"-",COUNTIFS(BI$4:BI$200,"&lt;&gt;-",$D$4:$D$200,"&lt;&gt;是",$E$4:$E$200,"&lt;&gt;封闭期",$H$4:$H$200,"&gt;10",$BN$4:$BN$200,"&gt;-6",$BR$4:$BR$200,"&gt;=70",$K$4:$K$200,"&lt;=30",$C$4:$C$200,"&lt;20190630",BI$4:BI$200,"&gt;="&amp;BI159)/COUNTIFS(BI$4:BI$200,"&lt;&gt;-",$D$4:$D$200,"&lt;&gt;是",$E$4:$E$200,"&lt;&gt;封闭期",$H$4:$H$200,"&gt;10",$BN$4:$BN$200,"&gt;-6",$BR$4:$BR$200,"&gt;=70",$C$4:$C$200,"&lt;20190630",$K$4:$K$200,"&lt;=30"))</f>
        <v>-</v>
      </c>
      <c r="BN159" s="21">
        <f>[1]!f_risk_maxdownside(A159,$AM$2,$E$1)</f>
        <v>-1.8837367882713951</v>
      </c>
      <c r="BO159" s="21">
        <f>IF(C159&lt;20190930,[1]!f_return_2y(A159,"0","20210930"),"-")</f>
        <v>6.834532374100724</v>
      </c>
      <c r="BP159" s="19" t="str">
        <f>IFERROR(RANK(BO159,BO:BO)&amp;"/"&amp;COUNT(BO:BO),"-")</f>
        <v>171/197</v>
      </c>
      <c r="BQ159" s="25">
        <f>IFERROR(RANK(BO159,BO:BO)/COUNT(BO:BO),"-")</f>
        <v>0.86802030456852797</v>
      </c>
      <c r="BR159" s="19">
        <f>IF(C159&lt;20190930,[1]!f_absolute_profitmonthper(A159,"20190930","20210930"),"-")</f>
        <v>66.666666666666657</v>
      </c>
      <c r="BS159" s="19" t="str">
        <f>IFERROR(RANK(BR159,BR:BR)&amp;"/"&amp;COUNT(BR:BR),"-")</f>
        <v>115/198</v>
      </c>
      <c r="BT159" s="25">
        <f>IFERROR(RANK(BR159,BR:BR)/COUNT(BR:BR),"-")</f>
        <v>0.58080808080808077</v>
      </c>
      <c r="BV159" s="12">
        <f>X159-3/M159</f>
        <v>0.53668124684310359</v>
      </c>
      <c r="BW159" s="76">
        <f>IFERROR(RANK(BV159,BV:BV)/COUNT(BV:BV),"-")</f>
        <v>0.73096446700507611</v>
      </c>
      <c r="BX159" s="76">
        <f>IFERROR(RANK(L159,L:L)/COUNT(L:L),"-")</f>
        <v>0.85858585858585856</v>
      </c>
      <c r="BY159" s="12">
        <f>AY159-3/AN159</f>
        <v>1.9808715090109235</v>
      </c>
      <c r="BZ159" s="76">
        <f>IFERROR(RANK(BY159,BY:BY)/COUNT(BY:BY),"-")</f>
        <v>0.34517766497461927</v>
      </c>
      <c r="CA159" s="76">
        <f>IFERROR(RANK(AM159,AM:AM)/COUNT(AM:AM),"-")</f>
        <v>0.79292929292929293</v>
      </c>
      <c r="CB159" s="2"/>
      <c r="CC159" s="77">
        <f>AV159+BF159+BZ159+CA159</f>
        <v>1.9249089883607651</v>
      </c>
      <c r="CD159" s="77">
        <f>BW159+BX159+AE159+U159</f>
        <v>3.2139158078244372</v>
      </c>
      <c r="CE159" s="77">
        <f>CC159+CD159</f>
        <v>5.1388247961852027</v>
      </c>
    </row>
    <row r="160" spans="1:83" s="17" customFormat="1" hidden="1" x14ac:dyDescent="0.35">
      <c r="A160" s="15" t="s">
        <v>377</v>
      </c>
      <c r="B160" s="15" t="s">
        <v>378</v>
      </c>
      <c r="C160" s="16">
        <v>20180809</v>
      </c>
      <c r="D160" s="16" t="str">
        <f>[1]!f_info_regulopenfundornot(A160)</f>
        <v>否</v>
      </c>
      <c r="E160" s="16" t="str">
        <f>[1]!f_dq_status(A160,$E$1)</f>
        <v>暂停大额申购|开放赎回</v>
      </c>
      <c r="F160" s="17" t="str">
        <f>[1]!f_info_fundmanager(A160)</f>
        <v>张丽华</v>
      </c>
      <c r="G160" s="16">
        <v>20180809</v>
      </c>
      <c r="H160" s="18">
        <f>[1]!f_netasset_total(A160,$E$1,100000000)</f>
        <v>1.7562452997</v>
      </c>
      <c r="I160" s="18">
        <f>[1]!f_prt_convertiblebondtonav(A160,$E$1)</f>
        <v>21.796775817871094</v>
      </c>
      <c r="J160" s="18">
        <f>[1]!f_prt_stocktonav(A160,$E$1)+0.5*I160</f>
        <v>21.404041290283203</v>
      </c>
      <c r="K160" s="19">
        <v>12.606097794984461</v>
      </c>
      <c r="L160" s="19">
        <f>[1]!f_return($A160,"1",L$2,$E$1)</f>
        <v>4.4007593444366444</v>
      </c>
      <c r="M160" s="19">
        <f>[1]!f_risk_stdevyearly($A160,L$2,$E$1,1,1)</f>
        <v>5.2815745189675782</v>
      </c>
      <c r="N160" s="19">
        <f>IFERROR(L160/M160,"-")</f>
        <v>0.8332286761518396</v>
      </c>
      <c r="O160" s="19" t="str">
        <f>IFERROR(RANK(N160,N:N)&amp;"/"&amp;COUNT(N:N),"-")</f>
        <v>152/197</v>
      </c>
      <c r="P160" s="26">
        <f>IF(O160="-","-",RANK(N160,N:N)/COUNT(N:N))</f>
        <v>0.77157360406091369</v>
      </c>
      <c r="Q160" s="56">
        <v>0.6649746192893401</v>
      </c>
      <c r="R160" s="33" t="str">
        <f>IF(OR($C160&gt;20190630,$K160&gt;30,N160="-",$D160="是",$E160="封闭期",$H160&lt;10,$BN160&lt;-6,$BR160&lt;70),"-",COUNTIFS(N$4:N$200,"&lt;&gt;-",$D$4:$D$200,"&lt;&gt;是",$E$4:$E$200,"&lt;&gt;封闭期",$H$4:$H$200,"&gt;10",$BN$4:$BN$200,"&gt;-6",$BR$4:$BR$200,"&gt;=70",$K$4:$K$200,"&lt;=30",$C$4:$C$200,"&lt;20190630",N$4:N$200,"&gt;="&amp;N160)/COUNTIFS(N$4:N$200,"&lt;&gt;-",$D$4:$D$200,"&lt;&gt;是",$E$4:$E$200,"&lt;&gt;封闭期",$H$4:$H$200,"&gt;10",$BN$4:$BN$200,"&gt;-6",$BR$4:$BR$200,"&gt;=70",$C$4:$C$200,"&lt;20190630",$K$4:$K$200,"&lt;=30"))</f>
        <v>-</v>
      </c>
      <c r="S160" s="19">
        <f>IFERROR((L160-3)/M160,"-")</f>
        <v>0.26521624174876918</v>
      </c>
      <c r="T160" s="19" t="str">
        <f>IFERROR(RANK(S160,S:S)&amp;"/"&amp;COUNT(S:S),"-")</f>
        <v>144/197</v>
      </c>
      <c r="U160" s="26">
        <f>IFERROR(RANK(S160,S:S)/COUNT(S:S),"-")</f>
        <v>0.73096446700507611</v>
      </c>
      <c r="V160" s="34" t="str">
        <f>IF(OR($C160&gt;20190630,$K160&gt;30,S160="-",$D160="是",$E160="封闭期",$H160&lt;10,$BN160&lt;-6,$BR160&lt;70),"-",COUNTIFS(S$4:S$200,"&lt;&gt;-",$D$4:$D$200,"&lt;&gt;是",$E$4:$E$200,"&lt;&gt;封闭期",$H$4:$H$200,"&gt;10",$BN$4:$BN$200,"&gt;-6",$BR$4:$BR$200,"&gt;=70",$K$4:$K$200,"&lt;=30",$C$4:$C$200,"&lt;20190630",S$4:S$200,"&gt;="&amp;S160)&amp;"/"&amp;COUNTIFS(S$4:S$200,"&lt;&gt;-",$D$4:$D$200,"&lt;&gt;是",$E$4:$E$200,"&lt;&gt;封闭期",$H$4:$H$200,"&gt;10",$BN$4:$BN$200,"&gt;-6",$BR$4:$BR$200,"&gt;=70",$C$4:$C$200,"&lt;20190630",$K$4:$K$200,"&lt;=30"))</f>
        <v>-</v>
      </c>
      <c r="W160" s="33" t="str">
        <f>IF(OR($C160&gt;20190630,$K160&gt;30,S160="-",$D160="是",$E160="封闭期",$H160&lt;10,$BN160&lt;-6,$BR160&lt;70),"-",COUNTIFS(S$4:S$200,"&lt;&gt;-",$D$4:$D$200,"&lt;&gt;是",$E$4:$E$200,"&lt;&gt;封闭期",$H$4:$H$200,"&gt;10",$BN$4:$BN$200,"&gt;-6",$BR$4:$BR$200,"&gt;=70",$K$4:$K$200,"&lt;=30",$C$4:$C$200,"&lt;20190630",S$4:S$200,"&gt;="&amp;S160)/COUNTIFS(S$4:S$200,"&lt;&gt;-",$D$4:$D$200,"&lt;&gt;是",$E$4:$E$200,"&lt;&gt;封闭期",$H$4:$H$200,"&gt;10",$BN$4:$BN$200,"&gt;-6",$BR$4:$BR$200,"&gt;=70",$C$4:$C$200,"&lt;20190630",$K$4:$K$200,"&lt;=30"))</f>
        <v>-</v>
      </c>
      <c r="X160" s="19">
        <f>[1]!f_risk_calmar(A160,$L$2,$E$1)</f>
        <v>0.98561834283158589</v>
      </c>
      <c r="Y160" s="19" t="str">
        <f>IFERROR(RANK(X160,X:X)&amp;"/"&amp;COUNT(X:X),"-")</f>
        <v>160/197</v>
      </c>
      <c r="Z160" s="26">
        <f>IFERROR(RANK(X160,X:X)/COUNT(X:X),"-")</f>
        <v>0.81218274111675126</v>
      </c>
      <c r="AA160" s="34" t="str">
        <f>IF(OR($C160&gt;20190630,$K160&gt;30,X160="-",$D160="是",$E160="封闭期",$H160&lt;10,$BN160&lt;-6,$BR160&lt;70),"-",COUNTIFS(X$4:X$200,"&lt;&gt;-",$D$4:$D$200,"&lt;&gt;是",$E$4:$E$200,"&lt;&gt;封闭期",$H$4:$H$200,"&gt;10",$BN$4:$BN$200,"&gt;-6",$BR$4:$BR$200,"&gt;=70",$K$4:$K$200,"&lt;=30",$C$4:$C$200,"&lt;20190630",X$4:X$200,"&gt;="&amp;X160)&amp;"/"&amp;COUNTIFS(X$4:X$200,"&lt;&gt;-",$D$4:$D$200,"&lt;&gt;是",$E$4:$E$200,"&lt;&gt;封闭期",$H$4:$H$200,"&gt;10",$BN$4:$BN$200,"&gt;-6",$BR$4:$BR$200,"&gt;=70",$C$4:$C$200,"&lt;20190630",$K$4:$K$200,"&lt;=30"))</f>
        <v>-</v>
      </c>
      <c r="AB160" s="33" t="str">
        <f>IF(OR($C160&gt;20190630,$K160&gt;30,X160="-",$D160="是",$E160="封闭期",$H160&lt;10,$BN160&lt;-6,$BR160&lt;70),"-",COUNTIFS(X$4:X$200,"&lt;&gt;-",$D$4:$D$200,"&lt;&gt;是",$E$4:$E$200,"&lt;&gt;封闭期",$H$4:$H$200,"&gt;10",$BN$4:$BN$200,"&gt;-6",$BR$4:$BR$200,"&gt;=70",$K$4:$K$200,"&lt;=30",$C$4:$C$200,"&lt;20190630",X$4:X$200,"&gt;="&amp;X160)/COUNTIFS(X$4:X$200,"&lt;&gt;-",$D$4:$D$200,"&lt;&gt;是",$E$4:$E$200,"&lt;&gt;封闭期",$H$4:$H$200,"&gt;10",$BN$4:$BN$200,"&gt;-6",$BR$4:$BR$200,"&gt;=70",$C$4:$C$200,"&lt;20190630",$K$4:$K$200,"&lt;=30"))</f>
        <v>-</v>
      </c>
      <c r="AC160" s="20">
        <v>0.68067226890756305</v>
      </c>
      <c r="AD160" s="19" t="str">
        <f>IFERROR(RANK(AC160,AC:AC)&amp;"/"&amp;COUNT(AC:AC),"-")</f>
        <v>170/197</v>
      </c>
      <c r="AE160" s="26">
        <f>IFERROR(RANK(AC160,AC:AC)/COUNT(AC:AC),"-")</f>
        <v>0.86294416243654826</v>
      </c>
      <c r="AF160" s="34" t="str">
        <f>IF(OR($C160&gt;20190630,$K160&gt;30,AC160="-",$D160="是",$E160="封闭期",$H160&lt;10,$BN160&lt;-6,$BR160&lt;70),"-",COUNTIFS(AC$4:AC$200,"&lt;&gt;-",$D$4:$D$200,"&lt;&gt;是",$E$4:$E$200,"&lt;&gt;封闭期",$H$4:$H$200,"&gt;10",$BN$4:$BN$200,"&gt;-6",$BR$4:$BR$200,"&gt;=70",$K$4:$K$200,"&lt;=30",$C$4:$C$200,"&lt;20190630",AC$4:AC$200,"&gt;="&amp;AC160)&amp;"/"&amp;COUNTIFS(AC$4:AC$200,"&lt;&gt;-",$D$4:$D$200,"&lt;&gt;是",$E$4:$E$200,"&lt;&gt;封闭期",$H$4:$H$200,"&gt;10",$BN$4:$BN$200,"&gt;-6",$BR$4:$BR$200,"&gt;=70",$C$4:$C$200,"&lt;20190630",$K$4:$K$200,"&lt;=30"))</f>
        <v>-</v>
      </c>
      <c r="AG160" s="33" t="str">
        <f>IF(OR($C160&gt;20190630,$K160&gt;30,AC160="-",$D160="是",$E160="封闭期",$H160&lt;10,$BN160&lt;-6,$BR160&lt;70),"-",COUNTIFS(AC$4:AC$200,"&lt;&gt;-",$D$4:$D$200,"&lt;&gt;是",$E$4:$E$200,"&lt;&gt;封闭期",$H$4:$H$200,"&gt;10",$BN$4:$BN$200,"&gt;-6",$BR$4:$BR$200,"&gt;=70",$K$4:$K$200,"&lt;=30",$C$4:$C$200,"&lt;20190630",AC$4:AC$200,"&gt;="&amp;AC160)/COUNTIFS(AC$4:AC$200,"&lt;&gt;-",$D$4:$D$200,"&lt;&gt;是",$E$4:$E$200,"&lt;&gt;封闭期",$H$4:$H$200,"&gt;10",$BN$4:$BN$200,"&gt;-6",$BR$4:$BR$200,"&gt;=70",$C$4:$C$200,"&lt;20190630",$K$4:$K$200,"&lt;=30"))</f>
        <v>-</v>
      </c>
      <c r="AH160" s="21">
        <f>[1]!f_risk_maxdownside(A160,$L$2,$E$1)</f>
        <v>-4.4649730561970769</v>
      </c>
      <c r="AI160" s="19" t="str">
        <f>IFERROR(RANK(AH160,AH:AH)&amp;"/"&amp;COUNT(AH:AH),"-")</f>
        <v>141/197</v>
      </c>
      <c r="AJ160" s="26">
        <f>IFERROR(RANK(AH160,AH:AH)/COUNT(AH:AH),"-")</f>
        <v>0.71573604060913709</v>
      </c>
      <c r="AK160" s="34" t="str">
        <f>IF(OR($C160&gt;20190630,$K160&gt;30,AH160="-",$D160="是",$E160="封闭期",$H160&lt;10,$BN160&lt;-6,$BR160&lt;70),"-",COUNTIFS(AH$4:AH$200,"&lt;&gt;-",$D$4:$D$200,"&lt;&gt;是",$E$4:$E$200,"&lt;&gt;封闭期",$H$4:$H$200,"&gt;10",$BN$4:$BN$200,"&gt;-6",$BR$4:$BR$200,"&gt;=70",$K$4:$K$200,"&lt;=30",$C$4:$C$200,"&lt;20190630",AH$4:AH$200,"&gt;="&amp;AH160)&amp;"/"&amp;COUNTIFS(AH$4:AH$200,"&lt;&gt;-",$D$4:$D$200,"&lt;&gt;是",$E$4:$E$200,"&lt;&gt;封闭期",$H$4:$H$200,"&gt;10",$BN$4:$BN$200,"&gt;-6",$BR$4:$BR$200,"&gt;=70",$C$4:$C$200,"&lt;20190630",$K$4:$K$200,"&lt;=30"))</f>
        <v>-</v>
      </c>
      <c r="AL160" s="33" t="str">
        <f>IF(OR($C160&gt;20190630,$K160&gt;30,AH160="-",$D160="是",$E160="封闭期",$H160&lt;10,$BN160&lt;-6,$BR160&lt;70),"-",COUNTIFS(AH$4:AH$200,"&lt;&gt;-",$D$4:$D$200,"&lt;&gt;是",$E$4:$E$200,"&lt;&gt;封闭期",$H$4:$H$200,"&gt;10",$BN$4:$BN$200,"&gt;-6",$BR$4:$BR$200,"&gt;=70",$K$4:$K$200,"&lt;=30",$C$4:$C$200,"&lt;20190630",AH$4:AH$200,"&gt;="&amp;AH160)/COUNTIFS(AH$4:AH$200,"&lt;&gt;-",$D$4:$D$200,"&lt;&gt;是",$E$4:$E$200,"&lt;&gt;封闭期",$H$4:$H$200,"&gt;10",$BN$4:$BN$200,"&gt;-6",$BR$4:$BR$200,"&gt;=70",$C$4:$C$200,"&lt;20190630",$K$4:$K$200,"&lt;=30"))</f>
        <v>-</v>
      </c>
      <c r="AM160" s="19">
        <f>[1]!f_return($A160,"1",AM$2,$L$2)</f>
        <v>3.65012481869047</v>
      </c>
      <c r="AN160" s="19">
        <f>[1]!f_risk_stdevyearly($A160,AM$2,$L$2,1,1)</f>
        <v>8.0935809517522141</v>
      </c>
      <c r="AO160" s="19">
        <f>IFERROR(AM160/AN160,"-")</f>
        <v>0.45099009208034657</v>
      </c>
      <c r="AP160" s="19" t="str">
        <f>IFERROR(RANK(AO160,AO:AO)&amp;"/"&amp;COUNT(AO:AO),"-")</f>
        <v>186/197</v>
      </c>
      <c r="AQ160" s="26">
        <f>IF(AP160="-","-",RANK(AO160,AO:AO)/COUNT(AO:AO))</f>
        <v>0.9441624365482234</v>
      </c>
      <c r="AR160" s="57">
        <v>0.79695431472081213</v>
      </c>
      <c r="AS160" s="33" t="str">
        <f>IF(OR($C160&gt;20190630,$K160&gt;30,AO160="-",$D160="是",$E160="封闭期",$H160&lt;10,$BN160&lt;-6,$BR160&lt;70),"-",COUNTIFS(AO$4:AO$200,"&lt;&gt;-",$D$4:$D$200,"&lt;&gt;是",$E$4:$E$200,"&lt;&gt;封闭期",$H$4:$H$200,"&gt;10",$BN$4:$BN$200,"&gt;-6",$BR$4:$BR$200,"&gt;=70",$K$4:$K$200,"&lt;=30",$C$4:$C$200,"&lt;20190630",AO$4:AO$200,"&gt;="&amp;AO160)/COUNTIFS(AO$4:AO$200,"&lt;&gt;-",$D$4:$D$200,"&lt;&gt;是",$E$4:$E$200,"&lt;&gt;封闭期",$H$4:$H$200,"&gt;10",$BN$4:$BN$200,"&gt;-6",$BR$4:$BR$200,"&gt;=70",$C$4:$C$200,"&lt;20190630",$K$4:$K$200,"&lt;=30"))</f>
        <v>-</v>
      </c>
      <c r="AT160" s="19">
        <f>IFERROR((AM160-3)/AN160,"-")</f>
        <v>8.032597963324524E-2</v>
      </c>
      <c r="AU160" s="19" t="str">
        <f>IFERROR(RANK(AT160,AT:AT)&amp;"/"&amp;COUNT(AT:AT),"-")</f>
        <v>163/197</v>
      </c>
      <c r="AV160" s="26">
        <f>IFERROR(RANK(AT160,AT:AT)/COUNT(AT:AT),"-")</f>
        <v>0.82741116751269039</v>
      </c>
      <c r="AW160" s="34" t="str">
        <f>IF(OR($C160&gt;20190630,$K160&gt;30,AT160="-",$D160="是",$E160="封闭期",$H160&lt;10,$BN160&lt;-6,$BR160&lt;70),"-",COUNTIFS(AT$4:AT$200,"&lt;&gt;-",$D$4:$D$200,"&lt;&gt;是",$E$4:$E$200,"&lt;&gt;封闭期",$H$4:$H$200,"&gt;10",$BN$4:$BN$200,"&gt;-6",$BR$4:$BR$200,"&gt;=70",$K$4:$K$200,"&lt;=30",$C$4:$C$200,"&lt;20190630",AT$4:AT$200,"&gt;="&amp;AT160)&amp;"/"&amp;COUNTIFS(AT$4:AT$200,"&lt;&gt;-",$D$4:$D$200,"&lt;&gt;是",$E$4:$E$200,"&lt;&gt;封闭期",$H$4:$H$200,"&gt;10",$BN$4:$BN$200,"&gt;-6",$BR$4:$BR$200,"&gt;=70",$C$4:$C$200,"&lt;20190630",$K$4:$K$200,"&lt;=30"))</f>
        <v>-</v>
      </c>
      <c r="AX160" s="33" t="str">
        <f>IF(OR($C160&gt;20190630,$K160&gt;30,AT160="-",$D160="是",$E160="封闭期",$H160&lt;10,$BN160&lt;-6,$BR160&lt;70),"-",COUNTIFS(AT$4:AT$200,"&lt;&gt;-",$D$4:$D$200,"&lt;&gt;是",$E$4:$E$200,"&lt;&gt;封闭期",$H$4:$H$200,"&gt;10",$BN$4:$BN$200,"&gt;-6",$BR$4:$BR$200,"&gt;=70",$K$4:$K$200,"&lt;=30",$C$4:$C$200,"&lt;20190630",AT$4:AT$200,"&gt;="&amp;AT160)/COUNTIFS(AT$4:AT$200,"&lt;&gt;-",$D$4:$D$200,"&lt;&gt;是",$E$4:$E$200,"&lt;&gt;封闭期",$H$4:$H$200,"&gt;10",$BN$4:$BN$200,"&gt;-6",$BR$4:$BR$200,"&gt;=70",$C$4:$C$200,"&lt;20190630",$K$4:$K$200,"&lt;=30"))</f>
        <v>-</v>
      </c>
      <c r="AY160" s="19">
        <f>[1]!f_risk_calmar(A160,$AM$2,$L$2)</f>
        <v>0.69458262548152627</v>
      </c>
      <c r="AZ160" s="19" t="str">
        <f>IFERROR(RANK(AY160,AY:AY)&amp;"/"&amp;COUNT(AY:AY),"-")</f>
        <v>181/197</v>
      </c>
      <c r="BA160" s="26">
        <f>IFERROR(RANK(AY160,AY:AY)/COUNT(AY:AY),"-")</f>
        <v>0.91878172588832485</v>
      </c>
      <c r="BB160" s="34" t="str">
        <f>IF(OR($C160&gt;20190630,$K160&gt;30,AY160="-",$D160="是",$E160="封闭期",$H160&lt;10,$BN160&lt;-6,$BR160&lt;70),"-",COUNTIFS(AY$4:AY$200,"&lt;&gt;-",$D$4:$D$200,"&lt;&gt;是",$E$4:$E$200,"&lt;&gt;封闭期",$H$4:$H$200,"&gt;10",$BN$4:$BN$200,"&gt;-6",$BR$4:$BR$200,"&gt;=70",$K$4:$K$200,"&lt;=30",$C$4:$C$200,"&lt;20190630",AY$4:AY$200,"&gt;="&amp;AY160)&amp;"/"&amp;COUNTIFS(AY$4:AY$200,"&lt;&gt;-",$D$4:$D$200,"&lt;&gt;是",$E$4:$E$200,"&lt;&gt;封闭期",$H$4:$H$200,"&gt;10",$BN$4:$BN$200,"&gt;-6",$BR$4:$BR$200,"&gt;=70",$C$4:$C$200,"&lt;20190630",$K$4:$K$200,"&lt;=30"))</f>
        <v>-</v>
      </c>
      <c r="BC160" s="33" t="str">
        <f>IF(OR($C160&gt;20190630,$K160&gt;30,AY160="-",$D160="是",$E160="封闭期",$H160&lt;10,$BN160&lt;-6,$BR160&lt;70),"-",COUNTIFS(AY$4:AY$200,"&lt;&gt;-",$D$4:$D$200,"&lt;&gt;是",$E$4:$E$200,"&lt;&gt;封闭期",$H$4:$H$200,"&gt;10",$BN$4:$BN$200,"&gt;-6",$BR$4:$BR$200,"&gt;=70",$K$4:$K$200,"&lt;=30",$C$4:$C$200,"&lt;20190630",AY$4:AY$200,"&gt;="&amp;AY160)/COUNTIFS(AY$4:AY$200,"&lt;&gt;-",$D$4:$D$200,"&lt;&gt;是",$E$4:$E$200,"&lt;&gt;封闭期",$H$4:$H$200,"&gt;10",$BN$4:$BN$200,"&gt;-6",$BR$4:$BR$200,"&gt;=70",$C$4:$C$200,"&lt;20190630",$K$4:$K$200,"&lt;=30"))</f>
        <v>-</v>
      </c>
      <c r="BD160" s="20">
        <v>0.65833333333333333</v>
      </c>
      <c r="BE160" s="19" t="str">
        <f>IFERROR(RANK(BD160,BD:BD)&amp;"/"&amp;COUNT(BD:BD),"-")</f>
        <v>189/197</v>
      </c>
      <c r="BF160" s="26">
        <f>IFERROR(RANK(BD160,BD:BD)/COUNT(BD:BD),"-")</f>
        <v>0.95939086294416243</v>
      </c>
      <c r="BG160" s="34" t="str">
        <f>IF(OR($C160&gt;20190630,$K160&gt;30,BD160="-",$D160="是",$E160="封闭期",$H160&lt;10,$BN160&lt;-6,$BR160&lt;70),"-",COUNTIFS(BD$4:BD$200,"&lt;&gt;-",$D$4:$D$200,"&lt;&gt;是",$E$4:$E$200,"&lt;&gt;封闭期",$H$4:$H$200,"&gt;10",$BN$4:$BN$200,"&gt;-6",$BR$4:$BR$200,"&gt;=70",$K$4:$K$200,"&lt;=30",$C$4:$C$200,"&lt;20190630",BD$4:BD$200,"&gt;="&amp;BD160)&amp;"/"&amp;COUNTIFS(BD$4:BD$200,"&lt;&gt;-",$D$4:$D$200,"&lt;&gt;是",$E$4:$E$200,"&lt;&gt;封闭期",$H$4:$H$200,"&gt;10",$BN$4:$BN$200,"&gt;-6",$BR$4:$BR$200,"&gt;=70",$C$4:$C$200,"&lt;20190630",$K$4:$K$200,"&lt;=30"))</f>
        <v>-</v>
      </c>
      <c r="BH160" s="33" t="str">
        <f>IF(OR($C160&gt;20190630,$K160&gt;30,BD160="-",$D160="是",$E160="封闭期",$H160&lt;10,$BN160&lt;-6,$BR160&lt;70),"-",COUNTIFS(BD$4:BD$200,"&lt;&gt;-",$D$4:$D$200,"&lt;&gt;是",$E$4:$E$200,"&lt;&gt;封闭期",$H$4:$H$200,"&gt;10",$BN$4:$BN$200,"&gt;-6",$BR$4:$BR$200,"&gt;=70",$K$4:$K$200,"&lt;=30",$C$4:$C$200,"&lt;20190630",BD$4:BD$200,"&gt;="&amp;BD160)/COUNTIFS(BD$4:BD$200,"&lt;&gt;-",$D$4:$D$200,"&lt;&gt;是",$E$4:$E$200,"&lt;&gt;封闭期",$H$4:$H$200,"&gt;10",$BN$4:$BN$200,"&gt;-6",$BR$4:$BR$200,"&gt;=70",$C$4:$C$200,"&lt;20190630",$K$4:$K$200,"&lt;=30"))</f>
        <v>-</v>
      </c>
      <c r="BI160" s="21">
        <f>[1]!f_risk_maxdownside(A160,$AM$2,$L$2)</f>
        <v>-5.2551340686933896</v>
      </c>
      <c r="BJ160" s="19" t="str">
        <f>IFERROR(RANK(BI160,BI:BI)&amp;"/"&amp;COUNT(BI:BI),"-")</f>
        <v>157/197</v>
      </c>
      <c r="BK160" s="26">
        <f>IFERROR(RANK(BI160,BI:BI)/COUNT(BI:BI),"-")</f>
        <v>0.79695431472081213</v>
      </c>
      <c r="BL160" s="34" t="str">
        <f>IF(OR($C160&gt;20190630,$K160&gt;30,BI160="-",$D160="是",$E160="封闭期",$H160&lt;10,$BN160&lt;-6,$BR160&lt;70),"-",COUNTIFS(BI$4:BI$200,"&lt;&gt;-",$D$4:$D$200,"&lt;&gt;是",$E$4:$E$200,"&lt;&gt;封闭期",$H$4:$H$200,"&gt;10",$BN$4:$BN$200,"&gt;-6",$BR$4:$BR$200,"&gt;=70",$K$4:$K$200,"&lt;=30",$C$4:$C$200,"&lt;20190630",BI$4:BI$200,"&gt;="&amp;BI160)&amp;"/"&amp;COUNTIFS(BI$4:BI$200,"&lt;&gt;-",$D$4:$D$200,"&lt;&gt;是",$E$4:$E$200,"&lt;&gt;封闭期",$H$4:$H$200,"&gt;10",$BN$4:$BN$200,"&gt;-6",$BR$4:$BR$200,"&gt;=70",$C$4:$C$200,"&lt;20190630",$K$4:$K$200,"&lt;=30"))</f>
        <v>-</v>
      </c>
      <c r="BM160" s="33" t="str">
        <f>IF(OR($C160&gt;20190630,$K160&gt;30,BI160="-",$D160="是",$E160="封闭期",$H160&lt;10,$BN160&lt;-6,$BR160&lt;70),"-",COUNTIFS(BI$4:BI$200,"&lt;&gt;-",$D$4:$D$200,"&lt;&gt;是",$E$4:$E$200,"&lt;&gt;封闭期",$H$4:$H$200,"&gt;10",$BN$4:$BN$200,"&gt;-6",$BR$4:$BR$200,"&gt;=70",$K$4:$K$200,"&lt;=30",$C$4:$C$200,"&lt;20190630",BI$4:BI$200,"&gt;="&amp;BI160)/COUNTIFS(BI$4:BI$200,"&lt;&gt;-",$D$4:$D$200,"&lt;&gt;是",$E$4:$E$200,"&lt;&gt;封闭期",$H$4:$H$200,"&gt;10",$BN$4:$BN$200,"&gt;-6",$BR$4:$BR$200,"&gt;=70",$C$4:$C$200,"&lt;20190630",$K$4:$K$200,"&lt;=30"))</f>
        <v>-</v>
      </c>
      <c r="BN160" s="21">
        <f>[1]!f_risk_maxdownside(A160,$AM$2,$E$1)</f>
        <v>-5.2551340686933896</v>
      </c>
      <c r="BO160" s="21">
        <f>IF(C160&lt;20190930,[1]!f_return_2y(A160,"0","20210930"),"-")</f>
        <v>8.052140149764254</v>
      </c>
      <c r="BP160" s="19" t="str">
        <f>IFERROR(RANK(BO160,BO:BO)&amp;"/"&amp;COUNT(BO:BO),"-")</f>
        <v>163/197</v>
      </c>
      <c r="BQ160" s="25">
        <f>IFERROR(RANK(BO160,BO:BO)/COUNT(BO:BO),"-")</f>
        <v>0.82741116751269039</v>
      </c>
      <c r="BR160" s="19">
        <f>IF(C160&lt;20190930,[1]!f_absolute_profitmonthper(A160,"20190930","20210930"),"-")</f>
        <v>58.333333333333336</v>
      </c>
      <c r="BS160" s="19" t="str">
        <f>IFERROR(RANK(BR160,BR:BR)&amp;"/"&amp;COUNT(BR:BR),"-")</f>
        <v>165/198</v>
      </c>
      <c r="BT160" s="25">
        <f>IFERROR(RANK(BR160,BR:BR)/COUNT(BR:BR),"-")</f>
        <v>0.83333333333333337</v>
      </c>
      <c r="BV160" s="12">
        <f>X160-3/M160</f>
        <v>0.41760590842851542</v>
      </c>
      <c r="BW160" s="76">
        <f>IFERROR(RANK(BV160,BV:BV)/COUNT(BV:BV),"-")</f>
        <v>0.77157360406091369</v>
      </c>
      <c r="BX160" s="76">
        <f>IFERROR(RANK(L160,L:L)/COUNT(L:L),"-")</f>
        <v>0.66666666666666663</v>
      </c>
      <c r="BY160" s="12">
        <f>AY160-3/AN160</f>
        <v>0.32391851303442498</v>
      </c>
      <c r="BZ160" s="76">
        <f>IFERROR(RANK(BY160,BY:BY)/COUNT(BY:BY),"-")</f>
        <v>0.81218274111675126</v>
      </c>
      <c r="CA160" s="76">
        <f>IFERROR(RANK(AM160,AM:AM)/COUNT(AM:AM),"-")</f>
        <v>0.79797979797979801</v>
      </c>
      <c r="CB160" s="2"/>
      <c r="CC160" s="77">
        <f>AV160+BF160+BZ160+CA160</f>
        <v>3.3969645695534019</v>
      </c>
      <c r="CD160" s="77">
        <f>BW160+BX160+AE160+U160</f>
        <v>3.0321489001692048</v>
      </c>
      <c r="CE160" s="77">
        <f>CC160+CD160</f>
        <v>6.4291134697226067</v>
      </c>
    </row>
    <row r="161" spans="1:83" s="17" customFormat="1" x14ac:dyDescent="0.35">
      <c r="A161" s="15" t="s">
        <v>333</v>
      </c>
      <c r="B161" s="15" t="s">
        <v>334</v>
      </c>
      <c r="C161" s="16">
        <v>20170602</v>
      </c>
      <c r="D161" s="16" t="str">
        <f>[1]!f_info_regulopenfundornot(A161)</f>
        <v>否</v>
      </c>
      <c r="E161" s="16" t="str">
        <f>[1]!f_dq_status(A161,$E$1)</f>
        <v>开放申购|开放赎回</v>
      </c>
      <c r="F161" s="17" t="str">
        <f>[1]!f_info_fundmanager(A161)</f>
        <v>杨爱斌,焦翠</v>
      </c>
      <c r="G161" s="16">
        <v>20170602</v>
      </c>
      <c r="H161" s="18">
        <f>[1]!f_netasset_total(A161,$E$1,100000000)</f>
        <v>63.798212188500003</v>
      </c>
      <c r="I161" s="18">
        <f>[1]!f_prt_convertiblebondtonav(A161,$E$1)</f>
        <v>8.7225847244262695</v>
      </c>
      <c r="J161" s="18">
        <f>[1]!f_prt_stocktonav(A161,$E$1)+0.5*I161</f>
        <v>21.864965915679932</v>
      </c>
      <c r="K161" s="19">
        <v>0</v>
      </c>
      <c r="L161" s="19">
        <f>[1]!f_return($A161,"1",L$2,$E$1)</f>
        <v>6.1127348735146247</v>
      </c>
      <c r="M161" s="19">
        <f>[1]!f_risk_stdevyearly($A161,L$2,$E$1,1,1)</f>
        <v>2.5857519304124614</v>
      </c>
      <c r="N161" s="19">
        <f>IFERROR(L161/M161,"-")</f>
        <v>2.3640066943852434</v>
      </c>
      <c r="O161" s="19" t="str">
        <f>IFERROR(RANK(N161,N:N)&amp;"/"&amp;COUNT(N:N),"-")</f>
        <v>35/197</v>
      </c>
      <c r="P161" s="26">
        <f>IF(O161="-","-",RANK(N161,N:N)/COUNT(N:N))</f>
        <v>0.17766497461928935</v>
      </c>
      <c r="Q161" s="56">
        <v>0.45685279187817257</v>
      </c>
      <c r="R161" s="33" t="str">
        <f>IF(OR($C161&gt;20190630,$K161&gt;30,N161="-",$D161="是",$E161="封闭期",$H161&lt;10,$BN161&lt;-6,$BR161&lt;70),"-",COUNTIFS(N$4:N$200,"&lt;&gt;-",$D$4:$D$200,"&lt;&gt;是",$E$4:$E$200,"&lt;&gt;封闭期",$H$4:$H$200,"&gt;10",$BN$4:$BN$200,"&gt;-6",$BR$4:$BR$200,"&gt;=70",$K$4:$K$200,"&lt;=30",$C$4:$C$200,"&lt;20190630",N$4:N$200,"&gt;="&amp;N161)/COUNTIFS(N$4:N$200,"&lt;&gt;-",$D$4:$D$200,"&lt;&gt;是",$E$4:$E$200,"&lt;&gt;封闭期",$H$4:$H$200,"&gt;10",$BN$4:$BN$200,"&gt;-6",$BR$4:$BR$200,"&gt;=70",$C$4:$C$200,"&lt;20190630",$K$4:$K$200,"&lt;=30"))</f>
        <v>-</v>
      </c>
      <c r="S161" s="19">
        <f>IFERROR((L161-3)/M161,"-")</f>
        <v>1.2038025910003294</v>
      </c>
      <c r="T161" s="19" t="str">
        <f>IFERROR(RANK(S161,S:S)&amp;"/"&amp;COUNT(S:S),"-")</f>
        <v>55/197</v>
      </c>
      <c r="U161" s="26">
        <f>IFERROR(RANK(S161,S:S)/COUNT(S:S),"-")</f>
        <v>0.27918781725888325</v>
      </c>
      <c r="V161" s="34" t="str">
        <f>IF(OR($C161&gt;20190630,$K161&gt;30,S161="-",$D161="是",$E161="封闭期",$H161&lt;10,$BN161&lt;-6,$BR161&lt;70),"-",COUNTIFS(S$4:S$200,"&lt;&gt;-",$D$4:$D$200,"&lt;&gt;是",$E$4:$E$200,"&lt;&gt;封闭期",$H$4:$H$200,"&gt;10",$BN$4:$BN$200,"&gt;-6",$BR$4:$BR$200,"&gt;=70",$K$4:$K$200,"&lt;=30",$C$4:$C$200,"&lt;20190630",S$4:S$200,"&gt;="&amp;S161)&amp;"/"&amp;COUNTIFS(S$4:S$200,"&lt;&gt;-",$D$4:$D$200,"&lt;&gt;是",$E$4:$E$200,"&lt;&gt;封闭期",$H$4:$H$200,"&gt;10",$BN$4:$BN$200,"&gt;-6",$BR$4:$BR$200,"&gt;=70",$C$4:$C$200,"&lt;20190630",$K$4:$K$200,"&lt;=30"))</f>
        <v>-</v>
      </c>
      <c r="W161" s="33" t="str">
        <f>IF(OR($C161&gt;20190630,$K161&gt;30,S161="-",$D161="是",$E161="封闭期",$H161&lt;10,$BN161&lt;-6,$BR161&lt;70),"-",COUNTIFS(S$4:S$200,"&lt;&gt;-",$D$4:$D$200,"&lt;&gt;是",$E$4:$E$200,"&lt;&gt;封闭期",$H$4:$H$200,"&gt;10",$BN$4:$BN$200,"&gt;-6",$BR$4:$BR$200,"&gt;=70",$K$4:$K$200,"&lt;=30",$C$4:$C$200,"&lt;20190630",S$4:S$200,"&gt;="&amp;S161)/COUNTIFS(S$4:S$200,"&lt;&gt;-",$D$4:$D$200,"&lt;&gt;是",$E$4:$E$200,"&lt;&gt;封闭期",$H$4:$H$200,"&gt;10",$BN$4:$BN$200,"&gt;-6",$BR$4:$BR$200,"&gt;=70",$C$4:$C$200,"&lt;20190630",$K$4:$K$200,"&lt;=30"))</f>
        <v>-</v>
      </c>
      <c r="X161" s="19">
        <f>[1]!f_risk_calmar(A161,$L$2,$E$1)</f>
        <v>6.5650772541548443</v>
      </c>
      <c r="Y161" s="19" t="str">
        <f>IFERROR(RANK(X161,X:X)&amp;"/"&amp;COUNT(X:X),"-")</f>
        <v>20/197</v>
      </c>
      <c r="Z161" s="26">
        <f>IFERROR(RANK(X161,X:X)/COUNT(X:X),"-")</f>
        <v>0.10152284263959391</v>
      </c>
      <c r="AA161" s="34" t="str">
        <f>IF(OR($C161&gt;20190630,$K161&gt;30,X161="-",$D161="是",$E161="封闭期",$H161&lt;10,$BN161&lt;-6,$BR161&lt;70),"-",COUNTIFS(X$4:X$200,"&lt;&gt;-",$D$4:$D$200,"&lt;&gt;是",$E$4:$E$200,"&lt;&gt;封闭期",$H$4:$H$200,"&gt;10",$BN$4:$BN$200,"&gt;-6",$BR$4:$BR$200,"&gt;=70",$K$4:$K$200,"&lt;=30",$C$4:$C$200,"&lt;20190630",X$4:X$200,"&gt;="&amp;X161)&amp;"/"&amp;COUNTIFS(X$4:X$200,"&lt;&gt;-",$D$4:$D$200,"&lt;&gt;是",$E$4:$E$200,"&lt;&gt;封闭期",$H$4:$H$200,"&gt;10",$BN$4:$BN$200,"&gt;-6",$BR$4:$BR$200,"&gt;=70",$C$4:$C$200,"&lt;20190630",$K$4:$K$200,"&lt;=30"))</f>
        <v>-</v>
      </c>
      <c r="AB161" s="33" t="str">
        <f>IF(OR($C161&gt;20190630,$K161&gt;30,X161="-",$D161="是",$E161="封闭期",$H161&lt;10,$BN161&lt;-6,$BR161&lt;70),"-",COUNTIFS(X$4:X$200,"&lt;&gt;-",$D$4:$D$200,"&lt;&gt;是",$E$4:$E$200,"&lt;&gt;封闭期",$H$4:$H$200,"&gt;10",$BN$4:$BN$200,"&gt;-6",$BR$4:$BR$200,"&gt;=70",$K$4:$K$200,"&lt;=30",$C$4:$C$200,"&lt;20190630",X$4:X$200,"&gt;="&amp;X161)/COUNTIFS(X$4:X$200,"&lt;&gt;-",$D$4:$D$200,"&lt;&gt;是",$E$4:$E$200,"&lt;&gt;封闭期",$H$4:$H$200,"&gt;10",$BN$4:$BN$200,"&gt;-6",$BR$4:$BR$200,"&gt;=70",$C$4:$C$200,"&lt;20190630",$K$4:$K$200,"&lt;=30"))</f>
        <v>-</v>
      </c>
      <c r="AC161" s="20">
        <v>1</v>
      </c>
      <c r="AD161" s="19" t="str">
        <f>IFERROR(RANK(AC161,AC:AC)&amp;"/"&amp;COUNT(AC:AC),"-")</f>
        <v>1/197</v>
      </c>
      <c r="AE161" s="26">
        <f>IFERROR(RANK(AC161,AC:AC)/COUNT(AC:AC),"-")</f>
        <v>5.076142131979695E-3</v>
      </c>
      <c r="AF161" s="34" t="str">
        <f>IF(OR($C161&gt;20190630,$K161&gt;30,AC161="-",$D161="是",$E161="封闭期",$H161&lt;10,$BN161&lt;-6,$BR161&lt;70),"-",COUNTIFS(AC$4:AC$200,"&lt;&gt;-",$D$4:$D$200,"&lt;&gt;是",$E$4:$E$200,"&lt;&gt;封闭期",$H$4:$H$200,"&gt;10",$BN$4:$BN$200,"&gt;-6",$BR$4:$BR$200,"&gt;=70",$K$4:$K$200,"&lt;=30",$C$4:$C$200,"&lt;20190630",AC$4:AC$200,"&gt;="&amp;AC161)&amp;"/"&amp;COUNTIFS(AC$4:AC$200,"&lt;&gt;-",$D$4:$D$200,"&lt;&gt;是",$E$4:$E$200,"&lt;&gt;封闭期",$H$4:$H$200,"&gt;10",$BN$4:$BN$200,"&gt;-6",$BR$4:$BR$200,"&gt;=70",$C$4:$C$200,"&lt;20190630",$K$4:$K$200,"&lt;=30"))</f>
        <v>-</v>
      </c>
      <c r="AG161" s="33" t="str">
        <f>IF(OR($C161&gt;20190630,$K161&gt;30,AC161="-",$D161="是",$E161="封闭期",$H161&lt;10,$BN161&lt;-6,$BR161&lt;70),"-",COUNTIFS(AC$4:AC$200,"&lt;&gt;-",$D$4:$D$200,"&lt;&gt;是",$E$4:$E$200,"&lt;&gt;封闭期",$H$4:$H$200,"&gt;10",$BN$4:$BN$200,"&gt;-6",$BR$4:$BR$200,"&gt;=70",$K$4:$K$200,"&lt;=30",$C$4:$C$200,"&lt;20190630",AC$4:AC$200,"&gt;="&amp;AC161)/COUNTIFS(AC$4:AC$200,"&lt;&gt;-",$D$4:$D$200,"&lt;&gt;是",$E$4:$E$200,"&lt;&gt;封闭期",$H$4:$H$200,"&gt;10",$BN$4:$BN$200,"&gt;-6",$BR$4:$BR$200,"&gt;=70",$C$4:$C$200,"&lt;20190630",$K$4:$K$200,"&lt;=30"))</f>
        <v>-</v>
      </c>
      <c r="AH161" s="21">
        <f>[1]!f_risk_maxdownside(A161,$L$2,$E$1)</f>
        <v>-0.93109869646180543</v>
      </c>
      <c r="AI161" s="19" t="str">
        <f>IFERROR(RANK(AH161,AH:AH)&amp;"/"&amp;COUNT(AH:AH),"-")</f>
        <v>21/197</v>
      </c>
      <c r="AJ161" s="26">
        <f>IFERROR(RANK(AH161,AH:AH)/COUNT(AH:AH),"-")</f>
        <v>0.1065989847715736</v>
      </c>
      <c r="AK161" s="34" t="str">
        <f>IF(OR($C161&gt;20190630,$K161&gt;30,AH161="-",$D161="是",$E161="封闭期",$H161&lt;10,$BN161&lt;-6,$BR161&lt;70),"-",COUNTIFS(AH$4:AH$200,"&lt;&gt;-",$D$4:$D$200,"&lt;&gt;是",$E$4:$E$200,"&lt;&gt;封闭期",$H$4:$H$200,"&gt;10",$BN$4:$BN$200,"&gt;-6",$BR$4:$BR$200,"&gt;=70",$K$4:$K$200,"&lt;=30",$C$4:$C$200,"&lt;20190630",AH$4:AH$200,"&gt;="&amp;AH161)&amp;"/"&amp;COUNTIFS(AH$4:AH$200,"&lt;&gt;-",$D$4:$D$200,"&lt;&gt;是",$E$4:$E$200,"&lt;&gt;封闭期",$H$4:$H$200,"&gt;10",$BN$4:$BN$200,"&gt;-6",$BR$4:$BR$200,"&gt;=70",$C$4:$C$200,"&lt;20190630",$K$4:$K$200,"&lt;=30"))</f>
        <v>-</v>
      </c>
      <c r="AL161" s="33" t="str">
        <f>IF(OR($C161&gt;20190630,$K161&gt;30,AH161="-",$D161="是",$E161="封闭期",$H161&lt;10,$BN161&lt;-6,$BR161&lt;70),"-",COUNTIFS(AH$4:AH$200,"&lt;&gt;-",$D$4:$D$200,"&lt;&gt;是",$E$4:$E$200,"&lt;&gt;封闭期",$H$4:$H$200,"&gt;10",$BN$4:$BN$200,"&gt;-6",$BR$4:$BR$200,"&gt;=70",$K$4:$K$200,"&lt;=30",$C$4:$C$200,"&lt;20190630",AH$4:AH$200,"&gt;="&amp;AH161)/COUNTIFS(AH$4:AH$200,"&lt;&gt;-",$D$4:$D$200,"&lt;&gt;是",$E$4:$E$200,"&lt;&gt;封闭期",$H$4:$H$200,"&gt;10",$BN$4:$BN$200,"&gt;-6",$BR$4:$BR$200,"&gt;=70",$C$4:$C$200,"&lt;20190630",$K$4:$K$200,"&lt;=30"))</f>
        <v>-</v>
      </c>
      <c r="AM161" s="19">
        <f>[1]!f_return($A161,"1",AM$2,$L$2)</f>
        <v>3.6348758321607777</v>
      </c>
      <c r="AN161" s="19">
        <f>[1]!f_risk_stdevyearly($A161,AM$2,$L$2,1,1)</f>
        <v>3.6903098654574693</v>
      </c>
      <c r="AO161" s="19">
        <f>IFERROR(AM161/AN161,"-")</f>
        <v>0.98497848817098732</v>
      </c>
      <c r="AP161" s="19" t="str">
        <f>IFERROR(RANK(AO161,AO:AO)&amp;"/"&amp;COUNT(AO:AO),"-")</f>
        <v>160/197</v>
      </c>
      <c r="AQ161" s="26">
        <f>IF(AP161="-","-",RANK(AO161,AO:AO)/COUNT(AO:AO))</f>
        <v>0.81218274111675126</v>
      </c>
      <c r="AR161" s="57">
        <v>0.80203045685279184</v>
      </c>
      <c r="AS161" s="33" t="str">
        <f>IF(OR($C161&gt;20190630,$K161&gt;30,AO161="-",$D161="是",$E161="封闭期",$H161&lt;10,$BN161&lt;-6,$BR161&lt;70),"-",COUNTIFS(AO$4:AO$200,"&lt;&gt;-",$D$4:$D$200,"&lt;&gt;是",$E$4:$E$200,"&lt;&gt;封闭期",$H$4:$H$200,"&gt;10",$BN$4:$BN$200,"&gt;-6",$BR$4:$BR$200,"&gt;=70",$K$4:$K$200,"&lt;=30",$C$4:$C$200,"&lt;20190630",AO$4:AO$200,"&gt;="&amp;AO161)/COUNTIFS(AO$4:AO$200,"&lt;&gt;-",$D$4:$D$200,"&lt;&gt;是",$E$4:$E$200,"&lt;&gt;封闭期",$H$4:$H$200,"&gt;10",$BN$4:$BN$200,"&gt;-6",$BR$4:$BR$200,"&gt;=70",$C$4:$C$200,"&lt;20190630",$K$4:$K$200,"&lt;=30"))</f>
        <v>-</v>
      </c>
      <c r="AT161" s="19">
        <f>IFERROR((AM161-3)/AN161,"-")</f>
        <v>0.1720386242096977</v>
      </c>
      <c r="AU161" s="19" t="str">
        <f>IFERROR(RANK(AT161,AT:AT)&amp;"/"&amp;COUNT(AT:AT),"-")</f>
        <v>158/197</v>
      </c>
      <c r="AV161" s="26">
        <f>IFERROR(RANK(AT161,AT:AT)/COUNT(AT:AT),"-")</f>
        <v>0.80203045685279184</v>
      </c>
      <c r="AW161" s="34" t="str">
        <f>IF(OR($C161&gt;20190630,$K161&gt;30,AT161="-",$D161="是",$E161="封闭期",$H161&lt;10,$BN161&lt;-6,$BR161&lt;70),"-",COUNTIFS(AT$4:AT$200,"&lt;&gt;-",$D$4:$D$200,"&lt;&gt;是",$E$4:$E$200,"&lt;&gt;封闭期",$H$4:$H$200,"&gt;10",$BN$4:$BN$200,"&gt;-6",$BR$4:$BR$200,"&gt;=70",$K$4:$K$200,"&lt;=30",$C$4:$C$200,"&lt;20190630",AT$4:AT$200,"&gt;="&amp;AT161)&amp;"/"&amp;COUNTIFS(AT$4:AT$200,"&lt;&gt;-",$D$4:$D$200,"&lt;&gt;是",$E$4:$E$200,"&lt;&gt;封闭期",$H$4:$H$200,"&gt;10",$BN$4:$BN$200,"&gt;-6",$BR$4:$BR$200,"&gt;=70",$C$4:$C$200,"&lt;20190630",$K$4:$K$200,"&lt;=30"))</f>
        <v>-</v>
      </c>
      <c r="AX161" s="33" t="str">
        <f>IF(OR($C161&gt;20190630,$K161&gt;30,AT161="-",$D161="是",$E161="封闭期",$H161&lt;10,$BN161&lt;-6,$BR161&lt;70),"-",COUNTIFS(AT$4:AT$200,"&lt;&gt;-",$D$4:$D$200,"&lt;&gt;是",$E$4:$E$200,"&lt;&gt;封闭期",$H$4:$H$200,"&gt;10",$BN$4:$BN$200,"&gt;-6",$BR$4:$BR$200,"&gt;=70",$K$4:$K$200,"&lt;=30",$C$4:$C$200,"&lt;20190630",AT$4:AT$200,"&gt;="&amp;AT161)/COUNTIFS(AT$4:AT$200,"&lt;&gt;-",$D$4:$D$200,"&lt;&gt;是",$E$4:$E$200,"&lt;&gt;封闭期",$H$4:$H$200,"&gt;10",$BN$4:$BN$200,"&gt;-6",$BR$4:$BR$200,"&gt;=70",$C$4:$C$200,"&lt;20190630",$K$4:$K$200,"&lt;=30"))</f>
        <v>-</v>
      </c>
      <c r="AY161" s="19">
        <f>[1]!f_risk_calmar(A161,$AM$2,$L$2)</f>
        <v>1.5967386822870273</v>
      </c>
      <c r="AZ161" s="19" t="str">
        <f>IFERROR(RANK(AY161,AY:AY)&amp;"/"&amp;COUNT(AY:AY),"-")</f>
        <v>140/197</v>
      </c>
      <c r="BA161" s="26">
        <f>IFERROR(RANK(AY161,AY:AY)/COUNT(AY:AY),"-")</f>
        <v>0.71065989847715738</v>
      </c>
      <c r="BB161" s="34" t="str">
        <f>IF(OR($C161&gt;20190630,$K161&gt;30,AY161="-",$D161="是",$E161="封闭期",$H161&lt;10,$BN161&lt;-6,$BR161&lt;70),"-",COUNTIFS(AY$4:AY$200,"&lt;&gt;-",$D$4:$D$200,"&lt;&gt;是",$E$4:$E$200,"&lt;&gt;封闭期",$H$4:$H$200,"&gt;10",$BN$4:$BN$200,"&gt;-6",$BR$4:$BR$200,"&gt;=70",$K$4:$K$200,"&lt;=30",$C$4:$C$200,"&lt;20190630",AY$4:AY$200,"&gt;="&amp;AY161)&amp;"/"&amp;COUNTIFS(AY$4:AY$200,"&lt;&gt;-",$D$4:$D$200,"&lt;&gt;是",$E$4:$E$200,"&lt;&gt;封闭期",$H$4:$H$200,"&gt;10",$BN$4:$BN$200,"&gt;-6",$BR$4:$BR$200,"&gt;=70",$C$4:$C$200,"&lt;20190630",$K$4:$K$200,"&lt;=30"))</f>
        <v>-</v>
      </c>
      <c r="BC161" s="33" t="str">
        <f>IF(OR($C161&gt;20190630,$K161&gt;30,AY161="-",$D161="是",$E161="封闭期",$H161&lt;10,$BN161&lt;-6,$BR161&lt;70),"-",COUNTIFS(AY$4:AY$200,"&lt;&gt;-",$D$4:$D$200,"&lt;&gt;是",$E$4:$E$200,"&lt;&gt;封闭期",$H$4:$H$200,"&gt;10",$BN$4:$BN$200,"&gt;-6",$BR$4:$BR$200,"&gt;=70",$K$4:$K$200,"&lt;=30",$C$4:$C$200,"&lt;20190630",AY$4:AY$200,"&gt;="&amp;AY161)/COUNTIFS(AY$4:AY$200,"&lt;&gt;-",$D$4:$D$200,"&lt;&gt;是",$E$4:$E$200,"&lt;&gt;封闭期",$H$4:$H$200,"&gt;10",$BN$4:$BN$200,"&gt;-6",$BR$4:$BR$200,"&gt;=70",$C$4:$C$200,"&lt;20190630",$K$4:$K$200,"&lt;=30"))</f>
        <v>-</v>
      </c>
      <c r="BD161" s="20">
        <v>1</v>
      </c>
      <c r="BE161" s="19" t="str">
        <f>IFERROR(RANK(BD161,BD:BD)&amp;"/"&amp;COUNT(BD:BD),"-")</f>
        <v>1/197</v>
      </c>
      <c r="BF161" s="26">
        <f>IFERROR(RANK(BD161,BD:BD)/COUNT(BD:BD),"-")</f>
        <v>5.076142131979695E-3</v>
      </c>
      <c r="BG161" s="34" t="str">
        <f>IF(OR($C161&gt;20190630,$K161&gt;30,BD161="-",$D161="是",$E161="封闭期",$H161&lt;10,$BN161&lt;-6,$BR161&lt;70),"-",COUNTIFS(BD$4:BD$200,"&lt;&gt;-",$D$4:$D$200,"&lt;&gt;是",$E$4:$E$200,"&lt;&gt;封闭期",$H$4:$H$200,"&gt;10",$BN$4:$BN$200,"&gt;-6",$BR$4:$BR$200,"&gt;=70",$K$4:$K$200,"&lt;=30",$C$4:$C$200,"&lt;20190630",BD$4:BD$200,"&gt;="&amp;BD161)&amp;"/"&amp;COUNTIFS(BD$4:BD$200,"&lt;&gt;-",$D$4:$D$200,"&lt;&gt;是",$E$4:$E$200,"&lt;&gt;封闭期",$H$4:$H$200,"&gt;10",$BN$4:$BN$200,"&gt;-6",$BR$4:$BR$200,"&gt;=70",$C$4:$C$200,"&lt;20190630",$K$4:$K$200,"&lt;=30"))</f>
        <v>-</v>
      </c>
      <c r="BH161" s="33" t="str">
        <f>IF(OR($C161&gt;20190630,$K161&gt;30,BD161="-",$D161="是",$E161="封闭期",$H161&lt;10,$BN161&lt;-6,$BR161&lt;70),"-",COUNTIFS(BD$4:BD$200,"&lt;&gt;-",$D$4:$D$200,"&lt;&gt;是",$E$4:$E$200,"&lt;&gt;封闭期",$H$4:$H$200,"&gt;10",$BN$4:$BN$200,"&gt;-6",$BR$4:$BR$200,"&gt;=70",$K$4:$K$200,"&lt;=30",$C$4:$C$200,"&lt;20190630",BD$4:BD$200,"&gt;="&amp;BD161)/COUNTIFS(BD$4:BD$200,"&lt;&gt;-",$D$4:$D$200,"&lt;&gt;是",$E$4:$E$200,"&lt;&gt;封闭期",$H$4:$H$200,"&gt;10",$BN$4:$BN$200,"&gt;-6",$BR$4:$BR$200,"&gt;=70",$C$4:$C$200,"&lt;20190630",$K$4:$K$200,"&lt;=30"))</f>
        <v>-</v>
      </c>
      <c r="BI161" s="21">
        <f>[1]!f_risk_maxdownside(A161,$AM$2,$L$2)</f>
        <v>-2.27643751133686</v>
      </c>
      <c r="BJ161" s="19" t="str">
        <f>IFERROR(RANK(BI161,BI:BI)&amp;"/"&amp;COUNT(BI:BI),"-")</f>
        <v>49/197</v>
      </c>
      <c r="BK161" s="26">
        <f>IFERROR(RANK(BI161,BI:BI)/COUNT(BI:BI),"-")</f>
        <v>0.24873096446700507</v>
      </c>
      <c r="BL161" s="34" t="str">
        <f>IF(OR($C161&gt;20190630,$K161&gt;30,BI161="-",$D161="是",$E161="封闭期",$H161&lt;10,$BN161&lt;-6,$BR161&lt;70),"-",COUNTIFS(BI$4:BI$200,"&lt;&gt;-",$D$4:$D$200,"&lt;&gt;是",$E$4:$E$200,"&lt;&gt;封闭期",$H$4:$H$200,"&gt;10",$BN$4:$BN$200,"&gt;-6",$BR$4:$BR$200,"&gt;=70",$K$4:$K$200,"&lt;=30",$C$4:$C$200,"&lt;20190630",BI$4:BI$200,"&gt;="&amp;BI161)&amp;"/"&amp;COUNTIFS(BI$4:BI$200,"&lt;&gt;-",$D$4:$D$200,"&lt;&gt;是",$E$4:$E$200,"&lt;&gt;封闭期",$H$4:$H$200,"&gt;10",$BN$4:$BN$200,"&gt;-6",$BR$4:$BR$200,"&gt;=70",$C$4:$C$200,"&lt;20190630",$K$4:$K$200,"&lt;=30"))</f>
        <v>-</v>
      </c>
      <c r="BM161" s="33" t="str">
        <f>IF(OR($C161&gt;20190630,$K161&gt;30,BI161="-",$D161="是",$E161="封闭期",$H161&lt;10,$BN161&lt;-6,$BR161&lt;70),"-",COUNTIFS(BI$4:BI$200,"&lt;&gt;-",$D$4:$D$200,"&lt;&gt;是",$E$4:$E$200,"&lt;&gt;封闭期",$H$4:$H$200,"&gt;10",$BN$4:$BN$200,"&gt;-6",$BR$4:$BR$200,"&gt;=70",$K$4:$K$200,"&lt;=30",$C$4:$C$200,"&lt;20190630",BI$4:BI$200,"&gt;="&amp;BI161)/COUNTIFS(BI$4:BI$200,"&lt;&gt;-",$D$4:$D$200,"&lt;&gt;是",$E$4:$E$200,"&lt;&gt;封闭期",$H$4:$H$200,"&gt;10",$BN$4:$BN$200,"&gt;-6",$BR$4:$BR$200,"&gt;=70",$C$4:$C$200,"&lt;20190630",$K$4:$K$200,"&lt;=30"))</f>
        <v>-</v>
      </c>
      <c r="BN161" s="21">
        <f>[1]!f_risk_maxdownside(A161,$AM$2,$E$1)</f>
        <v>-2.27643751133686</v>
      </c>
      <c r="BO161" s="21">
        <f>IF(C161&lt;20190930,[1]!f_return_2y(A161,"0","20210930"),"-")</f>
        <v>10.020097616996832</v>
      </c>
      <c r="BP161" s="19" t="str">
        <f>IFERROR(RANK(BO161,BO:BO)&amp;"/"&amp;COUNT(BO:BO),"-")</f>
        <v>143/197</v>
      </c>
      <c r="BQ161" s="25">
        <f>IFERROR(RANK(BO161,BO:BO)/COUNT(BO:BO),"-")</f>
        <v>0.7258883248730964</v>
      </c>
      <c r="BR161" s="19">
        <f>IF(C161&lt;20190930,[1]!f_absolute_profitmonthper(A161,"20190930","20210930"),"-")</f>
        <v>66.666666666666657</v>
      </c>
      <c r="BS161" s="19" t="str">
        <f>IFERROR(RANK(BR161,BR:BR)&amp;"/"&amp;COUNT(BR:BR),"-")</f>
        <v>115/198</v>
      </c>
      <c r="BT161" s="25">
        <f>IFERROR(RANK(BR161,BR:BR)/COUNT(BR:BR),"-")</f>
        <v>0.58080808080808077</v>
      </c>
      <c r="BV161" s="12">
        <f>X161-3/M161</f>
        <v>5.4048731507699301</v>
      </c>
      <c r="BW161" s="76">
        <f>IFERROR(RANK(BV161,BV:BV)/COUNT(BV:BV),"-")</f>
        <v>7.6142131979695438E-2</v>
      </c>
      <c r="BX161" s="76">
        <f>IFERROR(RANK(L161,L:L)/COUNT(L:L),"-")</f>
        <v>0.45959595959595961</v>
      </c>
      <c r="BY161" s="12">
        <f>AY161-3/AN161</f>
        <v>0.78379881832573772</v>
      </c>
      <c r="BZ161" s="76">
        <f>IFERROR(RANK(BY161,BY:BY)/COUNT(BY:BY),"-")</f>
        <v>0.73604060913705582</v>
      </c>
      <c r="CA161" s="76">
        <f>IFERROR(RANK(AM161,AM:AM)/COUNT(AM:AM),"-")</f>
        <v>0.80303030303030298</v>
      </c>
      <c r="CB161" s="2"/>
      <c r="CC161" s="77">
        <f>AV161+BF161+BZ161+CA161</f>
        <v>2.3461775111521304</v>
      </c>
      <c r="CD161" s="77">
        <f>BW161+BX161+AE161+U161</f>
        <v>0.82000205096651801</v>
      </c>
      <c r="CE161" s="77">
        <f>CC161+CD161</f>
        <v>3.1661795621186481</v>
      </c>
    </row>
    <row r="162" spans="1:83" s="2" customFormat="1" hidden="1" x14ac:dyDescent="0.35">
      <c r="A162" s="15" t="s">
        <v>175</v>
      </c>
      <c r="B162" s="15" t="s">
        <v>176</v>
      </c>
      <c r="C162" s="16">
        <v>20140417</v>
      </c>
      <c r="D162" s="16" t="str">
        <f>[1]!f_info_regulopenfundornot(A162)</f>
        <v>否</v>
      </c>
      <c r="E162" s="16" t="str">
        <f>[1]!f_dq_status(A162,$E$1)</f>
        <v>开放申购|开放赎回</v>
      </c>
      <c r="F162" s="17" t="str">
        <f>[1]!f_info_fundmanager(A162)</f>
        <v>林启姜,曹建华</v>
      </c>
      <c r="G162" s="16">
        <v>20210610</v>
      </c>
      <c r="H162" s="18">
        <f>[1]!f_netasset_total(A162,$E$1,100000000)</f>
        <v>0.25410614460000003</v>
      </c>
      <c r="I162" s="18">
        <f>[1]!f_prt_convertiblebondtonav(A162,$E$1)</f>
        <v>11.213083267211914</v>
      </c>
      <c r="J162" s="18">
        <f>[1]!f_prt_stocktonav(A162,$E$1)+0.5*I162</f>
        <v>19.185760498046875</v>
      </c>
      <c r="K162" s="19">
        <v>0</v>
      </c>
      <c r="L162" s="19">
        <f>[1]!f_return($A162,"1",L$2,$E$1)</f>
        <v>6.8491427069809818</v>
      </c>
      <c r="M162" s="19">
        <f>[1]!f_risk_stdevyearly($A162,L$2,$E$1,1,1)</f>
        <v>7.590053068544222</v>
      </c>
      <c r="N162" s="19">
        <f>IFERROR(L162/M162,"-")</f>
        <v>0.90238403409406631</v>
      </c>
      <c r="O162" s="19" t="str">
        <f>IFERROR(RANK(N162,N:N)&amp;"/"&amp;COUNT(N:N),"-")</f>
        <v>146/197</v>
      </c>
      <c r="P162" s="26">
        <f>IF(O162="-","-",RANK(N162,N:N)/COUNT(N:N))</f>
        <v>0.74111675126903553</v>
      </c>
      <c r="Q162" s="56">
        <v>0.39086294416243655</v>
      </c>
      <c r="R162" s="33" t="str">
        <f>IF(OR($C162&gt;20190630,$K162&gt;30,N162="-",$D162="是",$E162="封闭期",$H162&lt;10,$BN162&lt;-6,$BR162&lt;70),"-",COUNTIFS(N$4:N$200,"&lt;&gt;-",$D$4:$D$200,"&lt;&gt;是",$E$4:$E$200,"&lt;&gt;封闭期",$H$4:$H$200,"&gt;10",$BN$4:$BN$200,"&gt;-6",$BR$4:$BR$200,"&gt;=70",$K$4:$K$200,"&lt;=30",$C$4:$C$200,"&lt;20190630",N$4:N$200,"&gt;="&amp;N162)/COUNTIFS(N$4:N$200,"&lt;&gt;-",$D$4:$D$200,"&lt;&gt;是",$E$4:$E$200,"&lt;&gt;封闭期",$H$4:$H$200,"&gt;10",$BN$4:$BN$200,"&gt;-6",$BR$4:$BR$200,"&gt;=70",$C$4:$C$200,"&lt;20190630",$K$4:$K$200,"&lt;=30"))</f>
        <v>-</v>
      </c>
      <c r="S162" s="19">
        <f>IFERROR((L162-3)/M162,"-")</f>
        <v>0.50712988067674347</v>
      </c>
      <c r="T162" s="19" t="str">
        <f>IFERROR(RANK(S162,S:S)&amp;"/"&amp;COUNT(S:S),"-")</f>
        <v>118/197</v>
      </c>
      <c r="U162" s="26">
        <f>IFERROR(RANK(S162,S:S)/COUNT(S:S),"-")</f>
        <v>0.59898477157360408</v>
      </c>
      <c r="V162" s="34" t="str">
        <f>IF(OR($C162&gt;20190630,$K162&gt;30,S162="-",$D162="是",$E162="封闭期",$H162&lt;10,$BN162&lt;-6,$BR162&lt;70),"-",COUNTIFS(S$4:S$200,"&lt;&gt;-",$D$4:$D$200,"&lt;&gt;是",$E$4:$E$200,"&lt;&gt;封闭期",$H$4:$H$200,"&gt;10",$BN$4:$BN$200,"&gt;-6",$BR$4:$BR$200,"&gt;=70",$K$4:$K$200,"&lt;=30",$C$4:$C$200,"&lt;20190630",S$4:S$200,"&gt;="&amp;S162)&amp;"/"&amp;COUNTIFS(S$4:S$200,"&lt;&gt;-",$D$4:$D$200,"&lt;&gt;是",$E$4:$E$200,"&lt;&gt;封闭期",$H$4:$H$200,"&gt;10",$BN$4:$BN$200,"&gt;-6",$BR$4:$BR$200,"&gt;=70",$C$4:$C$200,"&lt;20190630",$K$4:$K$200,"&lt;=30"))</f>
        <v>-</v>
      </c>
      <c r="W162" s="33" t="str">
        <f>IF(OR($C162&gt;20190630,$K162&gt;30,S162="-",$D162="是",$E162="封闭期",$H162&lt;10,$BN162&lt;-6,$BR162&lt;70),"-",COUNTIFS(S$4:S$200,"&lt;&gt;-",$D$4:$D$200,"&lt;&gt;是",$E$4:$E$200,"&lt;&gt;封闭期",$H$4:$H$200,"&gt;10",$BN$4:$BN$200,"&gt;-6",$BR$4:$BR$200,"&gt;=70",$K$4:$K$200,"&lt;=30",$C$4:$C$200,"&lt;20190630",S$4:S$200,"&gt;="&amp;S162)/COUNTIFS(S$4:S$200,"&lt;&gt;-",$D$4:$D$200,"&lt;&gt;是",$E$4:$E$200,"&lt;&gt;封闭期",$H$4:$H$200,"&gt;10",$BN$4:$BN$200,"&gt;-6",$BR$4:$BR$200,"&gt;=70",$C$4:$C$200,"&lt;20190630",$K$4:$K$200,"&lt;=30"))</f>
        <v>-</v>
      </c>
      <c r="X162" s="19">
        <f>[1]!f_risk_calmar(A162,$L$2,$E$1)</f>
        <v>1.13879775754878</v>
      </c>
      <c r="Y162" s="19" t="str">
        <f>IFERROR(RANK(X162,X:X)&amp;"/"&amp;COUNT(X:X),"-")</f>
        <v>148/197</v>
      </c>
      <c r="Z162" s="26">
        <f>IFERROR(RANK(X162,X:X)/COUNT(X:X),"-")</f>
        <v>0.75126903553299496</v>
      </c>
      <c r="AA162" s="34" t="str">
        <f>IF(OR($C162&gt;20190630,$K162&gt;30,X162="-",$D162="是",$E162="封闭期",$H162&lt;10,$BN162&lt;-6,$BR162&lt;70),"-",COUNTIFS(X$4:X$200,"&lt;&gt;-",$D$4:$D$200,"&lt;&gt;是",$E$4:$E$200,"&lt;&gt;封闭期",$H$4:$H$200,"&gt;10",$BN$4:$BN$200,"&gt;-6",$BR$4:$BR$200,"&gt;=70",$K$4:$K$200,"&lt;=30",$C$4:$C$200,"&lt;20190630",X$4:X$200,"&gt;="&amp;X162)&amp;"/"&amp;COUNTIFS(X$4:X$200,"&lt;&gt;-",$D$4:$D$200,"&lt;&gt;是",$E$4:$E$200,"&lt;&gt;封闭期",$H$4:$H$200,"&gt;10",$BN$4:$BN$200,"&gt;-6",$BR$4:$BR$200,"&gt;=70",$C$4:$C$200,"&lt;20190630",$K$4:$K$200,"&lt;=30"))</f>
        <v>-</v>
      </c>
      <c r="AB162" s="33" t="str">
        <f>IF(OR($C162&gt;20190630,$K162&gt;30,X162="-",$D162="是",$E162="封闭期",$H162&lt;10,$BN162&lt;-6,$BR162&lt;70),"-",COUNTIFS(X$4:X$200,"&lt;&gt;-",$D$4:$D$200,"&lt;&gt;是",$E$4:$E$200,"&lt;&gt;封闭期",$H$4:$H$200,"&gt;10",$BN$4:$BN$200,"&gt;-6",$BR$4:$BR$200,"&gt;=70",$K$4:$K$200,"&lt;=30",$C$4:$C$200,"&lt;20190630",X$4:X$200,"&gt;="&amp;X162)/COUNTIFS(X$4:X$200,"&lt;&gt;-",$D$4:$D$200,"&lt;&gt;是",$E$4:$E$200,"&lt;&gt;封闭期",$H$4:$H$200,"&gt;10",$BN$4:$BN$200,"&gt;-6",$BR$4:$BR$200,"&gt;=70",$C$4:$C$200,"&lt;20190630",$K$4:$K$200,"&lt;=30"))</f>
        <v>-</v>
      </c>
      <c r="AC162" s="20">
        <v>0.92436974789915971</v>
      </c>
      <c r="AD162" s="19" t="str">
        <f>IFERROR(RANK(AC162,AC:AC)&amp;"/"&amp;COUNT(AC:AC),"-")</f>
        <v>123/197</v>
      </c>
      <c r="AE162" s="26">
        <f>IFERROR(RANK(AC162,AC:AC)/COUNT(AC:AC),"-")</f>
        <v>0.62436548223350252</v>
      </c>
      <c r="AF162" s="34" t="str">
        <f>IF(OR($C162&gt;20190630,$K162&gt;30,AC162="-",$D162="是",$E162="封闭期",$H162&lt;10,$BN162&lt;-6,$BR162&lt;70),"-",COUNTIFS(AC$4:AC$200,"&lt;&gt;-",$D$4:$D$200,"&lt;&gt;是",$E$4:$E$200,"&lt;&gt;封闭期",$H$4:$H$200,"&gt;10",$BN$4:$BN$200,"&gt;-6",$BR$4:$BR$200,"&gt;=70",$K$4:$K$200,"&lt;=30",$C$4:$C$200,"&lt;20190630",AC$4:AC$200,"&gt;="&amp;AC162)&amp;"/"&amp;COUNTIFS(AC$4:AC$200,"&lt;&gt;-",$D$4:$D$200,"&lt;&gt;是",$E$4:$E$200,"&lt;&gt;封闭期",$H$4:$H$200,"&gt;10",$BN$4:$BN$200,"&gt;-6",$BR$4:$BR$200,"&gt;=70",$C$4:$C$200,"&lt;20190630",$K$4:$K$200,"&lt;=30"))</f>
        <v>-</v>
      </c>
      <c r="AG162" s="33" t="str">
        <f>IF(OR($C162&gt;20190630,$K162&gt;30,AC162="-",$D162="是",$E162="封闭期",$H162&lt;10,$BN162&lt;-6,$BR162&lt;70),"-",COUNTIFS(AC$4:AC$200,"&lt;&gt;-",$D$4:$D$200,"&lt;&gt;是",$E$4:$E$200,"&lt;&gt;封闭期",$H$4:$H$200,"&gt;10",$BN$4:$BN$200,"&gt;-6",$BR$4:$BR$200,"&gt;=70",$K$4:$K$200,"&lt;=30",$C$4:$C$200,"&lt;20190630",AC$4:AC$200,"&gt;="&amp;AC162)/COUNTIFS(AC$4:AC$200,"&lt;&gt;-",$D$4:$D$200,"&lt;&gt;是",$E$4:$E$200,"&lt;&gt;封闭期",$H$4:$H$200,"&gt;10",$BN$4:$BN$200,"&gt;-6",$BR$4:$BR$200,"&gt;=70",$C$4:$C$200,"&lt;20190630",$K$4:$K$200,"&lt;=30"))</f>
        <v>-</v>
      </c>
      <c r="AH162" s="21">
        <f>[1]!f_risk_maxdownside(A162,$L$2,$E$1)</f>
        <v>-6.0143626570915529</v>
      </c>
      <c r="AI162" s="19" t="str">
        <f>IFERROR(RANK(AH162,AH:AH)&amp;"/"&amp;COUNT(AH:AH),"-")</f>
        <v>176/197</v>
      </c>
      <c r="AJ162" s="26">
        <f>IFERROR(RANK(AH162,AH:AH)/COUNT(AH:AH),"-")</f>
        <v>0.89340101522842641</v>
      </c>
      <c r="AK162" s="34" t="str">
        <f>IF(OR($C162&gt;20190630,$K162&gt;30,AH162="-",$D162="是",$E162="封闭期",$H162&lt;10,$BN162&lt;-6,$BR162&lt;70),"-",COUNTIFS(AH$4:AH$200,"&lt;&gt;-",$D$4:$D$200,"&lt;&gt;是",$E$4:$E$200,"&lt;&gt;封闭期",$H$4:$H$200,"&gt;10",$BN$4:$BN$200,"&gt;-6",$BR$4:$BR$200,"&gt;=70",$K$4:$K$200,"&lt;=30",$C$4:$C$200,"&lt;20190630",AH$4:AH$200,"&gt;="&amp;AH162)&amp;"/"&amp;COUNTIFS(AH$4:AH$200,"&lt;&gt;-",$D$4:$D$200,"&lt;&gt;是",$E$4:$E$200,"&lt;&gt;封闭期",$H$4:$H$200,"&gt;10",$BN$4:$BN$200,"&gt;-6",$BR$4:$BR$200,"&gt;=70",$C$4:$C$200,"&lt;20190630",$K$4:$K$200,"&lt;=30"))</f>
        <v>-</v>
      </c>
      <c r="AL162" s="33" t="str">
        <f>IF(OR($C162&gt;20190630,$K162&gt;30,AH162="-",$D162="是",$E162="封闭期",$H162&lt;10,$BN162&lt;-6,$BR162&lt;70),"-",COUNTIFS(AH$4:AH$200,"&lt;&gt;-",$D$4:$D$200,"&lt;&gt;是",$E$4:$E$200,"&lt;&gt;封闭期",$H$4:$H$200,"&gt;10",$BN$4:$BN$200,"&gt;-6",$BR$4:$BR$200,"&gt;=70",$K$4:$K$200,"&lt;=30",$C$4:$C$200,"&lt;20190630",AH$4:AH$200,"&gt;="&amp;AH162)/COUNTIFS(AH$4:AH$200,"&lt;&gt;-",$D$4:$D$200,"&lt;&gt;是",$E$4:$E$200,"&lt;&gt;封闭期",$H$4:$H$200,"&gt;10",$BN$4:$BN$200,"&gt;-6",$BR$4:$BR$200,"&gt;=70",$C$4:$C$200,"&lt;20190630",$K$4:$K$200,"&lt;=30"))</f>
        <v>-</v>
      </c>
      <c r="AM162" s="19">
        <f>[1]!f_return($A162,"1",AM$2,$L$2)</f>
        <v>3.6252699878361661</v>
      </c>
      <c r="AN162" s="19">
        <f>[1]!f_risk_stdevyearly($A162,AM$2,$L$2,1,1)</f>
        <v>15.981170680827015</v>
      </c>
      <c r="AO162" s="19">
        <f>IFERROR(AM162/AN162,"-")</f>
        <v>0.2268463343668238</v>
      </c>
      <c r="AP162" s="19" t="str">
        <f>IFERROR(RANK(AO162,AO:AO)&amp;"/"&amp;COUNT(AO:AO),"-")</f>
        <v>192/197</v>
      </c>
      <c r="AQ162" s="26">
        <f>IF(AP162="-","-",RANK(AO162,AO:AO)/COUNT(AO:AO))</f>
        <v>0.97461928934010156</v>
      </c>
      <c r="AR162" s="57">
        <v>0.80710659898477155</v>
      </c>
      <c r="AS162" s="33" t="str">
        <f>IF(OR($C162&gt;20190630,$K162&gt;30,AO162="-",$D162="是",$E162="封闭期",$H162&lt;10,$BN162&lt;-6,$BR162&lt;70),"-",COUNTIFS(AO$4:AO$200,"&lt;&gt;-",$D$4:$D$200,"&lt;&gt;是",$E$4:$E$200,"&lt;&gt;封闭期",$H$4:$H$200,"&gt;10",$BN$4:$BN$200,"&gt;-6",$BR$4:$BR$200,"&gt;=70",$K$4:$K$200,"&lt;=30",$C$4:$C$200,"&lt;20190630",AO$4:AO$200,"&gt;="&amp;AO162)/COUNTIFS(AO$4:AO$200,"&lt;&gt;-",$D$4:$D$200,"&lt;&gt;是",$E$4:$E$200,"&lt;&gt;封闭期",$H$4:$H$200,"&gt;10",$BN$4:$BN$200,"&gt;-6",$BR$4:$BR$200,"&gt;=70",$C$4:$C$200,"&lt;20190630",$K$4:$K$200,"&lt;=30"))</f>
        <v>-</v>
      </c>
      <c r="AT162" s="19">
        <f>IFERROR((AM162-3)/AN162,"-")</f>
        <v>3.912541830157143E-2</v>
      </c>
      <c r="AU162" s="19" t="str">
        <f>IFERROR(RANK(AT162,AT:AT)&amp;"/"&amp;COUNT(AT:AT),"-")</f>
        <v>165/197</v>
      </c>
      <c r="AV162" s="26">
        <f>IFERROR(RANK(AT162,AT:AT)/COUNT(AT:AT),"-")</f>
        <v>0.8375634517766497</v>
      </c>
      <c r="AW162" s="34" t="str">
        <f>IF(OR($C162&gt;20190630,$K162&gt;30,AT162="-",$D162="是",$E162="封闭期",$H162&lt;10,$BN162&lt;-6,$BR162&lt;70),"-",COUNTIFS(AT$4:AT$200,"&lt;&gt;-",$D$4:$D$200,"&lt;&gt;是",$E$4:$E$200,"&lt;&gt;封闭期",$H$4:$H$200,"&gt;10",$BN$4:$BN$200,"&gt;-6",$BR$4:$BR$200,"&gt;=70",$K$4:$K$200,"&lt;=30",$C$4:$C$200,"&lt;20190630",AT$4:AT$200,"&gt;="&amp;AT162)&amp;"/"&amp;COUNTIFS(AT$4:AT$200,"&lt;&gt;-",$D$4:$D$200,"&lt;&gt;是",$E$4:$E$200,"&lt;&gt;封闭期",$H$4:$H$200,"&gt;10",$BN$4:$BN$200,"&gt;-6",$BR$4:$BR$200,"&gt;=70",$C$4:$C$200,"&lt;20190630",$K$4:$K$200,"&lt;=30"))</f>
        <v>-</v>
      </c>
      <c r="AX162" s="33" t="str">
        <f>IF(OR($C162&gt;20190630,$K162&gt;30,AT162="-",$D162="是",$E162="封闭期",$H162&lt;10,$BN162&lt;-6,$BR162&lt;70),"-",COUNTIFS(AT$4:AT$200,"&lt;&gt;-",$D$4:$D$200,"&lt;&gt;是",$E$4:$E$200,"&lt;&gt;封闭期",$H$4:$H$200,"&gt;10",$BN$4:$BN$200,"&gt;-6",$BR$4:$BR$200,"&gt;=70",$K$4:$K$200,"&lt;=30",$C$4:$C$200,"&lt;20190630",AT$4:AT$200,"&gt;="&amp;AT162)/COUNTIFS(AT$4:AT$200,"&lt;&gt;-",$D$4:$D$200,"&lt;&gt;是",$E$4:$E$200,"&lt;&gt;封闭期",$H$4:$H$200,"&gt;10",$BN$4:$BN$200,"&gt;-6",$BR$4:$BR$200,"&gt;=70",$C$4:$C$200,"&lt;20190630",$K$4:$K$200,"&lt;=30"))</f>
        <v>-</v>
      </c>
      <c r="AY162" s="19">
        <f>[1]!f_risk_calmar(A162,$AM$2,$L$2)</f>
        <v>0.35440198722493288</v>
      </c>
      <c r="AZ162" s="19" t="str">
        <f>IFERROR(RANK(AY162,AY:AY)&amp;"/"&amp;COUNT(AY:AY),"-")</f>
        <v>188/197</v>
      </c>
      <c r="BA162" s="26">
        <f>IFERROR(RANK(AY162,AY:AY)/COUNT(AY:AY),"-")</f>
        <v>0.95431472081218272</v>
      </c>
      <c r="BB162" s="34" t="str">
        <f>IF(OR($C162&gt;20190630,$K162&gt;30,AY162="-",$D162="是",$E162="封闭期",$H162&lt;10,$BN162&lt;-6,$BR162&lt;70),"-",COUNTIFS(AY$4:AY$200,"&lt;&gt;-",$D$4:$D$200,"&lt;&gt;是",$E$4:$E$200,"&lt;&gt;封闭期",$H$4:$H$200,"&gt;10",$BN$4:$BN$200,"&gt;-6",$BR$4:$BR$200,"&gt;=70",$K$4:$K$200,"&lt;=30",$C$4:$C$200,"&lt;20190630",AY$4:AY$200,"&gt;="&amp;AY162)&amp;"/"&amp;COUNTIFS(AY$4:AY$200,"&lt;&gt;-",$D$4:$D$200,"&lt;&gt;是",$E$4:$E$200,"&lt;&gt;封闭期",$H$4:$H$200,"&gt;10",$BN$4:$BN$200,"&gt;-6",$BR$4:$BR$200,"&gt;=70",$C$4:$C$200,"&lt;20190630",$K$4:$K$200,"&lt;=30"))</f>
        <v>-</v>
      </c>
      <c r="BC162" s="33" t="str">
        <f>IF(OR($C162&gt;20190630,$K162&gt;30,AY162="-",$D162="是",$E162="封闭期",$H162&lt;10,$BN162&lt;-6,$BR162&lt;70),"-",COUNTIFS(AY$4:AY$200,"&lt;&gt;-",$D$4:$D$200,"&lt;&gt;是",$E$4:$E$200,"&lt;&gt;封闭期",$H$4:$H$200,"&gt;10",$BN$4:$BN$200,"&gt;-6",$BR$4:$BR$200,"&gt;=70",$K$4:$K$200,"&lt;=30",$C$4:$C$200,"&lt;20190630",AY$4:AY$200,"&gt;="&amp;AY162)/COUNTIFS(AY$4:AY$200,"&lt;&gt;-",$D$4:$D$200,"&lt;&gt;是",$E$4:$E$200,"&lt;&gt;封闭期",$H$4:$H$200,"&gt;10",$BN$4:$BN$200,"&gt;-6",$BR$4:$BR$200,"&gt;=70",$C$4:$C$200,"&lt;20190630",$K$4:$K$200,"&lt;=30"))</f>
        <v>-</v>
      </c>
      <c r="BD162" s="20">
        <v>0.67500000000000004</v>
      </c>
      <c r="BE162" s="19" t="str">
        <f>IFERROR(RANK(BD162,BD:BD)&amp;"/"&amp;COUNT(BD:BD),"-")</f>
        <v>187/197</v>
      </c>
      <c r="BF162" s="26">
        <f>IFERROR(RANK(BD162,BD:BD)/COUNT(BD:BD),"-")</f>
        <v>0.949238578680203</v>
      </c>
      <c r="BG162" s="34" t="str">
        <f>IF(OR($C162&gt;20190630,$K162&gt;30,BD162="-",$D162="是",$E162="封闭期",$H162&lt;10,$BN162&lt;-6,$BR162&lt;70),"-",COUNTIFS(BD$4:BD$200,"&lt;&gt;-",$D$4:$D$200,"&lt;&gt;是",$E$4:$E$200,"&lt;&gt;封闭期",$H$4:$H$200,"&gt;10",$BN$4:$BN$200,"&gt;-6",$BR$4:$BR$200,"&gt;=70",$K$4:$K$200,"&lt;=30",$C$4:$C$200,"&lt;20190630",BD$4:BD$200,"&gt;="&amp;BD162)&amp;"/"&amp;COUNTIFS(BD$4:BD$200,"&lt;&gt;-",$D$4:$D$200,"&lt;&gt;是",$E$4:$E$200,"&lt;&gt;封闭期",$H$4:$H$200,"&gt;10",$BN$4:$BN$200,"&gt;-6",$BR$4:$BR$200,"&gt;=70",$C$4:$C$200,"&lt;20190630",$K$4:$K$200,"&lt;=30"))</f>
        <v>-</v>
      </c>
      <c r="BH162" s="33" t="str">
        <f>IF(OR($C162&gt;20190630,$K162&gt;30,BD162="-",$D162="是",$E162="封闭期",$H162&lt;10,$BN162&lt;-6,$BR162&lt;70),"-",COUNTIFS(BD$4:BD$200,"&lt;&gt;-",$D$4:$D$200,"&lt;&gt;是",$E$4:$E$200,"&lt;&gt;封闭期",$H$4:$H$200,"&gt;10",$BN$4:$BN$200,"&gt;-6",$BR$4:$BR$200,"&gt;=70",$K$4:$K$200,"&lt;=30",$C$4:$C$200,"&lt;20190630",BD$4:BD$200,"&gt;="&amp;BD162)/COUNTIFS(BD$4:BD$200,"&lt;&gt;-",$D$4:$D$200,"&lt;&gt;是",$E$4:$E$200,"&lt;&gt;封闭期",$H$4:$H$200,"&gt;10",$BN$4:$BN$200,"&gt;-6",$BR$4:$BR$200,"&gt;=70",$C$4:$C$200,"&lt;20190630",$K$4:$K$200,"&lt;=30"))</f>
        <v>-</v>
      </c>
      <c r="BI162" s="21">
        <f>[1]!f_risk_maxdownside(A162,$AM$2,$L$2)</f>
        <v>-10.229259762968736</v>
      </c>
      <c r="BJ162" s="19" t="str">
        <f>IFERROR(RANK(BI162,BI:BI)&amp;"/"&amp;COUNT(BI:BI),"-")</f>
        <v>191/197</v>
      </c>
      <c r="BK162" s="26">
        <f>IFERROR(RANK(BI162,BI:BI)/COUNT(BI:BI),"-")</f>
        <v>0.96954314720812185</v>
      </c>
      <c r="BL162" s="34" t="str">
        <f>IF(OR($C162&gt;20190630,$K162&gt;30,BI162="-",$D162="是",$E162="封闭期",$H162&lt;10,$BN162&lt;-6,$BR162&lt;70),"-",COUNTIFS(BI$4:BI$200,"&lt;&gt;-",$D$4:$D$200,"&lt;&gt;是",$E$4:$E$200,"&lt;&gt;封闭期",$H$4:$H$200,"&gt;10",$BN$4:$BN$200,"&gt;-6",$BR$4:$BR$200,"&gt;=70",$K$4:$K$200,"&lt;=30",$C$4:$C$200,"&lt;20190630",BI$4:BI$200,"&gt;="&amp;BI162)&amp;"/"&amp;COUNTIFS(BI$4:BI$200,"&lt;&gt;-",$D$4:$D$200,"&lt;&gt;是",$E$4:$E$200,"&lt;&gt;封闭期",$H$4:$H$200,"&gt;10",$BN$4:$BN$200,"&gt;-6",$BR$4:$BR$200,"&gt;=70",$C$4:$C$200,"&lt;20190630",$K$4:$K$200,"&lt;=30"))</f>
        <v>-</v>
      </c>
      <c r="BM162" s="33" t="str">
        <f>IF(OR($C162&gt;20190630,$K162&gt;30,BI162="-",$D162="是",$E162="封闭期",$H162&lt;10,$BN162&lt;-6,$BR162&lt;70),"-",COUNTIFS(BI$4:BI$200,"&lt;&gt;-",$D$4:$D$200,"&lt;&gt;是",$E$4:$E$200,"&lt;&gt;封闭期",$H$4:$H$200,"&gt;10",$BN$4:$BN$200,"&gt;-6",$BR$4:$BR$200,"&gt;=70",$K$4:$K$200,"&lt;=30",$C$4:$C$200,"&lt;20190630",BI$4:BI$200,"&gt;="&amp;BI162)/COUNTIFS(BI$4:BI$200,"&lt;&gt;-",$D$4:$D$200,"&lt;&gt;是",$E$4:$E$200,"&lt;&gt;封闭期",$H$4:$H$200,"&gt;10",$BN$4:$BN$200,"&gt;-6",$BR$4:$BR$200,"&gt;=70",$C$4:$C$200,"&lt;20190630",$K$4:$K$200,"&lt;=30"))</f>
        <v>-</v>
      </c>
      <c r="BN162" s="21">
        <f>[1]!f_risk_maxdownside(A162,$AM$2,$E$1)</f>
        <v>-10.229259762968736</v>
      </c>
      <c r="BO162" s="21">
        <f>IF(C162&lt;20190930,[1]!f_return_2y(A162,"0","20210930"),"-")</f>
        <v>10.602751692509264</v>
      </c>
      <c r="BP162" s="19" t="str">
        <f>IFERROR(RANK(BO162,BO:BO)&amp;"/"&amp;COUNT(BO:BO),"-")</f>
        <v>134/197</v>
      </c>
      <c r="BQ162" s="25">
        <f>IFERROR(RANK(BO162,BO:BO)/COUNT(BO:BO),"-")</f>
        <v>0.68020304568527923</v>
      </c>
      <c r="BR162" s="19">
        <f>IF(C162&lt;20190930,[1]!f_absolute_profitmonthper(A162,"20190930","20210930"),"-")</f>
        <v>58.333333333333336</v>
      </c>
      <c r="BS162" s="19" t="str">
        <f>IFERROR(RANK(BR162,BR:BR)&amp;"/"&amp;COUNT(BR:BR),"-")</f>
        <v>165/198</v>
      </c>
      <c r="BT162" s="25">
        <f>IFERROR(RANK(BR162,BR:BR)/COUNT(BR:BR),"-")</f>
        <v>0.83333333333333337</v>
      </c>
      <c r="BU162" s="17"/>
      <c r="BV162" s="12">
        <f>X162-3/M162</f>
        <v>0.74354360413145715</v>
      </c>
      <c r="BW162" s="76">
        <f>IFERROR(RANK(BV162,BV:BV)/COUNT(BV:BV),"-")</f>
        <v>0.6649746192893401</v>
      </c>
      <c r="BX162" s="76">
        <f>IFERROR(RANK(L162,L:L)/COUNT(L:L),"-")</f>
        <v>0.39393939393939392</v>
      </c>
      <c r="BY162" s="12">
        <f>AY162-3/AN162</f>
        <v>0.16668107115968051</v>
      </c>
      <c r="BZ162" s="76">
        <f>IFERROR(RANK(BY162,BY:BY)/COUNT(BY:BY),"-")</f>
        <v>0.8324873096446701</v>
      </c>
      <c r="CA162" s="76">
        <f>IFERROR(RANK(AM162,AM:AM)/COUNT(AM:AM),"-")</f>
        <v>0.80808080808080807</v>
      </c>
      <c r="CC162" s="77">
        <f>AV162+BF162+BZ162+CA162</f>
        <v>3.4273701481823311</v>
      </c>
      <c r="CD162" s="77">
        <f>BW162+BX162+AE162+U162</f>
        <v>2.2822642670358406</v>
      </c>
      <c r="CE162" s="77">
        <f>CC162+CD162</f>
        <v>5.7096344152181722</v>
      </c>
    </row>
    <row r="163" spans="1:83" s="17" customFormat="1" hidden="1" x14ac:dyDescent="0.35">
      <c r="A163" s="15" t="s">
        <v>211</v>
      </c>
      <c r="B163" s="15" t="s">
        <v>212</v>
      </c>
      <c r="C163" s="16">
        <v>20151208</v>
      </c>
      <c r="D163" s="16" t="str">
        <f>[1]!f_info_regulopenfundornot(A163)</f>
        <v>否</v>
      </c>
      <c r="E163" s="16" t="str">
        <f>[1]!f_dq_status(A163,$E$1)</f>
        <v>开放申购|开放赎回</v>
      </c>
      <c r="F163" s="17" t="str">
        <f>[1]!f_info_fundmanager(A163)</f>
        <v>彭紫云</v>
      </c>
      <c r="G163" s="16">
        <v>20201218</v>
      </c>
      <c r="H163" s="18">
        <f>[1]!f_netasset_total(A163,$E$1,100000000)</f>
        <v>0.43156389470000001</v>
      </c>
      <c r="I163" s="18">
        <f>[1]!f_prt_convertiblebondtonav(A163,$E$1)</f>
        <v>0</v>
      </c>
      <c r="J163" s="18">
        <f>[1]!f_prt_stocktonav(A163,$E$1)+0.5*I163</f>
        <v>1.5147119760513306</v>
      </c>
      <c r="K163" s="19">
        <v>0</v>
      </c>
      <c r="L163" s="19">
        <f>[1]!f_return($A163,"1",L$2,$E$1)</f>
        <v>2.2419157944877366</v>
      </c>
      <c r="M163" s="19">
        <f>[1]!f_risk_stdevyearly($A163,L$2,$E$1,1,1)</f>
        <v>3.7257298227297659</v>
      </c>
      <c r="N163" s="19">
        <f>IFERROR(L163/M163,"-")</f>
        <v>0.60173869313076778</v>
      </c>
      <c r="O163" s="19" t="str">
        <f>IFERROR(RANK(N163,N:N)&amp;"/"&amp;COUNT(N:N),"-")</f>
        <v>169/197</v>
      </c>
      <c r="P163" s="26">
        <f>IF(O163="-","-",RANK(N163,N:N)/COUNT(N:N))</f>
        <v>0.85786802030456855</v>
      </c>
      <c r="Q163" s="56">
        <v>0.87817258883248728</v>
      </c>
      <c r="R163" s="33" t="str">
        <f>IF(OR($C163&gt;20190630,$K163&gt;30,N163="-",$D163="是",$E163="封闭期",$H163&lt;10,$BN163&lt;-6,$BR163&lt;70),"-",COUNTIFS(N$4:N$200,"&lt;&gt;-",$D$4:$D$200,"&lt;&gt;是",$E$4:$E$200,"&lt;&gt;封闭期",$H$4:$H$200,"&gt;10",$BN$4:$BN$200,"&gt;-6",$BR$4:$BR$200,"&gt;=70",$K$4:$K$200,"&lt;=30",$C$4:$C$200,"&lt;20190630",N$4:N$200,"&gt;="&amp;N163)/COUNTIFS(N$4:N$200,"&lt;&gt;-",$D$4:$D$200,"&lt;&gt;是",$E$4:$E$200,"&lt;&gt;封闭期",$H$4:$H$200,"&gt;10",$BN$4:$BN$200,"&gt;-6",$BR$4:$BR$200,"&gt;=70",$C$4:$C$200,"&lt;20190630",$K$4:$K$200,"&lt;=30"))</f>
        <v>-</v>
      </c>
      <c r="S163" s="19">
        <f>IFERROR((L163-3)/M163,"-")</f>
        <v>-0.20347267289414739</v>
      </c>
      <c r="T163" s="19" t="str">
        <f>IFERROR(RANK(S163,S:S)&amp;"/"&amp;COUNT(S:S),"-")</f>
        <v>173/197</v>
      </c>
      <c r="U163" s="26">
        <f>IFERROR(RANK(S163,S:S)/COUNT(S:S),"-")</f>
        <v>0.87817258883248728</v>
      </c>
      <c r="V163" s="34" t="str">
        <f>IF(OR($C163&gt;20190630,$K163&gt;30,S163="-",$D163="是",$E163="封闭期",$H163&lt;10,$BN163&lt;-6,$BR163&lt;70),"-",COUNTIFS(S$4:S$200,"&lt;&gt;-",$D$4:$D$200,"&lt;&gt;是",$E$4:$E$200,"&lt;&gt;封闭期",$H$4:$H$200,"&gt;10",$BN$4:$BN$200,"&gt;-6",$BR$4:$BR$200,"&gt;=70",$K$4:$K$200,"&lt;=30",$C$4:$C$200,"&lt;20190630",S$4:S$200,"&gt;="&amp;S163)&amp;"/"&amp;COUNTIFS(S$4:S$200,"&lt;&gt;-",$D$4:$D$200,"&lt;&gt;是",$E$4:$E$200,"&lt;&gt;封闭期",$H$4:$H$200,"&gt;10",$BN$4:$BN$200,"&gt;-6",$BR$4:$BR$200,"&gt;=70",$C$4:$C$200,"&lt;20190630",$K$4:$K$200,"&lt;=30"))</f>
        <v>-</v>
      </c>
      <c r="W163" s="33" t="str">
        <f>IF(OR($C163&gt;20190630,$K163&gt;30,S163="-",$D163="是",$E163="封闭期",$H163&lt;10,$BN163&lt;-6,$BR163&lt;70),"-",COUNTIFS(S$4:S$200,"&lt;&gt;-",$D$4:$D$200,"&lt;&gt;是",$E$4:$E$200,"&lt;&gt;封闭期",$H$4:$H$200,"&gt;10",$BN$4:$BN$200,"&gt;-6",$BR$4:$BR$200,"&gt;=70",$K$4:$K$200,"&lt;=30",$C$4:$C$200,"&lt;20190630",S$4:S$200,"&gt;="&amp;S163)/COUNTIFS(S$4:S$200,"&lt;&gt;-",$D$4:$D$200,"&lt;&gt;是",$E$4:$E$200,"&lt;&gt;封闭期",$H$4:$H$200,"&gt;10",$BN$4:$BN$200,"&gt;-6",$BR$4:$BR$200,"&gt;=70",$C$4:$C$200,"&lt;20190630",$K$4:$K$200,"&lt;=30"))</f>
        <v>-</v>
      </c>
      <c r="X163" s="19">
        <f>[1]!f_risk_calmar(A163,$L$2,$E$1)</f>
        <v>0.58196397498577446</v>
      </c>
      <c r="Y163" s="19" t="str">
        <f>IFERROR(RANK(X163,X:X)&amp;"/"&amp;COUNT(X:X),"-")</f>
        <v>173/197</v>
      </c>
      <c r="Z163" s="26">
        <f>IFERROR(RANK(X163,X:X)/COUNT(X:X),"-")</f>
        <v>0.87817258883248728</v>
      </c>
      <c r="AA163" s="34" t="str">
        <f>IF(OR($C163&gt;20190630,$K163&gt;30,X163="-",$D163="是",$E163="封闭期",$H163&lt;10,$BN163&lt;-6,$BR163&lt;70),"-",COUNTIFS(X$4:X$200,"&lt;&gt;-",$D$4:$D$200,"&lt;&gt;是",$E$4:$E$200,"&lt;&gt;封闭期",$H$4:$H$200,"&gt;10",$BN$4:$BN$200,"&gt;-6",$BR$4:$BR$200,"&gt;=70",$K$4:$K$200,"&lt;=30",$C$4:$C$200,"&lt;20190630",X$4:X$200,"&gt;="&amp;X163)&amp;"/"&amp;COUNTIFS(X$4:X$200,"&lt;&gt;-",$D$4:$D$200,"&lt;&gt;是",$E$4:$E$200,"&lt;&gt;封闭期",$H$4:$H$200,"&gt;10",$BN$4:$BN$200,"&gt;-6",$BR$4:$BR$200,"&gt;=70",$C$4:$C$200,"&lt;20190630",$K$4:$K$200,"&lt;=30"))</f>
        <v>-</v>
      </c>
      <c r="AB163" s="33" t="str">
        <f>IF(OR($C163&gt;20190630,$K163&gt;30,X163="-",$D163="是",$E163="封闭期",$H163&lt;10,$BN163&lt;-6,$BR163&lt;70),"-",COUNTIFS(X$4:X$200,"&lt;&gt;-",$D$4:$D$200,"&lt;&gt;是",$E$4:$E$200,"&lt;&gt;封闭期",$H$4:$H$200,"&gt;10",$BN$4:$BN$200,"&gt;-6",$BR$4:$BR$200,"&gt;=70",$K$4:$K$200,"&lt;=30",$C$4:$C$200,"&lt;20190630",X$4:X$200,"&gt;="&amp;X163)/COUNTIFS(X$4:X$200,"&lt;&gt;-",$D$4:$D$200,"&lt;&gt;是",$E$4:$E$200,"&lt;&gt;封闭期",$H$4:$H$200,"&gt;10",$BN$4:$BN$200,"&gt;-6",$BR$4:$BR$200,"&gt;=70",$C$4:$C$200,"&lt;20190630",$K$4:$K$200,"&lt;=30"))</f>
        <v>-</v>
      </c>
      <c r="AC163" s="20">
        <v>0.42857142857142849</v>
      </c>
      <c r="AD163" s="19" t="str">
        <f>IFERROR(RANK(AC163,AC:AC)&amp;"/"&amp;COUNT(AC:AC),"-")</f>
        <v>186/197</v>
      </c>
      <c r="AE163" s="26">
        <f>IFERROR(RANK(AC163,AC:AC)/COUNT(AC:AC),"-")</f>
        <v>0.9441624365482234</v>
      </c>
      <c r="AF163" s="34" t="str">
        <f>IF(OR($C163&gt;20190630,$K163&gt;30,AC163="-",$D163="是",$E163="封闭期",$H163&lt;10,$BN163&lt;-6,$BR163&lt;70),"-",COUNTIFS(AC$4:AC$200,"&lt;&gt;-",$D$4:$D$200,"&lt;&gt;是",$E$4:$E$200,"&lt;&gt;封闭期",$H$4:$H$200,"&gt;10",$BN$4:$BN$200,"&gt;-6",$BR$4:$BR$200,"&gt;=70",$K$4:$K$200,"&lt;=30",$C$4:$C$200,"&lt;20190630",AC$4:AC$200,"&gt;="&amp;AC163)&amp;"/"&amp;COUNTIFS(AC$4:AC$200,"&lt;&gt;-",$D$4:$D$200,"&lt;&gt;是",$E$4:$E$200,"&lt;&gt;封闭期",$H$4:$H$200,"&gt;10",$BN$4:$BN$200,"&gt;-6",$BR$4:$BR$200,"&gt;=70",$C$4:$C$200,"&lt;20190630",$K$4:$K$200,"&lt;=30"))</f>
        <v>-</v>
      </c>
      <c r="AG163" s="33" t="str">
        <f>IF(OR($C163&gt;20190630,$K163&gt;30,AC163="-",$D163="是",$E163="封闭期",$H163&lt;10,$BN163&lt;-6,$BR163&lt;70),"-",COUNTIFS(AC$4:AC$200,"&lt;&gt;-",$D$4:$D$200,"&lt;&gt;是",$E$4:$E$200,"&lt;&gt;封闭期",$H$4:$H$200,"&gt;10",$BN$4:$BN$200,"&gt;-6",$BR$4:$BR$200,"&gt;=70",$K$4:$K$200,"&lt;=30",$C$4:$C$200,"&lt;20190630",AC$4:AC$200,"&gt;="&amp;AC163)/COUNTIFS(AC$4:AC$200,"&lt;&gt;-",$D$4:$D$200,"&lt;&gt;是",$E$4:$E$200,"&lt;&gt;封闭期",$H$4:$H$200,"&gt;10",$BN$4:$BN$200,"&gt;-6",$BR$4:$BR$200,"&gt;=70",$C$4:$C$200,"&lt;20190630",$K$4:$K$200,"&lt;=30"))</f>
        <v>-</v>
      </c>
      <c r="AH163" s="21">
        <f>[1]!f_risk_maxdownside(A163,$L$2,$E$1)</f>
        <v>-3.8523274478330691</v>
      </c>
      <c r="AI163" s="19" t="str">
        <f>IFERROR(RANK(AH163,AH:AH)&amp;"/"&amp;COUNT(AH:AH),"-")</f>
        <v>119/197</v>
      </c>
      <c r="AJ163" s="26">
        <f>IFERROR(RANK(AH163,AH:AH)/COUNT(AH:AH),"-")</f>
        <v>0.60406091370558379</v>
      </c>
      <c r="AK163" s="34" t="str">
        <f>IF(OR($C163&gt;20190630,$K163&gt;30,AH163="-",$D163="是",$E163="封闭期",$H163&lt;10,$BN163&lt;-6,$BR163&lt;70),"-",COUNTIFS(AH$4:AH$200,"&lt;&gt;-",$D$4:$D$200,"&lt;&gt;是",$E$4:$E$200,"&lt;&gt;封闭期",$H$4:$H$200,"&gt;10",$BN$4:$BN$200,"&gt;-6",$BR$4:$BR$200,"&gt;=70",$K$4:$K$200,"&lt;=30",$C$4:$C$200,"&lt;20190630",AH$4:AH$200,"&gt;="&amp;AH163)&amp;"/"&amp;COUNTIFS(AH$4:AH$200,"&lt;&gt;-",$D$4:$D$200,"&lt;&gt;是",$E$4:$E$200,"&lt;&gt;封闭期",$H$4:$H$200,"&gt;10",$BN$4:$BN$200,"&gt;-6",$BR$4:$BR$200,"&gt;=70",$C$4:$C$200,"&lt;20190630",$K$4:$K$200,"&lt;=30"))</f>
        <v>-</v>
      </c>
      <c r="AL163" s="33" t="str">
        <f>IF(OR($C163&gt;20190630,$K163&gt;30,AH163="-",$D163="是",$E163="封闭期",$H163&lt;10,$BN163&lt;-6,$BR163&lt;70),"-",COUNTIFS(AH$4:AH$200,"&lt;&gt;-",$D$4:$D$200,"&lt;&gt;是",$E$4:$E$200,"&lt;&gt;封闭期",$H$4:$H$200,"&gt;10",$BN$4:$BN$200,"&gt;-6",$BR$4:$BR$200,"&gt;=70",$K$4:$K$200,"&lt;=30",$C$4:$C$200,"&lt;20190630",AH$4:AH$200,"&gt;="&amp;AH163)/COUNTIFS(AH$4:AH$200,"&lt;&gt;-",$D$4:$D$200,"&lt;&gt;是",$E$4:$E$200,"&lt;&gt;封闭期",$H$4:$H$200,"&gt;10",$BN$4:$BN$200,"&gt;-6",$BR$4:$BR$200,"&gt;=70",$C$4:$C$200,"&lt;20190630",$K$4:$K$200,"&lt;=30"))</f>
        <v>-</v>
      </c>
      <c r="AM163" s="19">
        <f>[1]!f_return($A163,"1",AM$2,$L$2)</f>
        <v>3.603713703662903</v>
      </c>
      <c r="AN163" s="19">
        <f>[1]!f_risk_stdevyearly($A163,AM$2,$L$2,1,1)</f>
        <v>3.1346225732854198</v>
      </c>
      <c r="AO163" s="19">
        <f>IFERROR(AM163/AN163,"-")</f>
        <v>1.1496483609782167</v>
      </c>
      <c r="AP163" s="19" t="str">
        <f>IFERROR(RANK(AO163,AO:AO)&amp;"/"&amp;COUNT(AO:AO),"-")</f>
        <v>146/197</v>
      </c>
      <c r="AQ163" s="26">
        <f>IF(AP163="-","-",RANK(AO163,AO:AO)/COUNT(AO:AO))</f>
        <v>0.74111675126903553</v>
      </c>
      <c r="AR163" s="57">
        <v>0.81218274111675126</v>
      </c>
      <c r="AS163" s="33" t="str">
        <f>IF(OR($C163&gt;20190630,$K163&gt;30,AO163="-",$D163="是",$E163="封闭期",$H163&lt;10,$BN163&lt;-6,$BR163&lt;70),"-",COUNTIFS(AO$4:AO$200,"&lt;&gt;-",$D$4:$D$200,"&lt;&gt;是",$E$4:$E$200,"&lt;&gt;封闭期",$H$4:$H$200,"&gt;10",$BN$4:$BN$200,"&gt;-6",$BR$4:$BR$200,"&gt;=70",$K$4:$K$200,"&lt;=30",$C$4:$C$200,"&lt;20190630",AO$4:AO$200,"&gt;="&amp;AO163)/COUNTIFS(AO$4:AO$200,"&lt;&gt;-",$D$4:$D$200,"&lt;&gt;是",$E$4:$E$200,"&lt;&gt;封闭期",$H$4:$H$200,"&gt;10",$BN$4:$BN$200,"&gt;-6",$BR$4:$BR$200,"&gt;=70",$C$4:$C$200,"&lt;20190630",$K$4:$K$200,"&lt;=30"))</f>
        <v>-</v>
      </c>
      <c r="AT163" s="19">
        <f>IFERROR((AM163-3)/AN163,"-")</f>
        <v>0.19259534108125384</v>
      </c>
      <c r="AU163" s="19" t="str">
        <f>IFERROR(RANK(AT163,AT:AT)&amp;"/"&amp;COUNT(AT:AT),"-")</f>
        <v>157/197</v>
      </c>
      <c r="AV163" s="26">
        <f>IFERROR(RANK(AT163,AT:AT)/COUNT(AT:AT),"-")</f>
        <v>0.79695431472081213</v>
      </c>
      <c r="AW163" s="34" t="str">
        <f>IF(OR($C163&gt;20190630,$K163&gt;30,AT163="-",$D163="是",$E163="封闭期",$H163&lt;10,$BN163&lt;-6,$BR163&lt;70),"-",COUNTIFS(AT$4:AT$200,"&lt;&gt;-",$D$4:$D$200,"&lt;&gt;是",$E$4:$E$200,"&lt;&gt;封闭期",$H$4:$H$200,"&gt;10",$BN$4:$BN$200,"&gt;-6",$BR$4:$BR$200,"&gt;=70",$K$4:$K$200,"&lt;=30",$C$4:$C$200,"&lt;20190630",AT$4:AT$200,"&gt;="&amp;AT163)&amp;"/"&amp;COUNTIFS(AT$4:AT$200,"&lt;&gt;-",$D$4:$D$200,"&lt;&gt;是",$E$4:$E$200,"&lt;&gt;封闭期",$H$4:$H$200,"&gt;10",$BN$4:$BN$200,"&gt;-6",$BR$4:$BR$200,"&gt;=70",$C$4:$C$200,"&lt;20190630",$K$4:$K$200,"&lt;=30"))</f>
        <v>-</v>
      </c>
      <c r="AX163" s="33" t="str">
        <f>IF(OR($C163&gt;20190630,$K163&gt;30,AT163="-",$D163="是",$E163="封闭期",$H163&lt;10,$BN163&lt;-6,$BR163&lt;70),"-",COUNTIFS(AT$4:AT$200,"&lt;&gt;-",$D$4:$D$200,"&lt;&gt;是",$E$4:$E$200,"&lt;&gt;封闭期",$H$4:$H$200,"&gt;10",$BN$4:$BN$200,"&gt;-6",$BR$4:$BR$200,"&gt;=70",$K$4:$K$200,"&lt;=30",$C$4:$C$200,"&lt;20190630",AT$4:AT$200,"&gt;="&amp;AT163)/COUNTIFS(AT$4:AT$200,"&lt;&gt;-",$D$4:$D$200,"&lt;&gt;是",$E$4:$E$200,"&lt;&gt;封闭期",$H$4:$H$200,"&gt;10",$BN$4:$BN$200,"&gt;-6",$BR$4:$BR$200,"&gt;=70",$C$4:$C$200,"&lt;20190630",$K$4:$K$200,"&lt;=30"))</f>
        <v>-</v>
      </c>
      <c r="AY163" s="19">
        <f>[1]!f_risk_calmar(A163,$AM$2,$L$2)</f>
        <v>1.1474983109031864</v>
      </c>
      <c r="AZ163" s="19" t="str">
        <f>IFERROR(RANK(AY163,AY:AY)&amp;"/"&amp;COUNT(AY:AY),"-")</f>
        <v>159/197</v>
      </c>
      <c r="BA163" s="26">
        <f>IFERROR(RANK(AY163,AY:AY)/COUNT(AY:AY),"-")</f>
        <v>0.80710659898477155</v>
      </c>
      <c r="BB163" s="34" t="str">
        <f>IF(OR($C163&gt;20190630,$K163&gt;30,AY163="-",$D163="是",$E163="封闭期",$H163&lt;10,$BN163&lt;-6,$BR163&lt;70),"-",COUNTIFS(AY$4:AY$200,"&lt;&gt;-",$D$4:$D$200,"&lt;&gt;是",$E$4:$E$200,"&lt;&gt;封闭期",$H$4:$H$200,"&gt;10",$BN$4:$BN$200,"&gt;-6",$BR$4:$BR$200,"&gt;=70",$K$4:$K$200,"&lt;=30",$C$4:$C$200,"&lt;20190630",AY$4:AY$200,"&gt;="&amp;AY163)&amp;"/"&amp;COUNTIFS(AY$4:AY$200,"&lt;&gt;-",$D$4:$D$200,"&lt;&gt;是",$E$4:$E$200,"&lt;&gt;封闭期",$H$4:$H$200,"&gt;10",$BN$4:$BN$200,"&gt;-6",$BR$4:$BR$200,"&gt;=70",$C$4:$C$200,"&lt;20190630",$K$4:$K$200,"&lt;=30"))</f>
        <v>-</v>
      </c>
      <c r="BC163" s="33" t="str">
        <f>IF(OR($C163&gt;20190630,$K163&gt;30,AY163="-",$D163="是",$E163="封闭期",$H163&lt;10,$BN163&lt;-6,$BR163&lt;70),"-",COUNTIFS(AY$4:AY$200,"&lt;&gt;-",$D$4:$D$200,"&lt;&gt;是",$E$4:$E$200,"&lt;&gt;封闭期",$H$4:$H$200,"&gt;10",$BN$4:$BN$200,"&gt;-6",$BR$4:$BR$200,"&gt;=70",$K$4:$K$200,"&lt;=30",$C$4:$C$200,"&lt;20190630",AY$4:AY$200,"&gt;="&amp;AY163)/COUNTIFS(AY$4:AY$200,"&lt;&gt;-",$D$4:$D$200,"&lt;&gt;是",$E$4:$E$200,"&lt;&gt;封闭期",$H$4:$H$200,"&gt;10",$BN$4:$BN$200,"&gt;-6",$BR$4:$BR$200,"&gt;=70",$C$4:$C$200,"&lt;20190630",$K$4:$K$200,"&lt;=30"))</f>
        <v>-</v>
      </c>
      <c r="BD163" s="20">
        <v>0.92500000000000004</v>
      </c>
      <c r="BE163" s="19" t="str">
        <f>IFERROR(RANK(BD163,BD:BD)&amp;"/"&amp;COUNT(BD:BD),"-")</f>
        <v>164/197</v>
      </c>
      <c r="BF163" s="26">
        <f>IFERROR(RANK(BD163,BD:BD)/COUNT(BD:BD),"-")</f>
        <v>0.8324873096446701</v>
      </c>
      <c r="BG163" s="34" t="str">
        <f>IF(OR($C163&gt;20190630,$K163&gt;30,BD163="-",$D163="是",$E163="封闭期",$H163&lt;10,$BN163&lt;-6,$BR163&lt;70),"-",COUNTIFS(BD$4:BD$200,"&lt;&gt;-",$D$4:$D$200,"&lt;&gt;是",$E$4:$E$200,"&lt;&gt;封闭期",$H$4:$H$200,"&gt;10",$BN$4:$BN$200,"&gt;-6",$BR$4:$BR$200,"&gt;=70",$K$4:$K$200,"&lt;=30",$C$4:$C$200,"&lt;20190630",BD$4:BD$200,"&gt;="&amp;BD163)&amp;"/"&amp;COUNTIFS(BD$4:BD$200,"&lt;&gt;-",$D$4:$D$200,"&lt;&gt;是",$E$4:$E$200,"&lt;&gt;封闭期",$H$4:$H$200,"&gt;10",$BN$4:$BN$200,"&gt;-6",$BR$4:$BR$200,"&gt;=70",$C$4:$C$200,"&lt;20190630",$K$4:$K$200,"&lt;=30"))</f>
        <v>-</v>
      </c>
      <c r="BH163" s="33" t="str">
        <f>IF(OR($C163&gt;20190630,$K163&gt;30,BD163="-",$D163="是",$E163="封闭期",$H163&lt;10,$BN163&lt;-6,$BR163&lt;70),"-",COUNTIFS(BD$4:BD$200,"&lt;&gt;-",$D$4:$D$200,"&lt;&gt;是",$E$4:$E$200,"&lt;&gt;封闭期",$H$4:$H$200,"&gt;10",$BN$4:$BN$200,"&gt;-6",$BR$4:$BR$200,"&gt;=70",$K$4:$K$200,"&lt;=30",$C$4:$C$200,"&lt;20190630",BD$4:BD$200,"&gt;="&amp;BD163)/COUNTIFS(BD$4:BD$200,"&lt;&gt;-",$D$4:$D$200,"&lt;&gt;是",$E$4:$E$200,"&lt;&gt;封闭期",$H$4:$H$200,"&gt;10",$BN$4:$BN$200,"&gt;-6",$BR$4:$BR$200,"&gt;=70",$C$4:$C$200,"&lt;20190630",$K$4:$K$200,"&lt;=30"))</f>
        <v>-</v>
      </c>
      <c r="BI163" s="21">
        <f>[1]!f_risk_maxdownside(A163,$AM$2,$L$2)</f>
        <v>-3.1404958677685979</v>
      </c>
      <c r="BJ163" s="19" t="str">
        <f>IFERROR(RANK(BI163,BI:BI)&amp;"/"&amp;COUNT(BI:BI),"-")</f>
        <v>95/197</v>
      </c>
      <c r="BK163" s="26">
        <f>IFERROR(RANK(BI163,BI:BI)/COUNT(BI:BI),"-")</f>
        <v>0.48223350253807107</v>
      </c>
      <c r="BL163" s="34" t="str">
        <f>IF(OR($C163&gt;20190630,$K163&gt;30,BI163="-",$D163="是",$E163="封闭期",$H163&lt;10,$BN163&lt;-6,$BR163&lt;70),"-",COUNTIFS(BI$4:BI$200,"&lt;&gt;-",$D$4:$D$200,"&lt;&gt;是",$E$4:$E$200,"&lt;&gt;封闭期",$H$4:$H$200,"&gt;10",$BN$4:$BN$200,"&gt;-6",$BR$4:$BR$200,"&gt;=70",$K$4:$K$200,"&lt;=30",$C$4:$C$200,"&lt;20190630",BI$4:BI$200,"&gt;="&amp;BI163)&amp;"/"&amp;COUNTIFS(BI$4:BI$200,"&lt;&gt;-",$D$4:$D$200,"&lt;&gt;是",$E$4:$E$200,"&lt;&gt;封闭期",$H$4:$H$200,"&gt;10",$BN$4:$BN$200,"&gt;-6",$BR$4:$BR$200,"&gt;=70",$C$4:$C$200,"&lt;20190630",$K$4:$K$200,"&lt;=30"))</f>
        <v>-</v>
      </c>
      <c r="BM163" s="33" t="str">
        <f>IF(OR($C163&gt;20190630,$K163&gt;30,BI163="-",$D163="是",$E163="封闭期",$H163&lt;10,$BN163&lt;-6,$BR163&lt;70),"-",COUNTIFS(BI$4:BI$200,"&lt;&gt;-",$D$4:$D$200,"&lt;&gt;是",$E$4:$E$200,"&lt;&gt;封闭期",$H$4:$H$200,"&gt;10",$BN$4:$BN$200,"&gt;-6",$BR$4:$BR$200,"&gt;=70",$K$4:$K$200,"&lt;=30",$C$4:$C$200,"&lt;20190630",BI$4:BI$200,"&gt;="&amp;BI163)/COUNTIFS(BI$4:BI$200,"&lt;&gt;-",$D$4:$D$200,"&lt;&gt;是",$E$4:$E$200,"&lt;&gt;封闭期",$H$4:$H$200,"&gt;10",$BN$4:$BN$200,"&gt;-6",$BR$4:$BR$200,"&gt;=70",$C$4:$C$200,"&lt;20190630",$K$4:$K$200,"&lt;=30"))</f>
        <v>-</v>
      </c>
      <c r="BN163" s="21">
        <f>[1]!f_risk_maxdownside(A163,$AM$2,$E$1)</f>
        <v>-3.8523274478330691</v>
      </c>
      <c r="BO163" s="21">
        <f>IF(C163&lt;20190930,[1]!f_return_2y(A163,"0","20210930"),"-")</f>
        <v>5.95340811044003</v>
      </c>
      <c r="BP163" s="19" t="str">
        <f>IFERROR(RANK(BO163,BO:BO)&amp;"/"&amp;COUNT(BO:BO),"-")</f>
        <v>178/197</v>
      </c>
      <c r="BQ163" s="25">
        <f>IFERROR(RANK(BO163,BO:BO)/COUNT(BO:BO),"-")</f>
        <v>0.90355329949238583</v>
      </c>
      <c r="BR163" s="19">
        <f>IF(C163&lt;20190930,[1]!f_absolute_profitmonthper(A163,"20190930","20210930"),"-")</f>
        <v>66.666666666666657</v>
      </c>
      <c r="BS163" s="19" t="str">
        <f>IFERROR(RANK(BR163,BR:BR)&amp;"/"&amp;COUNT(BR:BR),"-")</f>
        <v>115/198</v>
      </c>
      <c r="BT163" s="25">
        <f>IFERROR(RANK(BR163,BR:BR)/COUNT(BR:BR),"-")</f>
        <v>0.58080808080808077</v>
      </c>
      <c r="BV163" s="12">
        <f>X163-3/M163</f>
        <v>-0.22324739103914071</v>
      </c>
      <c r="BW163" s="76">
        <f>IFERROR(RANK(BV163,BV:BV)/COUNT(BV:BV),"-")</f>
        <v>0.89847715736040612</v>
      </c>
      <c r="BX163" s="76">
        <f>IFERROR(RANK(L163,L:L)/COUNT(L:L),"-")</f>
        <v>0.87878787878787878</v>
      </c>
      <c r="BY163" s="12">
        <f>AY163-3/AN163</f>
        <v>0.19044529100622354</v>
      </c>
      <c r="BZ163" s="76">
        <f>IFERROR(RANK(BY163,BY:BY)/COUNT(BY:BY),"-")</f>
        <v>0.82741116751269039</v>
      </c>
      <c r="CA163" s="76">
        <f>IFERROR(RANK(AM163,AM:AM)/COUNT(AM:AM),"-")</f>
        <v>0.81313131313131315</v>
      </c>
      <c r="CB163" s="2"/>
      <c r="CC163" s="77">
        <f>AV163+BF163+BZ163+CA163</f>
        <v>3.269984105009486</v>
      </c>
      <c r="CD163" s="77">
        <f>BW163+BX163+AE163+U163</f>
        <v>3.5996000615289958</v>
      </c>
      <c r="CE163" s="77">
        <f>CC163+CD163</f>
        <v>6.8695841665384823</v>
      </c>
    </row>
    <row r="164" spans="1:83" s="17" customFormat="1" x14ac:dyDescent="0.35">
      <c r="A164" s="15" t="s">
        <v>385</v>
      </c>
      <c r="B164" s="15" t="s">
        <v>386</v>
      </c>
      <c r="C164" s="16">
        <v>20181212</v>
      </c>
      <c r="D164" s="16" t="str">
        <f>[1]!f_info_regulopenfundornot(A164)</f>
        <v>否</v>
      </c>
      <c r="E164" s="16" t="str">
        <f>[1]!f_dq_status(A164,$E$1)</f>
        <v>开放申购|开放赎回</v>
      </c>
      <c r="F164" s="17" t="str">
        <f>[1]!f_info_fundmanager(A164)</f>
        <v>杨爱斌,焦翠</v>
      </c>
      <c r="G164" s="16">
        <v>20181212</v>
      </c>
      <c r="H164" s="18">
        <f>[1]!f_netasset_total(A164,$E$1,100000000)</f>
        <v>56.047685114399997</v>
      </c>
      <c r="I164" s="18">
        <f>[1]!f_prt_convertiblebondtonav(A164,$E$1)</f>
        <v>5.618833065032959</v>
      </c>
      <c r="J164" s="18">
        <f>[1]!f_prt_stocktonav(A164,$E$1)+0.5*I164</f>
        <v>19.816021680831909</v>
      </c>
      <c r="K164" s="19">
        <v>0</v>
      </c>
      <c r="L164" s="19">
        <f>[1]!f_return($A164,"1",L$2,$E$1)</f>
        <v>6.161000935645311</v>
      </c>
      <c r="M164" s="19">
        <f>[1]!f_risk_stdevyearly($A164,L$2,$E$1,1,1)</f>
        <v>2.6522235800699927</v>
      </c>
      <c r="N164" s="19">
        <f>IFERROR(L164/M164,"-")</f>
        <v>2.3229568509766136</v>
      </c>
      <c r="O164" s="19" t="str">
        <f>IFERROR(RANK(N164,N:N)&amp;"/"&amp;COUNT(N:N),"-")</f>
        <v>37/197</v>
      </c>
      <c r="P164" s="26">
        <f>IF(O164="-","-",RANK(N164,N:N)/COUNT(N:N))</f>
        <v>0.18781725888324874</v>
      </c>
      <c r="Q164" s="56">
        <v>0.4467005076142132</v>
      </c>
      <c r="R164" s="33" t="str">
        <f>IF(OR($C164&gt;20190630,$K164&gt;30,N164="-",$D164="是",$E164="封闭期",$H164&lt;10,$BN164&lt;-6,$BR164&lt;70),"-",COUNTIFS(N$4:N$200,"&lt;&gt;-",$D$4:$D$200,"&lt;&gt;是",$E$4:$E$200,"&lt;&gt;封闭期",$H$4:$H$200,"&gt;10",$BN$4:$BN$200,"&gt;-6",$BR$4:$BR$200,"&gt;=70",$K$4:$K$200,"&lt;=30",$C$4:$C$200,"&lt;20190630",N$4:N$200,"&gt;="&amp;N164)/COUNTIFS(N$4:N$200,"&lt;&gt;-",$D$4:$D$200,"&lt;&gt;是",$E$4:$E$200,"&lt;&gt;封闭期",$H$4:$H$200,"&gt;10",$BN$4:$BN$200,"&gt;-6",$BR$4:$BR$200,"&gt;=70",$C$4:$C$200,"&lt;20190630",$K$4:$K$200,"&lt;=30"))</f>
        <v>-</v>
      </c>
      <c r="S164" s="19">
        <f>IFERROR((L164-3)/M164,"-")</f>
        <v>1.1918304924963723</v>
      </c>
      <c r="T164" s="19" t="str">
        <f>IFERROR(RANK(S164,S:S)&amp;"/"&amp;COUNT(S:S),"-")</f>
        <v>57/197</v>
      </c>
      <c r="U164" s="26">
        <f>IFERROR(RANK(S164,S:S)/COUNT(S:S),"-")</f>
        <v>0.28934010152284262</v>
      </c>
      <c r="V164" s="34" t="str">
        <f>IF(OR($C164&gt;20190630,$K164&gt;30,S164="-",$D164="是",$E164="封闭期",$H164&lt;10,$BN164&lt;-6,$BR164&lt;70),"-",COUNTIFS(S$4:S$200,"&lt;&gt;-",$D$4:$D$200,"&lt;&gt;是",$E$4:$E$200,"&lt;&gt;封闭期",$H$4:$H$200,"&gt;10",$BN$4:$BN$200,"&gt;-6",$BR$4:$BR$200,"&gt;=70",$K$4:$K$200,"&lt;=30",$C$4:$C$200,"&lt;20190630",S$4:S$200,"&gt;="&amp;S164)&amp;"/"&amp;COUNTIFS(S$4:S$200,"&lt;&gt;-",$D$4:$D$200,"&lt;&gt;是",$E$4:$E$200,"&lt;&gt;封闭期",$H$4:$H$200,"&gt;10",$BN$4:$BN$200,"&gt;-6",$BR$4:$BR$200,"&gt;=70",$C$4:$C$200,"&lt;20190630",$K$4:$K$200,"&lt;=30"))</f>
        <v>-</v>
      </c>
      <c r="W164" s="33" t="str">
        <f>IF(OR($C164&gt;20190630,$K164&gt;30,S164="-",$D164="是",$E164="封闭期",$H164&lt;10,$BN164&lt;-6,$BR164&lt;70),"-",COUNTIFS(S$4:S$200,"&lt;&gt;-",$D$4:$D$200,"&lt;&gt;是",$E$4:$E$200,"&lt;&gt;封闭期",$H$4:$H$200,"&gt;10",$BN$4:$BN$200,"&gt;-6",$BR$4:$BR$200,"&gt;=70",$K$4:$K$200,"&lt;=30",$C$4:$C$200,"&lt;20190630",S$4:S$200,"&gt;="&amp;S164)/COUNTIFS(S$4:S$200,"&lt;&gt;-",$D$4:$D$200,"&lt;&gt;是",$E$4:$E$200,"&lt;&gt;封闭期",$H$4:$H$200,"&gt;10",$BN$4:$BN$200,"&gt;-6",$BR$4:$BR$200,"&gt;=70",$C$4:$C$200,"&lt;20190630",$K$4:$K$200,"&lt;=30"))</f>
        <v>-</v>
      </c>
      <c r="X164" s="19">
        <f>[1]!f_risk_calmar(A164,$L$2,$E$1)</f>
        <v>6.2988374062976131</v>
      </c>
      <c r="Y164" s="19" t="str">
        <f>IFERROR(RANK(X164,X:X)&amp;"/"&amp;COUNT(X:X),"-")</f>
        <v>22/197</v>
      </c>
      <c r="Z164" s="26">
        <f>IFERROR(RANK(X164,X:X)/COUNT(X:X),"-")</f>
        <v>0.1116751269035533</v>
      </c>
      <c r="AA164" s="34" t="str">
        <f>IF(OR($C164&gt;20190630,$K164&gt;30,X164="-",$D164="是",$E164="封闭期",$H164&lt;10,$BN164&lt;-6,$BR164&lt;70),"-",COUNTIFS(X$4:X$200,"&lt;&gt;-",$D$4:$D$200,"&lt;&gt;是",$E$4:$E$200,"&lt;&gt;封闭期",$H$4:$H$200,"&gt;10",$BN$4:$BN$200,"&gt;-6",$BR$4:$BR$200,"&gt;=70",$K$4:$K$200,"&lt;=30",$C$4:$C$200,"&lt;20190630",X$4:X$200,"&gt;="&amp;X164)&amp;"/"&amp;COUNTIFS(X$4:X$200,"&lt;&gt;-",$D$4:$D$200,"&lt;&gt;是",$E$4:$E$200,"&lt;&gt;封闭期",$H$4:$H$200,"&gt;10",$BN$4:$BN$200,"&gt;-6",$BR$4:$BR$200,"&gt;=70",$C$4:$C$200,"&lt;20190630",$K$4:$K$200,"&lt;=30"))</f>
        <v>-</v>
      </c>
      <c r="AB164" s="33" t="str">
        <f>IF(OR($C164&gt;20190630,$K164&gt;30,X164="-",$D164="是",$E164="封闭期",$H164&lt;10,$BN164&lt;-6,$BR164&lt;70),"-",COUNTIFS(X$4:X$200,"&lt;&gt;-",$D$4:$D$200,"&lt;&gt;是",$E$4:$E$200,"&lt;&gt;封闭期",$H$4:$H$200,"&gt;10",$BN$4:$BN$200,"&gt;-6",$BR$4:$BR$200,"&gt;=70",$K$4:$K$200,"&lt;=30",$C$4:$C$200,"&lt;20190630",X$4:X$200,"&gt;="&amp;X164)/COUNTIFS(X$4:X$200,"&lt;&gt;-",$D$4:$D$200,"&lt;&gt;是",$E$4:$E$200,"&lt;&gt;封闭期",$H$4:$H$200,"&gt;10",$BN$4:$BN$200,"&gt;-6",$BR$4:$BR$200,"&gt;=70",$C$4:$C$200,"&lt;20190630",$K$4:$K$200,"&lt;=30"))</f>
        <v>-</v>
      </c>
      <c r="AC164" s="20">
        <v>1</v>
      </c>
      <c r="AD164" s="19" t="str">
        <f>IFERROR(RANK(AC164,AC:AC)&amp;"/"&amp;COUNT(AC:AC),"-")</f>
        <v>1/197</v>
      </c>
      <c r="AE164" s="26">
        <f>IFERROR(RANK(AC164,AC:AC)/COUNT(AC:AC),"-")</f>
        <v>5.076142131979695E-3</v>
      </c>
      <c r="AF164" s="34" t="str">
        <f>IF(OR($C164&gt;20190630,$K164&gt;30,AC164="-",$D164="是",$E164="封闭期",$H164&lt;10,$BN164&lt;-6,$BR164&lt;70),"-",COUNTIFS(AC$4:AC$200,"&lt;&gt;-",$D$4:$D$200,"&lt;&gt;是",$E$4:$E$200,"&lt;&gt;封闭期",$H$4:$H$200,"&gt;10",$BN$4:$BN$200,"&gt;-6",$BR$4:$BR$200,"&gt;=70",$K$4:$K$200,"&lt;=30",$C$4:$C$200,"&lt;20190630",AC$4:AC$200,"&gt;="&amp;AC164)&amp;"/"&amp;COUNTIFS(AC$4:AC$200,"&lt;&gt;-",$D$4:$D$200,"&lt;&gt;是",$E$4:$E$200,"&lt;&gt;封闭期",$H$4:$H$200,"&gt;10",$BN$4:$BN$200,"&gt;-6",$BR$4:$BR$200,"&gt;=70",$C$4:$C$200,"&lt;20190630",$K$4:$K$200,"&lt;=30"))</f>
        <v>-</v>
      </c>
      <c r="AG164" s="33" t="str">
        <f>IF(OR($C164&gt;20190630,$K164&gt;30,AC164="-",$D164="是",$E164="封闭期",$H164&lt;10,$BN164&lt;-6,$BR164&lt;70),"-",COUNTIFS(AC$4:AC$200,"&lt;&gt;-",$D$4:$D$200,"&lt;&gt;是",$E$4:$E$200,"&lt;&gt;封闭期",$H$4:$H$200,"&gt;10",$BN$4:$BN$200,"&gt;-6",$BR$4:$BR$200,"&gt;=70",$K$4:$K$200,"&lt;=30",$C$4:$C$200,"&lt;20190630",AC$4:AC$200,"&gt;="&amp;AC164)/COUNTIFS(AC$4:AC$200,"&lt;&gt;-",$D$4:$D$200,"&lt;&gt;是",$E$4:$E$200,"&lt;&gt;封闭期",$H$4:$H$200,"&gt;10",$BN$4:$BN$200,"&gt;-6",$BR$4:$BR$200,"&gt;=70",$C$4:$C$200,"&lt;20190630",$K$4:$K$200,"&lt;=30"))</f>
        <v>-</v>
      </c>
      <c r="AH164" s="21">
        <f>[1]!f_risk_maxdownside(A164,$L$2,$E$1)</f>
        <v>-0.97811715690351175</v>
      </c>
      <c r="AI164" s="19" t="str">
        <f>IFERROR(RANK(AH164,AH:AH)&amp;"/"&amp;COUNT(AH:AH),"-")</f>
        <v>23/197</v>
      </c>
      <c r="AJ164" s="26">
        <f>IFERROR(RANK(AH164,AH:AH)/COUNT(AH:AH),"-")</f>
        <v>0.116751269035533</v>
      </c>
      <c r="AK164" s="34" t="str">
        <f>IF(OR($C164&gt;20190630,$K164&gt;30,AH164="-",$D164="是",$E164="封闭期",$H164&lt;10,$BN164&lt;-6,$BR164&lt;70),"-",COUNTIFS(AH$4:AH$200,"&lt;&gt;-",$D$4:$D$200,"&lt;&gt;是",$E$4:$E$200,"&lt;&gt;封闭期",$H$4:$H$200,"&gt;10",$BN$4:$BN$200,"&gt;-6",$BR$4:$BR$200,"&gt;=70",$K$4:$K$200,"&lt;=30",$C$4:$C$200,"&lt;20190630",AH$4:AH$200,"&gt;="&amp;AH164)&amp;"/"&amp;COUNTIFS(AH$4:AH$200,"&lt;&gt;-",$D$4:$D$200,"&lt;&gt;是",$E$4:$E$200,"&lt;&gt;封闭期",$H$4:$H$200,"&gt;10",$BN$4:$BN$200,"&gt;-6",$BR$4:$BR$200,"&gt;=70",$C$4:$C$200,"&lt;20190630",$K$4:$K$200,"&lt;=30"))</f>
        <v>-</v>
      </c>
      <c r="AL164" s="33" t="str">
        <f>IF(OR($C164&gt;20190630,$K164&gt;30,AH164="-",$D164="是",$E164="封闭期",$H164&lt;10,$BN164&lt;-6,$BR164&lt;70),"-",COUNTIFS(AH$4:AH$200,"&lt;&gt;-",$D$4:$D$200,"&lt;&gt;是",$E$4:$E$200,"&lt;&gt;封闭期",$H$4:$H$200,"&gt;10",$BN$4:$BN$200,"&gt;-6",$BR$4:$BR$200,"&gt;=70",$K$4:$K$200,"&lt;=30",$C$4:$C$200,"&lt;20190630",AH$4:AH$200,"&gt;="&amp;AH164)/COUNTIFS(AH$4:AH$200,"&lt;&gt;-",$D$4:$D$200,"&lt;&gt;是",$E$4:$E$200,"&lt;&gt;封闭期",$H$4:$H$200,"&gt;10",$BN$4:$BN$200,"&gt;-6",$BR$4:$BR$200,"&gt;=70",$C$4:$C$200,"&lt;20190630",$K$4:$K$200,"&lt;=30"))</f>
        <v>-</v>
      </c>
      <c r="AM164" s="19">
        <f>[1]!f_return($A164,"1",AM$2,$L$2)</f>
        <v>3.5706502459807998</v>
      </c>
      <c r="AN164" s="19">
        <f>[1]!f_risk_stdevyearly($A164,AM$2,$L$2,1,1)</f>
        <v>3.8831234336154083</v>
      </c>
      <c r="AO164" s="19">
        <f>IFERROR(AM164/AN164,"-")</f>
        <v>0.91953045197338001</v>
      </c>
      <c r="AP164" s="19" t="str">
        <f>IFERROR(RANK(AO164,AO:AO)&amp;"/"&amp;COUNT(AO:AO),"-")</f>
        <v>166/197</v>
      </c>
      <c r="AQ164" s="26">
        <f>IF(AP164="-","-",RANK(AO164,AO:AO)/COUNT(AO:AO))</f>
        <v>0.84263959390862941</v>
      </c>
      <c r="AR164" s="57">
        <v>0.81725888324873097</v>
      </c>
      <c r="AS164" s="33" t="str">
        <f>IF(OR($C164&gt;20190630,$K164&gt;30,AO164="-",$D164="是",$E164="封闭期",$H164&lt;10,$BN164&lt;-6,$BR164&lt;70),"-",COUNTIFS(AO$4:AO$200,"&lt;&gt;-",$D$4:$D$200,"&lt;&gt;是",$E$4:$E$200,"&lt;&gt;封闭期",$H$4:$H$200,"&gt;10",$BN$4:$BN$200,"&gt;-6",$BR$4:$BR$200,"&gt;=70",$K$4:$K$200,"&lt;=30",$C$4:$C$200,"&lt;20190630",AO$4:AO$200,"&gt;="&amp;AO164)/COUNTIFS(AO$4:AO$200,"&lt;&gt;-",$D$4:$D$200,"&lt;&gt;是",$E$4:$E$200,"&lt;&gt;封闭期",$H$4:$H$200,"&gt;10",$BN$4:$BN$200,"&gt;-6",$BR$4:$BR$200,"&gt;=70",$C$4:$C$200,"&lt;20190630",$K$4:$K$200,"&lt;=30"))</f>
        <v>-</v>
      </c>
      <c r="AT164" s="19">
        <f>IFERROR((AM164-3)/AN164,"-")</f>
        <v>0.14695650440591121</v>
      </c>
      <c r="AU164" s="19" t="str">
        <f>IFERROR(RANK(AT164,AT:AT)&amp;"/"&amp;COUNT(AT:AT),"-")</f>
        <v>160/197</v>
      </c>
      <c r="AV164" s="26">
        <f>IFERROR(RANK(AT164,AT:AT)/COUNT(AT:AT),"-")</f>
        <v>0.81218274111675126</v>
      </c>
      <c r="AW164" s="34" t="str">
        <f>IF(OR($C164&gt;20190630,$K164&gt;30,AT164="-",$D164="是",$E164="封闭期",$H164&lt;10,$BN164&lt;-6,$BR164&lt;70),"-",COUNTIFS(AT$4:AT$200,"&lt;&gt;-",$D$4:$D$200,"&lt;&gt;是",$E$4:$E$200,"&lt;&gt;封闭期",$H$4:$H$200,"&gt;10",$BN$4:$BN$200,"&gt;-6",$BR$4:$BR$200,"&gt;=70",$K$4:$K$200,"&lt;=30",$C$4:$C$200,"&lt;20190630",AT$4:AT$200,"&gt;="&amp;AT164)&amp;"/"&amp;COUNTIFS(AT$4:AT$200,"&lt;&gt;-",$D$4:$D$200,"&lt;&gt;是",$E$4:$E$200,"&lt;&gt;封闭期",$H$4:$H$200,"&gt;10",$BN$4:$BN$200,"&gt;-6",$BR$4:$BR$200,"&gt;=70",$C$4:$C$200,"&lt;20190630",$K$4:$K$200,"&lt;=30"))</f>
        <v>-</v>
      </c>
      <c r="AX164" s="33" t="str">
        <f>IF(OR($C164&gt;20190630,$K164&gt;30,AT164="-",$D164="是",$E164="封闭期",$H164&lt;10,$BN164&lt;-6,$BR164&lt;70),"-",COUNTIFS(AT$4:AT$200,"&lt;&gt;-",$D$4:$D$200,"&lt;&gt;是",$E$4:$E$200,"&lt;&gt;封闭期",$H$4:$H$200,"&gt;10",$BN$4:$BN$200,"&gt;-6",$BR$4:$BR$200,"&gt;=70",$K$4:$K$200,"&lt;=30",$C$4:$C$200,"&lt;20190630",AT$4:AT$200,"&gt;="&amp;AT164)/COUNTIFS(AT$4:AT$200,"&lt;&gt;-",$D$4:$D$200,"&lt;&gt;是",$E$4:$E$200,"&lt;&gt;封闭期",$H$4:$H$200,"&gt;10",$BN$4:$BN$200,"&gt;-6",$BR$4:$BR$200,"&gt;=70",$C$4:$C$200,"&lt;20190630",$K$4:$K$200,"&lt;=30"))</f>
        <v>-</v>
      </c>
      <c r="AY164" s="19">
        <f>[1]!f_risk_calmar(A164,$AM$2,$L$2)</f>
        <v>1.4732582557673126</v>
      </c>
      <c r="AZ164" s="19" t="str">
        <f>IFERROR(RANK(AY164,AY:AY)&amp;"/"&amp;COUNT(AY:AY),"-")</f>
        <v>147/197</v>
      </c>
      <c r="BA164" s="26">
        <f>IFERROR(RANK(AY164,AY:AY)/COUNT(AY:AY),"-")</f>
        <v>0.74619289340101524</v>
      </c>
      <c r="BB164" s="34" t="str">
        <f>IF(OR($C164&gt;20190630,$K164&gt;30,AY164="-",$D164="是",$E164="封闭期",$H164&lt;10,$BN164&lt;-6,$BR164&lt;70),"-",COUNTIFS(AY$4:AY$200,"&lt;&gt;-",$D$4:$D$200,"&lt;&gt;是",$E$4:$E$200,"&lt;&gt;封闭期",$H$4:$H$200,"&gt;10",$BN$4:$BN$200,"&gt;-6",$BR$4:$BR$200,"&gt;=70",$K$4:$K$200,"&lt;=30",$C$4:$C$200,"&lt;20190630",AY$4:AY$200,"&gt;="&amp;AY164)&amp;"/"&amp;COUNTIFS(AY$4:AY$200,"&lt;&gt;-",$D$4:$D$200,"&lt;&gt;是",$E$4:$E$200,"&lt;&gt;封闭期",$H$4:$H$200,"&gt;10",$BN$4:$BN$200,"&gt;-6",$BR$4:$BR$200,"&gt;=70",$C$4:$C$200,"&lt;20190630",$K$4:$K$200,"&lt;=30"))</f>
        <v>-</v>
      </c>
      <c r="BC164" s="33" t="str">
        <f>IF(OR($C164&gt;20190630,$K164&gt;30,AY164="-",$D164="是",$E164="封闭期",$H164&lt;10,$BN164&lt;-6,$BR164&lt;70),"-",COUNTIFS(AY$4:AY$200,"&lt;&gt;-",$D$4:$D$200,"&lt;&gt;是",$E$4:$E$200,"&lt;&gt;封闭期",$H$4:$H$200,"&gt;10",$BN$4:$BN$200,"&gt;-6",$BR$4:$BR$200,"&gt;=70",$K$4:$K$200,"&lt;=30",$C$4:$C$200,"&lt;20190630",AY$4:AY$200,"&gt;="&amp;AY164)/COUNTIFS(AY$4:AY$200,"&lt;&gt;-",$D$4:$D$200,"&lt;&gt;是",$E$4:$E$200,"&lt;&gt;封闭期",$H$4:$H$200,"&gt;10",$BN$4:$BN$200,"&gt;-6",$BR$4:$BR$200,"&gt;=70",$C$4:$C$200,"&lt;20190630",$K$4:$K$200,"&lt;=30"))</f>
        <v>-</v>
      </c>
      <c r="BD164" s="20">
        <v>1</v>
      </c>
      <c r="BE164" s="19" t="str">
        <f>IFERROR(RANK(BD164,BD:BD)&amp;"/"&amp;COUNT(BD:BD),"-")</f>
        <v>1/197</v>
      </c>
      <c r="BF164" s="26">
        <f>IFERROR(RANK(BD164,BD:BD)/COUNT(BD:BD),"-")</f>
        <v>5.076142131979695E-3</v>
      </c>
      <c r="BG164" s="34" t="str">
        <f>IF(OR($C164&gt;20190630,$K164&gt;30,BD164="-",$D164="是",$E164="封闭期",$H164&lt;10,$BN164&lt;-6,$BR164&lt;70),"-",COUNTIFS(BD$4:BD$200,"&lt;&gt;-",$D$4:$D$200,"&lt;&gt;是",$E$4:$E$200,"&lt;&gt;封闭期",$H$4:$H$200,"&gt;10",$BN$4:$BN$200,"&gt;-6",$BR$4:$BR$200,"&gt;=70",$K$4:$K$200,"&lt;=30",$C$4:$C$200,"&lt;20190630",BD$4:BD$200,"&gt;="&amp;BD164)&amp;"/"&amp;COUNTIFS(BD$4:BD$200,"&lt;&gt;-",$D$4:$D$200,"&lt;&gt;是",$E$4:$E$200,"&lt;&gt;封闭期",$H$4:$H$200,"&gt;10",$BN$4:$BN$200,"&gt;-6",$BR$4:$BR$200,"&gt;=70",$C$4:$C$200,"&lt;20190630",$K$4:$K$200,"&lt;=30"))</f>
        <v>-</v>
      </c>
      <c r="BH164" s="33" t="str">
        <f>IF(OR($C164&gt;20190630,$K164&gt;30,BD164="-",$D164="是",$E164="封闭期",$H164&lt;10,$BN164&lt;-6,$BR164&lt;70),"-",COUNTIFS(BD$4:BD$200,"&lt;&gt;-",$D$4:$D$200,"&lt;&gt;是",$E$4:$E$200,"&lt;&gt;封闭期",$H$4:$H$200,"&gt;10",$BN$4:$BN$200,"&gt;-6",$BR$4:$BR$200,"&gt;=70",$K$4:$K$200,"&lt;=30",$C$4:$C$200,"&lt;20190630",BD$4:BD$200,"&gt;="&amp;BD164)/COUNTIFS(BD$4:BD$200,"&lt;&gt;-",$D$4:$D$200,"&lt;&gt;是",$E$4:$E$200,"&lt;&gt;封闭期",$H$4:$H$200,"&gt;10",$BN$4:$BN$200,"&gt;-6",$BR$4:$BR$200,"&gt;=70",$C$4:$C$200,"&lt;20190630",$K$4:$K$200,"&lt;=30"))</f>
        <v>-</v>
      </c>
      <c r="BI164" s="21">
        <f>[1]!f_risk_maxdownside(A164,$AM$2,$L$2)</f>
        <v>-2.423641769528798</v>
      </c>
      <c r="BJ164" s="19" t="str">
        <f>IFERROR(RANK(BI164,BI:BI)&amp;"/"&amp;COUNT(BI:BI),"-")</f>
        <v>56/197</v>
      </c>
      <c r="BK164" s="26">
        <f>IFERROR(RANK(BI164,BI:BI)/COUNT(BI:BI),"-")</f>
        <v>0.28426395939086296</v>
      </c>
      <c r="BL164" s="34" t="str">
        <f>IF(OR($C164&gt;20190630,$K164&gt;30,BI164="-",$D164="是",$E164="封闭期",$H164&lt;10,$BN164&lt;-6,$BR164&lt;70),"-",COUNTIFS(BI$4:BI$200,"&lt;&gt;-",$D$4:$D$200,"&lt;&gt;是",$E$4:$E$200,"&lt;&gt;封闭期",$H$4:$H$200,"&gt;10",$BN$4:$BN$200,"&gt;-6",$BR$4:$BR$200,"&gt;=70",$K$4:$K$200,"&lt;=30",$C$4:$C$200,"&lt;20190630",BI$4:BI$200,"&gt;="&amp;BI164)&amp;"/"&amp;COUNTIFS(BI$4:BI$200,"&lt;&gt;-",$D$4:$D$200,"&lt;&gt;是",$E$4:$E$200,"&lt;&gt;封闭期",$H$4:$H$200,"&gt;10",$BN$4:$BN$200,"&gt;-6",$BR$4:$BR$200,"&gt;=70",$C$4:$C$200,"&lt;20190630",$K$4:$K$200,"&lt;=30"))</f>
        <v>-</v>
      </c>
      <c r="BM164" s="33" t="str">
        <f>IF(OR($C164&gt;20190630,$K164&gt;30,BI164="-",$D164="是",$E164="封闭期",$H164&lt;10,$BN164&lt;-6,$BR164&lt;70),"-",COUNTIFS(BI$4:BI$200,"&lt;&gt;-",$D$4:$D$200,"&lt;&gt;是",$E$4:$E$200,"&lt;&gt;封闭期",$H$4:$H$200,"&gt;10",$BN$4:$BN$200,"&gt;-6",$BR$4:$BR$200,"&gt;=70",$K$4:$K$200,"&lt;=30",$C$4:$C$200,"&lt;20190630",BI$4:BI$200,"&gt;="&amp;BI164)/COUNTIFS(BI$4:BI$200,"&lt;&gt;-",$D$4:$D$200,"&lt;&gt;是",$E$4:$E$200,"&lt;&gt;封闭期",$H$4:$H$200,"&gt;10",$BN$4:$BN$200,"&gt;-6",$BR$4:$BR$200,"&gt;=70",$C$4:$C$200,"&lt;20190630",$K$4:$K$200,"&lt;=30"))</f>
        <v>-</v>
      </c>
      <c r="BN164" s="21">
        <f>[1]!f_risk_maxdownside(A164,$AM$2,$E$1)</f>
        <v>-2.423641769528798</v>
      </c>
      <c r="BO164" s="21">
        <f>IF(C164&lt;20190930,[1]!f_return_2y(A164,"0","20210930"),"-")</f>
        <v>9.9805376335235128</v>
      </c>
      <c r="BP164" s="19" t="str">
        <f>IFERROR(RANK(BO164,BO:BO)&amp;"/"&amp;COUNT(BO:BO),"-")</f>
        <v>145/197</v>
      </c>
      <c r="BQ164" s="25">
        <f>IFERROR(RANK(BO164,BO:BO)/COUNT(BO:BO),"-")</f>
        <v>0.73604060913705582</v>
      </c>
      <c r="BR164" s="19">
        <f>IF(C164&lt;20190930,[1]!f_absolute_profitmonthper(A164,"20190930","20210930"),"-")</f>
        <v>66.666666666666657</v>
      </c>
      <c r="BS164" s="19" t="str">
        <f>IFERROR(RANK(BR164,BR:BR)&amp;"/"&amp;COUNT(BR:BR),"-")</f>
        <v>115/198</v>
      </c>
      <c r="BT164" s="25">
        <f>IFERROR(RANK(BR164,BR:BR)/COUNT(BR:BR),"-")</f>
        <v>0.58080808080808077</v>
      </c>
      <c r="BV164" s="12">
        <f>X164-3/M164</f>
        <v>5.167711047817372</v>
      </c>
      <c r="BW164" s="76">
        <f>IFERROR(RANK(BV164,BV:BV)/COUNT(BV:BV),"-")</f>
        <v>9.1370558375634514E-2</v>
      </c>
      <c r="BX164" s="76">
        <f>IFERROR(RANK(L164,L:L)/COUNT(L:L),"-")</f>
        <v>0.4494949494949495</v>
      </c>
      <c r="BY164" s="12">
        <f>AY164-3/AN164</f>
        <v>0.70068430819984384</v>
      </c>
      <c r="BZ164" s="76">
        <f>IFERROR(RANK(BY164,BY:BY)/COUNT(BY:BY),"-")</f>
        <v>0.76649746192893398</v>
      </c>
      <c r="CA164" s="76">
        <f>IFERROR(RANK(AM164,AM:AM)/COUNT(AM:AM),"-")</f>
        <v>0.81818181818181823</v>
      </c>
      <c r="CB164" s="2"/>
      <c r="CC164" s="77">
        <f>AV164+BF164+BZ164+CA164</f>
        <v>2.4019381633594832</v>
      </c>
      <c r="CD164" s="77">
        <f>BW164+BX164+AE164+U164</f>
        <v>0.83528175152540629</v>
      </c>
      <c r="CE164" s="77">
        <f>CC164+CD164</f>
        <v>3.2372199148848892</v>
      </c>
    </row>
    <row r="165" spans="1:83" s="17" customFormat="1" hidden="1" x14ac:dyDescent="0.35">
      <c r="A165" s="15" t="s">
        <v>375</v>
      </c>
      <c r="B165" s="15" t="s">
        <v>376</v>
      </c>
      <c r="C165" s="16">
        <v>20180725</v>
      </c>
      <c r="D165" s="16" t="str">
        <f>[1]!f_info_regulopenfundornot(A165)</f>
        <v>是</v>
      </c>
      <c r="E165" s="16" t="str">
        <f>[1]!f_dq_status(A165,$E$1)</f>
        <v>暂停申购|暂停赎回</v>
      </c>
      <c r="F165" s="17" t="str">
        <f>[1]!f_info_fundmanager(A165)</f>
        <v>何秀红</v>
      </c>
      <c r="G165" s="16">
        <v>20180725</v>
      </c>
      <c r="H165" s="18">
        <f>[1]!f_netasset_total(A165,$E$1,100000000)</f>
        <v>1.0409054820000001</v>
      </c>
      <c r="I165" s="18">
        <f>[1]!f_prt_convertiblebondtonav(A165,$E$1)</f>
        <v>13.536619186401367</v>
      </c>
      <c r="J165" s="18">
        <f>[1]!f_prt_stocktonav(A165,$E$1)+0.5*I165</f>
        <v>13.451150417327881</v>
      </c>
      <c r="K165" s="19">
        <v>48.189774064423652</v>
      </c>
      <c r="L165" s="19">
        <f>[1]!f_return($A165,"1",L$2,$E$1)</f>
        <v>5.2116135838609301</v>
      </c>
      <c r="M165" s="19">
        <f>[1]!f_risk_stdevyearly($A165,L$2,$E$1,1,1)</f>
        <v>4.2566686107904124</v>
      </c>
      <c r="N165" s="19">
        <f>IFERROR(L165/M165,"-")</f>
        <v>1.2243409248842596</v>
      </c>
      <c r="O165" s="19" t="str">
        <f>IFERROR(RANK(N165,N:N)&amp;"/"&amp;COUNT(N:N),"-")</f>
        <v>118/197</v>
      </c>
      <c r="P165" s="26">
        <f>IF(O165="-","-",RANK(N165,N:N)/COUNT(N:N))</f>
        <v>0.59898477157360408</v>
      </c>
      <c r="Q165" s="56">
        <v>0.54822335025380708</v>
      </c>
      <c r="R165" s="33" t="str">
        <f>IF(OR($C165&gt;20190630,$K165&gt;30,N165="-",$D165="是",$E165="封闭期",$H165&lt;10,$BN165&lt;-6,$BR165&lt;70),"-",COUNTIFS(N$4:N$200,"&lt;&gt;-",$D$4:$D$200,"&lt;&gt;是",$E$4:$E$200,"&lt;&gt;封闭期",$H$4:$H$200,"&gt;10",$BN$4:$BN$200,"&gt;-6",$BR$4:$BR$200,"&gt;=70",$K$4:$K$200,"&lt;=30",$C$4:$C$200,"&lt;20190630",N$4:N$200,"&gt;="&amp;N165)/COUNTIFS(N$4:N$200,"&lt;&gt;-",$D$4:$D$200,"&lt;&gt;是",$E$4:$E$200,"&lt;&gt;封闭期",$H$4:$H$200,"&gt;10",$BN$4:$BN$200,"&gt;-6",$BR$4:$BR$200,"&gt;=70",$C$4:$C$200,"&lt;20190630",$K$4:$K$200,"&lt;=30"))</f>
        <v>-</v>
      </c>
      <c r="S165" s="19">
        <f>IFERROR((L165-3)/M165,"-")</f>
        <v>0.51956442609946563</v>
      </c>
      <c r="T165" s="19" t="str">
        <f>IFERROR(RANK(S165,S:S)&amp;"/"&amp;COUNT(S:S),"-")</f>
        <v>115/197</v>
      </c>
      <c r="U165" s="26">
        <f>IFERROR(RANK(S165,S:S)/COUNT(S:S),"-")</f>
        <v>0.58375634517766495</v>
      </c>
      <c r="V165" s="34" t="str">
        <f>IF(OR($C165&gt;20190630,$K165&gt;30,S165="-",$D165="是",$E165="封闭期",$H165&lt;10,$BN165&lt;-6,$BR165&lt;70),"-",COUNTIFS(S$4:S$200,"&lt;&gt;-",$D$4:$D$200,"&lt;&gt;是",$E$4:$E$200,"&lt;&gt;封闭期",$H$4:$H$200,"&gt;10",$BN$4:$BN$200,"&gt;-6",$BR$4:$BR$200,"&gt;=70",$K$4:$K$200,"&lt;=30",$C$4:$C$200,"&lt;20190630",S$4:S$200,"&gt;="&amp;S165)&amp;"/"&amp;COUNTIFS(S$4:S$200,"&lt;&gt;-",$D$4:$D$200,"&lt;&gt;是",$E$4:$E$200,"&lt;&gt;封闭期",$H$4:$H$200,"&gt;10",$BN$4:$BN$200,"&gt;-6",$BR$4:$BR$200,"&gt;=70",$C$4:$C$200,"&lt;20190630",$K$4:$K$200,"&lt;=30"))</f>
        <v>-</v>
      </c>
      <c r="W165" s="33" t="str">
        <f>IF(OR($C165&gt;20190630,$K165&gt;30,S165="-",$D165="是",$E165="封闭期",$H165&lt;10,$BN165&lt;-6,$BR165&lt;70),"-",COUNTIFS(S$4:S$200,"&lt;&gt;-",$D$4:$D$200,"&lt;&gt;是",$E$4:$E$200,"&lt;&gt;封闭期",$H$4:$H$200,"&gt;10",$BN$4:$BN$200,"&gt;-6",$BR$4:$BR$200,"&gt;=70",$K$4:$K$200,"&lt;=30",$C$4:$C$200,"&lt;20190630",S$4:S$200,"&gt;="&amp;S165)/COUNTIFS(S$4:S$200,"&lt;&gt;-",$D$4:$D$200,"&lt;&gt;是",$E$4:$E$200,"&lt;&gt;封闭期",$H$4:$H$200,"&gt;10",$BN$4:$BN$200,"&gt;-6",$BR$4:$BR$200,"&gt;=70",$C$4:$C$200,"&lt;20190630",$K$4:$K$200,"&lt;=30"))</f>
        <v>-</v>
      </c>
      <c r="X165" s="19">
        <f>[1]!f_risk_calmar(A165,$L$2,$E$1)</f>
        <v>6.4080187891995264</v>
      </c>
      <c r="Y165" s="19" t="str">
        <f>IFERROR(RANK(X165,X:X)&amp;"/"&amp;COUNT(X:X),"-")</f>
        <v>21/197</v>
      </c>
      <c r="Z165" s="26">
        <f>IFERROR(RANK(X165,X:X)/COUNT(X:X),"-")</f>
        <v>0.1065989847715736</v>
      </c>
      <c r="AA165" s="34" t="str">
        <f>IF(OR($C165&gt;20190630,$K165&gt;30,X165="-",$D165="是",$E165="封闭期",$H165&lt;10,$BN165&lt;-6,$BR165&lt;70),"-",COUNTIFS(X$4:X$200,"&lt;&gt;-",$D$4:$D$200,"&lt;&gt;是",$E$4:$E$200,"&lt;&gt;封闭期",$H$4:$H$200,"&gt;10",$BN$4:$BN$200,"&gt;-6",$BR$4:$BR$200,"&gt;=70",$K$4:$K$200,"&lt;=30",$C$4:$C$200,"&lt;20190630",X$4:X$200,"&gt;="&amp;X165)&amp;"/"&amp;COUNTIFS(X$4:X$200,"&lt;&gt;-",$D$4:$D$200,"&lt;&gt;是",$E$4:$E$200,"&lt;&gt;封闭期",$H$4:$H$200,"&gt;10",$BN$4:$BN$200,"&gt;-6",$BR$4:$BR$200,"&gt;=70",$C$4:$C$200,"&lt;20190630",$K$4:$K$200,"&lt;=30"))</f>
        <v>-</v>
      </c>
      <c r="AB165" s="33" t="str">
        <f>IF(OR($C165&gt;20190630,$K165&gt;30,X165="-",$D165="是",$E165="封闭期",$H165&lt;10,$BN165&lt;-6,$BR165&lt;70),"-",COUNTIFS(X$4:X$200,"&lt;&gt;-",$D$4:$D$200,"&lt;&gt;是",$E$4:$E$200,"&lt;&gt;封闭期",$H$4:$H$200,"&gt;10",$BN$4:$BN$200,"&gt;-6",$BR$4:$BR$200,"&gt;=70",$K$4:$K$200,"&lt;=30",$C$4:$C$200,"&lt;20190630",X$4:X$200,"&gt;="&amp;X165)/COUNTIFS(X$4:X$200,"&lt;&gt;-",$D$4:$D$200,"&lt;&gt;是",$E$4:$E$200,"&lt;&gt;封闭期",$H$4:$H$200,"&gt;10",$BN$4:$BN$200,"&gt;-6",$BR$4:$BR$200,"&gt;=70",$C$4:$C$200,"&lt;20190630",$K$4:$K$200,"&lt;=30"))</f>
        <v>-</v>
      </c>
      <c r="AC165" s="20">
        <v>1</v>
      </c>
      <c r="AD165" s="19" t="str">
        <f>IFERROR(RANK(AC165,AC:AC)&amp;"/"&amp;COUNT(AC:AC),"-")</f>
        <v>1/197</v>
      </c>
      <c r="AE165" s="26">
        <f>IFERROR(RANK(AC165,AC:AC)/COUNT(AC:AC),"-")</f>
        <v>5.076142131979695E-3</v>
      </c>
      <c r="AF165" s="34" t="str">
        <f>IF(OR($C165&gt;20190630,$K165&gt;30,AC165="-",$D165="是",$E165="封闭期",$H165&lt;10,$BN165&lt;-6,$BR165&lt;70),"-",COUNTIFS(AC$4:AC$200,"&lt;&gt;-",$D$4:$D$200,"&lt;&gt;是",$E$4:$E$200,"&lt;&gt;封闭期",$H$4:$H$200,"&gt;10",$BN$4:$BN$200,"&gt;-6",$BR$4:$BR$200,"&gt;=70",$K$4:$K$200,"&lt;=30",$C$4:$C$200,"&lt;20190630",AC$4:AC$200,"&gt;="&amp;AC165)&amp;"/"&amp;COUNTIFS(AC$4:AC$200,"&lt;&gt;-",$D$4:$D$200,"&lt;&gt;是",$E$4:$E$200,"&lt;&gt;封闭期",$H$4:$H$200,"&gt;10",$BN$4:$BN$200,"&gt;-6",$BR$4:$BR$200,"&gt;=70",$C$4:$C$200,"&lt;20190630",$K$4:$K$200,"&lt;=30"))</f>
        <v>-</v>
      </c>
      <c r="AG165" s="33" t="str">
        <f>IF(OR($C165&gt;20190630,$K165&gt;30,AC165="-",$D165="是",$E165="封闭期",$H165&lt;10,$BN165&lt;-6,$BR165&lt;70),"-",COUNTIFS(AC$4:AC$200,"&lt;&gt;-",$D$4:$D$200,"&lt;&gt;是",$E$4:$E$200,"&lt;&gt;封闭期",$H$4:$H$200,"&gt;10",$BN$4:$BN$200,"&gt;-6",$BR$4:$BR$200,"&gt;=70",$K$4:$K$200,"&lt;=30",$C$4:$C$200,"&lt;20190630",AC$4:AC$200,"&gt;="&amp;AC165)/COUNTIFS(AC$4:AC$200,"&lt;&gt;-",$D$4:$D$200,"&lt;&gt;是",$E$4:$E$200,"&lt;&gt;封闭期",$H$4:$H$200,"&gt;10",$BN$4:$BN$200,"&gt;-6",$BR$4:$BR$200,"&gt;=70",$C$4:$C$200,"&lt;20190630",$K$4:$K$200,"&lt;=30"))</f>
        <v>-</v>
      </c>
      <c r="AH165" s="21">
        <f>[1]!f_risk_maxdownside(A165,$L$2,$E$1)</f>
        <v>-0.81329561527580219</v>
      </c>
      <c r="AI165" s="19" t="str">
        <f>IFERROR(RANK(AH165,AH:AH)&amp;"/"&amp;COUNT(AH:AH),"-")</f>
        <v>16/197</v>
      </c>
      <c r="AJ165" s="26">
        <f>IFERROR(RANK(AH165,AH:AH)/COUNT(AH:AH),"-")</f>
        <v>8.1218274111675121E-2</v>
      </c>
      <c r="AK165" s="34" t="str">
        <f>IF(OR($C165&gt;20190630,$K165&gt;30,AH165="-",$D165="是",$E165="封闭期",$H165&lt;10,$BN165&lt;-6,$BR165&lt;70),"-",COUNTIFS(AH$4:AH$200,"&lt;&gt;-",$D$4:$D$200,"&lt;&gt;是",$E$4:$E$200,"&lt;&gt;封闭期",$H$4:$H$200,"&gt;10",$BN$4:$BN$200,"&gt;-6",$BR$4:$BR$200,"&gt;=70",$K$4:$K$200,"&lt;=30",$C$4:$C$200,"&lt;20190630",AH$4:AH$200,"&gt;="&amp;AH165)&amp;"/"&amp;COUNTIFS(AH$4:AH$200,"&lt;&gt;-",$D$4:$D$200,"&lt;&gt;是",$E$4:$E$200,"&lt;&gt;封闭期",$H$4:$H$200,"&gt;10",$BN$4:$BN$200,"&gt;-6",$BR$4:$BR$200,"&gt;=70",$C$4:$C$200,"&lt;20190630",$K$4:$K$200,"&lt;=30"))</f>
        <v>-</v>
      </c>
      <c r="AL165" s="33" t="str">
        <f>IF(OR($C165&gt;20190630,$K165&gt;30,AH165="-",$D165="是",$E165="封闭期",$H165&lt;10,$BN165&lt;-6,$BR165&lt;70),"-",COUNTIFS(AH$4:AH$200,"&lt;&gt;-",$D$4:$D$200,"&lt;&gt;是",$E$4:$E$200,"&lt;&gt;封闭期",$H$4:$H$200,"&gt;10",$BN$4:$BN$200,"&gt;-6",$BR$4:$BR$200,"&gt;=70",$K$4:$K$200,"&lt;=30",$C$4:$C$200,"&lt;20190630",AH$4:AH$200,"&gt;="&amp;AH165)/COUNTIFS(AH$4:AH$200,"&lt;&gt;-",$D$4:$D$200,"&lt;&gt;是",$E$4:$E$200,"&lt;&gt;封闭期",$H$4:$H$200,"&gt;10",$BN$4:$BN$200,"&gt;-6",$BR$4:$BR$200,"&gt;=70",$C$4:$C$200,"&lt;20190630",$K$4:$K$200,"&lt;=30"))</f>
        <v>-</v>
      </c>
      <c r="AM165" s="19">
        <f>[1]!f_return($A165,"1",AM$2,$L$2)</f>
        <v>3.5419202683457662</v>
      </c>
      <c r="AN165" s="19">
        <f>[1]!f_risk_stdevyearly($A165,AM$2,$L$2,1,1)</f>
        <v>3.2304176860631335</v>
      </c>
      <c r="AO165" s="19">
        <f>IFERROR(AM165/AN165,"-")</f>
        <v>1.0964279584112409</v>
      </c>
      <c r="AP165" s="19" t="str">
        <f>IFERROR(RANK(AO165,AO:AO)&amp;"/"&amp;COUNT(AO:AO),"-")</f>
        <v>152/197</v>
      </c>
      <c r="AQ165" s="26">
        <f>IF(AP165="-","-",RANK(AO165,AO:AO)/COUNT(AO:AO))</f>
        <v>0.77157360406091369</v>
      </c>
      <c r="AR165" s="57">
        <v>0.82233502538071068</v>
      </c>
      <c r="AS165" s="33" t="str">
        <f>IF(OR($C165&gt;20190630,$K165&gt;30,AO165="-",$D165="是",$E165="封闭期",$H165&lt;10,$BN165&lt;-6,$BR165&lt;70),"-",COUNTIFS(AO$4:AO$200,"&lt;&gt;-",$D$4:$D$200,"&lt;&gt;是",$E$4:$E$200,"&lt;&gt;封闭期",$H$4:$H$200,"&gt;10",$BN$4:$BN$200,"&gt;-6",$BR$4:$BR$200,"&gt;=70",$K$4:$K$200,"&lt;=30",$C$4:$C$200,"&lt;20190630",AO$4:AO$200,"&gt;="&amp;AO165)/COUNTIFS(AO$4:AO$200,"&lt;&gt;-",$D$4:$D$200,"&lt;&gt;是",$E$4:$E$200,"&lt;&gt;封闭期",$H$4:$H$200,"&gt;10",$BN$4:$BN$200,"&gt;-6",$BR$4:$BR$200,"&gt;=70",$C$4:$C$200,"&lt;20190630",$K$4:$K$200,"&lt;=30"))</f>
        <v>-</v>
      </c>
      <c r="AT165" s="19">
        <f>IFERROR((AM165-3)/AN165,"-")</f>
        <v>0.16775547963464663</v>
      </c>
      <c r="AU165" s="19" t="str">
        <f>IFERROR(RANK(AT165,AT:AT)&amp;"/"&amp;COUNT(AT:AT),"-")</f>
        <v>159/197</v>
      </c>
      <c r="AV165" s="26">
        <f>IFERROR(RANK(AT165,AT:AT)/COUNT(AT:AT),"-")</f>
        <v>0.80710659898477155</v>
      </c>
      <c r="AW165" s="34" t="str">
        <f>IF(OR($C165&gt;20190630,$K165&gt;30,AT165="-",$D165="是",$E165="封闭期",$H165&lt;10,$BN165&lt;-6,$BR165&lt;70),"-",COUNTIFS(AT$4:AT$200,"&lt;&gt;-",$D$4:$D$200,"&lt;&gt;是",$E$4:$E$200,"&lt;&gt;封闭期",$H$4:$H$200,"&gt;10",$BN$4:$BN$200,"&gt;-6",$BR$4:$BR$200,"&gt;=70",$K$4:$K$200,"&lt;=30",$C$4:$C$200,"&lt;20190630",AT$4:AT$200,"&gt;="&amp;AT165)&amp;"/"&amp;COUNTIFS(AT$4:AT$200,"&lt;&gt;-",$D$4:$D$200,"&lt;&gt;是",$E$4:$E$200,"&lt;&gt;封闭期",$H$4:$H$200,"&gt;10",$BN$4:$BN$200,"&gt;-6",$BR$4:$BR$200,"&gt;=70",$C$4:$C$200,"&lt;20190630",$K$4:$K$200,"&lt;=30"))</f>
        <v>-</v>
      </c>
      <c r="AX165" s="33" t="str">
        <f>IF(OR($C165&gt;20190630,$K165&gt;30,AT165="-",$D165="是",$E165="封闭期",$H165&lt;10,$BN165&lt;-6,$BR165&lt;70),"-",COUNTIFS(AT$4:AT$200,"&lt;&gt;-",$D$4:$D$200,"&lt;&gt;是",$E$4:$E$200,"&lt;&gt;封闭期",$H$4:$H$200,"&gt;10",$BN$4:$BN$200,"&gt;-6",$BR$4:$BR$200,"&gt;=70",$K$4:$K$200,"&lt;=30",$C$4:$C$200,"&lt;20190630",AT$4:AT$200,"&gt;="&amp;AT165)/COUNTIFS(AT$4:AT$200,"&lt;&gt;-",$D$4:$D$200,"&lt;&gt;是",$E$4:$E$200,"&lt;&gt;封闭期",$H$4:$H$200,"&gt;10",$BN$4:$BN$200,"&gt;-6",$BR$4:$BR$200,"&gt;=70",$C$4:$C$200,"&lt;20190630",$K$4:$K$200,"&lt;=30"))</f>
        <v>-</v>
      </c>
      <c r="AY165" s="19">
        <f>[1]!f_risk_calmar(A165,$AM$2,$L$2)</f>
        <v>2.167420380784403</v>
      </c>
      <c r="AZ165" s="19" t="str">
        <f>IFERROR(RANK(AY165,AY:AY)&amp;"/"&amp;COUNT(AY:AY),"-")</f>
        <v>102/197</v>
      </c>
      <c r="BA165" s="26">
        <f>IFERROR(RANK(AY165,AY:AY)/COUNT(AY:AY),"-")</f>
        <v>0.51776649746192893</v>
      </c>
      <c r="BB165" s="34" t="str">
        <f>IF(OR($C165&gt;20190630,$K165&gt;30,AY165="-",$D165="是",$E165="封闭期",$H165&lt;10,$BN165&lt;-6,$BR165&lt;70),"-",COUNTIFS(AY$4:AY$200,"&lt;&gt;-",$D$4:$D$200,"&lt;&gt;是",$E$4:$E$200,"&lt;&gt;封闭期",$H$4:$H$200,"&gt;10",$BN$4:$BN$200,"&gt;-6",$BR$4:$BR$200,"&gt;=70",$K$4:$K$200,"&lt;=30",$C$4:$C$200,"&lt;20190630",AY$4:AY$200,"&gt;="&amp;AY165)&amp;"/"&amp;COUNTIFS(AY$4:AY$200,"&lt;&gt;-",$D$4:$D$200,"&lt;&gt;是",$E$4:$E$200,"&lt;&gt;封闭期",$H$4:$H$200,"&gt;10",$BN$4:$BN$200,"&gt;-6",$BR$4:$BR$200,"&gt;=70",$C$4:$C$200,"&lt;20190630",$K$4:$K$200,"&lt;=30"))</f>
        <v>-</v>
      </c>
      <c r="BC165" s="33" t="str">
        <f>IF(OR($C165&gt;20190630,$K165&gt;30,AY165="-",$D165="是",$E165="封闭期",$H165&lt;10,$BN165&lt;-6,$BR165&lt;70),"-",COUNTIFS(AY$4:AY$200,"&lt;&gt;-",$D$4:$D$200,"&lt;&gt;是",$E$4:$E$200,"&lt;&gt;封闭期",$H$4:$H$200,"&gt;10",$BN$4:$BN$200,"&gt;-6",$BR$4:$BR$200,"&gt;=70",$K$4:$K$200,"&lt;=30",$C$4:$C$200,"&lt;20190630",AY$4:AY$200,"&gt;="&amp;AY165)/COUNTIFS(AY$4:AY$200,"&lt;&gt;-",$D$4:$D$200,"&lt;&gt;是",$E$4:$E$200,"&lt;&gt;封闭期",$H$4:$H$200,"&gt;10",$BN$4:$BN$200,"&gt;-6",$BR$4:$BR$200,"&gt;=70",$C$4:$C$200,"&lt;20190630",$K$4:$K$200,"&lt;=30"))</f>
        <v>-</v>
      </c>
      <c r="BD165" s="20">
        <v>1</v>
      </c>
      <c r="BE165" s="19" t="str">
        <f>IFERROR(RANK(BD165,BD:BD)&amp;"/"&amp;COUNT(BD:BD),"-")</f>
        <v>1/197</v>
      </c>
      <c r="BF165" s="26">
        <f>IFERROR(RANK(BD165,BD:BD)/COUNT(BD:BD),"-")</f>
        <v>5.076142131979695E-3</v>
      </c>
      <c r="BG165" s="34" t="str">
        <f>IF(OR($C165&gt;20190630,$K165&gt;30,BD165="-",$D165="是",$E165="封闭期",$H165&lt;10,$BN165&lt;-6,$BR165&lt;70),"-",COUNTIFS(BD$4:BD$200,"&lt;&gt;-",$D$4:$D$200,"&lt;&gt;是",$E$4:$E$200,"&lt;&gt;封闭期",$H$4:$H$200,"&gt;10",$BN$4:$BN$200,"&gt;-6",$BR$4:$BR$200,"&gt;=70",$K$4:$K$200,"&lt;=30",$C$4:$C$200,"&lt;20190630",BD$4:BD$200,"&gt;="&amp;BD165)&amp;"/"&amp;COUNTIFS(BD$4:BD$200,"&lt;&gt;-",$D$4:$D$200,"&lt;&gt;是",$E$4:$E$200,"&lt;&gt;封闭期",$H$4:$H$200,"&gt;10",$BN$4:$BN$200,"&gt;-6",$BR$4:$BR$200,"&gt;=70",$C$4:$C$200,"&lt;20190630",$K$4:$K$200,"&lt;=30"))</f>
        <v>-</v>
      </c>
      <c r="BH165" s="33" t="str">
        <f>IF(OR($C165&gt;20190630,$K165&gt;30,BD165="-",$D165="是",$E165="封闭期",$H165&lt;10,$BN165&lt;-6,$BR165&lt;70),"-",COUNTIFS(BD$4:BD$200,"&lt;&gt;-",$D$4:$D$200,"&lt;&gt;是",$E$4:$E$200,"&lt;&gt;封闭期",$H$4:$H$200,"&gt;10",$BN$4:$BN$200,"&gt;-6",$BR$4:$BR$200,"&gt;=70",$K$4:$K$200,"&lt;=30",$C$4:$C$200,"&lt;20190630",BD$4:BD$200,"&gt;="&amp;BD165)/COUNTIFS(BD$4:BD$200,"&lt;&gt;-",$D$4:$D$200,"&lt;&gt;是",$E$4:$E$200,"&lt;&gt;封闭期",$H$4:$H$200,"&gt;10",$BN$4:$BN$200,"&gt;-6",$BR$4:$BR$200,"&gt;=70",$C$4:$C$200,"&lt;20190630",$K$4:$K$200,"&lt;=30"))</f>
        <v>-</v>
      </c>
      <c r="BI165" s="21">
        <f>[1]!f_risk_maxdownside(A165,$AM$2,$L$2)</f>
        <v>-1.6341639581076206</v>
      </c>
      <c r="BJ165" s="19" t="str">
        <f>IFERROR(RANK(BI165,BI:BI)&amp;"/"&amp;COUNT(BI:BI),"-")</f>
        <v>23/197</v>
      </c>
      <c r="BK165" s="26">
        <f>IFERROR(RANK(BI165,BI:BI)/COUNT(BI:BI),"-")</f>
        <v>0.116751269035533</v>
      </c>
      <c r="BL165" s="34" t="str">
        <f>IF(OR($C165&gt;20190630,$K165&gt;30,BI165="-",$D165="是",$E165="封闭期",$H165&lt;10,$BN165&lt;-6,$BR165&lt;70),"-",COUNTIFS(BI$4:BI$200,"&lt;&gt;-",$D$4:$D$200,"&lt;&gt;是",$E$4:$E$200,"&lt;&gt;封闭期",$H$4:$H$200,"&gt;10",$BN$4:$BN$200,"&gt;-6",$BR$4:$BR$200,"&gt;=70",$K$4:$K$200,"&lt;=30",$C$4:$C$200,"&lt;20190630",BI$4:BI$200,"&gt;="&amp;BI165)&amp;"/"&amp;COUNTIFS(BI$4:BI$200,"&lt;&gt;-",$D$4:$D$200,"&lt;&gt;是",$E$4:$E$200,"&lt;&gt;封闭期",$H$4:$H$200,"&gt;10",$BN$4:$BN$200,"&gt;-6",$BR$4:$BR$200,"&gt;=70",$C$4:$C$200,"&lt;20190630",$K$4:$K$200,"&lt;=30"))</f>
        <v>-</v>
      </c>
      <c r="BM165" s="33" t="str">
        <f>IF(OR($C165&gt;20190630,$K165&gt;30,BI165="-",$D165="是",$E165="封闭期",$H165&lt;10,$BN165&lt;-6,$BR165&lt;70),"-",COUNTIFS(BI$4:BI$200,"&lt;&gt;-",$D$4:$D$200,"&lt;&gt;是",$E$4:$E$200,"&lt;&gt;封闭期",$H$4:$H$200,"&gt;10",$BN$4:$BN$200,"&gt;-6",$BR$4:$BR$200,"&gt;=70",$K$4:$K$200,"&lt;=30",$C$4:$C$200,"&lt;20190630",BI$4:BI$200,"&gt;="&amp;BI165)/COUNTIFS(BI$4:BI$200,"&lt;&gt;-",$D$4:$D$200,"&lt;&gt;是",$E$4:$E$200,"&lt;&gt;封闭期",$H$4:$H$200,"&gt;10",$BN$4:$BN$200,"&gt;-6",$BR$4:$BR$200,"&gt;=70",$C$4:$C$200,"&lt;20190630",$K$4:$K$200,"&lt;=30"))</f>
        <v>-</v>
      </c>
      <c r="BN165" s="21">
        <f>[1]!f_risk_maxdownside(A165,$AM$2,$E$1)</f>
        <v>-1.6341639581076206</v>
      </c>
      <c r="BO165" s="21">
        <f>IF(C165&lt;20190930,[1]!f_return_2y(A165,"0","20210930"),"-")</f>
        <v>8.8742345737164232</v>
      </c>
      <c r="BP165" s="19" t="str">
        <f>IFERROR(RANK(BO165,BO:BO)&amp;"/"&amp;COUNT(BO:BO),"-")</f>
        <v>156/197</v>
      </c>
      <c r="BQ165" s="25">
        <f>IFERROR(RANK(BO165,BO:BO)/COUNT(BO:BO),"-")</f>
        <v>0.79187817258883253</v>
      </c>
      <c r="BR165" s="19">
        <f>IF(C165&lt;20190930,[1]!f_absolute_profitmonthper(A165,"20190930","20210930"),"-")</f>
        <v>75</v>
      </c>
      <c r="BS165" s="19" t="str">
        <f>IFERROR(RANK(BR165,BR:BR)&amp;"/"&amp;COUNT(BR:BR),"-")</f>
        <v>26/198</v>
      </c>
      <c r="BT165" s="25">
        <f>IFERROR(RANK(BR165,BR:BR)/COUNT(BR:BR),"-")</f>
        <v>0.13131313131313133</v>
      </c>
      <c r="BV165" s="12">
        <f>X165-3/M165</f>
        <v>5.7032422904147326</v>
      </c>
      <c r="BW165" s="76">
        <f>IFERROR(RANK(BV165,BV:BV)/COUNT(BV:BV),"-")</f>
        <v>7.1065989847715741E-2</v>
      </c>
      <c r="BX165" s="76">
        <f>IFERROR(RANK(L165,L:L)/COUNT(L:L),"-")</f>
        <v>0.5505050505050505</v>
      </c>
      <c r="BY165" s="12">
        <f>AY165-3/AN165</f>
        <v>1.2387479020078089</v>
      </c>
      <c r="BZ165" s="76">
        <f>IFERROR(RANK(BY165,BY:BY)/COUNT(BY:BY),"-")</f>
        <v>0.6142131979695431</v>
      </c>
      <c r="CA165" s="76">
        <f>IFERROR(RANK(AM165,AM:AM)/COUNT(AM:AM),"-")</f>
        <v>0.8232323232323232</v>
      </c>
      <c r="CB165" s="2"/>
      <c r="CC165" s="77">
        <f>AV165+BF165+BZ165+CA165</f>
        <v>2.2496282623186175</v>
      </c>
      <c r="CD165" s="77">
        <f>BW165+BX165+AE165+U165</f>
        <v>1.210403527662411</v>
      </c>
      <c r="CE165" s="77">
        <f>CC165+CD165</f>
        <v>3.4600317899810284</v>
      </c>
    </row>
    <row r="166" spans="1:83" s="17" customFormat="1" hidden="1" x14ac:dyDescent="0.35">
      <c r="A166" s="15" t="s">
        <v>201</v>
      </c>
      <c r="B166" s="15" t="s">
        <v>202</v>
      </c>
      <c r="C166" s="16">
        <v>20150529</v>
      </c>
      <c r="D166" s="16" t="str">
        <f>[1]!f_info_regulopenfundornot(A166)</f>
        <v>否</v>
      </c>
      <c r="E166" s="16" t="str">
        <f>[1]!f_dq_status(A166,$E$1)</f>
        <v>开放申购|开放赎回</v>
      </c>
      <c r="F166" s="17" t="str">
        <f>[1]!f_info_fundmanager(A166)</f>
        <v>王艺伟</v>
      </c>
      <c r="G166" s="16">
        <v>20191128</v>
      </c>
      <c r="H166" s="18">
        <f>[1]!f_netasset_total(A166,$E$1,100000000)</f>
        <v>0.77164358020000001</v>
      </c>
      <c r="I166" s="18">
        <f>[1]!f_prt_convertiblebondtonav(A166,$E$1)</f>
        <v>3.9694361388683319E-2</v>
      </c>
      <c r="J166" s="18">
        <f>[1]!f_prt_stocktonav(A166,$E$1)+0.5*I166</f>
        <v>15.071437146514654</v>
      </c>
      <c r="K166" s="19">
        <v>6.5496559936260592</v>
      </c>
      <c r="L166" s="19">
        <f>[1]!f_return($A166,"1",L$2,$E$1)</f>
        <v>7.2889340546254955</v>
      </c>
      <c r="M166" s="19">
        <f>[1]!f_risk_stdevyearly($A166,L$2,$E$1,1,1)</f>
        <v>3.89337384883919</v>
      </c>
      <c r="N166" s="19">
        <f>IFERROR(L166/M166,"-")</f>
        <v>1.8721382373281961</v>
      </c>
      <c r="O166" s="19" t="str">
        <f>IFERROR(RANK(N166,N:N)&amp;"/"&amp;COUNT(N:N),"-")</f>
        <v>56/197</v>
      </c>
      <c r="P166" s="26">
        <f>IF(O166="-","-",RANK(N166,N:N)/COUNT(N:N))</f>
        <v>0.28426395939086296</v>
      </c>
      <c r="Q166" s="56">
        <v>0.32994923857868019</v>
      </c>
      <c r="R166" s="33" t="str">
        <f>IF(OR($C166&gt;20190630,$K166&gt;30,N166="-",$D166="是",$E166="封闭期",$H166&lt;10,$BN166&lt;-6,$BR166&lt;70),"-",COUNTIFS(N$4:N$200,"&lt;&gt;-",$D$4:$D$200,"&lt;&gt;是",$E$4:$E$200,"&lt;&gt;封闭期",$H$4:$H$200,"&gt;10",$BN$4:$BN$200,"&gt;-6",$BR$4:$BR$200,"&gt;=70",$K$4:$K$200,"&lt;=30",$C$4:$C$200,"&lt;20190630",N$4:N$200,"&gt;="&amp;N166)/COUNTIFS(N$4:N$200,"&lt;&gt;-",$D$4:$D$200,"&lt;&gt;是",$E$4:$E$200,"&lt;&gt;封闭期",$H$4:$H$200,"&gt;10",$BN$4:$BN$200,"&gt;-6",$BR$4:$BR$200,"&gt;=70",$C$4:$C$200,"&lt;20190630",$K$4:$K$200,"&lt;=30"))</f>
        <v>-</v>
      </c>
      <c r="S166" s="19">
        <f>IFERROR((L166-3)/M166,"-")</f>
        <v>1.101598310653944</v>
      </c>
      <c r="T166" s="19" t="str">
        <f>IFERROR(RANK(S166,S:S)&amp;"/"&amp;COUNT(S:S),"-")</f>
        <v>68/197</v>
      </c>
      <c r="U166" s="26">
        <f>IFERROR(RANK(S166,S:S)/COUNT(S:S),"-")</f>
        <v>0.34517766497461927</v>
      </c>
      <c r="V166" s="34" t="str">
        <f>IF(OR($C166&gt;20190630,$K166&gt;30,S166="-",$D166="是",$E166="封闭期",$H166&lt;10,$BN166&lt;-6,$BR166&lt;70),"-",COUNTIFS(S$4:S$200,"&lt;&gt;-",$D$4:$D$200,"&lt;&gt;是",$E$4:$E$200,"&lt;&gt;封闭期",$H$4:$H$200,"&gt;10",$BN$4:$BN$200,"&gt;-6",$BR$4:$BR$200,"&gt;=70",$K$4:$K$200,"&lt;=30",$C$4:$C$200,"&lt;20190630",S$4:S$200,"&gt;="&amp;S166)&amp;"/"&amp;COUNTIFS(S$4:S$200,"&lt;&gt;-",$D$4:$D$200,"&lt;&gt;是",$E$4:$E$200,"&lt;&gt;封闭期",$H$4:$H$200,"&gt;10",$BN$4:$BN$200,"&gt;-6",$BR$4:$BR$200,"&gt;=70",$C$4:$C$200,"&lt;20190630",$K$4:$K$200,"&lt;=30"))</f>
        <v>-</v>
      </c>
      <c r="W166" s="33" t="str">
        <f>IF(OR($C166&gt;20190630,$K166&gt;30,S166="-",$D166="是",$E166="封闭期",$H166&lt;10,$BN166&lt;-6,$BR166&lt;70),"-",COUNTIFS(S$4:S$200,"&lt;&gt;-",$D$4:$D$200,"&lt;&gt;是",$E$4:$E$200,"&lt;&gt;封闭期",$H$4:$H$200,"&gt;10",$BN$4:$BN$200,"&gt;-6",$BR$4:$BR$200,"&gt;=70",$K$4:$K$200,"&lt;=30",$C$4:$C$200,"&lt;20190630",S$4:S$200,"&gt;="&amp;S166)/COUNTIFS(S$4:S$200,"&lt;&gt;-",$D$4:$D$200,"&lt;&gt;是",$E$4:$E$200,"&lt;&gt;封闭期",$H$4:$H$200,"&gt;10",$BN$4:$BN$200,"&gt;-6",$BR$4:$BR$200,"&gt;=70",$C$4:$C$200,"&lt;20190630",$K$4:$K$200,"&lt;=30"))</f>
        <v>-</v>
      </c>
      <c r="X166" s="19">
        <f>[1]!f_risk_calmar(A166,$L$2,$E$1)</f>
        <v>2.2330643421898184</v>
      </c>
      <c r="Y166" s="19" t="str">
        <f>IFERROR(RANK(X166,X:X)&amp;"/"&amp;COUNT(X:X),"-")</f>
        <v>87/197</v>
      </c>
      <c r="Z166" s="26">
        <f>IFERROR(RANK(X166,X:X)/COUNT(X:X),"-")</f>
        <v>0.44162436548223349</v>
      </c>
      <c r="AA166" s="34" t="str">
        <f>IF(OR($C166&gt;20190630,$K166&gt;30,X166="-",$D166="是",$E166="封闭期",$H166&lt;10,$BN166&lt;-6,$BR166&lt;70),"-",COUNTIFS(X$4:X$200,"&lt;&gt;-",$D$4:$D$200,"&lt;&gt;是",$E$4:$E$200,"&lt;&gt;封闭期",$H$4:$H$200,"&gt;10",$BN$4:$BN$200,"&gt;-6",$BR$4:$BR$200,"&gt;=70",$K$4:$K$200,"&lt;=30",$C$4:$C$200,"&lt;20190630",X$4:X$200,"&gt;="&amp;X166)&amp;"/"&amp;COUNTIFS(X$4:X$200,"&lt;&gt;-",$D$4:$D$200,"&lt;&gt;是",$E$4:$E$200,"&lt;&gt;封闭期",$H$4:$H$200,"&gt;10",$BN$4:$BN$200,"&gt;-6",$BR$4:$BR$200,"&gt;=70",$C$4:$C$200,"&lt;20190630",$K$4:$K$200,"&lt;=30"))</f>
        <v>-</v>
      </c>
      <c r="AB166" s="33" t="str">
        <f>IF(OR($C166&gt;20190630,$K166&gt;30,X166="-",$D166="是",$E166="封闭期",$H166&lt;10,$BN166&lt;-6,$BR166&lt;70),"-",COUNTIFS(X$4:X$200,"&lt;&gt;-",$D$4:$D$200,"&lt;&gt;是",$E$4:$E$200,"&lt;&gt;封闭期",$H$4:$H$200,"&gt;10",$BN$4:$BN$200,"&gt;-6",$BR$4:$BR$200,"&gt;=70",$K$4:$K$200,"&lt;=30",$C$4:$C$200,"&lt;20190630",X$4:X$200,"&gt;="&amp;X166)/COUNTIFS(X$4:X$200,"&lt;&gt;-",$D$4:$D$200,"&lt;&gt;是",$E$4:$E$200,"&lt;&gt;封闭期",$H$4:$H$200,"&gt;10",$BN$4:$BN$200,"&gt;-6",$BR$4:$BR$200,"&gt;=70",$C$4:$C$200,"&lt;20190630",$K$4:$K$200,"&lt;=30"))</f>
        <v>-</v>
      </c>
      <c r="AC166" s="20">
        <v>1</v>
      </c>
      <c r="AD166" s="19" t="str">
        <f>IFERROR(RANK(AC166,AC:AC)&amp;"/"&amp;COUNT(AC:AC),"-")</f>
        <v>1/197</v>
      </c>
      <c r="AE166" s="26">
        <f>IFERROR(RANK(AC166,AC:AC)/COUNT(AC:AC),"-")</f>
        <v>5.076142131979695E-3</v>
      </c>
      <c r="AF166" s="34" t="str">
        <f>IF(OR($C166&gt;20190630,$K166&gt;30,AC166="-",$D166="是",$E166="封闭期",$H166&lt;10,$BN166&lt;-6,$BR166&lt;70),"-",COUNTIFS(AC$4:AC$200,"&lt;&gt;-",$D$4:$D$200,"&lt;&gt;是",$E$4:$E$200,"&lt;&gt;封闭期",$H$4:$H$200,"&gt;10",$BN$4:$BN$200,"&gt;-6",$BR$4:$BR$200,"&gt;=70",$K$4:$K$200,"&lt;=30",$C$4:$C$200,"&lt;20190630",AC$4:AC$200,"&gt;="&amp;AC166)&amp;"/"&amp;COUNTIFS(AC$4:AC$200,"&lt;&gt;-",$D$4:$D$200,"&lt;&gt;是",$E$4:$E$200,"&lt;&gt;封闭期",$H$4:$H$200,"&gt;10",$BN$4:$BN$200,"&gt;-6",$BR$4:$BR$200,"&gt;=70",$C$4:$C$200,"&lt;20190630",$K$4:$K$200,"&lt;=30"))</f>
        <v>-</v>
      </c>
      <c r="AG166" s="33" t="str">
        <f>IF(OR($C166&gt;20190630,$K166&gt;30,AC166="-",$D166="是",$E166="封闭期",$H166&lt;10,$BN166&lt;-6,$BR166&lt;70),"-",COUNTIFS(AC$4:AC$200,"&lt;&gt;-",$D$4:$D$200,"&lt;&gt;是",$E$4:$E$200,"&lt;&gt;封闭期",$H$4:$H$200,"&gt;10",$BN$4:$BN$200,"&gt;-6",$BR$4:$BR$200,"&gt;=70",$K$4:$K$200,"&lt;=30",$C$4:$C$200,"&lt;20190630",AC$4:AC$200,"&gt;="&amp;AC166)/COUNTIFS(AC$4:AC$200,"&lt;&gt;-",$D$4:$D$200,"&lt;&gt;是",$E$4:$E$200,"&lt;&gt;封闭期",$H$4:$H$200,"&gt;10",$BN$4:$BN$200,"&gt;-6",$BR$4:$BR$200,"&gt;=70",$C$4:$C$200,"&lt;20190630",$K$4:$K$200,"&lt;=30"))</f>
        <v>-</v>
      </c>
      <c r="AH166" s="21">
        <f>[1]!f_risk_maxdownside(A166,$L$2,$E$1)</f>
        <v>-3.2640949554896035</v>
      </c>
      <c r="AI166" s="19" t="str">
        <f>IFERROR(RANK(AH166,AH:AH)&amp;"/"&amp;COUNT(AH:AH),"-")</f>
        <v>101/197</v>
      </c>
      <c r="AJ166" s="26">
        <f>IFERROR(RANK(AH166,AH:AH)/COUNT(AH:AH),"-")</f>
        <v>0.51269035532994922</v>
      </c>
      <c r="AK166" s="34" t="str">
        <f>IF(OR($C166&gt;20190630,$K166&gt;30,AH166="-",$D166="是",$E166="封闭期",$H166&lt;10,$BN166&lt;-6,$BR166&lt;70),"-",COUNTIFS(AH$4:AH$200,"&lt;&gt;-",$D$4:$D$200,"&lt;&gt;是",$E$4:$E$200,"&lt;&gt;封闭期",$H$4:$H$200,"&gt;10",$BN$4:$BN$200,"&gt;-6",$BR$4:$BR$200,"&gt;=70",$K$4:$K$200,"&lt;=30",$C$4:$C$200,"&lt;20190630",AH$4:AH$200,"&gt;="&amp;AH166)&amp;"/"&amp;COUNTIFS(AH$4:AH$200,"&lt;&gt;-",$D$4:$D$200,"&lt;&gt;是",$E$4:$E$200,"&lt;&gt;封闭期",$H$4:$H$200,"&gt;10",$BN$4:$BN$200,"&gt;-6",$BR$4:$BR$200,"&gt;=70",$C$4:$C$200,"&lt;20190630",$K$4:$K$200,"&lt;=30"))</f>
        <v>-</v>
      </c>
      <c r="AL166" s="33" t="str">
        <f>IF(OR($C166&gt;20190630,$K166&gt;30,AH166="-",$D166="是",$E166="封闭期",$H166&lt;10,$BN166&lt;-6,$BR166&lt;70),"-",COUNTIFS(AH$4:AH$200,"&lt;&gt;-",$D$4:$D$200,"&lt;&gt;是",$E$4:$E$200,"&lt;&gt;封闭期",$H$4:$H$200,"&gt;10",$BN$4:$BN$200,"&gt;-6",$BR$4:$BR$200,"&gt;=70",$K$4:$K$200,"&lt;=30",$C$4:$C$200,"&lt;20190630",AH$4:AH$200,"&gt;="&amp;AH166)/COUNTIFS(AH$4:AH$200,"&lt;&gt;-",$D$4:$D$200,"&lt;&gt;是",$E$4:$E$200,"&lt;&gt;封闭期",$H$4:$H$200,"&gt;10",$BN$4:$BN$200,"&gt;-6",$BR$4:$BR$200,"&gt;=70",$C$4:$C$200,"&lt;20190630",$K$4:$K$200,"&lt;=30"))</f>
        <v>-</v>
      </c>
      <c r="AM166" s="19">
        <f>[1]!f_return($A166,"1",AM$2,$L$2)</f>
        <v>3.3434441393352721</v>
      </c>
      <c r="AN166" s="19">
        <f>[1]!f_risk_stdevyearly($A166,AM$2,$L$2,1,1)</f>
        <v>3.6038039770820154</v>
      </c>
      <c r="AO166" s="19">
        <f>IFERROR(AM166/AN166,"-")</f>
        <v>0.92775416215685635</v>
      </c>
      <c r="AP166" s="19" t="str">
        <f>IFERROR(RANK(AO166,AO:AO)&amp;"/"&amp;COUNT(AO:AO),"-")</f>
        <v>165/197</v>
      </c>
      <c r="AQ166" s="26">
        <f>IF(AP166="-","-",RANK(AO166,AO:AO)/COUNT(AO:AO))</f>
        <v>0.8375634517766497</v>
      </c>
      <c r="AR166" s="57">
        <v>0.82741116751269039</v>
      </c>
      <c r="AS166" s="33" t="str">
        <f>IF(OR($C166&gt;20190630,$K166&gt;30,AO166="-",$D166="是",$E166="封闭期",$H166&lt;10,$BN166&lt;-6,$BR166&lt;70),"-",COUNTIFS(AO$4:AO$200,"&lt;&gt;-",$D$4:$D$200,"&lt;&gt;是",$E$4:$E$200,"&lt;&gt;封闭期",$H$4:$H$200,"&gt;10",$BN$4:$BN$200,"&gt;-6",$BR$4:$BR$200,"&gt;=70",$K$4:$K$200,"&lt;=30",$C$4:$C$200,"&lt;20190630",AO$4:AO$200,"&gt;="&amp;AO166)/COUNTIFS(AO$4:AO$200,"&lt;&gt;-",$D$4:$D$200,"&lt;&gt;是",$E$4:$E$200,"&lt;&gt;封闭期",$H$4:$H$200,"&gt;10",$BN$4:$BN$200,"&gt;-6",$BR$4:$BR$200,"&gt;=70",$C$4:$C$200,"&lt;20190630",$K$4:$K$200,"&lt;=30"))</f>
        <v>-</v>
      </c>
      <c r="AT166" s="19">
        <f>IFERROR((AM166-3)/AN166,"-")</f>
        <v>9.5300449613621135E-2</v>
      </c>
      <c r="AU166" s="19" t="str">
        <f>IFERROR(RANK(AT166,AT:AT)&amp;"/"&amp;COUNT(AT:AT),"-")</f>
        <v>162/197</v>
      </c>
      <c r="AV166" s="26">
        <f>IFERROR(RANK(AT166,AT:AT)/COUNT(AT:AT),"-")</f>
        <v>0.82233502538071068</v>
      </c>
      <c r="AW166" s="34" t="str">
        <f>IF(OR($C166&gt;20190630,$K166&gt;30,AT166="-",$D166="是",$E166="封闭期",$H166&lt;10,$BN166&lt;-6,$BR166&lt;70),"-",COUNTIFS(AT$4:AT$200,"&lt;&gt;-",$D$4:$D$200,"&lt;&gt;是",$E$4:$E$200,"&lt;&gt;封闭期",$H$4:$H$200,"&gt;10",$BN$4:$BN$200,"&gt;-6",$BR$4:$BR$200,"&gt;=70",$K$4:$K$200,"&lt;=30",$C$4:$C$200,"&lt;20190630",AT$4:AT$200,"&gt;="&amp;AT166)&amp;"/"&amp;COUNTIFS(AT$4:AT$200,"&lt;&gt;-",$D$4:$D$200,"&lt;&gt;是",$E$4:$E$200,"&lt;&gt;封闭期",$H$4:$H$200,"&gt;10",$BN$4:$BN$200,"&gt;-6",$BR$4:$BR$200,"&gt;=70",$C$4:$C$200,"&lt;20190630",$K$4:$K$200,"&lt;=30"))</f>
        <v>-</v>
      </c>
      <c r="AX166" s="33" t="str">
        <f>IF(OR($C166&gt;20190630,$K166&gt;30,AT166="-",$D166="是",$E166="封闭期",$H166&lt;10,$BN166&lt;-6,$BR166&lt;70),"-",COUNTIFS(AT$4:AT$200,"&lt;&gt;-",$D$4:$D$200,"&lt;&gt;是",$E$4:$E$200,"&lt;&gt;封闭期",$H$4:$H$200,"&gt;10",$BN$4:$BN$200,"&gt;-6",$BR$4:$BR$200,"&gt;=70",$K$4:$K$200,"&lt;=30",$C$4:$C$200,"&lt;20190630",AT$4:AT$200,"&gt;="&amp;AT166)/COUNTIFS(AT$4:AT$200,"&lt;&gt;-",$D$4:$D$200,"&lt;&gt;是",$E$4:$E$200,"&lt;&gt;封闭期",$H$4:$H$200,"&gt;10",$BN$4:$BN$200,"&gt;-6",$BR$4:$BR$200,"&gt;=70",$C$4:$C$200,"&lt;20190630",$K$4:$K$200,"&lt;=30"))</f>
        <v>-</v>
      </c>
      <c r="AY166" s="19">
        <f>[1]!f_risk_calmar(A166,$AM$2,$L$2)</f>
        <v>1.5340836192649989</v>
      </c>
      <c r="AZ166" s="19" t="str">
        <f>IFERROR(RANK(AY166,AY:AY)&amp;"/"&amp;COUNT(AY:AY),"-")</f>
        <v>145/197</v>
      </c>
      <c r="BA166" s="26">
        <f>IFERROR(RANK(AY166,AY:AY)/COUNT(AY:AY),"-")</f>
        <v>0.73604060913705582</v>
      </c>
      <c r="BB166" s="34" t="str">
        <f>IF(OR($C166&gt;20190630,$K166&gt;30,AY166="-",$D166="是",$E166="封闭期",$H166&lt;10,$BN166&lt;-6,$BR166&lt;70),"-",COUNTIFS(AY$4:AY$200,"&lt;&gt;-",$D$4:$D$200,"&lt;&gt;是",$E$4:$E$200,"&lt;&gt;封闭期",$H$4:$H$200,"&gt;10",$BN$4:$BN$200,"&gt;-6",$BR$4:$BR$200,"&gt;=70",$K$4:$K$200,"&lt;=30",$C$4:$C$200,"&lt;20190630",AY$4:AY$200,"&gt;="&amp;AY166)&amp;"/"&amp;COUNTIFS(AY$4:AY$200,"&lt;&gt;-",$D$4:$D$200,"&lt;&gt;是",$E$4:$E$200,"&lt;&gt;封闭期",$H$4:$H$200,"&gt;10",$BN$4:$BN$200,"&gt;-6",$BR$4:$BR$200,"&gt;=70",$C$4:$C$200,"&lt;20190630",$K$4:$K$200,"&lt;=30"))</f>
        <v>-</v>
      </c>
      <c r="BC166" s="33" t="str">
        <f>IF(OR($C166&gt;20190630,$K166&gt;30,AY166="-",$D166="是",$E166="封闭期",$H166&lt;10,$BN166&lt;-6,$BR166&lt;70),"-",COUNTIFS(AY$4:AY$200,"&lt;&gt;-",$D$4:$D$200,"&lt;&gt;是",$E$4:$E$200,"&lt;&gt;封闭期",$H$4:$H$200,"&gt;10",$BN$4:$BN$200,"&gt;-6",$BR$4:$BR$200,"&gt;=70",$K$4:$K$200,"&lt;=30",$C$4:$C$200,"&lt;20190630",AY$4:AY$200,"&gt;="&amp;AY166)/COUNTIFS(AY$4:AY$200,"&lt;&gt;-",$D$4:$D$200,"&lt;&gt;是",$E$4:$E$200,"&lt;&gt;封闭期",$H$4:$H$200,"&gt;10",$BN$4:$BN$200,"&gt;-6",$BR$4:$BR$200,"&gt;=70",$C$4:$C$200,"&lt;20190630",$K$4:$K$200,"&lt;=30"))</f>
        <v>-</v>
      </c>
      <c r="BD166" s="20">
        <v>1</v>
      </c>
      <c r="BE166" s="19" t="str">
        <f>IFERROR(RANK(BD166,BD:BD)&amp;"/"&amp;COUNT(BD:BD),"-")</f>
        <v>1/197</v>
      </c>
      <c r="BF166" s="26">
        <f>IFERROR(RANK(BD166,BD:BD)/COUNT(BD:BD),"-")</f>
        <v>5.076142131979695E-3</v>
      </c>
      <c r="BG166" s="34" t="str">
        <f>IF(OR($C166&gt;20190630,$K166&gt;30,BD166="-",$D166="是",$E166="封闭期",$H166&lt;10,$BN166&lt;-6,$BR166&lt;70),"-",COUNTIFS(BD$4:BD$200,"&lt;&gt;-",$D$4:$D$200,"&lt;&gt;是",$E$4:$E$200,"&lt;&gt;封闭期",$H$4:$H$200,"&gt;10",$BN$4:$BN$200,"&gt;-6",$BR$4:$BR$200,"&gt;=70",$K$4:$K$200,"&lt;=30",$C$4:$C$200,"&lt;20190630",BD$4:BD$200,"&gt;="&amp;BD166)&amp;"/"&amp;COUNTIFS(BD$4:BD$200,"&lt;&gt;-",$D$4:$D$200,"&lt;&gt;是",$E$4:$E$200,"&lt;&gt;封闭期",$H$4:$H$200,"&gt;10",$BN$4:$BN$200,"&gt;-6",$BR$4:$BR$200,"&gt;=70",$C$4:$C$200,"&lt;20190630",$K$4:$K$200,"&lt;=30"))</f>
        <v>-</v>
      </c>
      <c r="BH166" s="33" t="str">
        <f>IF(OR($C166&gt;20190630,$K166&gt;30,BD166="-",$D166="是",$E166="封闭期",$H166&lt;10,$BN166&lt;-6,$BR166&lt;70),"-",COUNTIFS(BD$4:BD$200,"&lt;&gt;-",$D$4:$D$200,"&lt;&gt;是",$E$4:$E$200,"&lt;&gt;封闭期",$H$4:$H$200,"&gt;10",$BN$4:$BN$200,"&gt;-6",$BR$4:$BR$200,"&gt;=70",$K$4:$K$200,"&lt;=30",$C$4:$C$200,"&lt;20190630",BD$4:BD$200,"&gt;="&amp;BD166)/COUNTIFS(BD$4:BD$200,"&lt;&gt;-",$D$4:$D$200,"&lt;&gt;是",$E$4:$E$200,"&lt;&gt;封闭期",$H$4:$H$200,"&gt;10",$BN$4:$BN$200,"&gt;-6",$BR$4:$BR$200,"&gt;=70",$C$4:$C$200,"&lt;20190630",$K$4:$K$200,"&lt;=30"))</f>
        <v>-</v>
      </c>
      <c r="BI166" s="21">
        <f>[1]!f_risk_maxdownside(A166,$AM$2,$L$2)</f>
        <v>-2.1794406102433732</v>
      </c>
      <c r="BJ166" s="19" t="str">
        <f>IFERROR(RANK(BI166,BI:BI)&amp;"/"&amp;COUNT(BI:BI),"-")</f>
        <v>42/197</v>
      </c>
      <c r="BK166" s="26">
        <f>IFERROR(RANK(BI166,BI:BI)/COUNT(BI:BI),"-")</f>
        <v>0.21319796954314721</v>
      </c>
      <c r="BL166" s="34" t="str">
        <f>IF(OR($C166&gt;20190630,$K166&gt;30,BI166="-",$D166="是",$E166="封闭期",$H166&lt;10,$BN166&lt;-6,$BR166&lt;70),"-",COUNTIFS(BI$4:BI$200,"&lt;&gt;-",$D$4:$D$200,"&lt;&gt;是",$E$4:$E$200,"&lt;&gt;封闭期",$H$4:$H$200,"&gt;10",$BN$4:$BN$200,"&gt;-6",$BR$4:$BR$200,"&gt;=70",$K$4:$K$200,"&lt;=30",$C$4:$C$200,"&lt;20190630",BI$4:BI$200,"&gt;="&amp;BI166)&amp;"/"&amp;COUNTIFS(BI$4:BI$200,"&lt;&gt;-",$D$4:$D$200,"&lt;&gt;是",$E$4:$E$200,"&lt;&gt;封闭期",$H$4:$H$200,"&gt;10",$BN$4:$BN$200,"&gt;-6",$BR$4:$BR$200,"&gt;=70",$C$4:$C$200,"&lt;20190630",$K$4:$K$200,"&lt;=30"))</f>
        <v>-</v>
      </c>
      <c r="BM166" s="33" t="str">
        <f>IF(OR($C166&gt;20190630,$K166&gt;30,BI166="-",$D166="是",$E166="封闭期",$H166&lt;10,$BN166&lt;-6,$BR166&lt;70),"-",COUNTIFS(BI$4:BI$200,"&lt;&gt;-",$D$4:$D$200,"&lt;&gt;是",$E$4:$E$200,"&lt;&gt;封闭期",$H$4:$H$200,"&gt;10",$BN$4:$BN$200,"&gt;-6",$BR$4:$BR$200,"&gt;=70",$K$4:$K$200,"&lt;=30",$C$4:$C$200,"&lt;20190630",BI$4:BI$200,"&gt;="&amp;BI166)/COUNTIFS(BI$4:BI$200,"&lt;&gt;-",$D$4:$D$200,"&lt;&gt;是",$E$4:$E$200,"&lt;&gt;封闭期",$H$4:$H$200,"&gt;10",$BN$4:$BN$200,"&gt;-6",$BR$4:$BR$200,"&gt;=70",$C$4:$C$200,"&lt;20190630",$K$4:$K$200,"&lt;=30"))</f>
        <v>-</v>
      </c>
      <c r="BN166" s="21">
        <f>[1]!f_risk_maxdownside(A166,$AM$2,$E$1)</f>
        <v>-3.2640949554896035</v>
      </c>
      <c r="BO166" s="21">
        <f>IF(C166&lt;20190930,[1]!f_return_2y(A166,"0","20210930"),"-")</f>
        <v>10.948275862068972</v>
      </c>
      <c r="BP166" s="19" t="str">
        <f>IFERROR(RANK(BO166,BO:BO)&amp;"/"&amp;COUNT(BO:BO),"-")</f>
        <v>131/197</v>
      </c>
      <c r="BQ166" s="25">
        <f>IFERROR(RANK(BO166,BO:BO)/COUNT(BO:BO),"-")</f>
        <v>0.6649746192893401</v>
      </c>
      <c r="BR166" s="19">
        <f>IF(C166&lt;20190930,[1]!f_absolute_profitmonthper(A166,"20190930","20210930"),"-")</f>
        <v>70.833333333333343</v>
      </c>
      <c r="BS166" s="19" t="str">
        <f>IFERROR(RANK(BR166,BR:BR)&amp;"/"&amp;COUNT(BR:BR),"-")</f>
        <v>55/198</v>
      </c>
      <c r="BT166" s="25">
        <f>IFERROR(RANK(BR166,BR:BR)/COUNT(BR:BR),"-")</f>
        <v>0.27777777777777779</v>
      </c>
      <c r="BV166" s="12">
        <f>X166-3/M166</f>
        <v>1.4625244155155663</v>
      </c>
      <c r="BW166" s="76">
        <f>IFERROR(RANK(BV166,BV:BV)/COUNT(BV:BV),"-")</f>
        <v>0.46192893401015228</v>
      </c>
      <c r="BX166" s="76">
        <f>IFERROR(RANK(L166,L:L)/COUNT(L:L),"-")</f>
        <v>0.33333333333333331</v>
      </c>
      <c r="BY166" s="12">
        <f>AY166-3/AN166</f>
        <v>0.70162990672176362</v>
      </c>
      <c r="BZ166" s="76">
        <f>IFERROR(RANK(BY166,BY:BY)/COUNT(BY:BY),"-")</f>
        <v>0.76142131979695427</v>
      </c>
      <c r="CA166" s="76">
        <f>IFERROR(RANK(AM166,AM:AM)/COUNT(AM:AM),"-")</f>
        <v>0.82828282828282829</v>
      </c>
      <c r="CB166" s="2"/>
      <c r="CC166" s="77">
        <f>AV166+BF166+BZ166+CA166</f>
        <v>2.4171153155924729</v>
      </c>
      <c r="CD166" s="77">
        <f>BW166+BX166+AE166+U166</f>
        <v>1.1455160744500845</v>
      </c>
      <c r="CE166" s="77">
        <f>CC166+CD166</f>
        <v>3.5626313900425575</v>
      </c>
    </row>
    <row r="167" spans="1:83" s="17" customFormat="1" hidden="1" x14ac:dyDescent="0.35">
      <c r="A167" s="15" t="s">
        <v>263</v>
      </c>
      <c r="B167" s="15" t="s">
        <v>264</v>
      </c>
      <c r="C167" s="16">
        <v>20160815</v>
      </c>
      <c r="D167" s="16" t="str">
        <f>[1]!f_info_regulopenfundornot(A167)</f>
        <v>否</v>
      </c>
      <c r="E167" s="16" t="str">
        <f>[1]!f_dq_status(A167,$E$1)</f>
        <v>开放申购|开放赎回</v>
      </c>
      <c r="F167" s="17" t="str">
        <f>[1]!f_info_fundmanager(A167)</f>
        <v>刘田</v>
      </c>
      <c r="G167" s="16">
        <v>20200706</v>
      </c>
      <c r="H167" s="18">
        <f>[1]!f_netasset_total(A167,$E$1,100000000)</f>
        <v>2.2564571062000001</v>
      </c>
      <c r="I167" s="18">
        <f>[1]!f_prt_convertiblebondtonav(A167,$E$1)</f>
        <v>0</v>
      </c>
      <c r="J167" s="18">
        <f>[1]!f_prt_stocktonav(A167,$E$1)+0.5*I167</f>
        <v>0</v>
      </c>
      <c r="K167" s="19">
        <v>26.685195935943909</v>
      </c>
      <c r="L167" s="19">
        <f>[1]!f_return($A167,"1",L$2,$E$1)</f>
        <v>4.8202886036694537</v>
      </c>
      <c r="M167" s="19">
        <f>[1]!f_risk_stdevyearly($A167,L$2,$E$1,1,1)</f>
        <v>0.66915728713538991</v>
      </c>
      <c r="N167" s="19">
        <f>IFERROR(L167/M167,"-")</f>
        <v>7.2035210500430065</v>
      </c>
      <c r="O167" s="19" t="str">
        <f>IFERROR(RANK(N167,N:N)&amp;"/"&amp;COUNT(N:N),"-")</f>
        <v>8/197</v>
      </c>
      <c r="P167" s="26">
        <f>IF(O167="-","-",RANK(N167,N:N)/COUNT(N:N))</f>
        <v>4.060913705583756E-2</v>
      </c>
      <c r="Q167" s="56">
        <v>0.58375634517766495</v>
      </c>
      <c r="R167" s="33" t="str">
        <f>IF(OR($C167&gt;20190630,$K167&gt;30,N167="-",$D167="是",$E167="封闭期",$H167&lt;10,$BN167&lt;-6,$BR167&lt;70),"-",COUNTIFS(N$4:N$200,"&lt;&gt;-",$D$4:$D$200,"&lt;&gt;是",$E$4:$E$200,"&lt;&gt;封闭期",$H$4:$H$200,"&gt;10",$BN$4:$BN$200,"&gt;-6",$BR$4:$BR$200,"&gt;=70",$K$4:$K$200,"&lt;=30",$C$4:$C$200,"&lt;20190630",N$4:N$200,"&gt;="&amp;N167)/COUNTIFS(N$4:N$200,"&lt;&gt;-",$D$4:$D$200,"&lt;&gt;是",$E$4:$E$200,"&lt;&gt;封闭期",$H$4:$H$200,"&gt;10",$BN$4:$BN$200,"&gt;-6",$BR$4:$BR$200,"&gt;=70",$C$4:$C$200,"&lt;20190630",$K$4:$K$200,"&lt;=30"))</f>
        <v>-</v>
      </c>
      <c r="S167" s="19">
        <f>IFERROR((L167-3)/M167,"-")</f>
        <v>2.7202701646752843</v>
      </c>
      <c r="T167" s="19" t="str">
        <f>IFERROR(RANK(S167,S:S)&amp;"/"&amp;COUNT(S:S),"-")</f>
        <v>3/197</v>
      </c>
      <c r="U167" s="26">
        <f>IFERROR(RANK(S167,S:S)/COUNT(S:S),"-")</f>
        <v>1.5228426395939087E-2</v>
      </c>
      <c r="V167" s="34" t="str">
        <f>IF(OR($C167&gt;20190630,$K167&gt;30,S167="-",$D167="是",$E167="封闭期",$H167&lt;10,$BN167&lt;-6,$BR167&lt;70),"-",COUNTIFS(S$4:S$200,"&lt;&gt;-",$D$4:$D$200,"&lt;&gt;是",$E$4:$E$200,"&lt;&gt;封闭期",$H$4:$H$200,"&gt;10",$BN$4:$BN$200,"&gt;-6",$BR$4:$BR$200,"&gt;=70",$K$4:$K$200,"&lt;=30",$C$4:$C$200,"&lt;20190630",S$4:S$200,"&gt;="&amp;S167)&amp;"/"&amp;COUNTIFS(S$4:S$200,"&lt;&gt;-",$D$4:$D$200,"&lt;&gt;是",$E$4:$E$200,"&lt;&gt;封闭期",$H$4:$H$200,"&gt;10",$BN$4:$BN$200,"&gt;-6",$BR$4:$BR$200,"&gt;=70",$C$4:$C$200,"&lt;20190630",$K$4:$K$200,"&lt;=30"))</f>
        <v>-</v>
      </c>
      <c r="W167" s="33" t="str">
        <f>IF(OR($C167&gt;20190630,$K167&gt;30,S167="-",$D167="是",$E167="封闭期",$H167&lt;10,$BN167&lt;-6,$BR167&lt;70),"-",COUNTIFS(S$4:S$200,"&lt;&gt;-",$D$4:$D$200,"&lt;&gt;是",$E$4:$E$200,"&lt;&gt;封闭期",$H$4:$H$200,"&gt;10",$BN$4:$BN$200,"&gt;-6",$BR$4:$BR$200,"&gt;=70",$K$4:$K$200,"&lt;=30",$C$4:$C$200,"&lt;20190630",S$4:S$200,"&gt;="&amp;S167)/COUNTIFS(S$4:S$200,"&lt;&gt;-",$D$4:$D$200,"&lt;&gt;是",$E$4:$E$200,"&lt;&gt;封闭期",$H$4:$H$200,"&gt;10",$BN$4:$BN$200,"&gt;-6",$BR$4:$BR$200,"&gt;=70",$C$4:$C$200,"&lt;20190630",$K$4:$K$200,"&lt;=30"))</f>
        <v>-</v>
      </c>
      <c r="X167" s="19">
        <f>[1]!f_risk_calmar(A167,$L$2,$E$1)</f>
        <v>8.9134489264462413</v>
      </c>
      <c r="Y167" s="19" t="str">
        <f>IFERROR(RANK(X167,X:X)&amp;"/"&amp;COUNT(X:X),"-")</f>
        <v>10/197</v>
      </c>
      <c r="Z167" s="26">
        <f>IFERROR(RANK(X167,X:X)/COUNT(X:X),"-")</f>
        <v>5.0761421319796954E-2</v>
      </c>
      <c r="AA167" s="34" t="str">
        <f>IF(OR($C167&gt;20190630,$K167&gt;30,X167="-",$D167="是",$E167="封闭期",$H167&lt;10,$BN167&lt;-6,$BR167&lt;70),"-",COUNTIFS(X$4:X$200,"&lt;&gt;-",$D$4:$D$200,"&lt;&gt;是",$E$4:$E$200,"&lt;&gt;封闭期",$H$4:$H$200,"&gt;10",$BN$4:$BN$200,"&gt;-6",$BR$4:$BR$200,"&gt;=70",$K$4:$K$200,"&lt;=30",$C$4:$C$200,"&lt;20190630",X$4:X$200,"&gt;="&amp;X167)&amp;"/"&amp;COUNTIFS(X$4:X$200,"&lt;&gt;-",$D$4:$D$200,"&lt;&gt;是",$E$4:$E$200,"&lt;&gt;封闭期",$H$4:$H$200,"&gt;10",$BN$4:$BN$200,"&gt;-6",$BR$4:$BR$200,"&gt;=70",$C$4:$C$200,"&lt;20190630",$K$4:$K$200,"&lt;=30"))</f>
        <v>-</v>
      </c>
      <c r="AB167" s="33" t="str">
        <f>IF(OR($C167&gt;20190630,$K167&gt;30,X167="-",$D167="是",$E167="封闭期",$H167&lt;10,$BN167&lt;-6,$BR167&lt;70),"-",COUNTIFS(X$4:X$200,"&lt;&gt;-",$D$4:$D$200,"&lt;&gt;是",$E$4:$E$200,"&lt;&gt;封闭期",$H$4:$H$200,"&gt;10",$BN$4:$BN$200,"&gt;-6",$BR$4:$BR$200,"&gt;=70",$K$4:$K$200,"&lt;=30",$C$4:$C$200,"&lt;20190630",X$4:X$200,"&gt;="&amp;X167)/COUNTIFS(X$4:X$200,"&lt;&gt;-",$D$4:$D$200,"&lt;&gt;是",$E$4:$E$200,"&lt;&gt;封闭期",$H$4:$H$200,"&gt;10",$BN$4:$BN$200,"&gt;-6",$BR$4:$BR$200,"&gt;=70",$C$4:$C$200,"&lt;20190630",$K$4:$K$200,"&lt;=30"))</f>
        <v>-</v>
      </c>
      <c r="AC167" s="20">
        <v>1</v>
      </c>
      <c r="AD167" s="19" t="str">
        <f>IFERROR(RANK(AC167,AC:AC)&amp;"/"&amp;COUNT(AC:AC),"-")</f>
        <v>1/197</v>
      </c>
      <c r="AE167" s="26">
        <f>IFERROR(RANK(AC167,AC:AC)/COUNT(AC:AC),"-")</f>
        <v>5.076142131979695E-3</v>
      </c>
      <c r="AF167" s="34" t="str">
        <f>IF(OR($C167&gt;20190630,$K167&gt;30,AC167="-",$D167="是",$E167="封闭期",$H167&lt;10,$BN167&lt;-6,$BR167&lt;70),"-",COUNTIFS(AC$4:AC$200,"&lt;&gt;-",$D$4:$D$200,"&lt;&gt;是",$E$4:$E$200,"&lt;&gt;封闭期",$H$4:$H$200,"&gt;10",$BN$4:$BN$200,"&gt;-6",$BR$4:$BR$200,"&gt;=70",$K$4:$K$200,"&lt;=30",$C$4:$C$200,"&lt;20190630",AC$4:AC$200,"&gt;="&amp;AC167)&amp;"/"&amp;COUNTIFS(AC$4:AC$200,"&lt;&gt;-",$D$4:$D$200,"&lt;&gt;是",$E$4:$E$200,"&lt;&gt;封闭期",$H$4:$H$200,"&gt;10",$BN$4:$BN$200,"&gt;-6",$BR$4:$BR$200,"&gt;=70",$C$4:$C$200,"&lt;20190630",$K$4:$K$200,"&lt;=30"))</f>
        <v>-</v>
      </c>
      <c r="AG167" s="33" t="str">
        <f>IF(OR($C167&gt;20190630,$K167&gt;30,AC167="-",$D167="是",$E167="封闭期",$H167&lt;10,$BN167&lt;-6,$BR167&lt;70),"-",COUNTIFS(AC$4:AC$200,"&lt;&gt;-",$D$4:$D$200,"&lt;&gt;是",$E$4:$E$200,"&lt;&gt;封闭期",$H$4:$H$200,"&gt;10",$BN$4:$BN$200,"&gt;-6",$BR$4:$BR$200,"&gt;=70",$K$4:$K$200,"&lt;=30",$C$4:$C$200,"&lt;20190630",AC$4:AC$200,"&gt;="&amp;AC167)/COUNTIFS(AC$4:AC$200,"&lt;&gt;-",$D$4:$D$200,"&lt;&gt;是",$E$4:$E$200,"&lt;&gt;封闭期",$H$4:$H$200,"&gt;10",$BN$4:$BN$200,"&gt;-6",$BR$4:$BR$200,"&gt;=70",$C$4:$C$200,"&lt;20190630",$K$4:$K$200,"&lt;=30"))</f>
        <v>-</v>
      </c>
      <c r="AH167" s="21">
        <f>[1]!f_risk_maxdownside(A167,$L$2,$E$1)</f>
        <v>-0.54078826764437238</v>
      </c>
      <c r="AI167" s="19" t="str">
        <f>IFERROR(RANK(AH167,AH:AH)&amp;"/"&amp;COUNT(AH:AH),"-")</f>
        <v>9/197</v>
      </c>
      <c r="AJ167" s="26">
        <f>IFERROR(RANK(AH167,AH:AH)/COUNT(AH:AH),"-")</f>
        <v>4.5685279187817257E-2</v>
      </c>
      <c r="AK167" s="34" t="str">
        <f>IF(OR($C167&gt;20190630,$K167&gt;30,AH167="-",$D167="是",$E167="封闭期",$H167&lt;10,$BN167&lt;-6,$BR167&lt;70),"-",COUNTIFS(AH$4:AH$200,"&lt;&gt;-",$D$4:$D$200,"&lt;&gt;是",$E$4:$E$200,"&lt;&gt;封闭期",$H$4:$H$200,"&gt;10",$BN$4:$BN$200,"&gt;-6",$BR$4:$BR$200,"&gt;=70",$K$4:$K$200,"&lt;=30",$C$4:$C$200,"&lt;20190630",AH$4:AH$200,"&gt;="&amp;AH167)&amp;"/"&amp;COUNTIFS(AH$4:AH$200,"&lt;&gt;-",$D$4:$D$200,"&lt;&gt;是",$E$4:$E$200,"&lt;&gt;封闭期",$H$4:$H$200,"&gt;10",$BN$4:$BN$200,"&gt;-6",$BR$4:$BR$200,"&gt;=70",$C$4:$C$200,"&lt;20190630",$K$4:$K$200,"&lt;=30"))</f>
        <v>-</v>
      </c>
      <c r="AL167" s="33" t="str">
        <f>IF(OR($C167&gt;20190630,$K167&gt;30,AH167="-",$D167="是",$E167="封闭期",$H167&lt;10,$BN167&lt;-6,$BR167&lt;70),"-",COUNTIFS(AH$4:AH$200,"&lt;&gt;-",$D$4:$D$200,"&lt;&gt;是",$E$4:$E$200,"&lt;&gt;封闭期",$H$4:$H$200,"&gt;10",$BN$4:$BN$200,"&gt;-6",$BR$4:$BR$200,"&gt;=70",$K$4:$K$200,"&lt;=30",$C$4:$C$200,"&lt;20190630",AH$4:AH$200,"&gt;="&amp;AH167)/COUNTIFS(AH$4:AH$200,"&lt;&gt;-",$D$4:$D$200,"&lt;&gt;是",$E$4:$E$200,"&lt;&gt;封闭期",$H$4:$H$200,"&gt;10",$BN$4:$BN$200,"&gt;-6",$BR$4:$BR$200,"&gt;=70",$C$4:$C$200,"&lt;20190630",$K$4:$K$200,"&lt;=30"))</f>
        <v>-</v>
      </c>
      <c r="AM167" s="19">
        <f>[1]!f_return($A167,"1",AM$2,$L$2)</f>
        <v>3.1460862190773042</v>
      </c>
      <c r="AN167" s="19">
        <f>[1]!f_risk_stdevyearly($A167,AM$2,$L$2,1,1)</f>
        <v>1.4601524315658567</v>
      </c>
      <c r="AO167" s="19">
        <f>IFERROR(AM167/AN167,"-")</f>
        <v>2.1546286203170339</v>
      </c>
      <c r="AP167" s="19" t="str">
        <f>IFERROR(RANK(AO167,AO:AO)&amp;"/"&amp;COUNT(AO:AO),"-")</f>
        <v>36/197</v>
      </c>
      <c r="AQ167" s="26">
        <f>IF(AP167="-","-",RANK(AO167,AO:AO)/COUNT(AO:AO))</f>
        <v>0.18274111675126903</v>
      </c>
      <c r="AR167" s="57">
        <v>0.8324873096446701</v>
      </c>
      <c r="AS167" s="33" t="str">
        <f>IF(OR($C167&gt;20190630,$K167&gt;30,AO167="-",$D167="是",$E167="封闭期",$H167&lt;10,$BN167&lt;-6,$BR167&lt;70),"-",COUNTIFS(AO$4:AO$200,"&lt;&gt;-",$D$4:$D$200,"&lt;&gt;是",$E$4:$E$200,"&lt;&gt;封闭期",$H$4:$H$200,"&gt;10",$BN$4:$BN$200,"&gt;-6",$BR$4:$BR$200,"&gt;=70",$K$4:$K$200,"&lt;=30",$C$4:$C$200,"&lt;20190630",AO$4:AO$200,"&gt;="&amp;AO167)/COUNTIFS(AO$4:AO$200,"&lt;&gt;-",$D$4:$D$200,"&lt;&gt;是",$E$4:$E$200,"&lt;&gt;封闭期",$H$4:$H$200,"&gt;10",$BN$4:$BN$200,"&gt;-6",$BR$4:$BR$200,"&gt;=70",$C$4:$C$200,"&lt;20190630",$K$4:$K$200,"&lt;=30"))</f>
        <v>-</v>
      </c>
      <c r="AT167" s="19">
        <f>IFERROR((AM167-3)/AN167,"-")</f>
        <v>0.10004860856934125</v>
      </c>
      <c r="AU167" s="19" t="str">
        <f>IFERROR(RANK(AT167,AT:AT)&amp;"/"&amp;COUNT(AT:AT),"-")</f>
        <v>161/197</v>
      </c>
      <c r="AV167" s="26">
        <f>IFERROR(RANK(AT167,AT:AT)/COUNT(AT:AT),"-")</f>
        <v>0.81725888324873097</v>
      </c>
      <c r="AW167" s="34" t="str">
        <f>IF(OR($C167&gt;20190630,$K167&gt;30,AT167="-",$D167="是",$E167="封闭期",$H167&lt;10,$BN167&lt;-6,$BR167&lt;70),"-",COUNTIFS(AT$4:AT$200,"&lt;&gt;-",$D$4:$D$200,"&lt;&gt;是",$E$4:$E$200,"&lt;&gt;封闭期",$H$4:$H$200,"&gt;10",$BN$4:$BN$200,"&gt;-6",$BR$4:$BR$200,"&gt;=70",$K$4:$K$200,"&lt;=30",$C$4:$C$200,"&lt;20190630",AT$4:AT$200,"&gt;="&amp;AT167)&amp;"/"&amp;COUNTIFS(AT$4:AT$200,"&lt;&gt;-",$D$4:$D$200,"&lt;&gt;是",$E$4:$E$200,"&lt;&gt;封闭期",$H$4:$H$200,"&gt;10",$BN$4:$BN$200,"&gt;-6",$BR$4:$BR$200,"&gt;=70",$C$4:$C$200,"&lt;20190630",$K$4:$K$200,"&lt;=30"))</f>
        <v>-</v>
      </c>
      <c r="AX167" s="33" t="str">
        <f>IF(OR($C167&gt;20190630,$K167&gt;30,AT167="-",$D167="是",$E167="封闭期",$H167&lt;10,$BN167&lt;-6,$BR167&lt;70),"-",COUNTIFS(AT$4:AT$200,"&lt;&gt;-",$D$4:$D$200,"&lt;&gt;是",$E$4:$E$200,"&lt;&gt;封闭期",$H$4:$H$200,"&gt;10",$BN$4:$BN$200,"&gt;-6",$BR$4:$BR$200,"&gt;=70",$K$4:$K$200,"&lt;=30",$C$4:$C$200,"&lt;20190630",AT$4:AT$200,"&gt;="&amp;AT167)/COUNTIFS(AT$4:AT$200,"&lt;&gt;-",$D$4:$D$200,"&lt;&gt;是",$E$4:$E$200,"&lt;&gt;封闭期",$H$4:$H$200,"&gt;10",$BN$4:$BN$200,"&gt;-6",$BR$4:$BR$200,"&gt;=70",$C$4:$C$200,"&lt;20190630",$K$4:$K$200,"&lt;=30"))</f>
        <v>-</v>
      </c>
      <c r="AY167" s="19">
        <f>[1]!f_risk_calmar(A167,$AM$2,$L$2)</f>
        <v>1.1640519010586046</v>
      </c>
      <c r="AZ167" s="19" t="str">
        <f>IFERROR(RANK(AY167,AY:AY)&amp;"/"&amp;COUNT(AY:AY),"-")</f>
        <v>156/197</v>
      </c>
      <c r="BA167" s="26">
        <f>IFERROR(RANK(AY167,AY:AY)/COUNT(AY:AY),"-")</f>
        <v>0.79187817258883253</v>
      </c>
      <c r="BB167" s="34" t="str">
        <f>IF(OR($C167&gt;20190630,$K167&gt;30,AY167="-",$D167="是",$E167="封闭期",$H167&lt;10,$BN167&lt;-6,$BR167&lt;70),"-",COUNTIFS(AY$4:AY$200,"&lt;&gt;-",$D$4:$D$200,"&lt;&gt;是",$E$4:$E$200,"&lt;&gt;封闭期",$H$4:$H$200,"&gt;10",$BN$4:$BN$200,"&gt;-6",$BR$4:$BR$200,"&gt;=70",$K$4:$K$200,"&lt;=30",$C$4:$C$200,"&lt;20190630",AY$4:AY$200,"&gt;="&amp;AY167)&amp;"/"&amp;COUNTIFS(AY$4:AY$200,"&lt;&gt;-",$D$4:$D$200,"&lt;&gt;是",$E$4:$E$200,"&lt;&gt;封闭期",$H$4:$H$200,"&gt;10",$BN$4:$BN$200,"&gt;-6",$BR$4:$BR$200,"&gt;=70",$C$4:$C$200,"&lt;20190630",$K$4:$K$200,"&lt;=30"))</f>
        <v>-</v>
      </c>
      <c r="BC167" s="33" t="str">
        <f>IF(OR($C167&gt;20190630,$K167&gt;30,AY167="-",$D167="是",$E167="封闭期",$H167&lt;10,$BN167&lt;-6,$BR167&lt;70),"-",COUNTIFS(AY$4:AY$200,"&lt;&gt;-",$D$4:$D$200,"&lt;&gt;是",$E$4:$E$200,"&lt;&gt;封闭期",$H$4:$H$200,"&gt;10",$BN$4:$BN$200,"&gt;-6",$BR$4:$BR$200,"&gt;=70",$K$4:$K$200,"&lt;=30",$C$4:$C$200,"&lt;20190630",AY$4:AY$200,"&gt;="&amp;AY167)/COUNTIFS(AY$4:AY$200,"&lt;&gt;-",$D$4:$D$200,"&lt;&gt;是",$E$4:$E$200,"&lt;&gt;封闭期",$H$4:$H$200,"&gt;10",$BN$4:$BN$200,"&gt;-6",$BR$4:$BR$200,"&gt;=70",$C$4:$C$200,"&lt;20190630",$K$4:$K$200,"&lt;=30"))</f>
        <v>-</v>
      </c>
      <c r="BD167" s="20">
        <v>0.89166666666666672</v>
      </c>
      <c r="BE167" s="19" t="str">
        <f>IFERROR(RANK(BD167,BD:BD)&amp;"/"&amp;COUNT(BD:BD),"-")</f>
        <v>167/197</v>
      </c>
      <c r="BF167" s="26">
        <f>IFERROR(RANK(BD167,BD:BD)/COUNT(BD:BD),"-")</f>
        <v>0.84771573604060912</v>
      </c>
      <c r="BG167" s="34" t="str">
        <f>IF(OR($C167&gt;20190630,$K167&gt;30,BD167="-",$D167="是",$E167="封闭期",$H167&lt;10,$BN167&lt;-6,$BR167&lt;70),"-",COUNTIFS(BD$4:BD$200,"&lt;&gt;-",$D$4:$D$200,"&lt;&gt;是",$E$4:$E$200,"&lt;&gt;封闭期",$H$4:$H$200,"&gt;10",$BN$4:$BN$200,"&gt;-6",$BR$4:$BR$200,"&gt;=70",$K$4:$K$200,"&lt;=30",$C$4:$C$200,"&lt;20190630",BD$4:BD$200,"&gt;="&amp;BD167)&amp;"/"&amp;COUNTIFS(BD$4:BD$200,"&lt;&gt;-",$D$4:$D$200,"&lt;&gt;是",$E$4:$E$200,"&lt;&gt;封闭期",$H$4:$H$200,"&gt;10",$BN$4:$BN$200,"&gt;-6",$BR$4:$BR$200,"&gt;=70",$C$4:$C$200,"&lt;20190630",$K$4:$K$200,"&lt;=30"))</f>
        <v>-</v>
      </c>
      <c r="BH167" s="33" t="str">
        <f>IF(OR($C167&gt;20190630,$K167&gt;30,BD167="-",$D167="是",$E167="封闭期",$H167&lt;10,$BN167&lt;-6,$BR167&lt;70),"-",COUNTIFS(BD$4:BD$200,"&lt;&gt;-",$D$4:$D$200,"&lt;&gt;是",$E$4:$E$200,"&lt;&gt;封闭期",$H$4:$H$200,"&gt;10",$BN$4:$BN$200,"&gt;-6",$BR$4:$BR$200,"&gt;=70",$K$4:$K$200,"&lt;=30",$C$4:$C$200,"&lt;20190630",BD$4:BD$200,"&gt;="&amp;BD167)/COUNTIFS(BD$4:BD$200,"&lt;&gt;-",$D$4:$D$200,"&lt;&gt;是",$E$4:$E$200,"&lt;&gt;封闭期",$H$4:$H$200,"&gt;10",$BN$4:$BN$200,"&gt;-6",$BR$4:$BR$200,"&gt;=70",$C$4:$C$200,"&lt;20190630",$K$4:$K$200,"&lt;=30"))</f>
        <v>-</v>
      </c>
      <c r="BI167" s="21">
        <f>[1]!f_risk_maxdownside(A167,$AM$2,$L$2)</f>
        <v>-2.7027027027026982</v>
      </c>
      <c r="BJ167" s="19" t="str">
        <f>IFERROR(RANK(BI167,BI:BI)&amp;"/"&amp;COUNT(BI:BI),"-")</f>
        <v>72/197</v>
      </c>
      <c r="BK167" s="26">
        <f>IFERROR(RANK(BI167,BI:BI)/COUNT(BI:BI),"-")</f>
        <v>0.36548223350253806</v>
      </c>
      <c r="BL167" s="34" t="str">
        <f>IF(OR($C167&gt;20190630,$K167&gt;30,BI167="-",$D167="是",$E167="封闭期",$H167&lt;10,$BN167&lt;-6,$BR167&lt;70),"-",COUNTIFS(BI$4:BI$200,"&lt;&gt;-",$D$4:$D$200,"&lt;&gt;是",$E$4:$E$200,"&lt;&gt;封闭期",$H$4:$H$200,"&gt;10",$BN$4:$BN$200,"&gt;-6",$BR$4:$BR$200,"&gt;=70",$K$4:$K$200,"&lt;=30",$C$4:$C$200,"&lt;20190630",BI$4:BI$200,"&gt;="&amp;BI167)&amp;"/"&amp;COUNTIFS(BI$4:BI$200,"&lt;&gt;-",$D$4:$D$200,"&lt;&gt;是",$E$4:$E$200,"&lt;&gt;封闭期",$H$4:$H$200,"&gt;10",$BN$4:$BN$200,"&gt;-6",$BR$4:$BR$200,"&gt;=70",$C$4:$C$200,"&lt;20190630",$K$4:$K$200,"&lt;=30"))</f>
        <v>-</v>
      </c>
      <c r="BM167" s="33" t="str">
        <f>IF(OR($C167&gt;20190630,$K167&gt;30,BI167="-",$D167="是",$E167="封闭期",$H167&lt;10,$BN167&lt;-6,$BR167&lt;70),"-",COUNTIFS(BI$4:BI$200,"&lt;&gt;-",$D$4:$D$200,"&lt;&gt;是",$E$4:$E$200,"&lt;&gt;封闭期",$H$4:$H$200,"&gt;10",$BN$4:$BN$200,"&gt;-6",$BR$4:$BR$200,"&gt;=70",$K$4:$K$200,"&lt;=30",$C$4:$C$200,"&lt;20190630",BI$4:BI$200,"&gt;="&amp;BI167)/COUNTIFS(BI$4:BI$200,"&lt;&gt;-",$D$4:$D$200,"&lt;&gt;是",$E$4:$E$200,"&lt;&gt;封闭期",$H$4:$H$200,"&gt;10",$BN$4:$BN$200,"&gt;-6",$BR$4:$BR$200,"&gt;=70",$C$4:$C$200,"&lt;20190630",$K$4:$K$200,"&lt;=30"))</f>
        <v>-</v>
      </c>
      <c r="BN167" s="21">
        <f>[1]!f_risk_maxdownside(A167,$AM$2,$E$1)</f>
        <v>-2.7027027027026982</v>
      </c>
      <c r="BO167" s="21">
        <f>IF(C167&lt;20190930,[1]!f_return_2y(A167,"0","20210930"),"-")</f>
        <v>8.1188870952426413</v>
      </c>
      <c r="BP167" s="19" t="str">
        <f>IFERROR(RANK(BO167,BO:BO)&amp;"/"&amp;COUNT(BO:BO),"-")</f>
        <v>162/197</v>
      </c>
      <c r="BQ167" s="25">
        <f>IFERROR(RANK(BO167,BO:BO)/COUNT(BO:BO),"-")</f>
        <v>0.82233502538071068</v>
      </c>
      <c r="BR167" s="19">
        <f>IF(C167&lt;20190930,[1]!f_absolute_profitmonthper(A167,"20190930","20210930"),"-")</f>
        <v>75</v>
      </c>
      <c r="BS167" s="19" t="str">
        <f>IFERROR(RANK(BR167,BR:BR)&amp;"/"&amp;COUNT(BR:BR),"-")</f>
        <v>26/198</v>
      </c>
      <c r="BT167" s="25">
        <f>IFERROR(RANK(BR167,BR:BR)/COUNT(BR:BR),"-")</f>
        <v>0.13131313131313133</v>
      </c>
      <c r="BV167" s="12">
        <f>X167-3/M167</f>
        <v>4.4301980410785191</v>
      </c>
      <c r="BW167" s="76">
        <f>IFERROR(RANK(BV167,BV:BV)/COUNT(BV:BV),"-")</f>
        <v>0.13197969543147209</v>
      </c>
      <c r="BX167" s="76">
        <f>IFERROR(RANK(L167,L:L)/COUNT(L:L),"-")</f>
        <v>0.58585858585858586</v>
      </c>
      <c r="BY167" s="12">
        <f>AY167-3/AN167</f>
        <v>-0.8905281106890881</v>
      </c>
      <c r="BZ167" s="76">
        <f>IFERROR(RANK(BY167,BY:BY)/COUNT(BY:BY),"-")</f>
        <v>0.93401015228426398</v>
      </c>
      <c r="CA167" s="76">
        <f>IFERROR(RANK(AM167,AM:AM)/COUNT(AM:AM),"-")</f>
        <v>0.83333333333333337</v>
      </c>
      <c r="CB167" s="2"/>
      <c r="CC167" s="77">
        <f>AV167+BF167+BZ167+CA167</f>
        <v>3.4323181049069378</v>
      </c>
      <c r="CD167" s="77">
        <f>BW167+BX167+AE167+U167</f>
        <v>0.73814284981797673</v>
      </c>
      <c r="CE167" s="77">
        <f>CC167+CD167</f>
        <v>4.1704609547249145</v>
      </c>
    </row>
    <row r="168" spans="1:83" s="17" customFormat="1" hidden="1" x14ac:dyDescent="0.35">
      <c r="A168" s="15" t="s">
        <v>315</v>
      </c>
      <c r="B168" s="15" t="s">
        <v>316</v>
      </c>
      <c r="C168" s="16">
        <v>20170113</v>
      </c>
      <c r="D168" s="16" t="str">
        <f>[1]!f_info_regulopenfundornot(A168)</f>
        <v>否</v>
      </c>
      <c r="E168" s="16" t="str">
        <f>[1]!f_dq_status(A168,$E$1)</f>
        <v>暂停大额申购|开放赎回</v>
      </c>
      <c r="F168" s="17" t="str">
        <f>[1]!f_info_fundmanager(A168)</f>
        <v>潘巍,李君</v>
      </c>
      <c r="G168" s="16">
        <v>20180912</v>
      </c>
      <c r="H168" s="18">
        <f>[1]!f_netasset_total(A168,$E$1,100000000)</f>
        <v>2.9016768756000002</v>
      </c>
      <c r="I168" s="18">
        <f>[1]!f_prt_convertiblebondtonav(A168,$E$1)</f>
        <v>14.914239883422852</v>
      </c>
      <c r="J168" s="18">
        <f>[1]!f_prt_stocktonav(A168,$E$1)+0.5*I168</f>
        <v>15.836030006408691</v>
      </c>
      <c r="K168" s="19">
        <v>6.8918769585138167</v>
      </c>
      <c r="L168" s="19">
        <f>[1]!f_return($A168,"1",L$2,$E$1)</f>
        <v>4.4990986822862178</v>
      </c>
      <c r="M168" s="19">
        <f>[1]!f_risk_stdevyearly($A168,L$2,$E$1,1,1)</f>
        <v>1.5496234729276945</v>
      </c>
      <c r="N168" s="19">
        <f>IFERROR(L168/M168,"-")</f>
        <v>2.9033495948445442</v>
      </c>
      <c r="O168" s="19" t="str">
        <f>IFERROR(RANK(N168,N:N)&amp;"/"&amp;COUNT(N:N),"-")</f>
        <v>22/197</v>
      </c>
      <c r="P168" s="26">
        <f>IF(O168="-","-",RANK(N168,N:N)/COUNT(N:N))</f>
        <v>0.1116751269035533</v>
      </c>
      <c r="Q168" s="56">
        <v>0.65482233502538068</v>
      </c>
      <c r="R168" s="33" t="str">
        <f>IF(OR($C168&gt;20190630,$K168&gt;30,N168="-",$D168="是",$E168="封闭期",$H168&lt;10,$BN168&lt;-6,$BR168&lt;70),"-",COUNTIFS(N$4:N$200,"&lt;&gt;-",$D$4:$D$200,"&lt;&gt;是",$E$4:$E$200,"&lt;&gt;封闭期",$H$4:$H$200,"&gt;10",$BN$4:$BN$200,"&gt;-6",$BR$4:$BR$200,"&gt;=70",$K$4:$K$200,"&lt;=30",$C$4:$C$200,"&lt;20190630",N$4:N$200,"&gt;="&amp;N168)/COUNTIFS(N$4:N$200,"&lt;&gt;-",$D$4:$D$200,"&lt;&gt;是",$E$4:$E$200,"&lt;&gt;封闭期",$H$4:$H$200,"&gt;10",$BN$4:$BN$200,"&gt;-6",$BR$4:$BR$200,"&gt;=70",$C$4:$C$200,"&lt;20190630",$K$4:$K$200,"&lt;=30"))</f>
        <v>-</v>
      </c>
      <c r="S168" s="19">
        <f>IFERROR((L168-3)/M168,"-")</f>
        <v>0.96739544055432991</v>
      </c>
      <c r="T168" s="19" t="str">
        <f>IFERROR(RANK(S168,S:S)&amp;"/"&amp;COUNT(S:S),"-")</f>
        <v>77/197</v>
      </c>
      <c r="U168" s="26">
        <f>IFERROR(RANK(S168,S:S)/COUNT(S:S),"-")</f>
        <v>0.39086294416243655</v>
      </c>
      <c r="V168" s="34" t="str">
        <f>IF(OR($C168&gt;20190630,$K168&gt;30,S168="-",$D168="是",$E168="封闭期",$H168&lt;10,$BN168&lt;-6,$BR168&lt;70),"-",COUNTIFS(S$4:S$200,"&lt;&gt;-",$D$4:$D$200,"&lt;&gt;是",$E$4:$E$200,"&lt;&gt;封闭期",$H$4:$H$200,"&gt;10",$BN$4:$BN$200,"&gt;-6",$BR$4:$BR$200,"&gt;=70",$K$4:$K$200,"&lt;=30",$C$4:$C$200,"&lt;20190630",S$4:S$200,"&gt;="&amp;S168)&amp;"/"&amp;COUNTIFS(S$4:S$200,"&lt;&gt;-",$D$4:$D$200,"&lt;&gt;是",$E$4:$E$200,"&lt;&gt;封闭期",$H$4:$H$200,"&gt;10",$BN$4:$BN$200,"&gt;-6",$BR$4:$BR$200,"&gt;=70",$C$4:$C$200,"&lt;20190630",$K$4:$K$200,"&lt;=30"))</f>
        <v>-</v>
      </c>
      <c r="W168" s="33" t="str">
        <f>IF(OR($C168&gt;20190630,$K168&gt;30,S168="-",$D168="是",$E168="封闭期",$H168&lt;10,$BN168&lt;-6,$BR168&lt;70),"-",COUNTIFS(S$4:S$200,"&lt;&gt;-",$D$4:$D$200,"&lt;&gt;是",$E$4:$E$200,"&lt;&gt;封闭期",$H$4:$H$200,"&gt;10",$BN$4:$BN$200,"&gt;-6",$BR$4:$BR$200,"&gt;=70",$K$4:$K$200,"&lt;=30",$C$4:$C$200,"&lt;20190630",S$4:S$200,"&gt;="&amp;S168)/COUNTIFS(S$4:S$200,"&lt;&gt;-",$D$4:$D$200,"&lt;&gt;是",$E$4:$E$200,"&lt;&gt;封闭期",$H$4:$H$200,"&gt;10",$BN$4:$BN$200,"&gt;-6",$BR$4:$BR$200,"&gt;=70",$C$4:$C$200,"&lt;20190630",$K$4:$K$200,"&lt;=30"))</f>
        <v>-</v>
      </c>
      <c r="X168" s="19">
        <f>[1]!f_risk_calmar(A168,$L$2,$E$1)</f>
        <v>4.5363769285109372</v>
      </c>
      <c r="Y168" s="19" t="str">
        <f>IFERROR(RANK(X168,X:X)&amp;"/"&amp;COUNT(X:X),"-")</f>
        <v>38/197</v>
      </c>
      <c r="Z168" s="26">
        <f>IFERROR(RANK(X168,X:X)/COUNT(X:X),"-")</f>
        <v>0.19289340101522842</v>
      </c>
      <c r="AA168" s="34" t="str">
        <f>IF(OR($C168&gt;20190630,$K168&gt;30,X168="-",$D168="是",$E168="封闭期",$H168&lt;10,$BN168&lt;-6,$BR168&lt;70),"-",COUNTIFS(X$4:X$200,"&lt;&gt;-",$D$4:$D$200,"&lt;&gt;是",$E$4:$E$200,"&lt;&gt;封闭期",$H$4:$H$200,"&gt;10",$BN$4:$BN$200,"&gt;-6",$BR$4:$BR$200,"&gt;=70",$K$4:$K$200,"&lt;=30",$C$4:$C$200,"&lt;20190630",X$4:X$200,"&gt;="&amp;X168)&amp;"/"&amp;COUNTIFS(X$4:X$200,"&lt;&gt;-",$D$4:$D$200,"&lt;&gt;是",$E$4:$E$200,"&lt;&gt;封闭期",$H$4:$H$200,"&gt;10",$BN$4:$BN$200,"&gt;-6",$BR$4:$BR$200,"&gt;=70",$C$4:$C$200,"&lt;20190630",$K$4:$K$200,"&lt;=30"))</f>
        <v>-</v>
      </c>
      <c r="AB168" s="33" t="str">
        <f>IF(OR($C168&gt;20190630,$K168&gt;30,X168="-",$D168="是",$E168="封闭期",$H168&lt;10,$BN168&lt;-6,$BR168&lt;70),"-",COUNTIFS(X$4:X$200,"&lt;&gt;-",$D$4:$D$200,"&lt;&gt;是",$E$4:$E$200,"&lt;&gt;封闭期",$H$4:$H$200,"&gt;10",$BN$4:$BN$200,"&gt;-6",$BR$4:$BR$200,"&gt;=70",$K$4:$K$200,"&lt;=30",$C$4:$C$200,"&lt;20190630",X$4:X$200,"&gt;="&amp;X168)/COUNTIFS(X$4:X$200,"&lt;&gt;-",$D$4:$D$200,"&lt;&gt;是",$E$4:$E$200,"&lt;&gt;封闭期",$H$4:$H$200,"&gt;10",$BN$4:$BN$200,"&gt;-6",$BR$4:$BR$200,"&gt;=70",$C$4:$C$200,"&lt;20190630",$K$4:$K$200,"&lt;=30"))</f>
        <v>-</v>
      </c>
      <c r="AC168" s="20">
        <v>1</v>
      </c>
      <c r="AD168" s="19" t="str">
        <f>IFERROR(RANK(AC168,AC:AC)&amp;"/"&amp;COUNT(AC:AC),"-")</f>
        <v>1/197</v>
      </c>
      <c r="AE168" s="26">
        <f>IFERROR(RANK(AC168,AC:AC)/COUNT(AC:AC),"-")</f>
        <v>5.076142131979695E-3</v>
      </c>
      <c r="AF168" s="34" t="str">
        <f>IF(OR($C168&gt;20190630,$K168&gt;30,AC168="-",$D168="是",$E168="封闭期",$H168&lt;10,$BN168&lt;-6,$BR168&lt;70),"-",COUNTIFS(AC$4:AC$200,"&lt;&gt;-",$D$4:$D$200,"&lt;&gt;是",$E$4:$E$200,"&lt;&gt;封闭期",$H$4:$H$200,"&gt;10",$BN$4:$BN$200,"&gt;-6",$BR$4:$BR$200,"&gt;=70",$K$4:$K$200,"&lt;=30",$C$4:$C$200,"&lt;20190630",AC$4:AC$200,"&gt;="&amp;AC168)&amp;"/"&amp;COUNTIFS(AC$4:AC$200,"&lt;&gt;-",$D$4:$D$200,"&lt;&gt;是",$E$4:$E$200,"&lt;&gt;封闭期",$H$4:$H$200,"&gt;10",$BN$4:$BN$200,"&gt;-6",$BR$4:$BR$200,"&gt;=70",$C$4:$C$200,"&lt;20190630",$K$4:$K$200,"&lt;=30"))</f>
        <v>-</v>
      </c>
      <c r="AG168" s="33" t="str">
        <f>IF(OR($C168&gt;20190630,$K168&gt;30,AC168="-",$D168="是",$E168="封闭期",$H168&lt;10,$BN168&lt;-6,$BR168&lt;70),"-",COUNTIFS(AC$4:AC$200,"&lt;&gt;-",$D$4:$D$200,"&lt;&gt;是",$E$4:$E$200,"&lt;&gt;封闭期",$H$4:$H$200,"&gt;10",$BN$4:$BN$200,"&gt;-6",$BR$4:$BR$200,"&gt;=70",$K$4:$K$200,"&lt;=30",$C$4:$C$200,"&lt;20190630",AC$4:AC$200,"&gt;="&amp;AC168)/COUNTIFS(AC$4:AC$200,"&lt;&gt;-",$D$4:$D$200,"&lt;&gt;是",$E$4:$E$200,"&lt;&gt;封闭期",$H$4:$H$200,"&gt;10",$BN$4:$BN$200,"&gt;-6",$BR$4:$BR$200,"&gt;=70",$C$4:$C$200,"&lt;20190630",$K$4:$K$200,"&lt;=30"))</f>
        <v>-</v>
      </c>
      <c r="AH168" s="21">
        <f>[1]!f_risk_maxdownside(A168,$L$2,$E$1)</f>
        <v>-0.99178237461035756</v>
      </c>
      <c r="AI168" s="19" t="str">
        <f>IFERROR(RANK(AH168,AH:AH)&amp;"/"&amp;COUNT(AH:AH),"-")</f>
        <v>24/197</v>
      </c>
      <c r="AJ168" s="26">
        <f>IFERROR(RANK(AH168,AH:AH)/COUNT(AH:AH),"-")</f>
        <v>0.12182741116751269</v>
      </c>
      <c r="AK168" s="34" t="str">
        <f>IF(OR($C168&gt;20190630,$K168&gt;30,AH168="-",$D168="是",$E168="封闭期",$H168&lt;10,$BN168&lt;-6,$BR168&lt;70),"-",COUNTIFS(AH$4:AH$200,"&lt;&gt;-",$D$4:$D$200,"&lt;&gt;是",$E$4:$E$200,"&lt;&gt;封闭期",$H$4:$H$200,"&gt;10",$BN$4:$BN$200,"&gt;-6",$BR$4:$BR$200,"&gt;=70",$K$4:$K$200,"&lt;=30",$C$4:$C$200,"&lt;20190630",AH$4:AH$200,"&gt;="&amp;AH168)&amp;"/"&amp;COUNTIFS(AH$4:AH$200,"&lt;&gt;-",$D$4:$D$200,"&lt;&gt;是",$E$4:$E$200,"&lt;&gt;封闭期",$H$4:$H$200,"&gt;10",$BN$4:$BN$200,"&gt;-6",$BR$4:$BR$200,"&gt;=70",$C$4:$C$200,"&lt;20190630",$K$4:$K$200,"&lt;=30"))</f>
        <v>-</v>
      </c>
      <c r="AL168" s="33" t="str">
        <f>IF(OR($C168&gt;20190630,$K168&gt;30,AH168="-",$D168="是",$E168="封闭期",$H168&lt;10,$BN168&lt;-6,$BR168&lt;70),"-",COUNTIFS(AH$4:AH$200,"&lt;&gt;-",$D$4:$D$200,"&lt;&gt;是",$E$4:$E$200,"&lt;&gt;封闭期",$H$4:$H$200,"&gt;10",$BN$4:$BN$200,"&gt;-6",$BR$4:$BR$200,"&gt;=70",$K$4:$K$200,"&lt;=30",$C$4:$C$200,"&lt;20190630",AH$4:AH$200,"&gt;="&amp;AH168)/COUNTIFS(AH$4:AH$200,"&lt;&gt;-",$D$4:$D$200,"&lt;&gt;是",$E$4:$E$200,"&lt;&gt;封闭期",$H$4:$H$200,"&gt;10",$BN$4:$BN$200,"&gt;-6",$BR$4:$BR$200,"&gt;=70",$C$4:$C$200,"&lt;20190630",$K$4:$K$200,"&lt;=30"))</f>
        <v>-</v>
      </c>
      <c r="AM168" s="19">
        <f>[1]!f_return($A168,"1",AM$2,$L$2)</f>
        <v>3.113371539477594</v>
      </c>
      <c r="AN168" s="19">
        <f>[1]!f_risk_stdevyearly($A168,AM$2,$L$2,1,1)</f>
        <v>1.616620193519809</v>
      </c>
      <c r="AO168" s="19">
        <f>IFERROR(AM168/AN168,"-")</f>
        <v>1.9258521896222032</v>
      </c>
      <c r="AP168" s="19" t="str">
        <f>IFERROR(RANK(AO168,AO:AO)&amp;"/"&amp;COUNT(AO:AO),"-")</f>
        <v>57/197</v>
      </c>
      <c r="AQ168" s="26">
        <f>IF(AP168="-","-",RANK(AO168,AO:AO)/COUNT(AO:AO))</f>
        <v>0.28934010152284262</v>
      </c>
      <c r="AR168" s="57">
        <v>0.8375634517766497</v>
      </c>
      <c r="AS168" s="33" t="str">
        <f>IF(OR($C168&gt;20190630,$K168&gt;30,AO168="-",$D168="是",$E168="封闭期",$H168&lt;10,$BN168&lt;-6,$BR168&lt;70),"-",COUNTIFS(AO$4:AO$200,"&lt;&gt;-",$D$4:$D$200,"&lt;&gt;是",$E$4:$E$200,"&lt;&gt;封闭期",$H$4:$H$200,"&gt;10",$BN$4:$BN$200,"&gt;-6",$BR$4:$BR$200,"&gt;=70",$K$4:$K$200,"&lt;=30",$C$4:$C$200,"&lt;20190630",AO$4:AO$200,"&gt;="&amp;AO168)/COUNTIFS(AO$4:AO$200,"&lt;&gt;-",$D$4:$D$200,"&lt;&gt;是",$E$4:$E$200,"&lt;&gt;封闭期",$H$4:$H$200,"&gt;10",$BN$4:$BN$200,"&gt;-6",$BR$4:$BR$200,"&gt;=70",$C$4:$C$200,"&lt;20190630",$K$4:$K$200,"&lt;=30"))</f>
        <v>-</v>
      </c>
      <c r="AT168" s="19">
        <f>IFERROR((AM168-3)/AN168,"-")</f>
        <v>7.0128741390242236E-2</v>
      </c>
      <c r="AU168" s="19" t="str">
        <f>IFERROR(RANK(AT168,AT:AT)&amp;"/"&amp;COUNT(AT:AT),"-")</f>
        <v>164/197</v>
      </c>
      <c r="AV168" s="26">
        <f>IFERROR(RANK(AT168,AT:AT)/COUNT(AT:AT),"-")</f>
        <v>0.8324873096446701</v>
      </c>
      <c r="AW168" s="34" t="str">
        <f>IF(OR($C168&gt;20190630,$K168&gt;30,AT168="-",$D168="是",$E168="封闭期",$H168&lt;10,$BN168&lt;-6,$BR168&lt;70),"-",COUNTIFS(AT$4:AT$200,"&lt;&gt;-",$D$4:$D$200,"&lt;&gt;是",$E$4:$E$200,"&lt;&gt;封闭期",$H$4:$H$200,"&gt;10",$BN$4:$BN$200,"&gt;-6",$BR$4:$BR$200,"&gt;=70",$K$4:$K$200,"&lt;=30",$C$4:$C$200,"&lt;20190630",AT$4:AT$200,"&gt;="&amp;AT168)&amp;"/"&amp;COUNTIFS(AT$4:AT$200,"&lt;&gt;-",$D$4:$D$200,"&lt;&gt;是",$E$4:$E$200,"&lt;&gt;封闭期",$H$4:$H$200,"&gt;10",$BN$4:$BN$200,"&gt;-6",$BR$4:$BR$200,"&gt;=70",$C$4:$C$200,"&lt;20190630",$K$4:$K$200,"&lt;=30"))</f>
        <v>-</v>
      </c>
      <c r="AX168" s="33" t="str">
        <f>IF(OR($C168&gt;20190630,$K168&gt;30,AT168="-",$D168="是",$E168="封闭期",$H168&lt;10,$BN168&lt;-6,$BR168&lt;70),"-",COUNTIFS(AT$4:AT$200,"&lt;&gt;-",$D$4:$D$200,"&lt;&gt;是",$E$4:$E$200,"&lt;&gt;封闭期",$H$4:$H$200,"&gt;10",$BN$4:$BN$200,"&gt;-6",$BR$4:$BR$200,"&gt;=70",$K$4:$K$200,"&lt;=30",$C$4:$C$200,"&lt;20190630",AT$4:AT$200,"&gt;="&amp;AT168)/COUNTIFS(AT$4:AT$200,"&lt;&gt;-",$D$4:$D$200,"&lt;&gt;是",$E$4:$E$200,"&lt;&gt;封闭期",$H$4:$H$200,"&gt;10",$BN$4:$BN$200,"&gt;-6",$BR$4:$BR$200,"&gt;=70",$C$4:$C$200,"&lt;20190630",$K$4:$K$200,"&lt;=30"))</f>
        <v>-</v>
      </c>
      <c r="AY168" s="19">
        <f>[1]!f_risk_calmar(A168,$AM$2,$L$2)</f>
        <v>1.5906960735593307</v>
      </c>
      <c r="AZ168" s="19" t="str">
        <f>IFERROR(RANK(AY168,AY:AY)&amp;"/"&amp;COUNT(AY:AY),"-")</f>
        <v>142/197</v>
      </c>
      <c r="BA168" s="26">
        <f>IFERROR(RANK(AY168,AY:AY)/COUNT(AY:AY),"-")</f>
        <v>0.7208121827411168</v>
      </c>
      <c r="BB168" s="34" t="str">
        <f>IF(OR($C168&gt;20190630,$K168&gt;30,AY168="-",$D168="是",$E168="封闭期",$H168&lt;10,$BN168&lt;-6,$BR168&lt;70),"-",COUNTIFS(AY$4:AY$200,"&lt;&gt;-",$D$4:$D$200,"&lt;&gt;是",$E$4:$E$200,"&lt;&gt;封闭期",$H$4:$H$200,"&gt;10",$BN$4:$BN$200,"&gt;-6",$BR$4:$BR$200,"&gt;=70",$K$4:$K$200,"&lt;=30",$C$4:$C$200,"&lt;20190630",AY$4:AY$200,"&gt;="&amp;AY168)&amp;"/"&amp;COUNTIFS(AY$4:AY$200,"&lt;&gt;-",$D$4:$D$200,"&lt;&gt;是",$E$4:$E$200,"&lt;&gt;封闭期",$H$4:$H$200,"&gt;10",$BN$4:$BN$200,"&gt;-6",$BR$4:$BR$200,"&gt;=70",$C$4:$C$200,"&lt;20190630",$K$4:$K$200,"&lt;=30"))</f>
        <v>-</v>
      </c>
      <c r="BC168" s="33" t="str">
        <f>IF(OR($C168&gt;20190630,$K168&gt;30,AY168="-",$D168="是",$E168="封闭期",$H168&lt;10,$BN168&lt;-6,$BR168&lt;70),"-",COUNTIFS(AY$4:AY$200,"&lt;&gt;-",$D$4:$D$200,"&lt;&gt;是",$E$4:$E$200,"&lt;&gt;封闭期",$H$4:$H$200,"&gt;10",$BN$4:$BN$200,"&gt;-6",$BR$4:$BR$200,"&gt;=70",$K$4:$K$200,"&lt;=30",$C$4:$C$200,"&lt;20190630",AY$4:AY$200,"&gt;="&amp;AY168)/COUNTIFS(AY$4:AY$200,"&lt;&gt;-",$D$4:$D$200,"&lt;&gt;是",$E$4:$E$200,"&lt;&gt;封闭期",$H$4:$H$200,"&gt;10",$BN$4:$BN$200,"&gt;-6",$BR$4:$BR$200,"&gt;=70",$C$4:$C$200,"&lt;20190630",$K$4:$K$200,"&lt;=30"))</f>
        <v>-</v>
      </c>
      <c r="BD168" s="20">
        <v>0.95833333333333337</v>
      </c>
      <c r="BE168" s="19" t="str">
        <f>IFERROR(RANK(BD168,BD:BD)&amp;"/"&amp;COUNT(BD:BD),"-")</f>
        <v>160/197</v>
      </c>
      <c r="BF168" s="26">
        <f>IFERROR(RANK(BD168,BD:BD)/COUNT(BD:BD),"-")</f>
        <v>0.81218274111675126</v>
      </c>
      <c r="BG168" s="34" t="str">
        <f>IF(OR($C168&gt;20190630,$K168&gt;30,BD168="-",$D168="是",$E168="封闭期",$H168&lt;10,$BN168&lt;-6,$BR168&lt;70),"-",COUNTIFS(BD$4:BD$200,"&lt;&gt;-",$D$4:$D$200,"&lt;&gt;是",$E$4:$E$200,"&lt;&gt;封闭期",$H$4:$H$200,"&gt;10",$BN$4:$BN$200,"&gt;-6",$BR$4:$BR$200,"&gt;=70",$K$4:$K$200,"&lt;=30",$C$4:$C$200,"&lt;20190630",BD$4:BD$200,"&gt;="&amp;BD168)&amp;"/"&amp;COUNTIFS(BD$4:BD$200,"&lt;&gt;-",$D$4:$D$200,"&lt;&gt;是",$E$4:$E$200,"&lt;&gt;封闭期",$H$4:$H$200,"&gt;10",$BN$4:$BN$200,"&gt;-6",$BR$4:$BR$200,"&gt;=70",$C$4:$C$200,"&lt;20190630",$K$4:$K$200,"&lt;=30"))</f>
        <v>-</v>
      </c>
      <c r="BH168" s="33" t="str">
        <f>IF(OR($C168&gt;20190630,$K168&gt;30,BD168="-",$D168="是",$E168="封闭期",$H168&lt;10,$BN168&lt;-6,$BR168&lt;70),"-",COUNTIFS(BD$4:BD$200,"&lt;&gt;-",$D$4:$D$200,"&lt;&gt;是",$E$4:$E$200,"&lt;&gt;封闭期",$H$4:$H$200,"&gt;10",$BN$4:$BN$200,"&gt;-6",$BR$4:$BR$200,"&gt;=70",$K$4:$K$200,"&lt;=30",$C$4:$C$200,"&lt;20190630",BD$4:BD$200,"&gt;="&amp;BD168)/COUNTIFS(BD$4:BD$200,"&lt;&gt;-",$D$4:$D$200,"&lt;&gt;是",$E$4:$E$200,"&lt;&gt;封闭期",$H$4:$H$200,"&gt;10",$BN$4:$BN$200,"&gt;-6",$BR$4:$BR$200,"&gt;=70",$C$4:$C$200,"&lt;20190630",$K$4:$K$200,"&lt;=30"))</f>
        <v>-</v>
      </c>
      <c r="BI168" s="21">
        <f>[1]!f_risk_maxdownside(A168,$AM$2,$L$2)</f>
        <v>-1.9572384638576086</v>
      </c>
      <c r="BJ168" s="19" t="str">
        <f>IFERROR(RANK(BI168,BI:BI)&amp;"/"&amp;COUNT(BI:BI),"-")</f>
        <v>33/197</v>
      </c>
      <c r="BK168" s="26">
        <f>IFERROR(RANK(BI168,BI:BI)/COUNT(BI:BI),"-")</f>
        <v>0.16751269035532995</v>
      </c>
      <c r="BL168" s="34" t="str">
        <f>IF(OR($C168&gt;20190630,$K168&gt;30,BI168="-",$D168="是",$E168="封闭期",$H168&lt;10,$BN168&lt;-6,$BR168&lt;70),"-",COUNTIFS(BI$4:BI$200,"&lt;&gt;-",$D$4:$D$200,"&lt;&gt;是",$E$4:$E$200,"&lt;&gt;封闭期",$H$4:$H$200,"&gt;10",$BN$4:$BN$200,"&gt;-6",$BR$4:$BR$200,"&gt;=70",$K$4:$K$200,"&lt;=30",$C$4:$C$200,"&lt;20190630",BI$4:BI$200,"&gt;="&amp;BI168)&amp;"/"&amp;COUNTIFS(BI$4:BI$200,"&lt;&gt;-",$D$4:$D$200,"&lt;&gt;是",$E$4:$E$200,"&lt;&gt;封闭期",$H$4:$H$200,"&gt;10",$BN$4:$BN$200,"&gt;-6",$BR$4:$BR$200,"&gt;=70",$C$4:$C$200,"&lt;20190630",$K$4:$K$200,"&lt;=30"))</f>
        <v>-</v>
      </c>
      <c r="BM168" s="33" t="str">
        <f>IF(OR($C168&gt;20190630,$K168&gt;30,BI168="-",$D168="是",$E168="封闭期",$H168&lt;10,$BN168&lt;-6,$BR168&lt;70),"-",COUNTIFS(BI$4:BI$200,"&lt;&gt;-",$D$4:$D$200,"&lt;&gt;是",$E$4:$E$200,"&lt;&gt;封闭期",$H$4:$H$200,"&gt;10",$BN$4:$BN$200,"&gt;-6",$BR$4:$BR$200,"&gt;=70",$K$4:$K$200,"&lt;=30",$C$4:$C$200,"&lt;20190630",BI$4:BI$200,"&gt;="&amp;BI168)/COUNTIFS(BI$4:BI$200,"&lt;&gt;-",$D$4:$D$200,"&lt;&gt;是",$E$4:$E$200,"&lt;&gt;封闭期",$H$4:$H$200,"&gt;10",$BN$4:$BN$200,"&gt;-6",$BR$4:$BR$200,"&gt;=70",$C$4:$C$200,"&lt;20190630",$K$4:$K$200,"&lt;=30"))</f>
        <v>-</v>
      </c>
      <c r="BN168" s="21">
        <f>[1]!f_risk_maxdownside(A168,$AM$2,$E$1)</f>
        <v>-1.9572384638576086</v>
      </c>
      <c r="BO168" s="21">
        <f>IF(C168&lt;20190930,[1]!f_return_2y(A168,"0","20210930"),"-")</f>
        <v>7.7522502298795333</v>
      </c>
      <c r="BP168" s="19" t="str">
        <f>IFERROR(RANK(BO168,BO:BO)&amp;"/"&amp;COUNT(BO:BO),"-")</f>
        <v>166/197</v>
      </c>
      <c r="BQ168" s="25">
        <f>IFERROR(RANK(BO168,BO:BO)/COUNT(BO:BO),"-")</f>
        <v>0.84263959390862941</v>
      </c>
      <c r="BR168" s="19">
        <f>IF(C168&lt;20190930,[1]!f_absolute_profitmonthper(A168,"20190930","20210930"),"-")</f>
        <v>70.833333333333343</v>
      </c>
      <c r="BS168" s="19" t="str">
        <f>IFERROR(RANK(BR168,BR:BR)&amp;"/"&amp;COUNT(BR:BR),"-")</f>
        <v>55/198</v>
      </c>
      <c r="BT168" s="25">
        <f>IFERROR(RANK(BR168,BR:BR)/COUNT(BR:BR),"-")</f>
        <v>0.27777777777777779</v>
      </c>
      <c r="BV168" s="12">
        <f>X168-3/M168</f>
        <v>2.6004227742207227</v>
      </c>
      <c r="BW168" s="76">
        <f>IFERROR(RANK(BV168,BV:BV)/COUNT(BV:BV),"-")</f>
        <v>0.26395939086294418</v>
      </c>
      <c r="BX168" s="76">
        <f>IFERROR(RANK(L168,L:L)/COUNT(L:L),"-")</f>
        <v>0.65656565656565657</v>
      </c>
      <c r="BY168" s="12">
        <f>AY168-3/AN168</f>
        <v>-0.26502737467263016</v>
      </c>
      <c r="BZ168" s="76">
        <f>IFERROR(RANK(BY168,BY:BY)/COUNT(BY:BY),"-")</f>
        <v>0.87817258883248728</v>
      </c>
      <c r="CA168" s="76">
        <f>IFERROR(RANK(AM168,AM:AM)/COUNT(AM:AM),"-")</f>
        <v>0.83838383838383834</v>
      </c>
      <c r="CB168" s="2"/>
      <c r="CC168" s="77">
        <f>AV168+BF168+BZ168+CA168</f>
        <v>3.361226477977747</v>
      </c>
      <c r="CD168" s="77">
        <f>BW168+BX168+AE168+U168</f>
        <v>1.316464133723017</v>
      </c>
      <c r="CE168" s="77">
        <f>CC168+CD168</f>
        <v>4.6776906117007639</v>
      </c>
    </row>
    <row r="169" spans="1:83" s="17" customFormat="1" hidden="1" x14ac:dyDescent="0.35">
      <c r="A169" s="15" t="s">
        <v>39</v>
      </c>
      <c r="B169" s="15" t="s">
        <v>40</v>
      </c>
      <c r="C169" s="16">
        <v>20080926</v>
      </c>
      <c r="D169" s="16" t="str">
        <f>[1]!f_info_regulopenfundornot(A169)</f>
        <v>否</v>
      </c>
      <c r="E169" s="16" t="str">
        <f>[1]!f_dq_status(A169,$E$1)</f>
        <v>开放申购|开放赎回</v>
      </c>
      <c r="F169" s="17" t="str">
        <f>[1]!f_info_fundmanager(A169)</f>
        <v>宋加旺,李宇璐</v>
      </c>
      <c r="G169" s="16">
        <v>20191016</v>
      </c>
      <c r="H169" s="18">
        <f>[1]!f_netasset_total(A169,$E$1,100000000)</f>
        <v>5.8176561915999994</v>
      </c>
      <c r="I169" s="18">
        <f>[1]!f_prt_convertiblebondtonav(A169,$E$1)</f>
        <v>3.3535492420196533</v>
      </c>
      <c r="J169" s="18">
        <f>[1]!f_prt_stocktonav(A169,$E$1)+0.5*I169</f>
        <v>17.840894341468811</v>
      </c>
      <c r="K169" s="19">
        <v>26.008412153758869</v>
      </c>
      <c r="L169" s="19">
        <f>[1]!f_return($A169,"1",L$2,$E$1)</f>
        <v>8.7744683927427403</v>
      </c>
      <c r="M169" s="19">
        <f>[1]!f_risk_stdevyearly($A169,L$2,$E$1,1,1)</f>
        <v>4.4426653628854202</v>
      </c>
      <c r="N169" s="19">
        <f>IFERROR(L169/M169,"-")</f>
        <v>1.9750459861428551</v>
      </c>
      <c r="O169" s="19" t="str">
        <f>IFERROR(RANK(N169,N:N)&amp;"/"&amp;COUNT(N:N),"-")</f>
        <v>52/197</v>
      </c>
      <c r="P169" s="26">
        <f>IF(O169="-","-",RANK(N169,N:N)/COUNT(N:N))</f>
        <v>0.26395939086294418</v>
      </c>
      <c r="Q169" s="56">
        <v>0.22842639593908629</v>
      </c>
      <c r="R169" s="33" t="str">
        <f>IF(OR($C169&gt;20190630,$K169&gt;30,N169="-",$D169="是",$E169="封闭期",$H169&lt;10,$BN169&lt;-6,$BR169&lt;70),"-",COUNTIFS(N$4:N$200,"&lt;&gt;-",$D$4:$D$200,"&lt;&gt;是",$E$4:$E$200,"&lt;&gt;封闭期",$H$4:$H$200,"&gt;10",$BN$4:$BN$200,"&gt;-6",$BR$4:$BR$200,"&gt;=70",$K$4:$K$200,"&lt;=30",$C$4:$C$200,"&lt;20190630",N$4:N$200,"&gt;="&amp;N169)/COUNTIFS(N$4:N$200,"&lt;&gt;-",$D$4:$D$200,"&lt;&gt;是",$E$4:$E$200,"&lt;&gt;封闭期",$H$4:$H$200,"&gt;10",$BN$4:$BN$200,"&gt;-6",$BR$4:$BR$200,"&gt;=70",$C$4:$C$200,"&lt;20190630",$K$4:$K$200,"&lt;=30"))</f>
        <v>-</v>
      </c>
      <c r="S169" s="19">
        <f>IFERROR((L169-3)/M169,"-")</f>
        <v>1.2997756799292983</v>
      </c>
      <c r="T169" s="19" t="str">
        <f>IFERROR(RANK(S169,S:S)&amp;"/"&amp;COUNT(S:S),"-")</f>
        <v>46/197</v>
      </c>
      <c r="U169" s="26">
        <f>IFERROR(RANK(S169,S:S)/COUNT(S:S),"-")</f>
        <v>0.233502538071066</v>
      </c>
      <c r="V169" s="34" t="str">
        <f>IF(OR($C169&gt;20190630,$K169&gt;30,S169="-",$D169="是",$E169="封闭期",$H169&lt;10,$BN169&lt;-6,$BR169&lt;70),"-",COUNTIFS(S$4:S$200,"&lt;&gt;-",$D$4:$D$200,"&lt;&gt;是",$E$4:$E$200,"&lt;&gt;封闭期",$H$4:$H$200,"&gt;10",$BN$4:$BN$200,"&gt;-6",$BR$4:$BR$200,"&gt;=70",$K$4:$K$200,"&lt;=30",$C$4:$C$200,"&lt;20190630",S$4:S$200,"&gt;="&amp;S169)&amp;"/"&amp;COUNTIFS(S$4:S$200,"&lt;&gt;-",$D$4:$D$200,"&lt;&gt;是",$E$4:$E$200,"&lt;&gt;封闭期",$H$4:$H$200,"&gt;10",$BN$4:$BN$200,"&gt;-6",$BR$4:$BR$200,"&gt;=70",$C$4:$C$200,"&lt;20190630",$K$4:$K$200,"&lt;=30"))</f>
        <v>-</v>
      </c>
      <c r="W169" s="33" t="str">
        <f>IF(OR($C169&gt;20190630,$K169&gt;30,S169="-",$D169="是",$E169="封闭期",$H169&lt;10,$BN169&lt;-6,$BR169&lt;70),"-",COUNTIFS(S$4:S$200,"&lt;&gt;-",$D$4:$D$200,"&lt;&gt;是",$E$4:$E$200,"&lt;&gt;封闭期",$H$4:$H$200,"&gt;10",$BN$4:$BN$200,"&gt;-6",$BR$4:$BR$200,"&gt;=70",$K$4:$K$200,"&lt;=30",$C$4:$C$200,"&lt;20190630",S$4:S$200,"&gt;="&amp;S169)/COUNTIFS(S$4:S$200,"&lt;&gt;-",$D$4:$D$200,"&lt;&gt;是",$E$4:$E$200,"&lt;&gt;封闭期",$H$4:$H$200,"&gt;10",$BN$4:$BN$200,"&gt;-6",$BR$4:$BR$200,"&gt;=70",$C$4:$C$200,"&lt;20190630",$K$4:$K$200,"&lt;=30"))</f>
        <v>-</v>
      </c>
      <c r="X169" s="19">
        <f>[1]!f_risk_calmar(A169,$L$2,$E$1)</f>
        <v>4.6355040384916366</v>
      </c>
      <c r="Y169" s="19" t="str">
        <f>IFERROR(RANK(X169,X:X)&amp;"/"&amp;COUNT(X:X),"-")</f>
        <v>36/197</v>
      </c>
      <c r="Z169" s="26">
        <f>IFERROR(RANK(X169,X:X)/COUNT(X:X),"-")</f>
        <v>0.18274111675126903</v>
      </c>
      <c r="AA169" s="34" t="str">
        <f>IF(OR($C169&gt;20190630,$K169&gt;30,X169="-",$D169="是",$E169="封闭期",$H169&lt;10,$BN169&lt;-6,$BR169&lt;70),"-",COUNTIFS(X$4:X$200,"&lt;&gt;-",$D$4:$D$200,"&lt;&gt;是",$E$4:$E$200,"&lt;&gt;封闭期",$H$4:$H$200,"&gt;10",$BN$4:$BN$200,"&gt;-6",$BR$4:$BR$200,"&gt;=70",$K$4:$K$200,"&lt;=30",$C$4:$C$200,"&lt;20190630",X$4:X$200,"&gt;="&amp;X169)&amp;"/"&amp;COUNTIFS(X$4:X$200,"&lt;&gt;-",$D$4:$D$200,"&lt;&gt;是",$E$4:$E$200,"&lt;&gt;封闭期",$H$4:$H$200,"&gt;10",$BN$4:$BN$200,"&gt;-6",$BR$4:$BR$200,"&gt;=70",$C$4:$C$200,"&lt;20190630",$K$4:$K$200,"&lt;=30"))</f>
        <v>-</v>
      </c>
      <c r="AB169" s="33" t="str">
        <f>IF(OR($C169&gt;20190630,$K169&gt;30,X169="-",$D169="是",$E169="封闭期",$H169&lt;10,$BN169&lt;-6,$BR169&lt;70),"-",COUNTIFS(X$4:X$200,"&lt;&gt;-",$D$4:$D$200,"&lt;&gt;是",$E$4:$E$200,"&lt;&gt;封闭期",$H$4:$H$200,"&gt;10",$BN$4:$BN$200,"&gt;-6",$BR$4:$BR$200,"&gt;=70",$K$4:$K$200,"&lt;=30",$C$4:$C$200,"&lt;20190630",X$4:X$200,"&gt;="&amp;X169)/COUNTIFS(X$4:X$200,"&lt;&gt;-",$D$4:$D$200,"&lt;&gt;是",$E$4:$E$200,"&lt;&gt;封闭期",$H$4:$H$200,"&gt;10",$BN$4:$BN$200,"&gt;-6",$BR$4:$BR$200,"&gt;=70",$C$4:$C$200,"&lt;20190630",$K$4:$K$200,"&lt;=30"))</f>
        <v>-</v>
      </c>
      <c r="AC169" s="20">
        <v>1</v>
      </c>
      <c r="AD169" s="19" t="str">
        <f>IFERROR(RANK(AC169,AC:AC)&amp;"/"&amp;COUNT(AC:AC),"-")</f>
        <v>1/197</v>
      </c>
      <c r="AE169" s="26">
        <f>IFERROR(RANK(AC169,AC:AC)/COUNT(AC:AC),"-")</f>
        <v>5.076142131979695E-3</v>
      </c>
      <c r="AF169" s="34" t="str">
        <f>IF(OR($C169&gt;20190630,$K169&gt;30,AC169="-",$D169="是",$E169="封闭期",$H169&lt;10,$BN169&lt;-6,$BR169&lt;70),"-",COUNTIFS(AC$4:AC$200,"&lt;&gt;-",$D$4:$D$200,"&lt;&gt;是",$E$4:$E$200,"&lt;&gt;封闭期",$H$4:$H$200,"&gt;10",$BN$4:$BN$200,"&gt;-6",$BR$4:$BR$200,"&gt;=70",$K$4:$K$200,"&lt;=30",$C$4:$C$200,"&lt;20190630",AC$4:AC$200,"&gt;="&amp;AC169)&amp;"/"&amp;COUNTIFS(AC$4:AC$200,"&lt;&gt;-",$D$4:$D$200,"&lt;&gt;是",$E$4:$E$200,"&lt;&gt;封闭期",$H$4:$H$200,"&gt;10",$BN$4:$BN$200,"&gt;-6",$BR$4:$BR$200,"&gt;=70",$C$4:$C$200,"&lt;20190630",$K$4:$K$200,"&lt;=30"))</f>
        <v>-</v>
      </c>
      <c r="AG169" s="33" t="str">
        <f>IF(OR($C169&gt;20190630,$K169&gt;30,AC169="-",$D169="是",$E169="封闭期",$H169&lt;10,$BN169&lt;-6,$BR169&lt;70),"-",COUNTIFS(AC$4:AC$200,"&lt;&gt;-",$D$4:$D$200,"&lt;&gt;是",$E$4:$E$200,"&lt;&gt;封闭期",$H$4:$H$200,"&gt;10",$BN$4:$BN$200,"&gt;-6",$BR$4:$BR$200,"&gt;=70",$K$4:$K$200,"&lt;=30",$C$4:$C$200,"&lt;20190630",AC$4:AC$200,"&gt;="&amp;AC169)/COUNTIFS(AC$4:AC$200,"&lt;&gt;-",$D$4:$D$200,"&lt;&gt;是",$E$4:$E$200,"&lt;&gt;封闭期",$H$4:$H$200,"&gt;10",$BN$4:$BN$200,"&gt;-6",$BR$4:$BR$200,"&gt;=70",$C$4:$C$200,"&lt;20190630",$K$4:$K$200,"&lt;=30"))</f>
        <v>-</v>
      </c>
      <c r="AH169" s="21">
        <f>[1]!f_risk_maxdownside(A169,$L$2,$E$1)</f>
        <v>-1.8928833455612513</v>
      </c>
      <c r="AI169" s="19" t="str">
        <f>IFERROR(RANK(AH169,AH:AH)&amp;"/"&amp;COUNT(AH:AH),"-")</f>
        <v>56/197</v>
      </c>
      <c r="AJ169" s="26">
        <f>IFERROR(RANK(AH169,AH:AH)/COUNT(AH:AH),"-")</f>
        <v>0.28426395939086296</v>
      </c>
      <c r="AK169" s="34" t="str">
        <f>IF(OR($C169&gt;20190630,$K169&gt;30,AH169="-",$D169="是",$E169="封闭期",$H169&lt;10,$BN169&lt;-6,$BR169&lt;70),"-",COUNTIFS(AH$4:AH$200,"&lt;&gt;-",$D$4:$D$200,"&lt;&gt;是",$E$4:$E$200,"&lt;&gt;封闭期",$H$4:$H$200,"&gt;10",$BN$4:$BN$200,"&gt;-6",$BR$4:$BR$200,"&gt;=70",$K$4:$K$200,"&lt;=30",$C$4:$C$200,"&lt;20190630",AH$4:AH$200,"&gt;="&amp;AH169)&amp;"/"&amp;COUNTIFS(AH$4:AH$200,"&lt;&gt;-",$D$4:$D$200,"&lt;&gt;是",$E$4:$E$200,"&lt;&gt;封闭期",$H$4:$H$200,"&gt;10",$BN$4:$BN$200,"&gt;-6",$BR$4:$BR$200,"&gt;=70",$C$4:$C$200,"&lt;20190630",$K$4:$K$200,"&lt;=30"))</f>
        <v>-</v>
      </c>
      <c r="AL169" s="33" t="str">
        <f>IF(OR($C169&gt;20190630,$K169&gt;30,AH169="-",$D169="是",$E169="封闭期",$H169&lt;10,$BN169&lt;-6,$BR169&lt;70),"-",COUNTIFS(AH$4:AH$200,"&lt;&gt;-",$D$4:$D$200,"&lt;&gt;是",$E$4:$E$200,"&lt;&gt;封闭期",$H$4:$H$200,"&gt;10",$BN$4:$BN$200,"&gt;-6",$BR$4:$BR$200,"&gt;=70",$K$4:$K$200,"&lt;=30",$C$4:$C$200,"&lt;20190630",AH$4:AH$200,"&gt;="&amp;AH169)/COUNTIFS(AH$4:AH$200,"&lt;&gt;-",$D$4:$D$200,"&lt;&gt;是",$E$4:$E$200,"&lt;&gt;封闭期",$H$4:$H$200,"&gt;10",$BN$4:$BN$200,"&gt;-6",$BR$4:$BR$200,"&gt;=70",$C$4:$C$200,"&lt;20190630",$K$4:$K$200,"&lt;=30"))</f>
        <v>-</v>
      </c>
      <c r="AM169" s="19">
        <f>[1]!f_return($A169,"1",AM$2,$L$2)</f>
        <v>3.078964010800056</v>
      </c>
      <c r="AN169" s="19">
        <f>[1]!f_risk_stdevyearly($A169,AM$2,$L$2,1,1)</f>
        <v>3.5479521977593222</v>
      </c>
      <c r="AO169" s="19">
        <f>IFERROR(AM169/AN169,"-")</f>
        <v>0.86781440086609629</v>
      </c>
      <c r="AP169" s="19" t="str">
        <f>IFERROR(RANK(AO169,AO:AO)&amp;"/"&amp;COUNT(AO:AO),"-")</f>
        <v>173/197</v>
      </c>
      <c r="AQ169" s="26">
        <f>IF(AP169="-","-",RANK(AO169,AO:AO)/COUNT(AO:AO))</f>
        <v>0.87817258883248728</v>
      </c>
      <c r="AR169" s="57">
        <v>0.84263959390862941</v>
      </c>
      <c r="AS169" s="33" t="str">
        <f>IF(OR($C169&gt;20190630,$K169&gt;30,AO169="-",$D169="是",$E169="封闭期",$H169&lt;10,$BN169&lt;-6,$BR169&lt;70),"-",COUNTIFS(AO$4:AO$200,"&lt;&gt;-",$D$4:$D$200,"&lt;&gt;是",$E$4:$E$200,"&lt;&gt;封闭期",$H$4:$H$200,"&gt;10",$BN$4:$BN$200,"&gt;-6",$BR$4:$BR$200,"&gt;=70",$K$4:$K$200,"&lt;=30",$C$4:$C$200,"&lt;20190630",AO$4:AO$200,"&gt;="&amp;AO169)/COUNTIFS(AO$4:AO$200,"&lt;&gt;-",$D$4:$D$200,"&lt;&gt;是",$E$4:$E$200,"&lt;&gt;封闭期",$H$4:$H$200,"&gt;10",$BN$4:$BN$200,"&gt;-6",$BR$4:$BR$200,"&gt;=70",$C$4:$C$200,"&lt;20190630",$K$4:$K$200,"&lt;=30"))</f>
        <v>-</v>
      </c>
      <c r="AT169" s="19">
        <f>IFERROR((AM169-3)/AN169,"-")</f>
        <v>2.225622172979811E-2</v>
      </c>
      <c r="AU169" s="19" t="str">
        <f>IFERROR(RANK(AT169,AT:AT)&amp;"/"&amp;COUNT(AT:AT),"-")</f>
        <v>166/197</v>
      </c>
      <c r="AV169" s="26">
        <f>IFERROR(RANK(AT169,AT:AT)/COUNT(AT:AT),"-")</f>
        <v>0.84263959390862941</v>
      </c>
      <c r="AW169" s="34" t="str">
        <f>IF(OR($C169&gt;20190630,$K169&gt;30,AT169="-",$D169="是",$E169="封闭期",$H169&lt;10,$BN169&lt;-6,$BR169&lt;70),"-",COUNTIFS(AT$4:AT$200,"&lt;&gt;-",$D$4:$D$200,"&lt;&gt;是",$E$4:$E$200,"&lt;&gt;封闭期",$H$4:$H$200,"&gt;10",$BN$4:$BN$200,"&gt;-6",$BR$4:$BR$200,"&gt;=70",$K$4:$K$200,"&lt;=30",$C$4:$C$200,"&lt;20190630",AT$4:AT$200,"&gt;="&amp;AT169)&amp;"/"&amp;COUNTIFS(AT$4:AT$200,"&lt;&gt;-",$D$4:$D$200,"&lt;&gt;是",$E$4:$E$200,"&lt;&gt;封闭期",$H$4:$H$200,"&gt;10",$BN$4:$BN$200,"&gt;-6",$BR$4:$BR$200,"&gt;=70",$C$4:$C$200,"&lt;20190630",$K$4:$K$200,"&lt;=30"))</f>
        <v>-</v>
      </c>
      <c r="AX169" s="33" t="str">
        <f>IF(OR($C169&gt;20190630,$K169&gt;30,AT169="-",$D169="是",$E169="封闭期",$H169&lt;10,$BN169&lt;-6,$BR169&lt;70),"-",COUNTIFS(AT$4:AT$200,"&lt;&gt;-",$D$4:$D$200,"&lt;&gt;是",$E$4:$E$200,"&lt;&gt;封闭期",$H$4:$H$200,"&gt;10",$BN$4:$BN$200,"&gt;-6",$BR$4:$BR$200,"&gt;=70",$K$4:$K$200,"&lt;=30",$C$4:$C$200,"&lt;20190630",AT$4:AT$200,"&gt;="&amp;AT169)/COUNTIFS(AT$4:AT$200,"&lt;&gt;-",$D$4:$D$200,"&lt;&gt;是",$E$4:$E$200,"&lt;&gt;封闭期",$H$4:$H$200,"&gt;10",$BN$4:$BN$200,"&gt;-6",$BR$4:$BR$200,"&gt;=70",$C$4:$C$200,"&lt;20190630",$K$4:$K$200,"&lt;=30"))</f>
        <v>-</v>
      </c>
      <c r="AY169" s="19">
        <f>[1]!f_risk_calmar(A169,$AM$2,$L$2)</f>
        <v>1.4113305303559092</v>
      </c>
      <c r="AZ169" s="19" t="str">
        <f>IFERROR(RANK(AY169,AY:AY)&amp;"/"&amp;COUNT(AY:AY),"-")</f>
        <v>148/197</v>
      </c>
      <c r="BA169" s="26">
        <f>IFERROR(RANK(AY169,AY:AY)/COUNT(AY:AY),"-")</f>
        <v>0.75126903553299496</v>
      </c>
      <c r="BB169" s="34" t="str">
        <f>IF(OR($C169&gt;20190630,$K169&gt;30,AY169="-",$D169="是",$E169="封闭期",$H169&lt;10,$BN169&lt;-6,$BR169&lt;70),"-",COUNTIFS(AY$4:AY$200,"&lt;&gt;-",$D$4:$D$200,"&lt;&gt;是",$E$4:$E$200,"&lt;&gt;封闭期",$H$4:$H$200,"&gt;10",$BN$4:$BN$200,"&gt;-6",$BR$4:$BR$200,"&gt;=70",$K$4:$K$200,"&lt;=30",$C$4:$C$200,"&lt;20190630",AY$4:AY$200,"&gt;="&amp;AY169)&amp;"/"&amp;COUNTIFS(AY$4:AY$200,"&lt;&gt;-",$D$4:$D$200,"&lt;&gt;是",$E$4:$E$200,"&lt;&gt;封闭期",$H$4:$H$200,"&gt;10",$BN$4:$BN$200,"&gt;-6",$BR$4:$BR$200,"&gt;=70",$C$4:$C$200,"&lt;20190630",$K$4:$K$200,"&lt;=30"))</f>
        <v>-</v>
      </c>
      <c r="BC169" s="33" t="str">
        <f>IF(OR($C169&gt;20190630,$K169&gt;30,AY169="-",$D169="是",$E169="封闭期",$H169&lt;10,$BN169&lt;-6,$BR169&lt;70),"-",COUNTIFS(AY$4:AY$200,"&lt;&gt;-",$D$4:$D$200,"&lt;&gt;是",$E$4:$E$200,"&lt;&gt;封闭期",$H$4:$H$200,"&gt;10",$BN$4:$BN$200,"&gt;-6",$BR$4:$BR$200,"&gt;=70",$K$4:$K$200,"&lt;=30",$C$4:$C$200,"&lt;20190630",AY$4:AY$200,"&gt;="&amp;AY169)/COUNTIFS(AY$4:AY$200,"&lt;&gt;-",$D$4:$D$200,"&lt;&gt;是",$E$4:$E$200,"&lt;&gt;封闭期",$H$4:$H$200,"&gt;10",$BN$4:$BN$200,"&gt;-6",$BR$4:$BR$200,"&gt;=70",$C$4:$C$200,"&lt;20190630",$K$4:$K$200,"&lt;=30"))</f>
        <v>-</v>
      </c>
      <c r="BD169" s="20">
        <v>1</v>
      </c>
      <c r="BE169" s="19" t="str">
        <f>IFERROR(RANK(BD169,BD:BD)&amp;"/"&amp;COUNT(BD:BD),"-")</f>
        <v>1/197</v>
      </c>
      <c r="BF169" s="26">
        <f>IFERROR(RANK(BD169,BD:BD)/COUNT(BD:BD),"-")</f>
        <v>5.076142131979695E-3</v>
      </c>
      <c r="BG169" s="34" t="str">
        <f>IF(OR($C169&gt;20190630,$K169&gt;30,BD169="-",$D169="是",$E169="封闭期",$H169&lt;10,$BN169&lt;-6,$BR169&lt;70),"-",COUNTIFS(BD$4:BD$200,"&lt;&gt;-",$D$4:$D$200,"&lt;&gt;是",$E$4:$E$200,"&lt;&gt;封闭期",$H$4:$H$200,"&gt;10",$BN$4:$BN$200,"&gt;-6",$BR$4:$BR$200,"&gt;=70",$K$4:$K$200,"&lt;=30",$C$4:$C$200,"&lt;20190630",BD$4:BD$200,"&gt;="&amp;BD169)&amp;"/"&amp;COUNTIFS(BD$4:BD$200,"&lt;&gt;-",$D$4:$D$200,"&lt;&gt;是",$E$4:$E$200,"&lt;&gt;封闭期",$H$4:$H$200,"&gt;10",$BN$4:$BN$200,"&gt;-6",$BR$4:$BR$200,"&gt;=70",$C$4:$C$200,"&lt;20190630",$K$4:$K$200,"&lt;=30"))</f>
        <v>-</v>
      </c>
      <c r="BH169" s="33" t="str">
        <f>IF(OR($C169&gt;20190630,$K169&gt;30,BD169="-",$D169="是",$E169="封闭期",$H169&lt;10,$BN169&lt;-6,$BR169&lt;70),"-",COUNTIFS(BD$4:BD$200,"&lt;&gt;-",$D$4:$D$200,"&lt;&gt;是",$E$4:$E$200,"&lt;&gt;封闭期",$H$4:$H$200,"&gt;10",$BN$4:$BN$200,"&gt;-6",$BR$4:$BR$200,"&gt;=70",$K$4:$K$200,"&lt;=30",$C$4:$C$200,"&lt;20190630",BD$4:BD$200,"&gt;="&amp;BD169)/COUNTIFS(BD$4:BD$200,"&lt;&gt;-",$D$4:$D$200,"&lt;&gt;是",$E$4:$E$200,"&lt;&gt;封闭期",$H$4:$H$200,"&gt;10",$BN$4:$BN$200,"&gt;-6",$BR$4:$BR$200,"&gt;=70",$C$4:$C$200,"&lt;20190630",$K$4:$K$200,"&lt;=30"))</f>
        <v>-</v>
      </c>
      <c r="BI169" s="21">
        <f>[1]!f_risk_maxdownside(A169,$AM$2,$L$2)</f>
        <v>-2.1816037735849187</v>
      </c>
      <c r="BJ169" s="19" t="str">
        <f>IFERROR(RANK(BI169,BI:BI)&amp;"/"&amp;COUNT(BI:BI),"-")</f>
        <v>43/197</v>
      </c>
      <c r="BK169" s="26">
        <f>IFERROR(RANK(BI169,BI:BI)/COUNT(BI:BI),"-")</f>
        <v>0.21827411167512689</v>
      </c>
      <c r="BL169" s="34" t="str">
        <f>IF(OR($C169&gt;20190630,$K169&gt;30,BI169="-",$D169="是",$E169="封闭期",$H169&lt;10,$BN169&lt;-6,$BR169&lt;70),"-",COUNTIFS(BI$4:BI$200,"&lt;&gt;-",$D$4:$D$200,"&lt;&gt;是",$E$4:$E$200,"&lt;&gt;封闭期",$H$4:$H$200,"&gt;10",$BN$4:$BN$200,"&gt;-6",$BR$4:$BR$200,"&gt;=70",$K$4:$K$200,"&lt;=30",$C$4:$C$200,"&lt;20190630",BI$4:BI$200,"&gt;="&amp;BI169)&amp;"/"&amp;COUNTIFS(BI$4:BI$200,"&lt;&gt;-",$D$4:$D$200,"&lt;&gt;是",$E$4:$E$200,"&lt;&gt;封闭期",$H$4:$H$200,"&gt;10",$BN$4:$BN$200,"&gt;-6",$BR$4:$BR$200,"&gt;=70",$C$4:$C$200,"&lt;20190630",$K$4:$K$200,"&lt;=30"))</f>
        <v>-</v>
      </c>
      <c r="BM169" s="33" t="str">
        <f>IF(OR($C169&gt;20190630,$K169&gt;30,BI169="-",$D169="是",$E169="封闭期",$H169&lt;10,$BN169&lt;-6,$BR169&lt;70),"-",COUNTIFS(BI$4:BI$200,"&lt;&gt;-",$D$4:$D$200,"&lt;&gt;是",$E$4:$E$200,"&lt;&gt;封闭期",$H$4:$H$200,"&gt;10",$BN$4:$BN$200,"&gt;-6",$BR$4:$BR$200,"&gt;=70",$K$4:$K$200,"&lt;=30",$C$4:$C$200,"&lt;20190630",BI$4:BI$200,"&gt;="&amp;BI169)/COUNTIFS(BI$4:BI$200,"&lt;&gt;-",$D$4:$D$200,"&lt;&gt;是",$E$4:$E$200,"&lt;&gt;封闭期",$H$4:$H$200,"&gt;10",$BN$4:$BN$200,"&gt;-6",$BR$4:$BR$200,"&gt;=70",$C$4:$C$200,"&lt;20190630",$K$4:$K$200,"&lt;=30"))</f>
        <v>-</v>
      </c>
      <c r="BN169" s="21">
        <f>[1]!f_risk_maxdownside(A169,$AM$2,$E$1)</f>
        <v>-2.4155294461067034</v>
      </c>
      <c r="BO169" s="21">
        <f>IF(C169&lt;20190930,[1]!f_return_2y(A169,"0","20210930"),"-")</f>
        <v>12.222686099971343</v>
      </c>
      <c r="BP169" s="19" t="str">
        <f>IFERROR(RANK(BO169,BO:BO)&amp;"/"&amp;COUNT(BO:BO),"-")</f>
        <v>114/197</v>
      </c>
      <c r="BQ169" s="25">
        <f>IFERROR(RANK(BO169,BO:BO)/COUNT(BO:BO),"-")</f>
        <v>0.57868020304568524</v>
      </c>
      <c r="BR169" s="19">
        <f>IF(C169&lt;20190930,[1]!f_absolute_profitmonthper(A169,"20190930","20210930"),"-")</f>
        <v>70.833333333333343</v>
      </c>
      <c r="BS169" s="19" t="str">
        <f>IFERROR(RANK(BR169,BR:BR)&amp;"/"&amp;COUNT(BR:BR),"-")</f>
        <v>55/198</v>
      </c>
      <c r="BT169" s="25">
        <f>IFERROR(RANK(BR169,BR:BR)/COUNT(BR:BR),"-")</f>
        <v>0.27777777777777779</v>
      </c>
      <c r="BV169" s="12">
        <f>X169-3/M169</f>
        <v>3.9602337322780796</v>
      </c>
      <c r="BW169" s="76">
        <f>IFERROR(RANK(BV169,BV:BV)/COUNT(BV:BV),"-")</f>
        <v>0.15736040609137056</v>
      </c>
      <c r="BX169" s="76">
        <f>IFERROR(RANK(L169,L:L)/COUNT(L:L),"-")</f>
        <v>0.23232323232323232</v>
      </c>
      <c r="BY169" s="12">
        <f>AY169-3/AN169</f>
        <v>0.56577235121961089</v>
      </c>
      <c r="BZ169" s="76">
        <f>IFERROR(RANK(BY169,BY:BY)/COUNT(BY:BY),"-")</f>
        <v>0.79187817258883253</v>
      </c>
      <c r="CA169" s="76">
        <f>IFERROR(RANK(AM169,AM:AM)/COUNT(AM:AM),"-")</f>
        <v>0.84343434343434343</v>
      </c>
      <c r="CB169" s="2"/>
      <c r="CC169" s="77">
        <f>AV169+BF169+BZ169+CA169</f>
        <v>2.483028252063785</v>
      </c>
      <c r="CD169" s="77">
        <f>BW169+BX169+AE169+U169</f>
        <v>0.62826231861764859</v>
      </c>
      <c r="CE169" s="77">
        <f>CC169+CD169</f>
        <v>3.1112905706814336</v>
      </c>
    </row>
    <row r="170" spans="1:83" s="2" customFormat="1" hidden="1" x14ac:dyDescent="0.35">
      <c r="A170" s="15" t="s">
        <v>255</v>
      </c>
      <c r="B170" s="15" t="s">
        <v>256</v>
      </c>
      <c r="C170" s="16">
        <v>20160719</v>
      </c>
      <c r="D170" s="16" t="str">
        <f>[1]!f_info_regulopenfundornot(A170)</f>
        <v>否</v>
      </c>
      <c r="E170" s="16" t="str">
        <f>[1]!f_dq_status(A170,$E$1)</f>
        <v>开放申购|开放赎回</v>
      </c>
      <c r="F170" s="17" t="str">
        <f>[1]!f_info_fundmanager(A170)</f>
        <v>陈健宾</v>
      </c>
      <c r="G170" s="16">
        <v>20210416</v>
      </c>
      <c r="H170" s="18">
        <f>[1]!f_netasset_total(A170,$E$1,100000000)</f>
        <v>2.3408365660000001</v>
      </c>
      <c r="I170" s="18">
        <f>[1]!f_prt_convertiblebondtonav(A170,$E$1)</f>
        <v>8.1735343933105469</v>
      </c>
      <c r="J170" s="18">
        <f>[1]!f_prt_stocktonav(A170,$E$1)+0.5*I170</f>
        <v>4.0867671966552734</v>
      </c>
      <c r="K170" s="19">
        <v>43.39132491148893</v>
      </c>
      <c r="L170" s="19">
        <f>[1]!f_return($A170,"1",L$2,$E$1)</f>
        <v>3.5132654757886517</v>
      </c>
      <c r="M170" s="19">
        <f>[1]!f_risk_stdevyearly($A170,L$2,$E$1,1,1)</f>
        <v>2.1990708066724158</v>
      </c>
      <c r="N170" s="19">
        <f>IFERROR(L170/M170,"-")</f>
        <v>1.5976136216845356</v>
      </c>
      <c r="O170" s="19" t="str">
        <f>IFERROR(RANK(N170,N:N)&amp;"/"&amp;COUNT(N:N),"-")</f>
        <v>81/197</v>
      </c>
      <c r="P170" s="26">
        <f>IF(O170="-","-",RANK(N170,N:N)/COUNT(N:N))</f>
        <v>0.41116751269035534</v>
      </c>
      <c r="Q170" s="56">
        <v>0.78680203045685282</v>
      </c>
      <c r="R170" s="33" t="str">
        <f>IF(OR($C170&gt;20190630,$K170&gt;30,N170="-",$D170="是",$E170="封闭期",$H170&lt;10,$BN170&lt;-6,$BR170&lt;70),"-",COUNTIFS(N$4:N$200,"&lt;&gt;-",$D$4:$D$200,"&lt;&gt;是",$E$4:$E$200,"&lt;&gt;封闭期",$H$4:$H$200,"&gt;10",$BN$4:$BN$200,"&gt;-6",$BR$4:$BR$200,"&gt;=70",$K$4:$K$200,"&lt;=30",$C$4:$C$200,"&lt;20190630",N$4:N$200,"&gt;="&amp;N170)/COUNTIFS(N$4:N$200,"&lt;&gt;-",$D$4:$D$200,"&lt;&gt;是",$E$4:$E$200,"&lt;&gt;封闭期",$H$4:$H$200,"&gt;10",$BN$4:$BN$200,"&gt;-6",$BR$4:$BR$200,"&gt;=70",$C$4:$C$200,"&lt;20190630",$K$4:$K$200,"&lt;=30"))</f>
        <v>-</v>
      </c>
      <c r="S170" s="19">
        <f>IFERROR((L170-3)/M170,"-")</f>
        <v>0.23340106841094097</v>
      </c>
      <c r="T170" s="19" t="str">
        <f>IFERROR(RANK(S170,S:S)&amp;"/"&amp;COUNT(S:S),"-")</f>
        <v>148/197</v>
      </c>
      <c r="U170" s="26">
        <f>IFERROR(RANK(S170,S:S)/COUNT(S:S),"-")</f>
        <v>0.75126903553299496</v>
      </c>
      <c r="V170" s="34" t="str">
        <f>IF(OR($C170&gt;20190630,$K170&gt;30,S170="-",$D170="是",$E170="封闭期",$H170&lt;10,$BN170&lt;-6,$BR170&lt;70),"-",COUNTIFS(S$4:S$200,"&lt;&gt;-",$D$4:$D$200,"&lt;&gt;是",$E$4:$E$200,"&lt;&gt;封闭期",$H$4:$H$200,"&gt;10",$BN$4:$BN$200,"&gt;-6",$BR$4:$BR$200,"&gt;=70",$K$4:$K$200,"&lt;=30",$C$4:$C$200,"&lt;20190630",S$4:S$200,"&gt;="&amp;S170)&amp;"/"&amp;COUNTIFS(S$4:S$200,"&lt;&gt;-",$D$4:$D$200,"&lt;&gt;是",$E$4:$E$200,"&lt;&gt;封闭期",$H$4:$H$200,"&gt;10",$BN$4:$BN$200,"&gt;-6",$BR$4:$BR$200,"&gt;=70",$C$4:$C$200,"&lt;20190630",$K$4:$K$200,"&lt;=30"))</f>
        <v>-</v>
      </c>
      <c r="W170" s="33" t="str">
        <f>IF(OR($C170&gt;20190630,$K170&gt;30,S170="-",$D170="是",$E170="封闭期",$H170&lt;10,$BN170&lt;-6,$BR170&lt;70),"-",COUNTIFS(S$4:S$200,"&lt;&gt;-",$D$4:$D$200,"&lt;&gt;是",$E$4:$E$200,"&lt;&gt;封闭期",$H$4:$H$200,"&gt;10",$BN$4:$BN$200,"&gt;-6",$BR$4:$BR$200,"&gt;=70",$K$4:$K$200,"&lt;=30",$C$4:$C$200,"&lt;20190630",S$4:S$200,"&gt;="&amp;S170)/COUNTIFS(S$4:S$200,"&lt;&gt;-",$D$4:$D$200,"&lt;&gt;是",$E$4:$E$200,"&lt;&gt;封闭期",$H$4:$H$200,"&gt;10",$BN$4:$BN$200,"&gt;-6",$BR$4:$BR$200,"&gt;=70",$C$4:$C$200,"&lt;20190630",$K$4:$K$200,"&lt;=30"))</f>
        <v>-</v>
      </c>
      <c r="X170" s="19">
        <f>[1]!f_risk_calmar(A170,$L$2,$E$1)</f>
        <v>1.5079138354386716</v>
      </c>
      <c r="Y170" s="19" t="str">
        <f>IFERROR(RANK(X170,X:X)&amp;"/"&amp;COUNT(X:X),"-")</f>
        <v>127/197</v>
      </c>
      <c r="Z170" s="26">
        <f>IFERROR(RANK(X170,X:X)/COUNT(X:X),"-")</f>
        <v>0.64467005076142136</v>
      </c>
      <c r="AA170" s="34" t="str">
        <f>IF(OR($C170&gt;20190630,$K170&gt;30,X170="-",$D170="是",$E170="封闭期",$H170&lt;10,$BN170&lt;-6,$BR170&lt;70),"-",COUNTIFS(X$4:X$200,"&lt;&gt;-",$D$4:$D$200,"&lt;&gt;是",$E$4:$E$200,"&lt;&gt;封闭期",$H$4:$H$200,"&gt;10",$BN$4:$BN$200,"&gt;-6",$BR$4:$BR$200,"&gt;=70",$K$4:$K$200,"&lt;=30",$C$4:$C$200,"&lt;20190630",X$4:X$200,"&gt;="&amp;X170)&amp;"/"&amp;COUNTIFS(X$4:X$200,"&lt;&gt;-",$D$4:$D$200,"&lt;&gt;是",$E$4:$E$200,"&lt;&gt;封闭期",$H$4:$H$200,"&gt;10",$BN$4:$BN$200,"&gt;-6",$BR$4:$BR$200,"&gt;=70",$C$4:$C$200,"&lt;20190630",$K$4:$K$200,"&lt;=30"))</f>
        <v>-</v>
      </c>
      <c r="AB170" s="33" t="str">
        <f>IF(OR($C170&gt;20190630,$K170&gt;30,X170="-",$D170="是",$E170="封闭期",$H170&lt;10,$BN170&lt;-6,$BR170&lt;70),"-",COUNTIFS(X$4:X$200,"&lt;&gt;-",$D$4:$D$200,"&lt;&gt;是",$E$4:$E$200,"&lt;&gt;封闭期",$H$4:$H$200,"&gt;10",$BN$4:$BN$200,"&gt;-6",$BR$4:$BR$200,"&gt;=70",$K$4:$K$200,"&lt;=30",$C$4:$C$200,"&lt;20190630",X$4:X$200,"&gt;="&amp;X170)/COUNTIFS(X$4:X$200,"&lt;&gt;-",$D$4:$D$200,"&lt;&gt;是",$E$4:$E$200,"&lt;&gt;封闭期",$H$4:$H$200,"&gt;10",$BN$4:$BN$200,"&gt;-6",$BR$4:$BR$200,"&gt;=70",$C$4:$C$200,"&lt;20190630",$K$4:$K$200,"&lt;=30"))</f>
        <v>-</v>
      </c>
      <c r="AC170" s="20">
        <v>0.92436974789915971</v>
      </c>
      <c r="AD170" s="19" t="str">
        <f>IFERROR(RANK(AC170,AC:AC)&amp;"/"&amp;COUNT(AC:AC),"-")</f>
        <v>123/197</v>
      </c>
      <c r="AE170" s="26">
        <f>IFERROR(RANK(AC170,AC:AC)/COUNT(AC:AC),"-")</f>
        <v>0.62436548223350252</v>
      </c>
      <c r="AF170" s="34" t="str">
        <f>IF(OR($C170&gt;20190630,$K170&gt;30,AC170="-",$D170="是",$E170="封闭期",$H170&lt;10,$BN170&lt;-6,$BR170&lt;70),"-",COUNTIFS(AC$4:AC$200,"&lt;&gt;-",$D$4:$D$200,"&lt;&gt;是",$E$4:$E$200,"&lt;&gt;封闭期",$H$4:$H$200,"&gt;10",$BN$4:$BN$200,"&gt;-6",$BR$4:$BR$200,"&gt;=70",$K$4:$K$200,"&lt;=30",$C$4:$C$200,"&lt;20190630",AC$4:AC$200,"&gt;="&amp;AC170)&amp;"/"&amp;COUNTIFS(AC$4:AC$200,"&lt;&gt;-",$D$4:$D$200,"&lt;&gt;是",$E$4:$E$200,"&lt;&gt;封闭期",$H$4:$H$200,"&gt;10",$BN$4:$BN$200,"&gt;-6",$BR$4:$BR$200,"&gt;=70",$C$4:$C$200,"&lt;20190630",$K$4:$K$200,"&lt;=30"))</f>
        <v>-</v>
      </c>
      <c r="AG170" s="33" t="str">
        <f>IF(OR($C170&gt;20190630,$K170&gt;30,AC170="-",$D170="是",$E170="封闭期",$H170&lt;10,$BN170&lt;-6,$BR170&lt;70),"-",COUNTIFS(AC$4:AC$200,"&lt;&gt;-",$D$4:$D$200,"&lt;&gt;是",$E$4:$E$200,"&lt;&gt;封闭期",$H$4:$H$200,"&gt;10",$BN$4:$BN$200,"&gt;-6",$BR$4:$BR$200,"&gt;=70",$K$4:$K$200,"&lt;=30",$C$4:$C$200,"&lt;20190630",AC$4:AC$200,"&gt;="&amp;AC170)/COUNTIFS(AC$4:AC$200,"&lt;&gt;-",$D$4:$D$200,"&lt;&gt;是",$E$4:$E$200,"&lt;&gt;封闭期",$H$4:$H$200,"&gt;10",$BN$4:$BN$200,"&gt;-6",$BR$4:$BR$200,"&gt;=70",$C$4:$C$200,"&lt;20190630",$K$4:$K$200,"&lt;=30"))</f>
        <v>-</v>
      </c>
      <c r="AH170" s="21">
        <f>[1]!f_risk_maxdownside(A170,$L$2,$E$1)</f>
        <v>-2.3298847674320844</v>
      </c>
      <c r="AI170" s="19" t="str">
        <f>IFERROR(RANK(AH170,AH:AH)&amp;"/"&amp;COUNT(AH:AH),"-")</f>
        <v>69/197</v>
      </c>
      <c r="AJ170" s="26">
        <f>IFERROR(RANK(AH170,AH:AH)/COUNT(AH:AH),"-")</f>
        <v>0.35025380710659898</v>
      </c>
      <c r="AK170" s="34" t="str">
        <f>IF(OR($C170&gt;20190630,$K170&gt;30,AH170="-",$D170="是",$E170="封闭期",$H170&lt;10,$BN170&lt;-6,$BR170&lt;70),"-",COUNTIFS(AH$4:AH$200,"&lt;&gt;-",$D$4:$D$200,"&lt;&gt;是",$E$4:$E$200,"&lt;&gt;封闭期",$H$4:$H$200,"&gt;10",$BN$4:$BN$200,"&gt;-6",$BR$4:$BR$200,"&gt;=70",$K$4:$K$200,"&lt;=30",$C$4:$C$200,"&lt;20190630",AH$4:AH$200,"&gt;="&amp;AH170)&amp;"/"&amp;COUNTIFS(AH$4:AH$200,"&lt;&gt;-",$D$4:$D$200,"&lt;&gt;是",$E$4:$E$200,"&lt;&gt;封闭期",$H$4:$H$200,"&gt;10",$BN$4:$BN$200,"&gt;-6",$BR$4:$BR$200,"&gt;=70",$C$4:$C$200,"&lt;20190630",$K$4:$K$200,"&lt;=30"))</f>
        <v>-</v>
      </c>
      <c r="AL170" s="33" t="str">
        <f>IF(OR($C170&gt;20190630,$K170&gt;30,AH170="-",$D170="是",$E170="封闭期",$H170&lt;10,$BN170&lt;-6,$BR170&lt;70),"-",COUNTIFS(AH$4:AH$200,"&lt;&gt;-",$D$4:$D$200,"&lt;&gt;是",$E$4:$E$200,"&lt;&gt;封闭期",$H$4:$H$200,"&gt;10",$BN$4:$BN$200,"&gt;-6",$BR$4:$BR$200,"&gt;=70",$K$4:$K$200,"&lt;=30",$C$4:$C$200,"&lt;20190630",AH$4:AH$200,"&gt;="&amp;AH170)/COUNTIFS(AH$4:AH$200,"&lt;&gt;-",$D$4:$D$200,"&lt;&gt;是",$E$4:$E$200,"&lt;&gt;封闭期",$H$4:$H$200,"&gt;10",$BN$4:$BN$200,"&gt;-6",$BR$4:$BR$200,"&gt;=70",$C$4:$C$200,"&lt;20190630",$K$4:$K$200,"&lt;=30"))</f>
        <v>-</v>
      </c>
      <c r="AM170" s="19">
        <f>[1]!f_return($A170,"1",AM$2,$L$2)</f>
        <v>2.9728870962389964</v>
      </c>
      <c r="AN170" s="19">
        <f>[1]!f_risk_stdevyearly($A170,AM$2,$L$2,1,1)</f>
        <v>2.1350701846140479</v>
      </c>
      <c r="AO170" s="19">
        <f>IFERROR(AM170/AN170,"-")</f>
        <v>1.3924071993803795</v>
      </c>
      <c r="AP170" s="19" t="str">
        <f>IFERROR(RANK(AO170,AO:AO)&amp;"/"&amp;COUNT(AO:AO),"-")</f>
        <v>123/197</v>
      </c>
      <c r="AQ170" s="26">
        <f>IF(AP170="-","-",RANK(AO170,AO:AO)/COUNT(AO:AO))</f>
        <v>0.62436548223350252</v>
      </c>
      <c r="AR170" s="57">
        <v>0.84771573604060912</v>
      </c>
      <c r="AS170" s="33" t="str">
        <f>IF(OR($C170&gt;20190630,$K170&gt;30,AO170="-",$D170="是",$E170="封闭期",$H170&lt;10,$BN170&lt;-6,$BR170&lt;70),"-",COUNTIFS(AO$4:AO$200,"&lt;&gt;-",$D$4:$D$200,"&lt;&gt;是",$E$4:$E$200,"&lt;&gt;封闭期",$H$4:$H$200,"&gt;10",$BN$4:$BN$200,"&gt;-6",$BR$4:$BR$200,"&gt;=70",$K$4:$K$200,"&lt;=30",$C$4:$C$200,"&lt;20190630",AO$4:AO$200,"&gt;="&amp;AO170)/COUNTIFS(AO$4:AO$200,"&lt;&gt;-",$D$4:$D$200,"&lt;&gt;是",$E$4:$E$200,"&lt;&gt;封闭期",$H$4:$H$200,"&gt;10",$BN$4:$BN$200,"&gt;-6",$BR$4:$BR$200,"&gt;=70",$C$4:$C$200,"&lt;20190630",$K$4:$K$200,"&lt;=30"))</f>
        <v>-</v>
      </c>
      <c r="AT170" s="19">
        <f>IFERROR((AM170-3)/AN170,"-")</f>
        <v>-1.2698834893760065E-2</v>
      </c>
      <c r="AU170" s="19" t="str">
        <f>IFERROR(RANK(AT170,AT:AT)&amp;"/"&amp;COUNT(AT:AT),"-")</f>
        <v>167/197</v>
      </c>
      <c r="AV170" s="26">
        <f>IFERROR(RANK(AT170,AT:AT)/COUNT(AT:AT),"-")</f>
        <v>0.84771573604060912</v>
      </c>
      <c r="AW170" s="34" t="str">
        <f>IF(OR($C170&gt;20190630,$K170&gt;30,AT170="-",$D170="是",$E170="封闭期",$H170&lt;10,$BN170&lt;-6,$BR170&lt;70),"-",COUNTIFS(AT$4:AT$200,"&lt;&gt;-",$D$4:$D$200,"&lt;&gt;是",$E$4:$E$200,"&lt;&gt;封闭期",$H$4:$H$200,"&gt;10",$BN$4:$BN$200,"&gt;-6",$BR$4:$BR$200,"&gt;=70",$K$4:$K$200,"&lt;=30",$C$4:$C$200,"&lt;20190630",AT$4:AT$200,"&gt;="&amp;AT170)&amp;"/"&amp;COUNTIFS(AT$4:AT$200,"&lt;&gt;-",$D$4:$D$200,"&lt;&gt;是",$E$4:$E$200,"&lt;&gt;封闭期",$H$4:$H$200,"&gt;10",$BN$4:$BN$200,"&gt;-6",$BR$4:$BR$200,"&gt;=70",$C$4:$C$200,"&lt;20190630",$K$4:$K$200,"&lt;=30"))</f>
        <v>-</v>
      </c>
      <c r="AX170" s="33" t="str">
        <f>IF(OR($C170&gt;20190630,$K170&gt;30,AT170="-",$D170="是",$E170="封闭期",$H170&lt;10,$BN170&lt;-6,$BR170&lt;70),"-",COUNTIFS(AT$4:AT$200,"&lt;&gt;-",$D$4:$D$200,"&lt;&gt;是",$E$4:$E$200,"&lt;&gt;封闭期",$H$4:$H$200,"&gt;10",$BN$4:$BN$200,"&gt;-6",$BR$4:$BR$200,"&gt;=70",$K$4:$K$200,"&lt;=30",$C$4:$C$200,"&lt;20190630",AT$4:AT$200,"&gt;="&amp;AT170)/COUNTIFS(AT$4:AT$200,"&lt;&gt;-",$D$4:$D$200,"&lt;&gt;是",$E$4:$E$200,"&lt;&gt;封闭期",$H$4:$H$200,"&gt;10",$BN$4:$BN$200,"&gt;-6",$BR$4:$BR$200,"&gt;=70",$C$4:$C$200,"&lt;20190630",$K$4:$K$200,"&lt;=30"))</f>
        <v>-</v>
      </c>
      <c r="AY170" s="19">
        <f>[1]!f_risk_calmar(A170,$AM$2,$L$2)</f>
        <v>1.1007965842420544</v>
      </c>
      <c r="AZ170" s="19" t="str">
        <f>IFERROR(RANK(AY170,AY:AY)&amp;"/"&amp;COUNT(AY:AY),"-")</f>
        <v>161/197</v>
      </c>
      <c r="BA170" s="26">
        <f>IFERROR(RANK(AY170,AY:AY)/COUNT(AY:AY),"-")</f>
        <v>0.81725888324873097</v>
      </c>
      <c r="BB170" s="34" t="str">
        <f>IF(OR($C170&gt;20190630,$K170&gt;30,AY170="-",$D170="是",$E170="封闭期",$H170&lt;10,$BN170&lt;-6,$BR170&lt;70),"-",COUNTIFS(AY$4:AY$200,"&lt;&gt;-",$D$4:$D$200,"&lt;&gt;是",$E$4:$E$200,"&lt;&gt;封闭期",$H$4:$H$200,"&gt;10",$BN$4:$BN$200,"&gt;-6",$BR$4:$BR$200,"&gt;=70",$K$4:$K$200,"&lt;=30",$C$4:$C$200,"&lt;20190630",AY$4:AY$200,"&gt;="&amp;AY170)&amp;"/"&amp;COUNTIFS(AY$4:AY$200,"&lt;&gt;-",$D$4:$D$200,"&lt;&gt;是",$E$4:$E$200,"&lt;&gt;封闭期",$H$4:$H$200,"&gt;10",$BN$4:$BN$200,"&gt;-6",$BR$4:$BR$200,"&gt;=70",$C$4:$C$200,"&lt;20190630",$K$4:$K$200,"&lt;=30"))</f>
        <v>-</v>
      </c>
      <c r="BC170" s="33" t="str">
        <f>IF(OR($C170&gt;20190630,$K170&gt;30,AY170="-",$D170="是",$E170="封闭期",$H170&lt;10,$BN170&lt;-6,$BR170&lt;70),"-",COUNTIFS(AY$4:AY$200,"&lt;&gt;-",$D$4:$D$200,"&lt;&gt;是",$E$4:$E$200,"&lt;&gt;封闭期",$H$4:$H$200,"&gt;10",$BN$4:$BN$200,"&gt;-6",$BR$4:$BR$200,"&gt;=70",$K$4:$K$200,"&lt;=30",$C$4:$C$200,"&lt;20190630",AY$4:AY$200,"&gt;="&amp;AY170)/COUNTIFS(AY$4:AY$200,"&lt;&gt;-",$D$4:$D$200,"&lt;&gt;是",$E$4:$E$200,"&lt;&gt;封闭期",$H$4:$H$200,"&gt;10",$BN$4:$BN$200,"&gt;-6",$BR$4:$BR$200,"&gt;=70",$C$4:$C$200,"&lt;20190630",$K$4:$K$200,"&lt;=30"))</f>
        <v>-</v>
      </c>
      <c r="BD170" s="20">
        <v>0.8</v>
      </c>
      <c r="BE170" s="19" t="str">
        <f>IFERROR(RANK(BD170,BD:BD)&amp;"/"&amp;COUNT(BD:BD),"-")</f>
        <v>176/197</v>
      </c>
      <c r="BF170" s="26">
        <f>IFERROR(RANK(BD170,BD:BD)/COUNT(BD:BD),"-")</f>
        <v>0.89340101522842641</v>
      </c>
      <c r="BG170" s="34" t="str">
        <f>IF(OR($C170&gt;20190630,$K170&gt;30,BD170="-",$D170="是",$E170="封闭期",$H170&lt;10,$BN170&lt;-6,$BR170&lt;70),"-",COUNTIFS(BD$4:BD$200,"&lt;&gt;-",$D$4:$D$200,"&lt;&gt;是",$E$4:$E$200,"&lt;&gt;封闭期",$H$4:$H$200,"&gt;10",$BN$4:$BN$200,"&gt;-6",$BR$4:$BR$200,"&gt;=70",$K$4:$K$200,"&lt;=30",$C$4:$C$200,"&lt;20190630",BD$4:BD$200,"&gt;="&amp;BD170)&amp;"/"&amp;COUNTIFS(BD$4:BD$200,"&lt;&gt;-",$D$4:$D$200,"&lt;&gt;是",$E$4:$E$200,"&lt;&gt;封闭期",$H$4:$H$200,"&gt;10",$BN$4:$BN$200,"&gt;-6",$BR$4:$BR$200,"&gt;=70",$C$4:$C$200,"&lt;20190630",$K$4:$K$200,"&lt;=30"))</f>
        <v>-</v>
      </c>
      <c r="BH170" s="33" t="str">
        <f>IF(OR($C170&gt;20190630,$K170&gt;30,BD170="-",$D170="是",$E170="封闭期",$H170&lt;10,$BN170&lt;-6,$BR170&lt;70),"-",COUNTIFS(BD$4:BD$200,"&lt;&gt;-",$D$4:$D$200,"&lt;&gt;是",$E$4:$E$200,"&lt;&gt;封闭期",$H$4:$H$200,"&gt;10",$BN$4:$BN$200,"&gt;-6",$BR$4:$BR$200,"&gt;=70",$K$4:$K$200,"&lt;=30",$C$4:$C$200,"&lt;20190630",BD$4:BD$200,"&gt;="&amp;BD170)/COUNTIFS(BD$4:BD$200,"&lt;&gt;-",$D$4:$D$200,"&lt;&gt;是",$E$4:$E$200,"&lt;&gt;封闭期",$H$4:$H$200,"&gt;10",$BN$4:$BN$200,"&gt;-6",$BR$4:$BR$200,"&gt;=70",$C$4:$C$200,"&lt;20190630",$K$4:$K$200,"&lt;=30"))</f>
        <v>-</v>
      </c>
      <c r="BI170" s="21">
        <f>[1]!f_risk_maxdownside(A170,$AM$2,$L$2)</f>
        <v>-2.7006688963210732</v>
      </c>
      <c r="BJ170" s="19" t="str">
        <f>IFERROR(RANK(BI170,BI:BI)&amp;"/"&amp;COUNT(BI:BI),"-")</f>
        <v>71/197</v>
      </c>
      <c r="BK170" s="26">
        <f>IFERROR(RANK(BI170,BI:BI)/COUNT(BI:BI),"-")</f>
        <v>0.3604060913705584</v>
      </c>
      <c r="BL170" s="34" t="str">
        <f>IF(OR($C170&gt;20190630,$K170&gt;30,BI170="-",$D170="是",$E170="封闭期",$H170&lt;10,$BN170&lt;-6,$BR170&lt;70),"-",COUNTIFS(BI$4:BI$200,"&lt;&gt;-",$D$4:$D$200,"&lt;&gt;是",$E$4:$E$200,"&lt;&gt;封闭期",$H$4:$H$200,"&gt;10",$BN$4:$BN$200,"&gt;-6",$BR$4:$BR$200,"&gt;=70",$K$4:$K$200,"&lt;=30",$C$4:$C$200,"&lt;20190630",BI$4:BI$200,"&gt;="&amp;BI170)&amp;"/"&amp;COUNTIFS(BI$4:BI$200,"&lt;&gt;-",$D$4:$D$200,"&lt;&gt;是",$E$4:$E$200,"&lt;&gt;封闭期",$H$4:$H$200,"&gt;10",$BN$4:$BN$200,"&gt;-6",$BR$4:$BR$200,"&gt;=70",$C$4:$C$200,"&lt;20190630",$K$4:$K$200,"&lt;=30"))</f>
        <v>-</v>
      </c>
      <c r="BM170" s="33" t="str">
        <f>IF(OR($C170&gt;20190630,$K170&gt;30,BI170="-",$D170="是",$E170="封闭期",$H170&lt;10,$BN170&lt;-6,$BR170&lt;70),"-",COUNTIFS(BI$4:BI$200,"&lt;&gt;-",$D$4:$D$200,"&lt;&gt;是",$E$4:$E$200,"&lt;&gt;封闭期",$H$4:$H$200,"&gt;10",$BN$4:$BN$200,"&gt;-6",$BR$4:$BR$200,"&gt;=70",$K$4:$K$200,"&lt;=30",$C$4:$C$200,"&lt;20190630",BI$4:BI$200,"&gt;="&amp;BI170)/COUNTIFS(BI$4:BI$200,"&lt;&gt;-",$D$4:$D$200,"&lt;&gt;是",$E$4:$E$200,"&lt;&gt;封闭期",$H$4:$H$200,"&gt;10",$BN$4:$BN$200,"&gt;-6",$BR$4:$BR$200,"&gt;=70",$C$4:$C$200,"&lt;20190630",$K$4:$K$200,"&lt;=30"))</f>
        <v>-</v>
      </c>
      <c r="BN170" s="21">
        <f>[1]!f_risk_maxdownside(A170,$AM$2,$E$1)</f>
        <v>-2.9096989966555125</v>
      </c>
      <c r="BO170" s="21">
        <f>IF(C170&lt;20190930,[1]!f_return_2y(A170,"0","20210930"),"-")</f>
        <v>6.5837084105551034</v>
      </c>
      <c r="BP170" s="19" t="str">
        <f>IFERROR(RANK(BO170,BO:BO)&amp;"/"&amp;COUNT(BO:BO),"-")</f>
        <v>172/197</v>
      </c>
      <c r="BQ170" s="25">
        <f>IFERROR(RANK(BO170,BO:BO)/COUNT(BO:BO),"-")</f>
        <v>0.87309644670050757</v>
      </c>
      <c r="BR170" s="19">
        <f>IF(C170&lt;20190930,[1]!f_absolute_profitmonthper(A170,"20190930","20210930"),"-")</f>
        <v>62.5</v>
      </c>
      <c r="BS170" s="19" t="str">
        <f>IFERROR(RANK(BR170,BR:BR)&amp;"/"&amp;COUNT(BR:BR),"-")</f>
        <v>142/198</v>
      </c>
      <c r="BT170" s="25">
        <f>IFERROR(RANK(BR170,BR:BR)/COUNT(BR:BR),"-")</f>
        <v>0.71717171717171713</v>
      </c>
      <c r="BU170" s="17"/>
      <c r="BV170" s="12">
        <f>X170-3/M170</f>
        <v>0.14370128216507694</v>
      </c>
      <c r="BW170" s="76">
        <f>IFERROR(RANK(BV170,BV:BV)/COUNT(BV:BV),"-")</f>
        <v>0.85786802030456855</v>
      </c>
      <c r="BX170" s="76">
        <f>IFERROR(RANK(L170,L:L)/COUNT(L:L),"-")</f>
        <v>0.78787878787878785</v>
      </c>
      <c r="BY170" s="12">
        <f>AY170-3/AN170</f>
        <v>-0.30430945003208532</v>
      </c>
      <c r="BZ170" s="76">
        <f>IFERROR(RANK(BY170,BY:BY)/COUNT(BY:BY),"-")</f>
        <v>0.88324873096446699</v>
      </c>
      <c r="CA170" s="76">
        <f>IFERROR(RANK(AM170,AM:AM)/COUNT(AM:AM),"-")</f>
        <v>0.84848484848484851</v>
      </c>
      <c r="CC170" s="77">
        <f>AV170+BF170+BZ170+CA170</f>
        <v>3.4728503307183511</v>
      </c>
      <c r="CD170" s="77">
        <f>BW170+BX170+AE170+U170</f>
        <v>3.0213813259498536</v>
      </c>
      <c r="CE170" s="77">
        <f>CC170+CD170</f>
        <v>6.4942316566682052</v>
      </c>
    </row>
    <row r="171" spans="1:83" s="17" customFormat="1" x14ac:dyDescent="0.35">
      <c r="A171" s="15" t="s">
        <v>329</v>
      </c>
      <c r="B171" s="15" t="s">
        <v>330</v>
      </c>
      <c r="C171" s="16">
        <v>20170330</v>
      </c>
      <c r="D171" s="16" t="str">
        <f>[1]!f_info_regulopenfundornot(A171)</f>
        <v>否</v>
      </c>
      <c r="E171" s="16" t="str">
        <f>[1]!f_dq_status(A171,$E$1)</f>
        <v>暂停大额申购|开放赎回</v>
      </c>
      <c r="F171" s="17" t="str">
        <f>[1]!f_info_fundmanager(A171)</f>
        <v>郭建新,闵杭</v>
      </c>
      <c r="G171" s="16">
        <v>20170405</v>
      </c>
      <c r="H171" s="18">
        <f>[1]!f_netasset_total(A171,$E$1,100000000)</f>
        <v>27.6143811102</v>
      </c>
      <c r="I171" s="18">
        <f>[1]!f_prt_convertiblebondtonav(A171,$E$1)</f>
        <v>0</v>
      </c>
      <c r="J171" s="18">
        <f>[1]!f_prt_stocktonav(A171,$E$1)+0.5*I171</f>
        <v>0</v>
      </c>
      <c r="K171" s="19">
        <v>0</v>
      </c>
      <c r="L171" s="19">
        <f>[1]!f_return($A171,"1",L$2,$E$1)</f>
        <v>1.5651517724926789</v>
      </c>
      <c r="M171" s="19">
        <f>[1]!f_risk_stdevyearly($A171,L$2,$E$1,1,1)</f>
        <v>3.7178762694839387</v>
      </c>
      <c r="N171" s="19">
        <f>IFERROR(L171/M171,"-")</f>
        <v>0.42098005932562421</v>
      </c>
      <c r="O171" s="19" t="str">
        <f>IFERROR(RANK(N171,N:N)&amp;"/"&amp;COUNT(N:N),"-")</f>
        <v>176/197</v>
      </c>
      <c r="P171" s="26">
        <f>IF(O171="-","-",RANK(N171,N:N)/COUNT(N:N))</f>
        <v>0.89340101522842641</v>
      </c>
      <c r="Q171" s="56">
        <v>0.90355329949238583</v>
      </c>
      <c r="R171" s="33" t="str">
        <f>IF(OR($C171&gt;20190630,$K171&gt;30,N171="-",$D171="是",$E171="封闭期",$H171&lt;10,$BN171&lt;-6,$BR171&lt;70),"-",COUNTIFS(N$4:N$200,"&lt;&gt;-",$D$4:$D$200,"&lt;&gt;是",$E$4:$E$200,"&lt;&gt;封闭期",$H$4:$H$200,"&gt;10",$BN$4:$BN$200,"&gt;-6",$BR$4:$BR$200,"&gt;=70",$K$4:$K$200,"&lt;=30",$C$4:$C$200,"&lt;20190630",N$4:N$200,"&gt;="&amp;N171)/COUNTIFS(N$4:N$200,"&lt;&gt;-",$D$4:$D$200,"&lt;&gt;是",$E$4:$E$200,"&lt;&gt;封闭期",$H$4:$H$200,"&gt;10",$BN$4:$BN$200,"&gt;-6",$BR$4:$BR$200,"&gt;=70",$C$4:$C$200,"&lt;20190630",$K$4:$K$200,"&lt;=30"))</f>
        <v>-</v>
      </c>
      <c r="S171" s="19">
        <f>IFERROR((L171-3)/M171,"-")</f>
        <v>-0.38593221600311239</v>
      </c>
      <c r="T171" s="19" t="str">
        <f>IFERROR(RANK(S171,S:S)&amp;"/"&amp;COUNT(S:S),"-")</f>
        <v>179/197</v>
      </c>
      <c r="U171" s="26">
        <f>IFERROR(RANK(S171,S:S)/COUNT(S:S),"-")</f>
        <v>0.90862944162436543</v>
      </c>
      <c r="V171" s="34" t="str">
        <f>IF(OR($C171&gt;20190630,$K171&gt;30,S171="-",$D171="是",$E171="封闭期",$H171&lt;10,$BN171&lt;-6,$BR171&lt;70),"-",COUNTIFS(S$4:S$200,"&lt;&gt;-",$D$4:$D$200,"&lt;&gt;是",$E$4:$E$200,"&lt;&gt;封闭期",$H$4:$H$200,"&gt;10",$BN$4:$BN$200,"&gt;-6",$BR$4:$BR$200,"&gt;=70",$K$4:$K$200,"&lt;=30",$C$4:$C$200,"&lt;20190630",S$4:S$200,"&gt;="&amp;S171)&amp;"/"&amp;COUNTIFS(S$4:S$200,"&lt;&gt;-",$D$4:$D$200,"&lt;&gt;是",$E$4:$E$200,"&lt;&gt;封闭期",$H$4:$H$200,"&gt;10",$BN$4:$BN$200,"&gt;-6",$BR$4:$BR$200,"&gt;=70",$C$4:$C$200,"&lt;20190630",$K$4:$K$200,"&lt;=30"))</f>
        <v>-</v>
      </c>
      <c r="W171" s="33" t="str">
        <f>IF(OR($C171&gt;20190630,$K171&gt;30,S171="-",$D171="是",$E171="封闭期",$H171&lt;10,$BN171&lt;-6,$BR171&lt;70),"-",COUNTIFS(S$4:S$200,"&lt;&gt;-",$D$4:$D$200,"&lt;&gt;是",$E$4:$E$200,"&lt;&gt;封闭期",$H$4:$H$200,"&gt;10",$BN$4:$BN$200,"&gt;-6",$BR$4:$BR$200,"&gt;=70",$K$4:$K$200,"&lt;=30",$C$4:$C$200,"&lt;20190630",S$4:S$200,"&gt;="&amp;S171)/COUNTIFS(S$4:S$200,"&lt;&gt;-",$D$4:$D$200,"&lt;&gt;是",$E$4:$E$200,"&lt;&gt;封闭期",$H$4:$H$200,"&gt;10",$BN$4:$BN$200,"&gt;-6",$BR$4:$BR$200,"&gt;=70",$C$4:$C$200,"&lt;20190630",$K$4:$K$200,"&lt;=30"))</f>
        <v>-</v>
      </c>
      <c r="X171" s="19">
        <f>[1]!f_risk_calmar(A171,$L$2,$E$1)</f>
        <v>0.58807836343530895</v>
      </c>
      <c r="Y171" s="19" t="str">
        <f>IFERROR(RANK(X171,X:X)&amp;"/"&amp;COUNT(X:X),"-")</f>
        <v>172/197</v>
      </c>
      <c r="Z171" s="26">
        <f>IFERROR(RANK(X171,X:X)/COUNT(X:X),"-")</f>
        <v>0.87309644670050757</v>
      </c>
      <c r="AA171" s="34" t="str">
        <f>IF(OR($C171&gt;20190630,$K171&gt;30,X171="-",$D171="是",$E171="封闭期",$H171&lt;10,$BN171&lt;-6,$BR171&lt;70),"-",COUNTIFS(X$4:X$200,"&lt;&gt;-",$D$4:$D$200,"&lt;&gt;是",$E$4:$E$200,"&lt;&gt;封闭期",$H$4:$H$200,"&gt;10",$BN$4:$BN$200,"&gt;-6",$BR$4:$BR$200,"&gt;=70",$K$4:$K$200,"&lt;=30",$C$4:$C$200,"&lt;20190630",X$4:X$200,"&gt;="&amp;X171)&amp;"/"&amp;COUNTIFS(X$4:X$200,"&lt;&gt;-",$D$4:$D$200,"&lt;&gt;是",$E$4:$E$200,"&lt;&gt;封闭期",$H$4:$H$200,"&gt;10",$BN$4:$BN$200,"&gt;-6",$BR$4:$BR$200,"&gt;=70",$C$4:$C$200,"&lt;20190630",$K$4:$K$200,"&lt;=30"))</f>
        <v>-</v>
      </c>
      <c r="AB171" s="33" t="str">
        <f>IF(OR($C171&gt;20190630,$K171&gt;30,X171="-",$D171="是",$E171="封闭期",$H171&lt;10,$BN171&lt;-6,$BR171&lt;70),"-",COUNTIFS(X$4:X$200,"&lt;&gt;-",$D$4:$D$200,"&lt;&gt;是",$E$4:$E$200,"&lt;&gt;封闭期",$H$4:$H$200,"&gt;10",$BN$4:$BN$200,"&gt;-6",$BR$4:$BR$200,"&gt;=70",$K$4:$K$200,"&lt;=30",$C$4:$C$200,"&lt;20190630",X$4:X$200,"&gt;="&amp;X171)/COUNTIFS(X$4:X$200,"&lt;&gt;-",$D$4:$D$200,"&lt;&gt;是",$E$4:$E$200,"&lt;&gt;封闭期",$H$4:$H$200,"&gt;10",$BN$4:$BN$200,"&gt;-6",$BR$4:$BR$200,"&gt;=70",$C$4:$C$200,"&lt;20190630",$K$4:$K$200,"&lt;=30"))</f>
        <v>-</v>
      </c>
      <c r="AC171" s="20">
        <v>0.66386554621848737</v>
      </c>
      <c r="AD171" s="19" t="str">
        <f>IFERROR(RANK(AC171,AC:AC)&amp;"/"&amp;COUNT(AC:AC),"-")</f>
        <v>173/197</v>
      </c>
      <c r="AE171" s="26">
        <f>IFERROR(RANK(AC171,AC:AC)/COUNT(AC:AC),"-")</f>
        <v>0.87817258883248728</v>
      </c>
      <c r="AF171" s="34" t="str">
        <f>IF(OR($C171&gt;20190630,$K171&gt;30,AC171="-",$D171="是",$E171="封闭期",$H171&lt;10,$BN171&lt;-6,$BR171&lt;70),"-",COUNTIFS(AC$4:AC$200,"&lt;&gt;-",$D$4:$D$200,"&lt;&gt;是",$E$4:$E$200,"&lt;&gt;封闭期",$H$4:$H$200,"&gt;10",$BN$4:$BN$200,"&gt;-6",$BR$4:$BR$200,"&gt;=70",$K$4:$K$200,"&lt;=30",$C$4:$C$200,"&lt;20190630",AC$4:AC$200,"&gt;="&amp;AC171)&amp;"/"&amp;COUNTIFS(AC$4:AC$200,"&lt;&gt;-",$D$4:$D$200,"&lt;&gt;是",$E$4:$E$200,"&lt;&gt;封闭期",$H$4:$H$200,"&gt;10",$BN$4:$BN$200,"&gt;-6",$BR$4:$BR$200,"&gt;=70",$C$4:$C$200,"&lt;20190630",$K$4:$K$200,"&lt;=30"))</f>
        <v>-</v>
      </c>
      <c r="AG171" s="33" t="str">
        <f>IF(OR($C171&gt;20190630,$K171&gt;30,AC171="-",$D171="是",$E171="封闭期",$H171&lt;10,$BN171&lt;-6,$BR171&lt;70),"-",COUNTIFS(AC$4:AC$200,"&lt;&gt;-",$D$4:$D$200,"&lt;&gt;是",$E$4:$E$200,"&lt;&gt;封闭期",$H$4:$H$200,"&gt;10",$BN$4:$BN$200,"&gt;-6",$BR$4:$BR$200,"&gt;=70",$K$4:$K$200,"&lt;=30",$C$4:$C$200,"&lt;20190630",AC$4:AC$200,"&gt;="&amp;AC171)/COUNTIFS(AC$4:AC$200,"&lt;&gt;-",$D$4:$D$200,"&lt;&gt;是",$E$4:$E$200,"&lt;&gt;封闭期",$H$4:$H$200,"&gt;10",$BN$4:$BN$200,"&gt;-6",$BR$4:$BR$200,"&gt;=70",$C$4:$C$200,"&lt;20190630",$K$4:$K$200,"&lt;=30"))</f>
        <v>-</v>
      </c>
      <c r="AH171" s="21">
        <f>[1]!f_risk_maxdownside(A171,$L$2,$E$1)</f>
        <v>-2.6614680454314183</v>
      </c>
      <c r="AI171" s="19" t="str">
        <f>IFERROR(RANK(AH171,AH:AH)&amp;"/"&amp;COUNT(AH:AH),"-")</f>
        <v>79/197</v>
      </c>
      <c r="AJ171" s="26">
        <f>IFERROR(RANK(AH171,AH:AH)/COUNT(AH:AH),"-")</f>
        <v>0.40101522842639592</v>
      </c>
      <c r="AK171" s="34" t="str">
        <f>IF(OR($C171&gt;20190630,$K171&gt;30,AH171="-",$D171="是",$E171="封闭期",$H171&lt;10,$BN171&lt;-6,$BR171&lt;70),"-",COUNTIFS(AH$4:AH$200,"&lt;&gt;-",$D$4:$D$200,"&lt;&gt;是",$E$4:$E$200,"&lt;&gt;封闭期",$H$4:$H$200,"&gt;10",$BN$4:$BN$200,"&gt;-6",$BR$4:$BR$200,"&gt;=70",$K$4:$K$200,"&lt;=30",$C$4:$C$200,"&lt;20190630",AH$4:AH$200,"&gt;="&amp;AH171)&amp;"/"&amp;COUNTIFS(AH$4:AH$200,"&lt;&gt;-",$D$4:$D$200,"&lt;&gt;是",$E$4:$E$200,"&lt;&gt;封闭期",$H$4:$H$200,"&gt;10",$BN$4:$BN$200,"&gt;-6",$BR$4:$BR$200,"&gt;=70",$C$4:$C$200,"&lt;20190630",$K$4:$K$200,"&lt;=30"))</f>
        <v>-</v>
      </c>
      <c r="AL171" s="33" t="str">
        <f>IF(OR($C171&gt;20190630,$K171&gt;30,AH171="-",$D171="是",$E171="封闭期",$H171&lt;10,$BN171&lt;-6,$BR171&lt;70),"-",COUNTIFS(AH$4:AH$200,"&lt;&gt;-",$D$4:$D$200,"&lt;&gt;是",$E$4:$E$200,"&lt;&gt;封闭期",$H$4:$H$200,"&gt;10",$BN$4:$BN$200,"&gt;-6",$BR$4:$BR$200,"&gt;=70",$K$4:$K$200,"&lt;=30",$C$4:$C$200,"&lt;20190630",AH$4:AH$200,"&gt;="&amp;AH171)/COUNTIFS(AH$4:AH$200,"&lt;&gt;-",$D$4:$D$200,"&lt;&gt;是",$E$4:$E$200,"&lt;&gt;封闭期",$H$4:$H$200,"&gt;10",$BN$4:$BN$200,"&gt;-6",$BR$4:$BR$200,"&gt;=70",$C$4:$C$200,"&lt;20190630",$K$4:$K$200,"&lt;=30"))</f>
        <v>-</v>
      </c>
      <c r="AM171" s="19">
        <f>[1]!f_return($A171,"1",AM$2,$L$2)</f>
        <v>2.8732763183822563</v>
      </c>
      <c r="AN171" s="19">
        <f>[1]!f_risk_stdevyearly($A171,AM$2,$L$2,1,1)</f>
        <v>5.4756020393485727</v>
      </c>
      <c r="AO171" s="19">
        <f>IFERROR(AM171/AN171,"-")</f>
        <v>0.5247416261690353</v>
      </c>
      <c r="AP171" s="19" t="str">
        <f>IFERROR(RANK(AO171,AO:AO)&amp;"/"&amp;COUNT(AO:AO),"-")</f>
        <v>185/197</v>
      </c>
      <c r="AQ171" s="26">
        <f>IF(AP171="-","-",RANK(AO171,AO:AO)/COUNT(AO:AO))</f>
        <v>0.93908629441624369</v>
      </c>
      <c r="AR171" s="57">
        <v>0.85279187817258884</v>
      </c>
      <c r="AS171" s="33" t="str">
        <f>IF(OR($C171&gt;20190630,$K171&gt;30,AO171="-",$D171="是",$E171="封闭期",$H171&lt;10,$BN171&lt;-6,$BR171&lt;70),"-",COUNTIFS(AO$4:AO$200,"&lt;&gt;-",$D$4:$D$200,"&lt;&gt;是",$E$4:$E$200,"&lt;&gt;封闭期",$H$4:$H$200,"&gt;10",$BN$4:$BN$200,"&gt;-6",$BR$4:$BR$200,"&gt;=70",$K$4:$K$200,"&lt;=30",$C$4:$C$200,"&lt;20190630",AO$4:AO$200,"&gt;="&amp;AO171)/COUNTIFS(AO$4:AO$200,"&lt;&gt;-",$D$4:$D$200,"&lt;&gt;是",$E$4:$E$200,"&lt;&gt;封闭期",$H$4:$H$200,"&gt;10",$BN$4:$BN$200,"&gt;-6",$BR$4:$BR$200,"&gt;=70",$C$4:$C$200,"&lt;20190630",$K$4:$K$200,"&lt;=30"))</f>
        <v>-</v>
      </c>
      <c r="AT171" s="19">
        <f>IFERROR((AM171-3)/AN171,"-")</f>
        <v>-2.3143333044857276E-2</v>
      </c>
      <c r="AU171" s="19" t="str">
        <f>IFERROR(RANK(AT171,AT:AT)&amp;"/"&amp;COUNT(AT:AT),"-")</f>
        <v>168/197</v>
      </c>
      <c r="AV171" s="26">
        <f>IFERROR(RANK(AT171,AT:AT)/COUNT(AT:AT),"-")</f>
        <v>0.85279187817258884</v>
      </c>
      <c r="AW171" s="34" t="str">
        <f>IF(OR($C171&gt;20190630,$K171&gt;30,AT171="-",$D171="是",$E171="封闭期",$H171&lt;10,$BN171&lt;-6,$BR171&lt;70),"-",COUNTIFS(AT$4:AT$200,"&lt;&gt;-",$D$4:$D$200,"&lt;&gt;是",$E$4:$E$200,"&lt;&gt;封闭期",$H$4:$H$200,"&gt;10",$BN$4:$BN$200,"&gt;-6",$BR$4:$BR$200,"&gt;=70",$K$4:$K$200,"&lt;=30",$C$4:$C$200,"&lt;20190630",AT$4:AT$200,"&gt;="&amp;AT171)&amp;"/"&amp;COUNTIFS(AT$4:AT$200,"&lt;&gt;-",$D$4:$D$200,"&lt;&gt;是",$E$4:$E$200,"&lt;&gt;封闭期",$H$4:$H$200,"&gt;10",$BN$4:$BN$200,"&gt;-6",$BR$4:$BR$200,"&gt;=70",$C$4:$C$200,"&lt;20190630",$K$4:$K$200,"&lt;=30"))</f>
        <v>-</v>
      </c>
      <c r="AX171" s="33" t="str">
        <f>IF(OR($C171&gt;20190630,$K171&gt;30,AT171="-",$D171="是",$E171="封闭期",$H171&lt;10,$BN171&lt;-6,$BR171&lt;70),"-",COUNTIFS(AT$4:AT$200,"&lt;&gt;-",$D$4:$D$200,"&lt;&gt;是",$E$4:$E$200,"&lt;&gt;封闭期",$H$4:$H$200,"&gt;10",$BN$4:$BN$200,"&gt;-6",$BR$4:$BR$200,"&gt;=70",$K$4:$K$200,"&lt;=30",$C$4:$C$200,"&lt;20190630",AT$4:AT$200,"&gt;="&amp;AT171)/COUNTIFS(AT$4:AT$200,"&lt;&gt;-",$D$4:$D$200,"&lt;&gt;是",$E$4:$E$200,"&lt;&gt;封闭期",$H$4:$H$200,"&gt;10",$BN$4:$BN$200,"&gt;-6",$BR$4:$BR$200,"&gt;=70",$C$4:$C$200,"&lt;20190630",$K$4:$K$200,"&lt;=30"))</f>
        <v>-</v>
      </c>
      <c r="AY171" s="19">
        <f>[1]!f_risk_calmar(A171,$AM$2,$L$2)</f>
        <v>0.75417032014474816</v>
      </c>
      <c r="AZ171" s="19" t="str">
        <f>IFERROR(RANK(AY171,AY:AY)&amp;"/"&amp;COUNT(AY:AY),"-")</f>
        <v>179/197</v>
      </c>
      <c r="BA171" s="26">
        <f>IFERROR(RANK(AY171,AY:AY)/COUNT(AY:AY),"-")</f>
        <v>0.90862944162436543</v>
      </c>
      <c r="BB171" s="34" t="str">
        <f>IF(OR($C171&gt;20190630,$K171&gt;30,AY171="-",$D171="是",$E171="封闭期",$H171&lt;10,$BN171&lt;-6,$BR171&lt;70),"-",COUNTIFS(AY$4:AY$200,"&lt;&gt;-",$D$4:$D$200,"&lt;&gt;是",$E$4:$E$200,"&lt;&gt;封闭期",$H$4:$H$200,"&gt;10",$BN$4:$BN$200,"&gt;-6",$BR$4:$BR$200,"&gt;=70",$K$4:$K$200,"&lt;=30",$C$4:$C$200,"&lt;20190630",AY$4:AY$200,"&gt;="&amp;AY171)&amp;"/"&amp;COUNTIFS(AY$4:AY$200,"&lt;&gt;-",$D$4:$D$200,"&lt;&gt;是",$E$4:$E$200,"&lt;&gt;封闭期",$H$4:$H$200,"&gt;10",$BN$4:$BN$200,"&gt;-6",$BR$4:$BR$200,"&gt;=70",$C$4:$C$200,"&lt;20190630",$K$4:$K$200,"&lt;=30"))</f>
        <v>-</v>
      </c>
      <c r="BC171" s="33" t="str">
        <f>IF(OR($C171&gt;20190630,$K171&gt;30,AY171="-",$D171="是",$E171="封闭期",$H171&lt;10,$BN171&lt;-6,$BR171&lt;70),"-",COUNTIFS(AY$4:AY$200,"&lt;&gt;-",$D$4:$D$200,"&lt;&gt;是",$E$4:$E$200,"&lt;&gt;封闭期",$H$4:$H$200,"&gt;10",$BN$4:$BN$200,"&gt;-6",$BR$4:$BR$200,"&gt;=70",$K$4:$K$200,"&lt;=30",$C$4:$C$200,"&lt;20190630",AY$4:AY$200,"&gt;="&amp;AY171)/COUNTIFS(AY$4:AY$200,"&lt;&gt;-",$D$4:$D$200,"&lt;&gt;是",$E$4:$E$200,"&lt;&gt;封闭期",$H$4:$H$200,"&gt;10",$BN$4:$BN$200,"&gt;-6",$BR$4:$BR$200,"&gt;=70",$C$4:$C$200,"&lt;20190630",$K$4:$K$200,"&lt;=30"))</f>
        <v>-</v>
      </c>
      <c r="BD171" s="20">
        <v>0.94166666666666665</v>
      </c>
      <c r="BE171" s="19" t="str">
        <f>IFERROR(RANK(BD171,BD:BD)&amp;"/"&amp;COUNT(BD:BD),"-")</f>
        <v>162/197</v>
      </c>
      <c r="BF171" s="26">
        <f>IFERROR(RANK(BD171,BD:BD)/COUNT(BD:BD),"-")</f>
        <v>0.82233502538071068</v>
      </c>
      <c r="BG171" s="34" t="str">
        <f>IF(OR($C171&gt;20190630,$K171&gt;30,BD171="-",$D171="是",$E171="封闭期",$H171&lt;10,$BN171&lt;-6,$BR171&lt;70),"-",COUNTIFS(BD$4:BD$200,"&lt;&gt;-",$D$4:$D$200,"&lt;&gt;是",$E$4:$E$200,"&lt;&gt;封闭期",$H$4:$H$200,"&gt;10",$BN$4:$BN$200,"&gt;-6",$BR$4:$BR$200,"&gt;=70",$K$4:$K$200,"&lt;=30",$C$4:$C$200,"&lt;20190630",BD$4:BD$200,"&gt;="&amp;BD171)&amp;"/"&amp;COUNTIFS(BD$4:BD$200,"&lt;&gt;-",$D$4:$D$200,"&lt;&gt;是",$E$4:$E$200,"&lt;&gt;封闭期",$H$4:$H$200,"&gt;10",$BN$4:$BN$200,"&gt;-6",$BR$4:$BR$200,"&gt;=70",$C$4:$C$200,"&lt;20190630",$K$4:$K$200,"&lt;=30"))</f>
        <v>-</v>
      </c>
      <c r="BH171" s="33" t="str">
        <f>IF(OR($C171&gt;20190630,$K171&gt;30,BD171="-",$D171="是",$E171="封闭期",$H171&lt;10,$BN171&lt;-6,$BR171&lt;70),"-",COUNTIFS(BD$4:BD$200,"&lt;&gt;-",$D$4:$D$200,"&lt;&gt;是",$E$4:$E$200,"&lt;&gt;封闭期",$H$4:$H$200,"&gt;10",$BN$4:$BN$200,"&gt;-6",$BR$4:$BR$200,"&gt;=70",$K$4:$K$200,"&lt;=30",$C$4:$C$200,"&lt;20190630",BD$4:BD$200,"&gt;="&amp;BD171)/COUNTIFS(BD$4:BD$200,"&lt;&gt;-",$D$4:$D$200,"&lt;&gt;是",$E$4:$E$200,"&lt;&gt;封闭期",$H$4:$H$200,"&gt;10",$BN$4:$BN$200,"&gt;-6",$BR$4:$BR$200,"&gt;=70",$C$4:$C$200,"&lt;20190630",$K$4:$K$200,"&lt;=30"))</f>
        <v>-</v>
      </c>
      <c r="BI171" s="21">
        <f>[1]!f_risk_maxdownside(A171,$AM$2,$L$2)</f>
        <v>-3.8098506950403288</v>
      </c>
      <c r="BJ171" s="19" t="str">
        <f>IFERROR(RANK(BI171,BI:BI)&amp;"/"&amp;COUNT(BI:BI),"-")</f>
        <v>125/197</v>
      </c>
      <c r="BK171" s="26">
        <f>IFERROR(RANK(BI171,BI:BI)/COUNT(BI:BI),"-")</f>
        <v>0.63451776649746194</v>
      </c>
      <c r="BL171" s="34" t="str">
        <f>IF(OR($C171&gt;20190630,$K171&gt;30,BI171="-",$D171="是",$E171="封闭期",$H171&lt;10,$BN171&lt;-6,$BR171&lt;70),"-",COUNTIFS(BI$4:BI$200,"&lt;&gt;-",$D$4:$D$200,"&lt;&gt;是",$E$4:$E$200,"&lt;&gt;封闭期",$H$4:$H$200,"&gt;10",$BN$4:$BN$200,"&gt;-6",$BR$4:$BR$200,"&gt;=70",$K$4:$K$200,"&lt;=30",$C$4:$C$200,"&lt;20190630",BI$4:BI$200,"&gt;="&amp;BI171)&amp;"/"&amp;COUNTIFS(BI$4:BI$200,"&lt;&gt;-",$D$4:$D$200,"&lt;&gt;是",$E$4:$E$200,"&lt;&gt;封闭期",$H$4:$H$200,"&gt;10",$BN$4:$BN$200,"&gt;-6",$BR$4:$BR$200,"&gt;=70",$C$4:$C$200,"&lt;20190630",$K$4:$K$200,"&lt;=30"))</f>
        <v>-</v>
      </c>
      <c r="BM171" s="33" t="str">
        <f>IF(OR($C171&gt;20190630,$K171&gt;30,BI171="-",$D171="是",$E171="封闭期",$H171&lt;10,$BN171&lt;-6,$BR171&lt;70),"-",COUNTIFS(BI$4:BI$200,"&lt;&gt;-",$D$4:$D$200,"&lt;&gt;是",$E$4:$E$200,"&lt;&gt;封闭期",$H$4:$H$200,"&gt;10",$BN$4:$BN$200,"&gt;-6",$BR$4:$BR$200,"&gt;=70",$K$4:$K$200,"&lt;=30",$C$4:$C$200,"&lt;20190630",BI$4:BI$200,"&gt;="&amp;BI171)/COUNTIFS(BI$4:BI$200,"&lt;&gt;-",$D$4:$D$200,"&lt;&gt;是",$E$4:$E$200,"&lt;&gt;封闭期",$H$4:$H$200,"&gt;10",$BN$4:$BN$200,"&gt;-6",$BR$4:$BR$200,"&gt;=70",$C$4:$C$200,"&lt;20190630",$K$4:$K$200,"&lt;=30"))</f>
        <v>-</v>
      </c>
      <c r="BN171" s="21">
        <f>[1]!f_risk_maxdownside(A171,$AM$2,$E$1)</f>
        <v>-3.8098506950403288</v>
      </c>
      <c r="BO171" s="21">
        <f>IF(C171&lt;20190930,[1]!f_return_2y(A171,"0","20210930"),"-")</f>
        <v>4.5938295886600713</v>
      </c>
      <c r="BP171" s="19" t="str">
        <f>IFERROR(RANK(BO171,BO:BO)&amp;"/"&amp;COUNT(BO:BO),"-")</f>
        <v>187/197</v>
      </c>
      <c r="BQ171" s="25">
        <f>IFERROR(RANK(BO171,BO:BO)/COUNT(BO:BO),"-")</f>
        <v>0.949238578680203</v>
      </c>
      <c r="BR171" s="19">
        <f>IF(C171&lt;20190930,[1]!f_absolute_profitmonthper(A171,"20190930","20210930"),"-")</f>
        <v>58.333333333333336</v>
      </c>
      <c r="BS171" s="19" t="str">
        <f>IFERROR(RANK(BR171,BR:BR)&amp;"/"&amp;COUNT(BR:BR),"-")</f>
        <v>165/198</v>
      </c>
      <c r="BT171" s="25">
        <f>IFERROR(RANK(BR171,BR:BR)/COUNT(BR:BR),"-")</f>
        <v>0.83333333333333337</v>
      </c>
      <c r="BV171" s="12">
        <f>X171-3/M171</f>
        <v>-0.2188339118934276</v>
      </c>
      <c r="BW171" s="76">
        <f>IFERROR(RANK(BV171,BV:BV)/COUNT(BV:BV),"-")</f>
        <v>0.89340101522842641</v>
      </c>
      <c r="BX171" s="76">
        <f>IFERROR(RANK(L171,L:L)/COUNT(L:L),"-")</f>
        <v>0.90404040404040409</v>
      </c>
      <c r="BY171" s="12">
        <f>AY171-3/AN171</f>
        <v>0.20628536093085559</v>
      </c>
      <c r="BZ171" s="76">
        <f>IFERROR(RANK(BY171,BY:BY)/COUNT(BY:BY),"-")</f>
        <v>0.82233502538071068</v>
      </c>
      <c r="CA171" s="76">
        <f>IFERROR(RANK(AM171,AM:AM)/COUNT(AM:AM),"-")</f>
        <v>0.85353535353535348</v>
      </c>
      <c r="CB171" s="2"/>
      <c r="CC171" s="77">
        <f>AV171+BF171+BZ171+CA171</f>
        <v>3.3509972824693635</v>
      </c>
      <c r="CD171" s="77">
        <f>BW171+BX171+AE171+U171</f>
        <v>3.5842434497256832</v>
      </c>
      <c r="CE171" s="77">
        <f>CC171+CD171</f>
        <v>6.9352407321950462</v>
      </c>
    </row>
    <row r="172" spans="1:83" s="17" customFormat="1" hidden="1" x14ac:dyDescent="0.35">
      <c r="A172" s="15" t="s">
        <v>51</v>
      </c>
      <c r="B172" s="15" t="s">
        <v>52</v>
      </c>
      <c r="C172" s="16">
        <v>20081230</v>
      </c>
      <c r="D172" s="16" t="str">
        <f>[1]!f_info_regulopenfundornot(A172)</f>
        <v>否</v>
      </c>
      <c r="E172" s="16" t="str">
        <f>[1]!f_dq_status(A172,$E$1)</f>
        <v>开放申购|开放赎回</v>
      </c>
      <c r="F172" s="17" t="str">
        <f>[1]!f_info_fundmanager(A172)</f>
        <v>章潇枫</v>
      </c>
      <c r="G172" s="16">
        <v>20190308</v>
      </c>
      <c r="H172" s="18">
        <f>[1]!f_netasset_total(A172,$E$1,100000000)</f>
        <v>9.8969640999999997E-2</v>
      </c>
      <c r="I172" s="18">
        <f>[1]!f_prt_convertiblebondtonav(A172,$E$1)</f>
        <v>4.724400520324707</v>
      </c>
      <c r="J172" s="18">
        <f>[1]!f_prt_stocktonav(A172,$E$1)+0.5*I172</f>
        <v>5.7541697025299072</v>
      </c>
      <c r="K172" s="19">
        <v>5.0874186761978857</v>
      </c>
      <c r="L172" s="19">
        <f>[1]!f_return($A172,"1",L$2,$E$1)</f>
        <v>2.7330990561679203</v>
      </c>
      <c r="M172" s="19">
        <f>[1]!f_risk_stdevyearly($A172,L$2,$E$1,1,1)</f>
        <v>0.81567862567587435</v>
      </c>
      <c r="N172" s="19">
        <f>IFERROR(L172/M172,"-")</f>
        <v>3.3507057438255958</v>
      </c>
      <c r="O172" s="19" t="str">
        <f>IFERROR(RANK(N172,N:N)&amp;"/"&amp;COUNT(N:N),"-")</f>
        <v>17/197</v>
      </c>
      <c r="P172" s="26">
        <f>IF(O172="-","-",RANK(N172,N:N)/COUNT(N:N))</f>
        <v>8.6294416243654817E-2</v>
      </c>
      <c r="Q172" s="56">
        <v>0.85279187817258884</v>
      </c>
      <c r="R172" s="33" t="str">
        <f>IF(OR($C172&gt;20190630,$K172&gt;30,N172="-",$D172="是",$E172="封闭期",$H172&lt;10,$BN172&lt;-6,$BR172&lt;70),"-",COUNTIFS(N$4:N$200,"&lt;&gt;-",$D$4:$D$200,"&lt;&gt;是",$E$4:$E$200,"&lt;&gt;封闭期",$H$4:$H$200,"&gt;10",$BN$4:$BN$200,"&gt;-6",$BR$4:$BR$200,"&gt;=70",$K$4:$K$200,"&lt;=30",$C$4:$C$200,"&lt;20190630",N$4:N$200,"&gt;="&amp;N172)/COUNTIFS(N$4:N$200,"&lt;&gt;-",$D$4:$D$200,"&lt;&gt;是",$E$4:$E$200,"&lt;&gt;封闭期",$H$4:$H$200,"&gt;10",$BN$4:$BN$200,"&gt;-6",$BR$4:$BR$200,"&gt;=70",$C$4:$C$200,"&lt;20190630",$K$4:$K$200,"&lt;=30"))</f>
        <v>-</v>
      </c>
      <c r="S172" s="19">
        <f>IFERROR((L172-3)/M172,"-")</f>
        <v>-0.32721336005454921</v>
      </c>
      <c r="T172" s="19" t="str">
        <f>IFERROR(RANK(S172,S:S)&amp;"/"&amp;COUNT(S:S),"-")</f>
        <v>177/197</v>
      </c>
      <c r="U172" s="26">
        <f>IFERROR(RANK(S172,S:S)/COUNT(S:S),"-")</f>
        <v>0.89847715736040612</v>
      </c>
      <c r="V172" s="34" t="str">
        <f>IF(OR($C172&gt;20190630,$K172&gt;30,S172="-",$D172="是",$E172="封闭期",$H172&lt;10,$BN172&lt;-6,$BR172&lt;70),"-",COUNTIFS(S$4:S$200,"&lt;&gt;-",$D$4:$D$200,"&lt;&gt;是",$E$4:$E$200,"&lt;&gt;封闭期",$H$4:$H$200,"&gt;10",$BN$4:$BN$200,"&gt;-6",$BR$4:$BR$200,"&gt;=70",$K$4:$K$200,"&lt;=30",$C$4:$C$200,"&lt;20190630",S$4:S$200,"&gt;="&amp;S172)&amp;"/"&amp;COUNTIFS(S$4:S$200,"&lt;&gt;-",$D$4:$D$200,"&lt;&gt;是",$E$4:$E$200,"&lt;&gt;封闭期",$H$4:$H$200,"&gt;10",$BN$4:$BN$200,"&gt;-6",$BR$4:$BR$200,"&gt;=70",$C$4:$C$200,"&lt;20190630",$K$4:$K$200,"&lt;=30"))</f>
        <v>-</v>
      </c>
      <c r="W172" s="33" t="str">
        <f>IF(OR($C172&gt;20190630,$K172&gt;30,S172="-",$D172="是",$E172="封闭期",$H172&lt;10,$BN172&lt;-6,$BR172&lt;70),"-",COUNTIFS(S$4:S$200,"&lt;&gt;-",$D$4:$D$200,"&lt;&gt;是",$E$4:$E$200,"&lt;&gt;封闭期",$H$4:$H$200,"&gt;10",$BN$4:$BN$200,"&gt;-6",$BR$4:$BR$200,"&gt;=70",$K$4:$K$200,"&lt;=30",$C$4:$C$200,"&lt;20190630",S$4:S$200,"&gt;="&amp;S172)/COUNTIFS(S$4:S$200,"&lt;&gt;-",$D$4:$D$200,"&lt;&gt;是",$E$4:$E$200,"&lt;&gt;封闭期",$H$4:$H$200,"&gt;10",$BN$4:$BN$200,"&gt;-6",$BR$4:$BR$200,"&gt;=70",$C$4:$C$200,"&lt;20190630",$K$4:$K$200,"&lt;=30"))</f>
        <v>-</v>
      </c>
      <c r="X172" s="19">
        <f>[1]!f_risk_calmar(A172,$L$2,$E$1)</f>
        <v>5.7238903090603426</v>
      </c>
      <c r="Y172" s="19" t="str">
        <f>IFERROR(RANK(X172,X:X)&amp;"/"&amp;COUNT(X:X),"-")</f>
        <v>26/197</v>
      </c>
      <c r="Z172" s="26">
        <f>IFERROR(RANK(X172,X:X)/COUNT(X:X),"-")</f>
        <v>0.13197969543147209</v>
      </c>
      <c r="AA172" s="34" t="str">
        <f>IF(OR($C172&gt;20190630,$K172&gt;30,X172="-",$D172="是",$E172="封闭期",$H172&lt;10,$BN172&lt;-6,$BR172&lt;70),"-",COUNTIFS(X$4:X$200,"&lt;&gt;-",$D$4:$D$200,"&lt;&gt;是",$E$4:$E$200,"&lt;&gt;封闭期",$H$4:$H$200,"&gt;10",$BN$4:$BN$200,"&gt;-6",$BR$4:$BR$200,"&gt;=70",$K$4:$K$200,"&lt;=30",$C$4:$C$200,"&lt;20190630",X$4:X$200,"&gt;="&amp;X172)&amp;"/"&amp;COUNTIFS(X$4:X$200,"&lt;&gt;-",$D$4:$D$200,"&lt;&gt;是",$E$4:$E$200,"&lt;&gt;封闭期",$H$4:$H$200,"&gt;10",$BN$4:$BN$200,"&gt;-6",$BR$4:$BR$200,"&gt;=70",$C$4:$C$200,"&lt;20190630",$K$4:$K$200,"&lt;=30"))</f>
        <v>-</v>
      </c>
      <c r="AB172" s="33" t="str">
        <f>IF(OR($C172&gt;20190630,$K172&gt;30,X172="-",$D172="是",$E172="封闭期",$H172&lt;10,$BN172&lt;-6,$BR172&lt;70),"-",COUNTIFS(X$4:X$200,"&lt;&gt;-",$D$4:$D$200,"&lt;&gt;是",$E$4:$E$200,"&lt;&gt;封闭期",$H$4:$H$200,"&gt;10",$BN$4:$BN$200,"&gt;-6",$BR$4:$BR$200,"&gt;=70",$K$4:$K$200,"&lt;=30",$C$4:$C$200,"&lt;20190630",X$4:X$200,"&gt;="&amp;X172)/COUNTIFS(X$4:X$200,"&lt;&gt;-",$D$4:$D$200,"&lt;&gt;是",$E$4:$E$200,"&lt;&gt;封闭期",$H$4:$H$200,"&gt;10",$BN$4:$BN$200,"&gt;-6",$BR$4:$BR$200,"&gt;=70",$C$4:$C$200,"&lt;20190630",$K$4:$K$200,"&lt;=30"))</f>
        <v>-</v>
      </c>
      <c r="AC172" s="20">
        <v>1</v>
      </c>
      <c r="AD172" s="19" t="str">
        <f>IFERROR(RANK(AC172,AC:AC)&amp;"/"&amp;COUNT(AC:AC),"-")</f>
        <v>1/197</v>
      </c>
      <c r="AE172" s="26">
        <f>IFERROR(RANK(AC172,AC:AC)/COUNT(AC:AC),"-")</f>
        <v>5.076142131979695E-3</v>
      </c>
      <c r="AF172" s="34" t="str">
        <f>IF(OR($C172&gt;20190630,$K172&gt;30,AC172="-",$D172="是",$E172="封闭期",$H172&lt;10,$BN172&lt;-6,$BR172&lt;70),"-",COUNTIFS(AC$4:AC$200,"&lt;&gt;-",$D$4:$D$200,"&lt;&gt;是",$E$4:$E$200,"&lt;&gt;封闭期",$H$4:$H$200,"&gt;10",$BN$4:$BN$200,"&gt;-6",$BR$4:$BR$200,"&gt;=70",$K$4:$K$200,"&lt;=30",$C$4:$C$200,"&lt;20190630",AC$4:AC$200,"&gt;="&amp;AC172)&amp;"/"&amp;COUNTIFS(AC$4:AC$200,"&lt;&gt;-",$D$4:$D$200,"&lt;&gt;是",$E$4:$E$200,"&lt;&gt;封闭期",$H$4:$H$200,"&gt;10",$BN$4:$BN$200,"&gt;-6",$BR$4:$BR$200,"&gt;=70",$C$4:$C$200,"&lt;20190630",$K$4:$K$200,"&lt;=30"))</f>
        <v>-</v>
      </c>
      <c r="AG172" s="33" t="str">
        <f>IF(OR($C172&gt;20190630,$K172&gt;30,AC172="-",$D172="是",$E172="封闭期",$H172&lt;10,$BN172&lt;-6,$BR172&lt;70),"-",COUNTIFS(AC$4:AC$200,"&lt;&gt;-",$D$4:$D$200,"&lt;&gt;是",$E$4:$E$200,"&lt;&gt;封闭期",$H$4:$H$200,"&gt;10",$BN$4:$BN$200,"&gt;-6",$BR$4:$BR$200,"&gt;=70",$K$4:$K$200,"&lt;=30",$C$4:$C$200,"&lt;20190630",AC$4:AC$200,"&gt;="&amp;AC172)/COUNTIFS(AC$4:AC$200,"&lt;&gt;-",$D$4:$D$200,"&lt;&gt;是",$E$4:$E$200,"&lt;&gt;封闭期",$H$4:$H$200,"&gt;10",$BN$4:$BN$200,"&gt;-6",$BR$4:$BR$200,"&gt;=70",$C$4:$C$200,"&lt;20190630",$K$4:$K$200,"&lt;=30"))</f>
        <v>-</v>
      </c>
      <c r="AH172" s="21">
        <f>[1]!f_risk_maxdownside(A172,$L$2,$E$1)</f>
        <v>-0.47748976807639021</v>
      </c>
      <c r="AI172" s="19" t="str">
        <f>IFERROR(RANK(AH172,AH:AH)&amp;"/"&amp;COUNT(AH:AH),"-")</f>
        <v>8/197</v>
      </c>
      <c r="AJ172" s="26">
        <f>IFERROR(RANK(AH172,AH:AH)/COUNT(AH:AH),"-")</f>
        <v>4.060913705583756E-2</v>
      </c>
      <c r="AK172" s="34" t="str">
        <f>IF(OR($C172&gt;20190630,$K172&gt;30,AH172="-",$D172="是",$E172="封闭期",$H172&lt;10,$BN172&lt;-6,$BR172&lt;70),"-",COUNTIFS(AH$4:AH$200,"&lt;&gt;-",$D$4:$D$200,"&lt;&gt;是",$E$4:$E$200,"&lt;&gt;封闭期",$H$4:$H$200,"&gt;10",$BN$4:$BN$200,"&gt;-6",$BR$4:$BR$200,"&gt;=70",$K$4:$K$200,"&lt;=30",$C$4:$C$200,"&lt;20190630",AH$4:AH$200,"&gt;="&amp;AH172)&amp;"/"&amp;COUNTIFS(AH$4:AH$200,"&lt;&gt;-",$D$4:$D$200,"&lt;&gt;是",$E$4:$E$200,"&lt;&gt;封闭期",$H$4:$H$200,"&gt;10",$BN$4:$BN$200,"&gt;-6",$BR$4:$BR$200,"&gt;=70",$C$4:$C$200,"&lt;20190630",$K$4:$K$200,"&lt;=30"))</f>
        <v>-</v>
      </c>
      <c r="AL172" s="33" t="str">
        <f>IF(OR($C172&gt;20190630,$K172&gt;30,AH172="-",$D172="是",$E172="封闭期",$H172&lt;10,$BN172&lt;-6,$BR172&lt;70),"-",COUNTIFS(AH$4:AH$200,"&lt;&gt;-",$D$4:$D$200,"&lt;&gt;是",$E$4:$E$200,"&lt;&gt;封闭期",$H$4:$H$200,"&gt;10",$BN$4:$BN$200,"&gt;-6",$BR$4:$BR$200,"&gt;=70",$K$4:$K$200,"&lt;=30",$C$4:$C$200,"&lt;20190630",AH$4:AH$200,"&gt;="&amp;AH172)/COUNTIFS(AH$4:AH$200,"&lt;&gt;-",$D$4:$D$200,"&lt;&gt;是",$E$4:$E$200,"&lt;&gt;封闭期",$H$4:$H$200,"&gt;10",$BN$4:$BN$200,"&gt;-6",$BR$4:$BR$200,"&gt;=70",$C$4:$C$200,"&lt;20190630",$K$4:$K$200,"&lt;=30"))</f>
        <v>-</v>
      </c>
      <c r="AM172" s="19">
        <f>[1]!f_return($A172,"1",AM$2,$L$2)</f>
        <v>2.8043755142851623</v>
      </c>
      <c r="AN172" s="19">
        <f>[1]!f_risk_stdevyearly($A172,AM$2,$L$2,1,1)</f>
        <v>1.3562734856735752</v>
      </c>
      <c r="AO172" s="19">
        <f>IFERROR(AM172/AN172,"-")</f>
        <v>2.067706508980677</v>
      </c>
      <c r="AP172" s="19" t="str">
        <f>IFERROR(RANK(AO172,AO:AO)&amp;"/"&amp;COUNT(AO:AO),"-")</f>
        <v>43/197</v>
      </c>
      <c r="AQ172" s="26">
        <f>IF(AP172="-","-",RANK(AO172,AO:AO)/COUNT(AO:AO))</f>
        <v>0.21827411167512689</v>
      </c>
      <c r="AR172" s="57">
        <v>0.85786802030456855</v>
      </c>
      <c r="AS172" s="33" t="str">
        <f>IF(OR($C172&gt;20190630,$K172&gt;30,AO172="-",$D172="是",$E172="封闭期",$H172&lt;10,$BN172&lt;-6,$BR172&lt;70),"-",COUNTIFS(AO$4:AO$200,"&lt;&gt;-",$D$4:$D$200,"&lt;&gt;是",$E$4:$E$200,"&lt;&gt;封闭期",$H$4:$H$200,"&gt;10",$BN$4:$BN$200,"&gt;-6",$BR$4:$BR$200,"&gt;=70",$K$4:$K$200,"&lt;=30",$C$4:$C$200,"&lt;20190630",AO$4:AO$200,"&gt;="&amp;AO172)/COUNTIFS(AO$4:AO$200,"&lt;&gt;-",$D$4:$D$200,"&lt;&gt;是",$E$4:$E$200,"&lt;&gt;封闭期",$H$4:$H$200,"&gt;10",$BN$4:$BN$200,"&gt;-6",$BR$4:$BR$200,"&gt;=70",$C$4:$C$200,"&lt;20190630",$K$4:$K$200,"&lt;=30"))</f>
        <v>-</v>
      </c>
      <c r="AT172" s="19">
        <f>IFERROR((AM172-3)/AN172,"-")</f>
        <v>-0.1442367544460868</v>
      </c>
      <c r="AU172" s="19" t="str">
        <f>IFERROR(RANK(AT172,AT:AT)&amp;"/"&amp;COUNT(AT:AT),"-")</f>
        <v>173/197</v>
      </c>
      <c r="AV172" s="26">
        <f>IFERROR(RANK(AT172,AT:AT)/COUNT(AT:AT),"-")</f>
        <v>0.87817258883248728</v>
      </c>
      <c r="AW172" s="34" t="str">
        <f>IF(OR($C172&gt;20190630,$K172&gt;30,AT172="-",$D172="是",$E172="封闭期",$H172&lt;10,$BN172&lt;-6,$BR172&lt;70),"-",COUNTIFS(AT$4:AT$200,"&lt;&gt;-",$D$4:$D$200,"&lt;&gt;是",$E$4:$E$200,"&lt;&gt;封闭期",$H$4:$H$200,"&gt;10",$BN$4:$BN$200,"&gt;-6",$BR$4:$BR$200,"&gt;=70",$K$4:$K$200,"&lt;=30",$C$4:$C$200,"&lt;20190630",AT$4:AT$200,"&gt;="&amp;AT172)&amp;"/"&amp;COUNTIFS(AT$4:AT$200,"&lt;&gt;-",$D$4:$D$200,"&lt;&gt;是",$E$4:$E$200,"&lt;&gt;封闭期",$H$4:$H$200,"&gt;10",$BN$4:$BN$200,"&gt;-6",$BR$4:$BR$200,"&gt;=70",$C$4:$C$200,"&lt;20190630",$K$4:$K$200,"&lt;=30"))</f>
        <v>-</v>
      </c>
      <c r="AX172" s="33" t="str">
        <f>IF(OR($C172&gt;20190630,$K172&gt;30,AT172="-",$D172="是",$E172="封闭期",$H172&lt;10,$BN172&lt;-6,$BR172&lt;70),"-",COUNTIFS(AT$4:AT$200,"&lt;&gt;-",$D$4:$D$200,"&lt;&gt;是",$E$4:$E$200,"&lt;&gt;封闭期",$H$4:$H$200,"&gt;10",$BN$4:$BN$200,"&gt;-6",$BR$4:$BR$200,"&gt;=70",$K$4:$K$200,"&lt;=30",$C$4:$C$200,"&lt;20190630",AT$4:AT$200,"&gt;="&amp;AT172)/COUNTIFS(AT$4:AT$200,"&lt;&gt;-",$D$4:$D$200,"&lt;&gt;是",$E$4:$E$200,"&lt;&gt;封闭期",$H$4:$H$200,"&gt;10",$BN$4:$BN$200,"&gt;-6",$BR$4:$BR$200,"&gt;=70",$C$4:$C$200,"&lt;20190630",$K$4:$K$200,"&lt;=30"))</f>
        <v>-</v>
      </c>
      <c r="AY172" s="19">
        <f>[1]!f_risk_calmar(A172,$AM$2,$L$2)</f>
        <v>1.0708286503230988</v>
      </c>
      <c r="AZ172" s="19" t="str">
        <f>IFERROR(RANK(AY172,AY:AY)&amp;"/"&amp;COUNT(AY:AY),"-")</f>
        <v>166/197</v>
      </c>
      <c r="BA172" s="26">
        <f>IFERROR(RANK(AY172,AY:AY)/COUNT(AY:AY),"-")</f>
        <v>0.84263959390862941</v>
      </c>
      <c r="BB172" s="34" t="str">
        <f>IF(OR($C172&gt;20190630,$K172&gt;30,AY172="-",$D172="是",$E172="封闭期",$H172&lt;10,$BN172&lt;-6,$BR172&lt;70),"-",COUNTIFS(AY$4:AY$200,"&lt;&gt;-",$D$4:$D$200,"&lt;&gt;是",$E$4:$E$200,"&lt;&gt;封闭期",$H$4:$H$200,"&gt;10",$BN$4:$BN$200,"&gt;-6",$BR$4:$BR$200,"&gt;=70",$K$4:$K$200,"&lt;=30",$C$4:$C$200,"&lt;20190630",AY$4:AY$200,"&gt;="&amp;AY172)&amp;"/"&amp;COUNTIFS(AY$4:AY$200,"&lt;&gt;-",$D$4:$D$200,"&lt;&gt;是",$E$4:$E$200,"&lt;&gt;封闭期",$H$4:$H$200,"&gt;10",$BN$4:$BN$200,"&gt;-6",$BR$4:$BR$200,"&gt;=70",$C$4:$C$200,"&lt;20190630",$K$4:$K$200,"&lt;=30"))</f>
        <v>-</v>
      </c>
      <c r="BC172" s="33" t="str">
        <f>IF(OR($C172&gt;20190630,$K172&gt;30,AY172="-",$D172="是",$E172="封闭期",$H172&lt;10,$BN172&lt;-6,$BR172&lt;70),"-",COUNTIFS(AY$4:AY$200,"&lt;&gt;-",$D$4:$D$200,"&lt;&gt;是",$E$4:$E$200,"&lt;&gt;封闭期",$H$4:$H$200,"&gt;10",$BN$4:$BN$200,"&gt;-6",$BR$4:$BR$200,"&gt;=70",$K$4:$K$200,"&lt;=30",$C$4:$C$200,"&lt;20190630",AY$4:AY$200,"&gt;="&amp;AY172)/COUNTIFS(AY$4:AY$200,"&lt;&gt;-",$D$4:$D$200,"&lt;&gt;是",$E$4:$E$200,"&lt;&gt;封闭期",$H$4:$H$200,"&gt;10",$BN$4:$BN$200,"&gt;-6",$BR$4:$BR$200,"&gt;=70",$C$4:$C$200,"&lt;20190630",$K$4:$K$200,"&lt;=30"))</f>
        <v>-</v>
      </c>
      <c r="BD172" s="20">
        <v>0.81666666666666665</v>
      </c>
      <c r="BE172" s="19" t="str">
        <f>IFERROR(RANK(BD172,BD:BD)&amp;"/"&amp;COUNT(BD:BD),"-")</f>
        <v>174/197</v>
      </c>
      <c r="BF172" s="26">
        <f>IFERROR(RANK(BD172,BD:BD)/COUNT(BD:BD),"-")</f>
        <v>0.88324873096446699</v>
      </c>
      <c r="BG172" s="34" t="str">
        <f>IF(OR($C172&gt;20190630,$K172&gt;30,BD172="-",$D172="是",$E172="封闭期",$H172&lt;10,$BN172&lt;-6,$BR172&lt;70),"-",COUNTIFS(BD$4:BD$200,"&lt;&gt;-",$D$4:$D$200,"&lt;&gt;是",$E$4:$E$200,"&lt;&gt;封闭期",$H$4:$H$200,"&gt;10",$BN$4:$BN$200,"&gt;-6",$BR$4:$BR$200,"&gt;=70",$K$4:$K$200,"&lt;=30",$C$4:$C$200,"&lt;20190630",BD$4:BD$200,"&gt;="&amp;BD172)&amp;"/"&amp;COUNTIFS(BD$4:BD$200,"&lt;&gt;-",$D$4:$D$200,"&lt;&gt;是",$E$4:$E$200,"&lt;&gt;封闭期",$H$4:$H$200,"&gt;10",$BN$4:$BN$200,"&gt;-6",$BR$4:$BR$200,"&gt;=70",$C$4:$C$200,"&lt;20190630",$K$4:$K$200,"&lt;=30"))</f>
        <v>-</v>
      </c>
      <c r="BH172" s="33" t="str">
        <f>IF(OR($C172&gt;20190630,$K172&gt;30,BD172="-",$D172="是",$E172="封闭期",$H172&lt;10,$BN172&lt;-6,$BR172&lt;70),"-",COUNTIFS(BD$4:BD$200,"&lt;&gt;-",$D$4:$D$200,"&lt;&gt;是",$E$4:$E$200,"&lt;&gt;封闭期",$H$4:$H$200,"&gt;10",$BN$4:$BN$200,"&gt;-6",$BR$4:$BR$200,"&gt;=70",$K$4:$K$200,"&lt;=30",$C$4:$C$200,"&lt;20190630",BD$4:BD$200,"&gt;="&amp;BD172)/COUNTIFS(BD$4:BD$200,"&lt;&gt;-",$D$4:$D$200,"&lt;&gt;是",$E$4:$E$200,"&lt;&gt;封闭期",$H$4:$H$200,"&gt;10",$BN$4:$BN$200,"&gt;-6",$BR$4:$BR$200,"&gt;=70",$C$4:$C$200,"&lt;20190630",$K$4:$K$200,"&lt;=30"))</f>
        <v>-</v>
      </c>
      <c r="BI172" s="21">
        <f>[1]!f_risk_maxdownside(A172,$AM$2,$L$2)</f>
        <v>-2.6188835286009615</v>
      </c>
      <c r="BJ172" s="19" t="str">
        <f>IFERROR(RANK(BI172,BI:BI)&amp;"/"&amp;COUNT(BI:BI),"-")</f>
        <v>68/197</v>
      </c>
      <c r="BK172" s="26">
        <f>IFERROR(RANK(BI172,BI:BI)/COUNT(BI:BI),"-")</f>
        <v>0.34517766497461927</v>
      </c>
      <c r="BL172" s="34" t="str">
        <f>IF(OR($C172&gt;20190630,$K172&gt;30,BI172="-",$D172="是",$E172="封闭期",$H172&lt;10,$BN172&lt;-6,$BR172&lt;70),"-",COUNTIFS(BI$4:BI$200,"&lt;&gt;-",$D$4:$D$200,"&lt;&gt;是",$E$4:$E$200,"&lt;&gt;封闭期",$H$4:$H$200,"&gt;10",$BN$4:$BN$200,"&gt;-6",$BR$4:$BR$200,"&gt;=70",$K$4:$K$200,"&lt;=30",$C$4:$C$200,"&lt;20190630",BI$4:BI$200,"&gt;="&amp;BI172)&amp;"/"&amp;COUNTIFS(BI$4:BI$200,"&lt;&gt;-",$D$4:$D$200,"&lt;&gt;是",$E$4:$E$200,"&lt;&gt;封闭期",$H$4:$H$200,"&gt;10",$BN$4:$BN$200,"&gt;-6",$BR$4:$BR$200,"&gt;=70",$C$4:$C$200,"&lt;20190630",$K$4:$K$200,"&lt;=30"))</f>
        <v>-</v>
      </c>
      <c r="BM172" s="33" t="str">
        <f>IF(OR($C172&gt;20190630,$K172&gt;30,BI172="-",$D172="是",$E172="封闭期",$H172&lt;10,$BN172&lt;-6,$BR172&lt;70),"-",COUNTIFS(BI$4:BI$200,"&lt;&gt;-",$D$4:$D$200,"&lt;&gt;是",$E$4:$E$200,"&lt;&gt;封闭期",$H$4:$H$200,"&gt;10",$BN$4:$BN$200,"&gt;-6",$BR$4:$BR$200,"&gt;=70",$K$4:$K$200,"&lt;=30",$C$4:$C$200,"&lt;20190630",BI$4:BI$200,"&gt;="&amp;BI172)/COUNTIFS(BI$4:BI$200,"&lt;&gt;-",$D$4:$D$200,"&lt;&gt;是",$E$4:$E$200,"&lt;&gt;封闭期",$H$4:$H$200,"&gt;10",$BN$4:$BN$200,"&gt;-6",$BR$4:$BR$200,"&gt;=70",$C$4:$C$200,"&lt;20190630",$K$4:$K$200,"&lt;=30"))</f>
        <v>-</v>
      </c>
      <c r="BN172" s="21">
        <f>[1]!f_risk_maxdownside(A172,$AM$2,$E$1)</f>
        <v>-2.6188835286009615</v>
      </c>
      <c r="BO172" s="21">
        <f>IF(C172&lt;20190930,[1]!f_return_2y(A172,"0","20210930"),"-")</f>
        <v>5.635838150289028</v>
      </c>
      <c r="BP172" s="19" t="str">
        <f>IFERROR(RANK(BO172,BO:BO)&amp;"/"&amp;COUNT(BO:BO),"-")</f>
        <v>182/197</v>
      </c>
      <c r="BQ172" s="25">
        <f>IFERROR(RANK(BO172,BO:BO)/COUNT(BO:BO),"-")</f>
        <v>0.92385786802030456</v>
      </c>
      <c r="BR172" s="19">
        <f>IF(C172&lt;20190930,[1]!f_absolute_profitmonthper(A172,"20190930","20210930"),"-")</f>
        <v>70.833333333333343</v>
      </c>
      <c r="BS172" s="19" t="str">
        <f>IFERROR(RANK(BR172,BR:BR)&amp;"/"&amp;COUNT(BR:BR),"-")</f>
        <v>55/198</v>
      </c>
      <c r="BT172" s="25">
        <f>IFERROR(RANK(BR172,BR:BR)/COUNT(BR:BR),"-")</f>
        <v>0.27777777777777779</v>
      </c>
      <c r="BV172" s="12">
        <f>X172-3/M172</f>
        <v>2.0459712051801975</v>
      </c>
      <c r="BW172" s="76">
        <f>IFERROR(RANK(BV172,BV:BV)/COUNT(BV:BV),"-")</f>
        <v>0.32487309644670048</v>
      </c>
      <c r="BX172" s="76">
        <f>IFERROR(RANK(L172,L:L)/COUNT(L:L),"-")</f>
        <v>0.85353535353535348</v>
      </c>
      <c r="BY172" s="12">
        <f>AY172-3/AN172</f>
        <v>-1.1411146131036649</v>
      </c>
      <c r="BZ172" s="76">
        <f>IFERROR(RANK(BY172,BY:BY)/COUNT(BY:BY),"-")</f>
        <v>0.95431472081218272</v>
      </c>
      <c r="CA172" s="76">
        <f>IFERROR(RANK(AM172,AM:AM)/COUNT(AM:AM),"-")</f>
        <v>0.85858585858585856</v>
      </c>
      <c r="CB172" s="2"/>
      <c r="CC172" s="77">
        <f>AV172+BF172+BZ172+CA172</f>
        <v>3.5743218991949957</v>
      </c>
      <c r="CD172" s="77">
        <f>BW172+BX172+AE172+U172</f>
        <v>2.0819617494744396</v>
      </c>
      <c r="CE172" s="77">
        <f>CC172+CD172</f>
        <v>5.6562836486694348</v>
      </c>
    </row>
    <row r="173" spans="1:83" s="17" customFormat="1" hidden="1" x14ac:dyDescent="0.35">
      <c r="A173" s="15" t="s">
        <v>401</v>
      </c>
      <c r="B173" s="15" t="s">
        <v>402</v>
      </c>
      <c r="C173" s="16">
        <v>20190612</v>
      </c>
      <c r="D173" s="16" t="str">
        <f>[1]!f_info_regulopenfundornot(A173)</f>
        <v>否</v>
      </c>
      <c r="E173" s="16" t="str">
        <f>[1]!f_dq_status(A173,$E$1)</f>
        <v>开放申购|开放赎回</v>
      </c>
      <c r="F173" s="17" t="str">
        <f>[1]!f_info_fundmanager(A173)</f>
        <v>曹巍浩</v>
      </c>
      <c r="G173" s="16">
        <v>20201208</v>
      </c>
      <c r="H173" s="18">
        <f>[1]!f_netasset_total(A173,$E$1,100000000)</f>
        <v>0.2451804169</v>
      </c>
      <c r="I173" s="18">
        <f>[1]!f_prt_convertiblebondtonav(A173,$E$1)</f>
        <v>0</v>
      </c>
      <c r="J173" s="18">
        <f>[1]!f_prt_stocktonav(A173,$E$1)+0.5*I173</f>
        <v>3.2215256690979004</v>
      </c>
      <c r="K173" s="19">
        <v>0</v>
      </c>
      <c r="L173" s="19">
        <f>[1]!f_return($A173,"1",L$2,$E$1)</f>
        <v>4.149472094361073</v>
      </c>
      <c r="M173" s="19">
        <f>[1]!f_risk_stdevyearly($A173,L$2,$E$1,1,1)</f>
        <v>4.0583002052667654</v>
      </c>
      <c r="N173" s="19">
        <f>IFERROR(L173/M173,"-")</f>
        <v>1.022465535934475</v>
      </c>
      <c r="O173" s="19" t="str">
        <f>IFERROR(RANK(N173,N:N)&amp;"/"&amp;COUNT(N:N),"-")</f>
        <v>138/197</v>
      </c>
      <c r="P173" s="26">
        <f>IF(O173="-","-",RANK(N173,N:N)/COUNT(N:N))</f>
        <v>0.70050761421319796</v>
      </c>
      <c r="Q173" s="56">
        <v>0.71065989847715738</v>
      </c>
      <c r="R173" s="33" t="str">
        <f>IF(OR($C173&gt;20190630,$K173&gt;30,N173="-",$D173="是",$E173="封闭期",$H173&lt;10,$BN173&lt;-6,$BR173&lt;70),"-",COUNTIFS(N$4:N$200,"&lt;&gt;-",$D$4:$D$200,"&lt;&gt;是",$E$4:$E$200,"&lt;&gt;封闭期",$H$4:$H$200,"&gt;10",$BN$4:$BN$200,"&gt;-6",$BR$4:$BR$200,"&gt;=70",$K$4:$K$200,"&lt;=30",$C$4:$C$200,"&lt;20190630",N$4:N$200,"&gt;="&amp;N173)/COUNTIFS(N$4:N$200,"&lt;&gt;-",$D$4:$D$200,"&lt;&gt;是",$E$4:$E$200,"&lt;&gt;封闭期",$H$4:$H$200,"&gt;10",$BN$4:$BN$200,"&gt;-6",$BR$4:$BR$200,"&gt;=70",$C$4:$C$200,"&lt;20190630",$K$4:$K$200,"&lt;=30"))</f>
        <v>-</v>
      </c>
      <c r="S173" s="19">
        <f>IFERROR((L173-3)/M173,"-")</f>
        <v>0.28323978912878733</v>
      </c>
      <c r="T173" s="19" t="str">
        <f>IFERROR(RANK(S173,S:S)&amp;"/"&amp;COUNT(S:S),"-")</f>
        <v>142/197</v>
      </c>
      <c r="U173" s="26">
        <f>IFERROR(RANK(S173,S:S)/COUNT(S:S),"-")</f>
        <v>0.7208121827411168</v>
      </c>
      <c r="V173" s="34" t="str">
        <f>IF(OR($C173&gt;20190630,$K173&gt;30,S173="-",$D173="是",$E173="封闭期",$H173&lt;10,$BN173&lt;-6,$BR173&lt;70),"-",COUNTIFS(S$4:S$200,"&lt;&gt;-",$D$4:$D$200,"&lt;&gt;是",$E$4:$E$200,"&lt;&gt;封闭期",$H$4:$H$200,"&gt;10",$BN$4:$BN$200,"&gt;-6",$BR$4:$BR$200,"&gt;=70",$K$4:$K$200,"&lt;=30",$C$4:$C$200,"&lt;20190630",S$4:S$200,"&gt;="&amp;S173)&amp;"/"&amp;COUNTIFS(S$4:S$200,"&lt;&gt;-",$D$4:$D$200,"&lt;&gt;是",$E$4:$E$200,"&lt;&gt;封闭期",$H$4:$H$200,"&gt;10",$BN$4:$BN$200,"&gt;-6",$BR$4:$BR$200,"&gt;=70",$C$4:$C$200,"&lt;20190630",$K$4:$K$200,"&lt;=30"))</f>
        <v>-</v>
      </c>
      <c r="W173" s="33" t="str">
        <f>IF(OR($C173&gt;20190630,$K173&gt;30,S173="-",$D173="是",$E173="封闭期",$H173&lt;10,$BN173&lt;-6,$BR173&lt;70),"-",COUNTIFS(S$4:S$200,"&lt;&gt;-",$D$4:$D$200,"&lt;&gt;是",$E$4:$E$200,"&lt;&gt;封闭期",$H$4:$H$200,"&gt;10",$BN$4:$BN$200,"&gt;-6",$BR$4:$BR$200,"&gt;=70",$K$4:$K$200,"&lt;=30",$C$4:$C$200,"&lt;20190630",S$4:S$200,"&gt;="&amp;S173)/COUNTIFS(S$4:S$200,"&lt;&gt;-",$D$4:$D$200,"&lt;&gt;是",$E$4:$E$200,"&lt;&gt;封闭期",$H$4:$H$200,"&gt;10",$BN$4:$BN$200,"&gt;-6",$BR$4:$BR$200,"&gt;=70",$C$4:$C$200,"&lt;20190630",$K$4:$K$200,"&lt;=30"))</f>
        <v>-</v>
      </c>
      <c r="X173" s="19">
        <f>[1]!f_risk_calmar(A173,$L$2,$E$1)</f>
        <v>1.3675760137499611</v>
      </c>
      <c r="Y173" s="19" t="str">
        <f>IFERROR(RANK(X173,X:X)&amp;"/"&amp;COUNT(X:X),"-")</f>
        <v>137/197</v>
      </c>
      <c r="Z173" s="26">
        <f>IFERROR(RANK(X173,X:X)/COUNT(X:X),"-")</f>
        <v>0.69543147208121825</v>
      </c>
      <c r="AA173" s="34" t="str">
        <f>IF(OR($C173&gt;20190630,$K173&gt;30,X173="-",$D173="是",$E173="封闭期",$H173&lt;10,$BN173&lt;-6,$BR173&lt;70),"-",COUNTIFS(X$4:X$200,"&lt;&gt;-",$D$4:$D$200,"&lt;&gt;是",$E$4:$E$200,"&lt;&gt;封闭期",$H$4:$H$200,"&gt;10",$BN$4:$BN$200,"&gt;-6",$BR$4:$BR$200,"&gt;=70",$K$4:$K$200,"&lt;=30",$C$4:$C$200,"&lt;20190630",X$4:X$200,"&gt;="&amp;X173)&amp;"/"&amp;COUNTIFS(X$4:X$200,"&lt;&gt;-",$D$4:$D$200,"&lt;&gt;是",$E$4:$E$200,"&lt;&gt;封闭期",$H$4:$H$200,"&gt;10",$BN$4:$BN$200,"&gt;-6",$BR$4:$BR$200,"&gt;=70",$C$4:$C$200,"&lt;20190630",$K$4:$K$200,"&lt;=30"))</f>
        <v>-</v>
      </c>
      <c r="AB173" s="33" t="str">
        <f>IF(OR($C173&gt;20190630,$K173&gt;30,X173="-",$D173="是",$E173="封闭期",$H173&lt;10,$BN173&lt;-6,$BR173&lt;70),"-",COUNTIFS(X$4:X$200,"&lt;&gt;-",$D$4:$D$200,"&lt;&gt;是",$E$4:$E$200,"&lt;&gt;封闭期",$H$4:$H$200,"&gt;10",$BN$4:$BN$200,"&gt;-6",$BR$4:$BR$200,"&gt;=70",$K$4:$K$200,"&lt;=30",$C$4:$C$200,"&lt;20190630",X$4:X$200,"&gt;="&amp;X173)/COUNTIFS(X$4:X$200,"&lt;&gt;-",$D$4:$D$200,"&lt;&gt;是",$E$4:$E$200,"&lt;&gt;封闭期",$H$4:$H$200,"&gt;10",$BN$4:$BN$200,"&gt;-6",$BR$4:$BR$200,"&gt;=70",$C$4:$C$200,"&lt;20190630",$K$4:$K$200,"&lt;=30"))</f>
        <v>-</v>
      </c>
      <c r="AC173" s="20">
        <v>0.84873949579831931</v>
      </c>
      <c r="AD173" s="19" t="str">
        <f>IFERROR(RANK(AC173,AC:AC)&amp;"/"&amp;COUNT(AC:AC),"-")</f>
        <v>138/197</v>
      </c>
      <c r="AE173" s="26">
        <f>IFERROR(RANK(AC173,AC:AC)/COUNT(AC:AC),"-")</f>
        <v>0.70050761421319796</v>
      </c>
      <c r="AF173" s="34" t="str">
        <f>IF(OR($C173&gt;20190630,$K173&gt;30,AC173="-",$D173="是",$E173="封闭期",$H173&lt;10,$BN173&lt;-6,$BR173&lt;70),"-",COUNTIFS(AC$4:AC$200,"&lt;&gt;-",$D$4:$D$200,"&lt;&gt;是",$E$4:$E$200,"&lt;&gt;封闭期",$H$4:$H$200,"&gt;10",$BN$4:$BN$200,"&gt;-6",$BR$4:$BR$200,"&gt;=70",$K$4:$K$200,"&lt;=30",$C$4:$C$200,"&lt;20190630",AC$4:AC$200,"&gt;="&amp;AC173)&amp;"/"&amp;COUNTIFS(AC$4:AC$200,"&lt;&gt;-",$D$4:$D$200,"&lt;&gt;是",$E$4:$E$200,"&lt;&gt;封闭期",$H$4:$H$200,"&gt;10",$BN$4:$BN$200,"&gt;-6",$BR$4:$BR$200,"&gt;=70",$C$4:$C$200,"&lt;20190630",$K$4:$K$200,"&lt;=30"))</f>
        <v>-</v>
      </c>
      <c r="AG173" s="33" t="str">
        <f>IF(OR($C173&gt;20190630,$K173&gt;30,AC173="-",$D173="是",$E173="封闭期",$H173&lt;10,$BN173&lt;-6,$BR173&lt;70),"-",COUNTIFS(AC$4:AC$200,"&lt;&gt;-",$D$4:$D$200,"&lt;&gt;是",$E$4:$E$200,"&lt;&gt;封闭期",$H$4:$H$200,"&gt;10",$BN$4:$BN$200,"&gt;-6",$BR$4:$BR$200,"&gt;=70",$K$4:$K$200,"&lt;=30",$C$4:$C$200,"&lt;20190630",AC$4:AC$200,"&gt;="&amp;AC173)/COUNTIFS(AC$4:AC$200,"&lt;&gt;-",$D$4:$D$200,"&lt;&gt;是",$E$4:$E$200,"&lt;&gt;封闭期",$H$4:$H$200,"&gt;10",$BN$4:$BN$200,"&gt;-6",$BR$4:$BR$200,"&gt;=70",$C$4:$C$200,"&lt;20190630",$K$4:$K$200,"&lt;=30"))</f>
        <v>-</v>
      </c>
      <c r="AH173" s="21">
        <f>[1]!f_risk_maxdownside(A173,$L$2,$E$1)</f>
        <v>-3.0341802229939785</v>
      </c>
      <c r="AI173" s="19" t="str">
        <f>IFERROR(RANK(AH173,AH:AH)&amp;"/"&amp;COUNT(AH:AH),"-")</f>
        <v>95/197</v>
      </c>
      <c r="AJ173" s="26">
        <f>IFERROR(RANK(AH173,AH:AH)/COUNT(AH:AH),"-")</f>
        <v>0.48223350253807107</v>
      </c>
      <c r="AK173" s="34" t="str">
        <f>IF(OR($C173&gt;20190630,$K173&gt;30,AH173="-",$D173="是",$E173="封闭期",$H173&lt;10,$BN173&lt;-6,$BR173&lt;70),"-",COUNTIFS(AH$4:AH$200,"&lt;&gt;-",$D$4:$D$200,"&lt;&gt;是",$E$4:$E$200,"&lt;&gt;封闭期",$H$4:$H$200,"&gt;10",$BN$4:$BN$200,"&gt;-6",$BR$4:$BR$200,"&gt;=70",$K$4:$K$200,"&lt;=30",$C$4:$C$200,"&lt;20190630",AH$4:AH$200,"&gt;="&amp;AH173)&amp;"/"&amp;COUNTIFS(AH$4:AH$200,"&lt;&gt;-",$D$4:$D$200,"&lt;&gt;是",$E$4:$E$200,"&lt;&gt;封闭期",$H$4:$H$200,"&gt;10",$BN$4:$BN$200,"&gt;-6",$BR$4:$BR$200,"&gt;=70",$C$4:$C$200,"&lt;20190630",$K$4:$K$200,"&lt;=30"))</f>
        <v>-</v>
      </c>
      <c r="AL173" s="33" t="str">
        <f>IF(OR($C173&gt;20190630,$K173&gt;30,AH173="-",$D173="是",$E173="封闭期",$H173&lt;10,$BN173&lt;-6,$BR173&lt;70),"-",COUNTIFS(AH$4:AH$200,"&lt;&gt;-",$D$4:$D$200,"&lt;&gt;是",$E$4:$E$200,"&lt;&gt;封闭期",$H$4:$H$200,"&gt;10",$BN$4:$BN$200,"&gt;-6",$BR$4:$BR$200,"&gt;=70",$K$4:$K$200,"&lt;=30",$C$4:$C$200,"&lt;20190630",AH$4:AH$200,"&gt;="&amp;AH173)/COUNTIFS(AH$4:AH$200,"&lt;&gt;-",$D$4:$D$200,"&lt;&gt;是",$E$4:$E$200,"&lt;&gt;封闭期",$H$4:$H$200,"&gt;10",$BN$4:$BN$200,"&gt;-6",$BR$4:$BR$200,"&gt;=70",$C$4:$C$200,"&lt;20190630",$K$4:$K$200,"&lt;=30"))</f>
        <v>-</v>
      </c>
      <c r="AM173" s="19">
        <f>[1]!f_return($A173,"1",AM$2,$L$2)</f>
        <v>2.7213759659925563</v>
      </c>
      <c r="AN173" s="19">
        <f>[1]!f_risk_stdevyearly($A173,AM$2,$L$2,1,1)</f>
        <v>10.031101086349345</v>
      </c>
      <c r="AO173" s="19">
        <f>IFERROR(AM173/AN173,"-")</f>
        <v>0.27129384327468248</v>
      </c>
      <c r="AP173" s="19" t="str">
        <f>IFERROR(RANK(AO173,AO:AO)&amp;"/"&amp;COUNT(AO:AO),"-")</f>
        <v>189/197</v>
      </c>
      <c r="AQ173" s="26">
        <f>IF(AP173="-","-",RANK(AO173,AO:AO)/COUNT(AO:AO))</f>
        <v>0.95939086294416243</v>
      </c>
      <c r="AR173" s="57">
        <v>0.86294416243654826</v>
      </c>
      <c r="AS173" s="33" t="str">
        <f>IF(OR($C173&gt;20190630,$K173&gt;30,AO173="-",$D173="是",$E173="封闭期",$H173&lt;10,$BN173&lt;-6,$BR173&lt;70),"-",COUNTIFS(AO$4:AO$200,"&lt;&gt;-",$D$4:$D$200,"&lt;&gt;是",$E$4:$E$200,"&lt;&gt;封闭期",$H$4:$H$200,"&gt;10",$BN$4:$BN$200,"&gt;-6",$BR$4:$BR$200,"&gt;=70",$K$4:$K$200,"&lt;=30",$C$4:$C$200,"&lt;20190630",AO$4:AO$200,"&gt;="&amp;AO173)/COUNTIFS(AO$4:AO$200,"&lt;&gt;-",$D$4:$D$200,"&lt;&gt;是",$E$4:$E$200,"&lt;&gt;封闭期",$H$4:$H$200,"&gt;10",$BN$4:$BN$200,"&gt;-6",$BR$4:$BR$200,"&gt;=70",$C$4:$C$200,"&lt;20190630",$K$4:$K$200,"&lt;=30"))</f>
        <v>-</v>
      </c>
      <c r="AT173" s="19">
        <f>IFERROR((AM173-3)/AN173,"-")</f>
        <v>-2.7776016970520272E-2</v>
      </c>
      <c r="AU173" s="19" t="str">
        <f>IFERROR(RANK(AT173,AT:AT)&amp;"/"&amp;COUNT(AT:AT),"-")</f>
        <v>169/197</v>
      </c>
      <c r="AV173" s="26">
        <f>IFERROR(RANK(AT173,AT:AT)/COUNT(AT:AT),"-")</f>
        <v>0.85786802030456855</v>
      </c>
      <c r="AW173" s="34" t="str">
        <f>IF(OR($C173&gt;20190630,$K173&gt;30,AT173="-",$D173="是",$E173="封闭期",$H173&lt;10,$BN173&lt;-6,$BR173&lt;70),"-",COUNTIFS(AT$4:AT$200,"&lt;&gt;-",$D$4:$D$200,"&lt;&gt;是",$E$4:$E$200,"&lt;&gt;封闭期",$H$4:$H$200,"&gt;10",$BN$4:$BN$200,"&gt;-6",$BR$4:$BR$200,"&gt;=70",$K$4:$K$200,"&lt;=30",$C$4:$C$200,"&lt;20190630",AT$4:AT$200,"&gt;="&amp;AT173)&amp;"/"&amp;COUNTIFS(AT$4:AT$200,"&lt;&gt;-",$D$4:$D$200,"&lt;&gt;是",$E$4:$E$200,"&lt;&gt;封闭期",$H$4:$H$200,"&gt;10",$BN$4:$BN$200,"&gt;-6",$BR$4:$BR$200,"&gt;=70",$C$4:$C$200,"&lt;20190630",$K$4:$K$200,"&lt;=30"))</f>
        <v>-</v>
      </c>
      <c r="AX173" s="33" t="str">
        <f>IF(OR($C173&gt;20190630,$K173&gt;30,AT173="-",$D173="是",$E173="封闭期",$H173&lt;10,$BN173&lt;-6,$BR173&lt;70),"-",COUNTIFS(AT$4:AT$200,"&lt;&gt;-",$D$4:$D$200,"&lt;&gt;是",$E$4:$E$200,"&lt;&gt;封闭期",$H$4:$H$200,"&gt;10",$BN$4:$BN$200,"&gt;-6",$BR$4:$BR$200,"&gt;=70",$K$4:$K$200,"&lt;=30",$C$4:$C$200,"&lt;20190630",AT$4:AT$200,"&gt;="&amp;AT173)/COUNTIFS(AT$4:AT$200,"&lt;&gt;-",$D$4:$D$200,"&lt;&gt;是",$E$4:$E$200,"&lt;&gt;封闭期",$H$4:$H$200,"&gt;10",$BN$4:$BN$200,"&gt;-6",$BR$4:$BR$200,"&gt;=70",$C$4:$C$200,"&lt;20190630",$K$4:$K$200,"&lt;=30"))</f>
        <v>-</v>
      </c>
      <c r="AY173" s="19">
        <f>[1]!f_risk_calmar(A173,$AM$2,$L$2)</f>
        <v>0.34159453318583805</v>
      </c>
      <c r="AZ173" s="19" t="str">
        <f>IFERROR(RANK(AY173,AY:AY)&amp;"/"&amp;COUNT(AY:AY),"-")</f>
        <v>191/197</v>
      </c>
      <c r="BA173" s="26">
        <f>IFERROR(RANK(AY173,AY:AY)/COUNT(AY:AY),"-")</f>
        <v>0.96954314720812185</v>
      </c>
      <c r="BB173" s="34" t="str">
        <f>IF(OR($C173&gt;20190630,$K173&gt;30,AY173="-",$D173="是",$E173="封闭期",$H173&lt;10,$BN173&lt;-6,$BR173&lt;70),"-",COUNTIFS(AY$4:AY$200,"&lt;&gt;-",$D$4:$D$200,"&lt;&gt;是",$E$4:$E$200,"&lt;&gt;封闭期",$H$4:$H$200,"&gt;10",$BN$4:$BN$200,"&gt;-6",$BR$4:$BR$200,"&gt;=70",$K$4:$K$200,"&lt;=30",$C$4:$C$200,"&lt;20190630",AY$4:AY$200,"&gt;="&amp;AY173)&amp;"/"&amp;COUNTIFS(AY$4:AY$200,"&lt;&gt;-",$D$4:$D$200,"&lt;&gt;是",$E$4:$E$200,"&lt;&gt;封闭期",$H$4:$H$200,"&gt;10",$BN$4:$BN$200,"&gt;-6",$BR$4:$BR$200,"&gt;=70",$C$4:$C$200,"&lt;20190630",$K$4:$K$200,"&lt;=30"))</f>
        <v>-</v>
      </c>
      <c r="BC173" s="33" t="str">
        <f>IF(OR($C173&gt;20190630,$K173&gt;30,AY173="-",$D173="是",$E173="封闭期",$H173&lt;10,$BN173&lt;-6,$BR173&lt;70),"-",COUNTIFS(AY$4:AY$200,"&lt;&gt;-",$D$4:$D$200,"&lt;&gt;是",$E$4:$E$200,"&lt;&gt;封闭期",$H$4:$H$200,"&gt;10",$BN$4:$BN$200,"&gt;-6",$BR$4:$BR$200,"&gt;=70",$K$4:$K$200,"&lt;=30",$C$4:$C$200,"&lt;20190630",AY$4:AY$200,"&gt;="&amp;AY173)/COUNTIFS(AY$4:AY$200,"&lt;&gt;-",$D$4:$D$200,"&lt;&gt;是",$E$4:$E$200,"&lt;&gt;封闭期",$H$4:$H$200,"&gt;10",$BN$4:$BN$200,"&gt;-6",$BR$4:$BR$200,"&gt;=70",$C$4:$C$200,"&lt;20190630",$K$4:$K$200,"&lt;=30"))</f>
        <v>-</v>
      </c>
      <c r="BD173" s="20">
        <v>0.45833333333333331</v>
      </c>
      <c r="BE173" s="19" t="str">
        <f>IFERROR(RANK(BD173,BD:BD)&amp;"/"&amp;COUNT(BD:BD),"-")</f>
        <v>193/197</v>
      </c>
      <c r="BF173" s="26">
        <f>IFERROR(RANK(BD173,BD:BD)/COUNT(BD:BD),"-")</f>
        <v>0.97969543147208127</v>
      </c>
      <c r="BG173" s="34" t="str">
        <f>IF(OR($C173&gt;20190630,$K173&gt;30,BD173="-",$D173="是",$E173="封闭期",$H173&lt;10,$BN173&lt;-6,$BR173&lt;70),"-",COUNTIFS(BD$4:BD$200,"&lt;&gt;-",$D$4:$D$200,"&lt;&gt;是",$E$4:$E$200,"&lt;&gt;封闭期",$H$4:$H$200,"&gt;10",$BN$4:$BN$200,"&gt;-6",$BR$4:$BR$200,"&gt;=70",$K$4:$K$200,"&lt;=30",$C$4:$C$200,"&lt;20190630",BD$4:BD$200,"&gt;="&amp;BD173)&amp;"/"&amp;COUNTIFS(BD$4:BD$200,"&lt;&gt;-",$D$4:$D$200,"&lt;&gt;是",$E$4:$E$200,"&lt;&gt;封闭期",$H$4:$H$200,"&gt;10",$BN$4:$BN$200,"&gt;-6",$BR$4:$BR$200,"&gt;=70",$C$4:$C$200,"&lt;20190630",$K$4:$K$200,"&lt;=30"))</f>
        <v>-</v>
      </c>
      <c r="BH173" s="33" t="str">
        <f>IF(OR($C173&gt;20190630,$K173&gt;30,BD173="-",$D173="是",$E173="封闭期",$H173&lt;10,$BN173&lt;-6,$BR173&lt;70),"-",COUNTIFS(BD$4:BD$200,"&lt;&gt;-",$D$4:$D$200,"&lt;&gt;是",$E$4:$E$200,"&lt;&gt;封闭期",$H$4:$H$200,"&gt;10",$BN$4:$BN$200,"&gt;-6",$BR$4:$BR$200,"&gt;=70",$K$4:$K$200,"&lt;=30",$C$4:$C$200,"&lt;20190630",BD$4:BD$200,"&gt;="&amp;BD173)/COUNTIFS(BD$4:BD$200,"&lt;&gt;-",$D$4:$D$200,"&lt;&gt;是",$E$4:$E$200,"&lt;&gt;封闭期",$H$4:$H$200,"&gt;10",$BN$4:$BN$200,"&gt;-6",$BR$4:$BR$200,"&gt;=70",$C$4:$C$200,"&lt;20190630",$K$4:$K$200,"&lt;=30"))</f>
        <v>-</v>
      </c>
      <c r="BI173" s="21">
        <f>[1]!f_risk_maxdownside(A173,$AM$2,$L$2)</f>
        <v>-7.9666847727684305</v>
      </c>
      <c r="BJ173" s="19" t="str">
        <f>IFERROR(RANK(BI173,BI:BI)&amp;"/"&amp;COUNT(BI:BI),"-")</f>
        <v>185/197</v>
      </c>
      <c r="BK173" s="26">
        <f>IFERROR(RANK(BI173,BI:BI)/COUNT(BI:BI),"-")</f>
        <v>0.93908629441624369</v>
      </c>
      <c r="BL173" s="34" t="str">
        <f>IF(OR($C173&gt;20190630,$K173&gt;30,BI173="-",$D173="是",$E173="封闭期",$H173&lt;10,$BN173&lt;-6,$BR173&lt;70),"-",COUNTIFS(BI$4:BI$200,"&lt;&gt;-",$D$4:$D$200,"&lt;&gt;是",$E$4:$E$200,"&lt;&gt;封闭期",$H$4:$H$200,"&gt;10",$BN$4:$BN$200,"&gt;-6",$BR$4:$BR$200,"&gt;=70",$K$4:$K$200,"&lt;=30",$C$4:$C$200,"&lt;20190630",BI$4:BI$200,"&gt;="&amp;BI173)&amp;"/"&amp;COUNTIFS(BI$4:BI$200,"&lt;&gt;-",$D$4:$D$200,"&lt;&gt;是",$E$4:$E$200,"&lt;&gt;封闭期",$H$4:$H$200,"&gt;10",$BN$4:$BN$200,"&gt;-6",$BR$4:$BR$200,"&gt;=70",$C$4:$C$200,"&lt;20190630",$K$4:$K$200,"&lt;=30"))</f>
        <v>-</v>
      </c>
      <c r="BM173" s="33" t="str">
        <f>IF(OR($C173&gt;20190630,$K173&gt;30,BI173="-",$D173="是",$E173="封闭期",$H173&lt;10,$BN173&lt;-6,$BR173&lt;70),"-",COUNTIFS(BI$4:BI$200,"&lt;&gt;-",$D$4:$D$200,"&lt;&gt;是",$E$4:$E$200,"&lt;&gt;封闭期",$H$4:$H$200,"&gt;10",$BN$4:$BN$200,"&gt;-6",$BR$4:$BR$200,"&gt;=70",$K$4:$K$200,"&lt;=30",$C$4:$C$200,"&lt;20190630",BI$4:BI$200,"&gt;="&amp;BI173)/COUNTIFS(BI$4:BI$200,"&lt;&gt;-",$D$4:$D$200,"&lt;&gt;是",$E$4:$E$200,"&lt;&gt;封闭期",$H$4:$H$200,"&gt;10",$BN$4:$BN$200,"&gt;-6",$BR$4:$BR$200,"&gt;=70",$C$4:$C$200,"&lt;20190630",$K$4:$K$200,"&lt;=30"))</f>
        <v>-</v>
      </c>
      <c r="BN173" s="21">
        <f>[1]!f_risk_maxdownside(A173,$AM$2,$E$1)</f>
        <v>-7.9666847727684305</v>
      </c>
      <c r="BO173" s="21">
        <f>IF(C173&lt;20190930,[1]!f_return_2y(A173,"0","20210930"),"-")</f>
        <v>7.3199644374197428</v>
      </c>
      <c r="BP173" s="19" t="str">
        <f>IFERROR(RANK(BO173,BO:BO)&amp;"/"&amp;COUNT(BO:BO),"-")</f>
        <v>168/197</v>
      </c>
      <c r="BQ173" s="25">
        <f>IFERROR(RANK(BO173,BO:BO)/COUNT(BO:BO),"-")</f>
        <v>0.85279187817258884</v>
      </c>
      <c r="BR173" s="19">
        <f>IF(C173&lt;20190930,[1]!f_absolute_profitmonthper(A173,"20190930","20210930"),"-")</f>
        <v>54.166666666666664</v>
      </c>
      <c r="BS173" s="19" t="str">
        <f>IFERROR(RANK(BR173,BR:BR)&amp;"/"&amp;COUNT(BR:BR),"-")</f>
        <v>184/198</v>
      </c>
      <c r="BT173" s="25">
        <f>IFERROR(RANK(BR173,BR:BR)/COUNT(BR:BR),"-")</f>
        <v>0.92929292929292928</v>
      </c>
      <c r="BV173" s="12">
        <f>X173-3/M173</f>
        <v>0.62835026694427343</v>
      </c>
      <c r="BW173" s="76">
        <f>IFERROR(RANK(BV173,BV:BV)/COUNT(BV:BV),"-")</f>
        <v>0.71065989847715738</v>
      </c>
      <c r="BX173" s="76">
        <f>IFERROR(RANK(L173,L:L)/COUNT(L:L),"-")</f>
        <v>0.71212121212121215</v>
      </c>
      <c r="BY173" s="12">
        <f>AY173-3/AN173</f>
        <v>4.2524672940635333E-2</v>
      </c>
      <c r="BZ173" s="76">
        <f>IFERROR(RANK(BY173,BY:BY)/COUNT(BY:BY),"-")</f>
        <v>0.8375634517766497</v>
      </c>
      <c r="CA173" s="76">
        <f>IFERROR(RANK(AM173,AM:AM)/COUNT(AM:AM),"-")</f>
        <v>0.86363636363636365</v>
      </c>
      <c r="CB173" s="2"/>
      <c r="CC173" s="77">
        <f>AV173+BF173+BZ173+CA173</f>
        <v>3.5387632671896632</v>
      </c>
      <c r="CD173" s="77">
        <f>BW173+BX173+AE173+U173</f>
        <v>2.8441009075526846</v>
      </c>
      <c r="CE173" s="77">
        <f>CC173+CD173</f>
        <v>6.3828641747423482</v>
      </c>
    </row>
    <row r="174" spans="1:83" s="17" customFormat="1" x14ac:dyDescent="0.35">
      <c r="A174" s="15" t="s">
        <v>149</v>
      </c>
      <c r="B174" s="15" t="s">
        <v>150</v>
      </c>
      <c r="C174" s="16">
        <v>20130730</v>
      </c>
      <c r="D174" s="16" t="str">
        <f>[1]!f_info_regulopenfundornot(A174)</f>
        <v>否</v>
      </c>
      <c r="E174" s="16" t="str">
        <f>[1]!f_dq_status(A174,$E$1)</f>
        <v>开放申购|开放赎回</v>
      </c>
      <c r="F174" s="17" t="str">
        <f>[1]!f_info_fundmanager(A174)</f>
        <v>彭成军</v>
      </c>
      <c r="G174" s="16">
        <v>20210402</v>
      </c>
      <c r="H174" s="18">
        <f>[1]!f_netasset_total(A174,$E$1,100000000)</f>
        <v>16.402167647399999</v>
      </c>
      <c r="I174" s="18">
        <f>[1]!f_prt_convertiblebondtonav(A174,$E$1)</f>
        <v>0</v>
      </c>
      <c r="J174" s="18">
        <f>[1]!f_prt_stocktonav(A174,$E$1)+0.5*I174</f>
        <v>0</v>
      </c>
      <c r="K174" s="19">
        <v>24.435123979697369</v>
      </c>
      <c r="L174" s="19">
        <f>[1]!f_return($A174,"1",L$2,$E$1)</f>
        <v>2.2289249514215514</v>
      </c>
      <c r="M174" s="19">
        <f>[1]!f_risk_stdevyearly($A174,L$2,$E$1,1,1)</f>
        <v>3.7119996933966442</v>
      </c>
      <c r="N174" s="19">
        <f>IFERROR(L174/M174,"-")</f>
        <v>0.60046474556197671</v>
      </c>
      <c r="O174" s="19" t="str">
        <f>IFERROR(RANK(N174,N:N)&amp;"/"&amp;COUNT(N:N),"-")</f>
        <v>170/197</v>
      </c>
      <c r="P174" s="26">
        <f>IF(O174="-","-",RANK(N174,N:N)/COUNT(N:N))</f>
        <v>0.86294416243654826</v>
      </c>
      <c r="Q174" s="56">
        <v>0.88324873096446699</v>
      </c>
      <c r="R174" s="33" t="str">
        <f>IF(OR($C174&gt;20190630,$K174&gt;30,N174="-",$D174="是",$E174="封闭期",$H174&lt;10,$BN174&lt;-6,$BR174&lt;70),"-",COUNTIFS(N$4:N$200,"&lt;&gt;-",$D$4:$D$200,"&lt;&gt;是",$E$4:$E$200,"&lt;&gt;封闭期",$H$4:$H$200,"&gt;10",$BN$4:$BN$200,"&gt;-6",$BR$4:$BR$200,"&gt;=70",$K$4:$K$200,"&lt;=30",$C$4:$C$200,"&lt;20190630",N$4:N$200,"&gt;="&amp;N174)/COUNTIFS(N$4:N$200,"&lt;&gt;-",$D$4:$D$200,"&lt;&gt;是",$E$4:$E$200,"&lt;&gt;封闭期",$H$4:$H$200,"&gt;10",$BN$4:$BN$200,"&gt;-6",$BR$4:$BR$200,"&gt;=70",$C$4:$C$200,"&lt;20190630",$K$4:$K$200,"&lt;=30"))</f>
        <v>-</v>
      </c>
      <c r="S174" s="19">
        <f>IFERROR((L174-3)/M174,"-")</f>
        <v>-0.20772497636520026</v>
      </c>
      <c r="T174" s="19" t="str">
        <f>IFERROR(RANK(S174,S:S)&amp;"/"&amp;COUNT(S:S),"-")</f>
        <v>174/197</v>
      </c>
      <c r="U174" s="26">
        <f>IFERROR(RANK(S174,S:S)/COUNT(S:S),"-")</f>
        <v>0.88324873096446699</v>
      </c>
      <c r="V174" s="34" t="str">
        <f>IF(OR($C174&gt;20190630,$K174&gt;30,S174="-",$D174="是",$E174="封闭期",$H174&lt;10,$BN174&lt;-6,$BR174&lt;70),"-",COUNTIFS(S$4:S$200,"&lt;&gt;-",$D$4:$D$200,"&lt;&gt;是",$E$4:$E$200,"&lt;&gt;封闭期",$H$4:$H$200,"&gt;10",$BN$4:$BN$200,"&gt;-6",$BR$4:$BR$200,"&gt;=70",$K$4:$K$200,"&lt;=30",$C$4:$C$200,"&lt;20190630",S$4:S$200,"&gt;="&amp;S174)&amp;"/"&amp;COUNTIFS(S$4:S$200,"&lt;&gt;-",$D$4:$D$200,"&lt;&gt;是",$E$4:$E$200,"&lt;&gt;封闭期",$H$4:$H$200,"&gt;10",$BN$4:$BN$200,"&gt;-6",$BR$4:$BR$200,"&gt;=70",$C$4:$C$200,"&lt;20190630",$K$4:$K$200,"&lt;=30"))</f>
        <v>-</v>
      </c>
      <c r="W174" s="33" t="str">
        <f>IF(OR($C174&gt;20190630,$K174&gt;30,S174="-",$D174="是",$E174="封闭期",$H174&lt;10,$BN174&lt;-6,$BR174&lt;70),"-",COUNTIFS(S$4:S$200,"&lt;&gt;-",$D$4:$D$200,"&lt;&gt;是",$E$4:$E$200,"&lt;&gt;封闭期",$H$4:$H$200,"&gt;10",$BN$4:$BN$200,"&gt;-6",$BR$4:$BR$200,"&gt;=70",$K$4:$K$200,"&lt;=30",$C$4:$C$200,"&lt;20190630",S$4:S$200,"&gt;="&amp;S174)/COUNTIFS(S$4:S$200,"&lt;&gt;-",$D$4:$D$200,"&lt;&gt;是",$E$4:$E$200,"&lt;&gt;封闭期",$H$4:$H$200,"&gt;10",$BN$4:$BN$200,"&gt;-6",$BR$4:$BR$200,"&gt;=70",$C$4:$C$200,"&lt;20190630",$K$4:$K$200,"&lt;=30"))</f>
        <v>-</v>
      </c>
      <c r="X174" s="19">
        <f>[1]!f_risk_calmar(A174,$L$2,$E$1)</f>
        <v>0.46250192741997237</v>
      </c>
      <c r="Y174" s="19" t="str">
        <f>IFERROR(RANK(X174,X:X)&amp;"/"&amp;COUNT(X:X),"-")</f>
        <v>179/197</v>
      </c>
      <c r="Z174" s="26">
        <f>IFERROR(RANK(X174,X:X)/COUNT(X:X),"-")</f>
        <v>0.90862944162436543</v>
      </c>
      <c r="AA174" s="34" t="str">
        <f>IF(OR($C174&gt;20190630,$K174&gt;30,X174="-",$D174="是",$E174="封闭期",$H174&lt;10,$BN174&lt;-6,$BR174&lt;70),"-",COUNTIFS(X$4:X$200,"&lt;&gt;-",$D$4:$D$200,"&lt;&gt;是",$E$4:$E$200,"&lt;&gt;封闭期",$H$4:$H$200,"&gt;10",$BN$4:$BN$200,"&gt;-6",$BR$4:$BR$200,"&gt;=70",$K$4:$K$200,"&lt;=30",$C$4:$C$200,"&lt;20190630",X$4:X$200,"&gt;="&amp;X174)&amp;"/"&amp;COUNTIFS(X$4:X$200,"&lt;&gt;-",$D$4:$D$200,"&lt;&gt;是",$E$4:$E$200,"&lt;&gt;封闭期",$H$4:$H$200,"&gt;10",$BN$4:$BN$200,"&gt;-6",$BR$4:$BR$200,"&gt;=70",$C$4:$C$200,"&lt;20190630",$K$4:$K$200,"&lt;=30"))</f>
        <v>-</v>
      </c>
      <c r="AB174" s="33" t="str">
        <f>IF(OR($C174&gt;20190630,$K174&gt;30,X174="-",$D174="是",$E174="封闭期",$H174&lt;10,$BN174&lt;-6,$BR174&lt;70),"-",COUNTIFS(X$4:X$200,"&lt;&gt;-",$D$4:$D$200,"&lt;&gt;是",$E$4:$E$200,"&lt;&gt;封闭期",$H$4:$H$200,"&gt;10",$BN$4:$BN$200,"&gt;-6",$BR$4:$BR$200,"&gt;=70",$K$4:$K$200,"&lt;=30",$C$4:$C$200,"&lt;20190630",X$4:X$200,"&gt;="&amp;X174)/COUNTIFS(X$4:X$200,"&lt;&gt;-",$D$4:$D$200,"&lt;&gt;是",$E$4:$E$200,"&lt;&gt;封闭期",$H$4:$H$200,"&gt;10",$BN$4:$BN$200,"&gt;-6",$BR$4:$BR$200,"&gt;=70",$C$4:$C$200,"&lt;20190630",$K$4:$K$200,"&lt;=30"))</f>
        <v>-</v>
      </c>
      <c r="AC174" s="20">
        <v>0.35294117647058831</v>
      </c>
      <c r="AD174" s="19" t="str">
        <f>IFERROR(RANK(AC174,AC:AC)&amp;"/"&amp;COUNT(AC:AC),"-")</f>
        <v>189/197</v>
      </c>
      <c r="AE174" s="26">
        <f>IFERROR(RANK(AC174,AC:AC)/COUNT(AC:AC),"-")</f>
        <v>0.95939086294416243</v>
      </c>
      <c r="AF174" s="34" t="str">
        <f>IF(OR($C174&gt;20190630,$K174&gt;30,AC174="-",$D174="是",$E174="封闭期",$H174&lt;10,$BN174&lt;-6,$BR174&lt;70),"-",COUNTIFS(AC$4:AC$200,"&lt;&gt;-",$D$4:$D$200,"&lt;&gt;是",$E$4:$E$200,"&lt;&gt;封闭期",$H$4:$H$200,"&gt;10",$BN$4:$BN$200,"&gt;-6",$BR$4:$BR$200,"&gt;=70",$K$4:$K$200,"&lt;=30",$C$4:$C$200,"&lt;20190630",AC$4:AC$200,"&gt;="&amp;AC174)&amp;"/"&amp;COUNTIFS(AC$4:AC$200,"&lt;&gt;-",$D$4:$D$200,"&lt;&gt;是",$E$4:$E$200,"&lt;&gt;封闭期",$H$4:$H$200,"&gt;10",$BN$4:$BN$200,"&gt;-6",$BR$4:$BR$200,"&gt;=70",$C$4:$C$200,"&lt;20190630",$K$4:$K$200,"&lt;=30"))</f>
        <v>-</v>
      </c>
      <c r="AG174" s="33" t="str">
        <f>IF(OR($C174&gt;20190630,$K174&gt;30,AC174="-",$D174="是",$E174="封闭期",$H174&lt;10,$BN174&lt;-6,$BR174&lt;70),"-",COUNTIFS(AC$4:AC$200,"&lt;&gt;-",$D$4:$D$200,"&lt;&gt;是",$E$4:$E$200,"&lt;&gt;封闭期",$H$4:$H$200,"&gt;10",$BN$4:$BN$200,"&gt;-6",$BR$4:$BR$200,"&gt;=70",$K$4:$K$200,"&lt;=30",$C$4:$C$200,"&lt;20190630",AC$4:AC$200,"&gt;="&amp;AC174)/COUNTIFS(AC$4:AC$200,"&lt;&gt;-",$D$4:$D$200,"&lt;&gt;是",$E$4:$E$200,"&lt;&gt;封闭期",$H$4:$H$200,"&gt;10",$BN$4:$BN$200,"&gt;-6",$BR$4:$BR$200,"&gt;=70",$C$4:$C$200,"&lt;20190630",$K$4:$K$200,"&lt;=30"))</f>
        <v>-</v>
      </c>
      <c r="AH174" s="21">
        <f>[1]!f_risk_maxdownside(A174,$L$2,$E$1)</f>
        <v>-4.81927710843373</v>
      </c>
      <c r="AI174" s="19" t="str">
        <f>IFERROR(RANK(AH174,AH:AH)&amp;"/"&amp;COUNT(AH:AH),"-")</f>
        <v>152/197</v>
      </c>
      <c r="AJ174" s="26">
        <f>IFERROR(RANK(AH174,AH:AH)/COUNT(AH:AH),"-")</f>
        <v>0.77157360406091369</v>
      </c>
      <c r="AK174" s="34" t="str">
        <f>IF(OR($C174&gt;20190630,$K174&gt;30,AH174="-",$D174="是",$E174="封闭期",$H174&lt;10,$BN174&lt;-6,$BR174&lt;70),"-",COUNTIFS(AH$4:AH$200,"&lt;&gt;-",$D$4:$D$200,"&lt;&gt;是",$E$4:$E$200,"&lt;&gt;封闭期",$H$4:$H$200,"&gt;10",$BN$4:$BN$200,"&gt;-6",$BR$4:$BR$200,"&gt;=70",$K$4:$K$200,"&lt;=30",$C$4:$C$200,"&lt;20190630",AH$4:AH$200,"&gt;="&amp;AH174)&amp;"/"&amp;COUNTIFS(AH$4:AH$200,"&lt;&gt;-",$D$4:$D$200,"&lt;&gt;是",$E$4:$E$200,"&lt;&gt;封闭期",$H$4:$H$200,"&gt;10",$BN$4:$BN$200,"&gt;-6",$BR$4:$BR$200,"&gt;=70",$C$4:$C$200,"&lt;20190630",$K$4:$K$200,"&lt;=30"))</f>
        <v>-</v>
      </c>
      <c r="AL174" s="33" t="str">
        <f>IF(OR($C174&gt;20190630,$K174&gt;30,AH174="-",$D174="是",$E174="封闭期",$H174&lt;10,$BN174&lt;-6,$BR174&lt;70),"-",COUNTIFS(AH$4:AH$200,"&lt;&gt;-",$D$4:$D$200,"&lt;&gt;是",$E$4:$E$200,"&lt;&gt;封闭期",$H$4:$H$200,"&gt;10",$BN$4:$BN$200,"&gt;-6",$BR$4:$BR$200,"&gt;=70",$K$4:$K$200,"&lt;=30",$C$4:$C$200,"&lt;20190630",AH$4:AH$200,"&gt;="&amp;AH174)/COUNTIFS(AH$4:AH$200,"&lt;&gt;-",$D$4:$D$200,"&lt;&gt;是",$E$4:$E$200,"&lt;&gt;封闭期",$H$4:$H$200,"&gt;10",$BN$4:$BN$200,"&gt;-6",$BR$4:$BR$200,"&gt;=70",$C$4:$C$200,"&lt;20190630",$K$4:$K$200,"&lt;=30"))</f>
        <v>-</v>
      </c>
      <c r="AM174" s="19">
        <f>[1]!f_return($A174,"1",AM$2,$L$2)</f>
        <v>2.617051881944743</v>
      </c>
      <c r="AN174" s="19">
        <f>[1]!f_risk_stdevyearly($A174,AM$2,$L$2,1,1)</f>
        <v>4.6782064890108384</v>
      </c>
      <c r="AO174" s="19">
        <f>IFERROR(AM174/AN174,"-")</f>
        <v>0.55941350346382279</v>
      </c>
      <c r="AP174" s="19" t="str">
        <f>IFERROR(RANK(AO174,AO:AO)&amp;"/"&amp;COUNT(AO:AO),"-")</f>
        <v>184/197</v>
      </c>
      <c r="AQ174" s="26">
        <f>IF(AP174="-","-",RANK(AO174,AO:AO)/COUNT(AO:AO))</f>
        <v>0.93401015228426398</v>
      </c>
      <c r="AR174" s="57">
        <v>0.86802030456852797</v>
      </c>
      <c r="AS174" s="33" t="str">
        <f>IF(OR($C174&gt;20190630,$K174&gt;30,AO174="-",$D174="是",$E174="封闭期",$H174&lt;10,$BN174&lt;-6,$BR174&lt;70),"-",COUNTIFS(AO$4:AO$200,"&lt;&gt;-",$D$4:$D$200,"&lt;&gt;是",$E$4:$E$200,"&lt;&gt;封闭期",$H$4:$H$200,"&gt;10",$BN$4:$BN$200,"&gt;-6",$BR$4:$BR$200,"&gt;=70",$K$4:$K$200,"&lt;=30",$C$4:$C$200,"&lt;20190630",AO$4:AO$200,"&gt;="&amp;AO174)/COUNTIFS(AO$4:AO$200,"&lt;&gt;-",$D$4:$D$200,"&lt;&gt;是",$E$4:$E$200,"&lt;&gt;封闭期",$H$4:$H$200,"&gt;10",$BN$4:$BN$200,"&gt;-6",$BR$4:$BR$200,"&gt;=70",$C$4:$C$200,"&lt;20190630",$K$4:$K$200,"&lt;=30"))</f>
        <v>-</v>
      </c>
      <c r="AT174" s="19">
        <f>IFERROR((AM174-3)/AN174,"-")</f>
        <v>-8.1857891257003421E-2</v>
      </c>
      <c r="AU174" s="19" t="str">
        <f>IFERROR(RANK(AT174,AT:AT)&amp;"/"&amp;COUNT(AT:AT),"-")</f>
        <v>171/197</v>
      </c>
      <c r="AV174" s="26">
        <f>IFERROR(RANK(AT174,AT:AT)/COUNT(AT:AT),"-")</f>
        <v>0.86802030456852797</v>
      </c>
      <c r="AW174" s="34" t="str">
        <f>IF(OR($C174&gt;20190630,$K174&gt;30,AT174="-",$D174="是",$E174="封闭期",$H174&lt;10,$BN174&lt;-6,$BR174&lt;70),"-",COUNTIFS(AT$4:AT$200,"&lt;&gt;-",$D$4:$D$200,"&lt;&gt;是",$E$4:$E$200,"&lt;&gt;封闭期",$H$4:$H$200,"&gt;10",$BN$4:$BN$200,"&gt;-6",$BR$4:$BR$200,"&gt;=70",$K$4:$K$200,"&lt;=30",$C$4:$C$200,"&lt;20190630",AT$4:AT$200,"&gt;="&amp;AT174)&amp;"/"&amp;COUNTIFS(AT$4:AT$200,"&lt;&gt;-",$D$4:$D$200,"&lt;&gt;是",$E$4:$E$200,"&lt;&gt;封闭期",$H$4:$H$200,"&gt;10",$BN$4:$BN$200,"&gt;-6",$BR$4:$BR$200,"&gt;=70",$C$4:$C$200,"&lt;20190630",$K$4:$K$200,"&lt;=30"))</f>
        <v>-</v>
      </c>
      <c r="AX174" s="33" t="str">
        <f>IF(OR($C174&gt;20190630,$K174&gt;30,AT174="-",$D174="是",$E174="封闭期",$H174&lt;10,$BN174&lt;-6,$BR174&lt;70),"-",COUNTIFS(AT$4:AT$200,"&lt;&gt;-",$D$4:$D$200,"&lt;&gt;是",$E$4:$E$200,"&lt;&gt;封闭期",$H$4:$H$200,"&gt;10",$BN$4:$BN$200,"&gt;-6",$BR$4:$BR$200,"&gt;=70",$K$4:$K$200,"&lt;=30",$C$4:$C$200,"&lt;20190630",AT$4:AT$200,"&gt;="&amp;AT174)/COUNTIFS(AT$4:AT$200,"&lt;&gt;-",$D$4:$D$200,"&lt;&gt;是",$E$4:$E$200,"&lt;&gt;封闭期",$H$4:$H$200,"&gt;10",$BN$4:$BN$200,"&gt;-6",$BR$4:$BR$200,"&gt;=70",$C$4:$C$200,"&lt;20190630",$K$4:$K$200,"&lt;=30"))</f>
        <v>-</v>
      </c>
      <c r="AY174" s="19">
        <f>[1]!f_risk_calmar(A174,$AM$2,$L$2)</f>
        <v>0.6082222429334555</v>
      </c>
      <c r="AZ174" s="19" t="str">
        <f>IFERROR(RANK(AY174,AY:AY)&amp;"/"&amp;COUNT(AY:AY),"-")</f>
        <v>184/197</v>
      </c>
      <c r="BA174" s="26">
        <f>IFERROR(RANK(AY174,AY:AY)/COUNT(AY:AY),"-")</f>
        <v>0.93401015228426398</v>
      </c>
      <c r="BB174" s="34" t="str">
        <f>IF(OR($C174&gt;20190630,$K174&gt;30,AY174="-",$D174="是",$E174="封闭期",$H174&lt;10,$BN174&lt;-6,$BR174&lt;70),"-",COUNTIFS(AY$4:AY$200,"&lt;&gt;-",$D$4:$D$200,"&lt;&gt;是",$E$4:$E$200,"&lt;&gt;封闭期",$H$4:$H$200,"&gt;10",$BN$4:$BN$200,"&gt;-6",$BR$4:$BR$200,"&gt;=70",$K$4:$K$200,"&lt;=30",$C$4:$C$200,"&lt;20190630",AY$4:AY$200,"&gt;="&amp;AY174)&amp;"/"&amp;COUNTIFS(AY$4:AY$200,"&lt;&gt;-",$D$4:$D$200,"&lt;&gt;是",$E$4:$E$200,"&lt;&gt;封闭期",$H$4:$H$200,"&gt;10",$BN$4:$BN$200,"&gt;-6",$BR$4:$BR$200,"&gt;=70",$C$4:$C$200,"&lt;20190630",$K$4:$K$200,"&lt;=30"))</f>
        <v>-</v>
      </c>
      <c r="BC174" s="33" t="str">
        <f>IF(OR($C174&gt;20190630,$K174&gt;30,AY174="-",$D174="是",$E174="封闭期",$H174&lt;10,$BN174&lt;-6,$BR174&lt;70),"-",COUNTIFS(AY$4:AY$200,"&lt;&gt;-",$D$4:$D$200,"&lt;&gt;是",$E$4:$E$200,"&lt;&gt;封闭期",$H$4:$H$200,"&gt;10",$BN$4:$BN$200,"&gt;-6",$BR$4:$BR$200,"&gt;=70",$K$4:$K$200,"&lt;=30",$C$4:$C$200,"&lt;20190630",AY$4:AY$200,"&gt;="&amp;AY174)/COUNTIFS(AY$4:AY$200,"&lt;&gt;-",$D$4:$D$200,"&lt;&gt;是",$E$4:$E$200,"&lt;&gt;封闭期",$H$4:$H$200,"&gt;10",$BN$4:$BN$200,"&gt;-6",$BR$4:$BR$200,"&gt;=70",$C$4:$C$200,"&lt;20190630",$K$4:$K$200,"&lt;=30"))</f>
        <v>-</v>
      </c>
      <c r="BD174" s="20">
        <v>0.85</v>
      </c>
      <c r="BE174" s="19" t="str">
        <f>IFERROR(RANK(BD174,BD:BD)&amp;"/"&amp;COUNT(BD:BD),"-")</f>
        <v>171/197</v>
      </c>
      <c r="BF174" s="26">
        <f>IFERROR(RANK(BD174,BD:BD)/COUNT(BD:BD),"-")</f>
        <v>0.86802030456852797</v>
      </c>
      <c r="BG174" s="34" t="str">
        <f>IF(OR($C174&gt;20190630,$K174&gt;30,BD174="-",$D174="是",$E174="封闭期",$H174&lt;10,$BN174&lt;-6,$BR174&lt;70),"-",COUNTIFS(BD$4:BD$200,"&lt;&gt;-",$D$4:$D$200,"&lt;&gt;是",$E$4:$E$200,"&lt;&gt;封闭期",$H$4:$H$200,"&gt;10",$BN$4:$BN$200,"&gt;-6",$BR$4:$BR$200,"&gt;=70",$K$4:$K$200,"&lt;=30",$C$4:$C$200,"&lt;20190630",BD$4:BD$200,"&gt;="&amp;BD174)&amp;"/"&amp;COUNTIFS(BD$4:BD$200,"&lt;&gt;-",$D$4:$D$200,"&lt;&gt;是",$E$4:$E$200,"&lt;&gt;封闭期",$H$4:$H$200,"&gt;10",$BN$4:$BN$200,"&gt;-6",$BR$4:$BR$200,"&gt;=70",$C$4:$C$200,"&lt;20190630",$K$4:$K$200,"&lt;=30"))</f>
        <v>-</v>
      </c>
      <c r="BH174" s="33" t="str">
        <f>IF(OR($C174&gt;20190630,$K174&gt;30,BD174="-",$D174="是",$E174="封闭期",$H174&lt;10,$BN174&lt;-6,$BR174&lt;70),"-",COUNTIFS(BD$4:BD$200,"&lt;&gt;-",$D$4:$D$200,"&lt;&gt;是",$E$4:$E$200,"&lt;&gt;封闭期",$H$4:$H$200,"&gt;10",$BN$4:$BN$200,"&gt;-6",$BR$4:$BR$200,"&gt;=70",$K$4:$K$200,"&lt;=30",$C$4:$C$200,"&lt;20190630",BD$4:BD$200,"&gt;="&amp;BD174)/COUNTIFS(BD$4:BD$200,"&lt;&gt;-",$D$4:$D$200,"&lt;&gt;是",$E$4:$E$200,"&lt;&gt;封闭期",$H$4:$H$200,"&gt;10",$BN$4:$BN$200,"&gt;-6",$BR$4:$BR$200,"&gt;=70",$C$4:$C$200,"&lt;20190630",$K$4:$K$200,"&lt;=30"))</f>
        <v>-</v>
      </c>
      <c r="BI174" s="21">
        <f>[1]!f_risk_maxdownside(A174,$AM$2,$L$2)</f>
        <v>-4.3027888446215048</v>
      </c>
      <c r="BJ174" s="19" t="str">
        <f>IFERROR(RANK(BI174,BI:BI)&amp;"/"&amp;COUNT(BI:BI),"-")</f>
        <v>141/197</v>
      </c>
      <c r="BK174" s="26">
        <f>IFERROR(RANK(BI174,BI:BI)/COUNT(BI:BI),"-")</f>
        <v>0.71573604060913709</v>
      </c>
      <c r="BL174" s="34" t="str">
        <f>IF(OR($C174&gt;20190630,$K174&gt;30,BI174="-",$D174="是",$E174="封闭期",$H174&lt;10,$BN174&lt;-6,$BR174&lt;70),"-",COUNTIFS(BI$4:BI$200,"&lt;&gt;-",$D$4:$D$200,"&lt;&gt;是",$E$4:$E$200,"&lt;&gt;封闭期",$H$4:$H$200,"&gt;10",$BN$4:$BN$200,"&gt;-6",$BR$4:$BR$200,"&gt;=70",$K$4:$K$200,"&lt;=30",$C$4:$C$200,"&lt;20190630",BI$4:BI$200,"&gt;="&amp;BI174)&amp;"/"&amp;COUNTIFS(BI$4:BI$200,"&lt;&gt;-",$D$4:$D$200,"&lt;&gt;是",$E$4:$E$200,"&lt;&gt;封闭期",$H$4:$H$200,"&gt;10",$BN$4:$BN$200,"&gt;-6",$BR$4:$BR$200,"&gt;=70",$C$4:$C$200,"&lt;20190630",$K$4:$K$200,"&lt;=30"))</f>
        <v>-</v>
      </c>
      <c r="BM174" s="33" t="str">
        <f>IF(OR($C174&gt;20190630,$K174&gt;30,BI174="-",$D174="是",$E174="封闭期",$H174&lt;10,$BN174&lt;-6,$BR174&lt;70),"-",COUNTIFS(BI$4:BI$200,"&lt;&gt;-",$D$4:$D$200,"&lt;&gt;是",$E$4:$E$200,"&lt;&gt;封闭期",$H$4:$H$200,"&gt;10",$BN$4:$BN$200,"&gt;-6",$BR$4:$BR$200,"&gt;=70",$K$4:$K$200,"&lt;=30",$C$4:$C$200,"&lt;20190630",BI$4:BI$200,"&gt;="&amp;BI174)/COUNTIFS(BI$4:BI$200,"&lt;&gt;-",$D$4:$D$200,"&lt;&gt;是",$E$4:$E$200,"&lt;&gt;封闭期",$H$4:$H$200,"&gt;10",$BN$4:$BN$200,"&gt;-6",$BR$4:$BR$200,"&gt;=70",$C$4:$C$200,"&lt;20190630",$K$4:$K$200,"&lt;=30"))</f>
        <v>-</v>
      </c>
      <c r="BN174" s="21">
        <f>[1]!f_risk_maxdownside(A174,$AM$2,$E$1)</f>
        <v>-5.5776892430278755</v>
      </c>
      <c r="BO174" s="21">
        <f>IF(C174&lt;20190930,[1]!f_return_2y(A174,"0","20210930"),"-")</f>
        <v>5.0170068027211068</v>
      </c>
      <c r="BP174" s="19" t="str">
        <f>IFERROR(RANK(BO174,BO:BO)&amp;"/"&amp;COUNT(BO:BO),"-")</f>
        <v>186/197</v>
      </c>
      <c r="BQ174" s="25">
        <f>IFERROR(RANK(BO174,BO:BO)/COUNT(BO:BO),"-")</f>
        <v>0.9441624365482234</v>
      </c>
      <c r="BR174" s="19">
        <f>IF(C174&lt;20190930,[1]!f_absolute_profitmonthper(A174,"20190930","20210930"),"-")</f>
        <v>62.5</v>
      </c>
      <c r="BS174" s="19" t="str">
        <f>IFERROR(RANK(BR174,BR:BR)&amp;"/"&amp;COUNT(BR:BR),"-")</f>
        <v>142/198</v>
      </c>
      <c r="BT174" s="25">
        <f>IFERROR(RANK(BR174,BR:BR)/COUNT(BR:BR),"-")</f>
        <v>0.71717171717171713</v>
      </c>
      <c r="BV174" s="12">
        <f>X174-3/M174</f>
        <v>-0.3456877945072046</v>
      </c>
      <c r="BW174" s="76">
        <f>IFERROR(RANK(BV174,BV:BV)/COUNT(BV:BV),"-")</f>
        <v>0.90862944162436543</v>
      </c>
      <c r="BX174" s="76">
        <f>IFERROR(RANK(L174,L:L)/COUNT(L:L),"-")</f>
        <v>0.88383838383838387</v>
      </c>
      <c r="BY174" s="12">
        <f>AY174-3/AN174</f>
        <v>-3.3049151787370779E-2</v>
      </c>
      <c r="BZ174" s="76">
        <f>IFERROR(RANK(BY174,BY:BY)/COUNT(BY:BY),"-")</f>
        <v>0.85786802030456855</v>
      </c>
      <c r="CA174" s="76">
        <f>IFERROR(RANK(AM174,AM:AM)/COUNT(AM:AM),"-")</f>
        <v>0.86868686868686873</v>
      </c>
      <c r="CB174" s="2"/>
      <c r="CC174" s="77">
        <f>AV174+BF174+BZ174+CA174</f>
        <v>3.4625954981284934</v>
      </c>
      <c r="CD174" s="77">
        <f>BW174+BX174+AE174+U174</f>
        <v>3.635107419371379</v>
      </c>
      <c r="CE174" s="77">
        <f>CC174+CD174</f>
        <v>7.0977029174998725</v>
      </c>
    </row>
    <row r="175" spans="1:83" s="17" customFormat="1" hidden="1" x14ac:dyDescent="0.35">
      <c r="A175" s="15" t="s">
        <v>21</v>
      </c>
      <c r="B175" s="15" t="s">
        <v>22</v>
      </c>
      <c r="C175" s="16">
        <v>20060413</v>
      </c>
      <c r="D175" s="16" t="str">
        <f>[1]!f_info_regulopenfundornot(A175)</f>
        <v>否</v>
      </c>
      <c r="E175" s="16" t="str">
        <f>[1]!f_dq_status(A175,$E$1)</f>
        <v>开放申购|开放赎回</v>
      </c>
      <c r="F175" s="17" t="str">
        <f>[1]!f_info_fundmanager(A175)</f>
        <v>王烨斌</v>
      </c>
      <c r="G175" s="16">
        <v>20210203</v>
      </c>
      <c r="H175" s="18">
        <f>[1]!f_netasset_total(A175,$E$1,100000000)</f>
        <v>0.53337966299999995</v>
      </c>
      <c r="I175" s="18">
        <f>[1]!f_prt_convertiblebondtonav(A175,$E$1)</f>
        <v>27.724880218505859</v>
      </c>
      <c r="J175" s="18">
        <f>[1]!f_prt_stocktonav(A175,$E$1)+0.5*I175</f>
        <v>13.86244010925293</v>
      </c>
      <c r="K175" s="19">
        <v>9.3601244035432973</v>
      </c>
      <c r="L175" s="19">
        <f>[1]!f_return($A175,"1",L$2,$E$1)</f>
        <v>3.2656562490825269</v>
      </c>
      <c r="M175" s="19">
        <f>[1]!f_risk_stdevyearly($A175,L$2,$E$1,1,1)</f>
        <v>1.6432821903957333</v>
      </c>
      <c r="N175" s="19">
        <f>IFERROR(L175/M175,"-")</f>
        <v>1.9872766029893474</v>
      </c>
      <c r="O175" s="19" t="str">
        <f>IFERROR(RANK(N175,N:N)&amp;"/"&amp;COUNT(N:N),"-")</f>
        <v>50/197</v>
      </c>
      <c r="P175" s="26">
        <f>IF(O175="-","-",RANK(N175,N:N)/COUNT(N:N))</f>
        <v>0.25380710659898476</v>
      </c>
      <c r="Q175" s="56">
        <v>0.81218274111675126</v>
      </c>
      <c r="R175" s="33" t="str">
        <f>IF(OR($C175&gt;20190630,$K175&gt;30,N175="-",$D175="是",$E175="封闭期",$H175&lt;10,$BN175&lt;-6,$BR175&lt;70),"-",COUNTIFS(N$4:N$200,"&lt;&gt;-",$D$4:$D$200,"&lt;&gt;是",$E$4:$E$200,"&lt;&gt;封闭期",$H$4:$H$200,"&gt;10",$BN$4:$BN$200,"&gt;-6",$BR$4:$BR$200,"&gt;=70",$K$4:$K$200,"&lt;=30",$C$4:$C$200,"&lt;20190630",N$4:N$200,"&gt;="&amp;N175)/COUNTIFS(N$4:N$200,"&lt;&gt;-",$D$4:$D$200,"&lt;&gt;是",$E$4:$E$200,"&lt;&gt;封闭期",$H$4:$H$200,"&gt;10",$BN$4:$BN$200,"&gt;-6",$BR$4:$BR$200,"&gt;=70",$C$4:$C$200,"&lt;20190630",$K$4:$K$200,"&lt;=30"))</f>
        <v>-</v>
      </c>
      <c r="S175" s="19">
        <f>IFERROR((L175-3)/M175,"-")</f>
        <v>0.16166197786063263</v>
      </c>
      <c r="T175" s="19" t="str">
        <f>IFERROR(RANK(S175,S:S)&amp;"/"&amp;COUNT(S:S),"-")</f>
        <v>156/197</v>
      </c>
      <c r="U175" s="26">
        <f>IFERROR(RANK(S175,S:S)/COUNT(S:S),"-")</f>
        <v>0.79187817258883253</v>
      </c>
      <c r="V175" s="34" t="str">
        <f>IF(OR($C175&gt;20190630,$K175&gt;30,S175="-",$D175="是",$E175="封闭期",$H175&lt;10,$BN175&lt;-6,$BR175&lt;70),"-",COUNTIFS(S$4:S$200,"&lt;&gt;-",$D$4:$D$200,"&lt;&gt;是",$E$4:$E$200,"&lt;&gt;封闭期",$H$4:$H$200,"&gt;10",$BN$4:$BN$200,"&gt;-6",$BR$4:$BR$200,"&gt;=70",$K$4:$K$200,"&lt;=30",$C$4:$C$200,"&lt;20190630",S$4:S$200,"&gt;="&amp;S175)&amp;"/"&amp;COUNTIFS(S$4:S$200,"&lt;&gt;-",$D$4:$D$200,"&lt;&gt;是",$E$4:$E$200,"&lt;&gt;封闭期",$H$4:$H$200,"&gt;10",$BN$4:$BN$200,"&gt;-6",$BR$4:$BR$200,"&gt;=70",$C$4:$C$200,"&lt;20190630",$K$4:$K$200,"&lt;=30"))</f>
        <v>-</v>
      </c>
      <c r="W175" s="33" t="str">
        <f>IF(OR($C175&gt;20190630,$K175&gt;30,S175="-",$D175="是",$E175="封闭期",$H175&lt;10,$BN175&lt;-6,$BR175&lt;70),"-",COUNTIFS(S$4:S$200,"&lt;&gt;-",$D$4:$D$200,"&lt;&gt;是",$E$4:$E$200,"&lt;&gt;封闭期",$H$4:$H$200,"&gt;10",$BN$4:$BN$200,"&gt;-6",$BR$4:$BR$200,"&gt;=70",$K$4:$K$200,"&lt;=30",$C$4:$C$200,"&lt;20190630",S$4:S$200,"&gt;="&amp;S175)/COUNTIFS(S$4:S$200,"&lt;&gt;-",$D$4:$D$200,"&lt;&gt;是",$E$4:$E$200,"&lt;&gt;封闭期",$H$4:$H$200,"&gt;10",$BN$4:$BN$200,"&gt;-6",$BR$4:$BR$200,"&gt;=70",$C$4:$C$200,"&lt;20190630",$K$4:$K$200,"&lt;=30"))</f>
        <v>-</v>
      </c>
      <c r="X175" s="19">
        <f>[1]!f_risk_calmar(A175,$L$2,$E$1)</f>
        <v>2.5084468900326859</v>
      </c>
      <c r="Y175" s="19" t="str">
        <f>IFERROR(RANK(X175,X:X)&amp;"/"&amp;COUNT(X:X),"-")</f>
        <v>72/197</v>
      </c>
      <c r="Z175" s="26">
        <f>IFERROR(RANK(X175,X:X)/COUNT(X:X),"-")</f>
        <v>0.36548223350253806</v>
      </c>
      <c r="AA175" s="34" t="str">
        <f>IF(OR($C175&gt;20190630,$K175&gt;30,X175="-",$D175="是",$E175="封闭期",$H175&lt;10,$BN175&lt;-6,$BR175&lt;70),"-",COUNTIFS(X$4:X$200,"&lt;&gt;-",$D$4:$D$200,"&lt;&gt;是",$E$4:$E$200,"&lt;&gt;封闭期",$H$4:$H$200,"&gt;10",$BN$4:$BN$200,"&gt;-6",$BR$4:$BR$200,"&gt;=70",$K$4:$K$200,"&lt;=30",$C$4:$C$200,"&lt;20190630",X$4:X$200,"&gt;="&amp;X175)&amp;"/"&amp;COUNTIFS(X$4:X$200,"&lt;&gt;-",$D$4:$D$200,"&lt;&gt;是",$E$4:$E$200,"&lt;&gt;封闭期",$H$4:$H$200,"&gt;10",$BN$4:$BN$200,"&gt;-6",$BR$4:$BR$200,"&gt;=70",$C$4:$C$200,"&lt;20190630",$K$4:$K$200,"&lt;=30"))</f>
        <v>-</v>
      </c>
      <c r="AB175" s="33" t="str">
        <f>IF(OR($C175&gt;20190630,$K175&gt;30,X175="-",$D175="是",$E175="封闭期",$H175&lt;10,$BN175&lt;-6,$BR175&lt;70),"-",COUNTIFS(X$4:X$200,"&lt;&gt;-",$D$4:$D$200,"&lt;&gt;是",$E$4:$E$200,"&lt;&gt;封闭期",$H$4:$H$200,"&gt;10",$BN$4:$BN$200,"&gt;-6",$BR$4:$BR$200,"&gt;=70",$K$4:$K$200,"&lt;=30",$C$4:$C$200,"&lt;20190630",X$4:X$200,"&gt;="&amp;X175)/COUNTIFS(X$4:X$200,"&lt;&gt;-",$D$4:$D$200,"&lt;&gt;是",$E$4:$E$200,"&lt;&gt;封闭期",$H$4:$H$200,"&gt;10",$BN$4:$BN$200,"&gt;-6",$BR$4:$BR$200,"&gt;=70",$C$4:$C$200,"&lt;20190630",$K$4:$K$200,"&lt;=30"))</f>
        <v>-</v>
      </c>
      <c r="AC175" s="20">
        <v>1</v>
      </c>
      <c r="AD175" s="19" t="str">
        <f>IFERROR(RANK(AC175,AC:AC)&amp;"/"&amp;COUNT(AC:AC),"-")</f>
        <v>1/197</v>
      </c>
      <c r="AE175" s="26">
        <f>IFERROR(RANK(AC175,AC:AC)/COUNT(AC:AC),"-")</f>
        <v>5.076142131979695E-3</v>
      </c>
      <c r="AF175" s="34" t="str">
        <f>IF(OR($C175&gt;20190630,$K175&gt;30,AC175="-",$D175="是",$E175="封闭期",$H175&lt;10,$BN175&lt;-6,$BR175&lt;70),"-",COUNTIFS(AC$4:AC$200,"&lt;&gt;-",$D$4:$D$200,"&lt;&gt;是",$E$4:$E$200,"&lt;&gt;封闭期",$H$4:$H$200,"&gt;10",$BN$4:$BN$200,"&gt;-6",$BR$4:$BR$200,"&gt;=70",$K$4:$K$200,"&lt;=30",$C$4:$C$200,"&lt;20190630",AC$4:AC$200,"&gt;="&amp;AC175)&amp;"/"&amp;COUNTIFS(AC$4:AC$200,"&lt;&gt;-",$D$4:$D$200,"&lt;&gt;是",$E$4:$E$200,"&lt;&gt;封闭期",$H$4:$H$200,"&gt;10",$BN$4:$BN$200,"&gt;-6",$BR$4:$BR$200,"&gt;=70",$C$4:$C$200,"&lt;20190630",$K$4:$K$200,"&lt;=30"))</f>
        <v>-</v>
      </c>
      <c r="AG175" s="33" t="str">
        <f>IF(OR($C175&gt;20190630,$K175&gt;30,AC175="-",$D175="是",$E175="封闭期",$H175&lt;10,$BN175&lt;-6,$BR175&lt;70),"-",COUNTIFS(AC$4:AC$200,"&lt;&gt;-",$D$4:$D$200,"&lt;&gt;是",$E$4:$E$200,"&lt;&gt;封闭期",$H$4:$H$200,"&gt;10",$BN$4:$BN$200,"&gt;-6",$BR$4:$BR$200,"&gt;=70",$K$4:$K$200,"&lt;=30",$C$4:$C$200,"&lt;20190630",AC$4:AC$200,"&gt;="&amp;AC175)/COUNTIFS(AC$4:AC$200,"&lt;&gt;-",$D$4:$D$200,"&lt;&gt;是",$E$4:$E$200,"&lt;&gt;封闭期",$H$4:$H$200,"&gt;10",$BN$4:$BN$200,"&gt;-6",$BR$4:$BR$200,"&gt;=70",$C$4:$C$200,"&lt;20190630",$K$4:$K$200,"&lt;=30"))</f>
        <v>-</v>
      </c>
      <c r="AH175" s="21">
        <f>[1]!f_risk_maxdownside(A175,$L$2,$E$1)</f>
        <v>-1.3018638194249248</v>
      </c>
      <c r="AI175" s="19" t="str">
        <f>IFERROR(RANK(AH175,AH:AH)&amp;"/"&amp;COUNT(AH:AH),"-")</f>
        <v>35/197</v>
      </c>
      <c r="AJ175" s="26">
        <f>IFERROR(RANK(AH175,AH:AH)/COUNT(AH:AH),"-")</f>
        <v>0.17766497461928935</v>
      </c>
      <c r="AK175" s="34" t="str">
        <f>IF(OR($C175&gt;20190630,$K175&gt;30,AH175="-",$D175="是",$E175="封闭期",$H175&lt;10,$BN175&lt;-6,$BR175&lt;70),"-",COUNTIFS(AH$4:AH$200,"&lt;&gt;-",$D$4:$D$200,"&lt;&gt;是",$E$4:$E$200,"&lt;&gt;封闭期",$H$4:$H$200,"&gt;10",$BN$4:$BN$200,"&gt;-6",$BR$4:$BR$200,"&gt;=70",$K$4:$K$200,"&lt;=30",$C$4:$C$200,"&lt;20190630",AH$4:AH$200,"&gt;="&amp;AH175)&amp;"/"&amp;COUNTIFS(AH$4:AH$200,"&lt;&gt;-",$D$4:$D$200,"&lt;&gt;是",$E$4:$E$200,"&lt;&gt;封闭期",$H$4:$H$200,"&gt;10",$BN$4:$BN$200,"&gt;-6",$BR$4:$BR$200,"&gt;=70",$C$4:$C$200,"&lt;20190630",$K$4:$K$200,"&lt;=30"))</f>
        <v>-</v>
      </c>
      <c r="AL175" s="33" t="str">
        <f>IF(OR($C175&gt;20190630,$K175&gt;30,AH175="-",$D175="是",$E175="封闭期",$H175&lt;10,$BN175&lt;-6,$BR175&lt;70),"-",COUNTIFS(AH$4:AH$200,"&lt;&gt;-",$D$4:$D$200,"&lt;&gt;是",$E$4:$E$200,"&lt;&gt;封闭期",$H$4:$H$200,"&gt;10",$BN$4:$BN$200,"&gt;-6",$BR$4:$BR$200,"&gt;=70",$K$4:$K$200,"&lt;=30",$C$4:$C$200,"&lt;20190630",AH$4:AH$200,"&gt;="&amp;AH175)/COUNTIFS(AH$4:AH$200,"&lt;&gt;-",$D$4:$D$200,"&lt;&gt;是",$E$4:$E$200,"&lt;&gt;封闭期",$H$4:$H$200,"&gt;10",$BN$4:$BN$200,"&gt;-6",$BR$4:$BR$200,"&gt;=70",$C$4:$C$200,"&lt;20190630",$K$4:$K$200,"&lt;=30"))</f>
        <v>-</v>
      </c>
      <c r="AM175" s="19">
        <f>[1]!f_return($A175,"1",AM$2,$L$2)</f>
        <v>2.509443949220036</v>
      </c>
      <c r="AN175" s="19">
        <f>[1]!f_risk_stdevyearly($A175,AM$2,$L$2,1,1)</f>
        <v>1.3060414618154039</v>
      </c>
      <c r="AO175" s="19">
        <f>IFERROR(AM175/AN175,"-")</f>
        <v>1.921412162315197</v>
      </c>
      <c r="AP175" s="19" t="str">
        <f>IFERROR(RANK(AO175,AO:AO)&amp;"/"&amp;COUNT(AO:AO),"-")</f>
        <v>58/197</v>
      </c>
      <c r="AQ175" s="26">
        <f>IF(AP175="-","-",RANK(AO175,AO:AO)/COUNT(AO:AO))</f>
        <v>0.29441624365482233</v>
      </c>
      <c r="AR175" s="57">
        <v>0.87309644670050757</v>
      </c>
      <c r="AS175" s="33" t="str">
        <f>IF(OR($C175&gt;20190630,$K175&gt;30,AO175="-",$D175="是",$E175="封闭期",$H175&lt;10,$BN175&lt;-6,$BR175&lt;70),"-",COUNTIFS(AO$4:AO$200,"&lt;&gt;-",$D$4:$D$200,"&lt;&gt;是",$E$4:$E$200,"&lt;&gt;封闭期",$H$4:$H$200,"&gt;10",$BN$4:$BN$200,"&gt;-6",$BR$4:$BR$200,"&gt;=70",$K$4:$K$200,"&lt;=30",$C$4:$C$200,"&lt;20190630",AO$4:AO$200,"&gt;="&amp;AO175)/COUNTIFS(AO$4:AO$200,"&lt;&gt;-",$D$4:$D$200,"&lt;&gt;是",$E$4:$E$200,"&lt;&gt;封闭期",$H$4:$H$200,"&gt;10",$BN$4:$BN$200,"&gt;-6",$BR$4:$BR$200,"&gt;=70",$C$4:$C$200,"&lt;20190630",$K$4:$K$200,"&lt;=30"))</f>
        <v>-</v>
      </c>
      <c r="AT175" s="19">
        <f>IFERROR((AM175-3)/AN175,"-")</f>
        <v>-0.37560526608250916</v>
      </c>
      <c r="AU175" s="19" t="str">
        <f>IFERROR(RANK(AT175,AT:AT)&amp;"/"&amp;COUNT(AT:AT),"-")</f>
        <v>181/197</v>
      </c>
      <c r="AV175" s="26">
        <f>IFERROR(RANK(AT175,AT:AT)/COUNT(AT:AT),"-")</f>
        <v>0.91878172588832485</v>
      </c>
      <c r="AW175" s="34" t="str">
        <f>IF(OR($C175&gt;20190630,$K175&gt;30,AT175="-",$D175="是",$E175="封闭期",$H175&lt;10,$BN175&lt;-6,$BR175&lt;70),"-",COUNTIFS(AT$4:AT$200,"&lt;&gt;-",$D$4:$D$200,"&lt;&gt;是",$E$4:$E$200,"&lt;&gt;封闭期",$H$4:$H$200,"&gt;10",$BN$4:$BN$200,"&gt;-6",$BR$4:$BR$200,"&gt;=70",$K$4:$K$200,"&lt;=30",$C$4:$C$200,"&lt;20190630",AT$4:AT$200,"&gt;="&amp;AT175)&amp;"/"&amp;COUNTIFS(AT$4:AT$200,"&lt;&gt;-",$D$4:$D$200,"&lt;&gt;是",$E$4:$E$200,"&lt;&gt;封闭期",$H$4:$H$200,"&gt;10",$BN$4:$BN$200,"&gt;-6",$BR$4:$BR$200,"&gt;=70",$C$4:$C$200,"&lt;20190630",$K$4:$K$200,"&lt;=30"))</f>
        <v>-</v>
      </c>
      <c r="AX175" s="33" t="str">
        <f>IF(OR($C175&gt;20190630,$K175&gt;30,AT175="-",$D175="是",$E175="封闭期",$H175&lt;10,$BN175&lt;-6,$BR175&lt;70),"-",COUNTIFS(AT$4:AT$200,"&lt;&gt;-",$D$4:$D$200,"&lt;&gt;是",$E$4:$E$200,"&lt;&gt;封闭期",$H$4:$H$200,"&gt;10",$BN$4:$BN$200,"&gt;-6",$BR$4:$BR$200,"&gt;=70",$K$4:$K$200,"&lt;=30",$C$4:$C$200,"&lt;20190630",AT$4:AT$200,"&gt;="&amp;AT175)/COUNTIFS(AT$4:AT$200,"&lt;&gt;-",$D$4:$D$200,"&lt;&gt;是",$E$4:$E$200,"&lt;&gt;封闭期",$H$4:$H$200,"&gt;10",$BN$4:$BN$200,"&gt;-6",$BR$4:$BR$200,"&gt;=70",$C$4:$C$200,"&lt;20190630",$K$4:$K$200,"&lt;=30"))</f>
        <v>-</v>
      </c>
      <c r="AY175" s="19">
        <f>[1]!f_risk_calmar(A175,$AM$2,$L$2)</f>
        <v>0.88051238504880225</v>
      </c>
      <c r="AZ175" s="19" t="str">
        <f>IFERROR(RANK(AY175,AY:AY)&amp;"/"&amp;COUNT(AY:AY),"-")</f>
        <v>173/197</v>
      </c>
      <c r="BA175" s="26">
        <f>IFERROR(RANK(AY175,AY:AY)/COUNT(AY:AY),"-")</f>
        <v>0.87817258883248728</v>
      </c>
      <c r="BB175" s="34" t="str">
        <f>IF(OR($C175&gt;20190630,$K175&gt;30,AY175="-",$D175="是",$E175="封闭期",$H175&lt;10,$BN175&lt;-6,$BR175&lt;70),"-",COUNTIFS(AY$4:AY$200,"&lt;&gt;-",$D$4:$D$200,"&lt;&gt;是",$E$4:$E$200,"&lt;&gt;封闭期",$H$4:$H$200,"&gt;10",$BN$4:$BN$200,"&gt;-6",$BR$4:$BR$200,"&gt;=70",$K$4:$K$200,"&lt;=30",$C$4:$C$200,"&lt;20190630",AY$4:AY$200,"&gt;="&amp;AY175)&amp;"/"&amp;COUNTIFS(AY$4:AY$200,"&lt;&gt;-",$D$4:$D$200,"&lt;&gt;是",$E$4:$E$200,"&lt;&gt;封闭期",$H$4:$H$200,"&gt;10",$BN$4:$BN$200,"&gt;-6",$BR$4:$BR$200,"&gt;=70",$C$4:$C$200,"&lt;20190630",$K$4:$K$200,"&lt;=30"))</f>
        <v>-</v>
      </c>
      <c r="BC175" s="33" t="str">
        <f>IF(OR($C175&gt;20190630,$K175&gt;30,AY175="-",$D175="是",$E175="封闭期",$H175&lt;10,$BN175&lt;-6,$BR175&lt;70),"-",COUNTIFS(AY$4:AY$200,"&lt;&gt;-",$D$4:$D$200,"&lt;&gt;是",$E$4:$E$200,"&lt;&gt;封闭期",$H$4:$H$200,"&gt;10",$BN$4:$BN$200,"&gt;-6",$BR$4:$BR$200,"&gt;=70",$K$4:$K$200,"&lt;=30",$C$4:$C$200,"&lt;20190630",AY$4:AY$200,"&gt;="&amp;AY175)/COUNTIFS(AY$4:AY$200,"&lt;&gt;-",$D$4:$D$200,"&lt;&gt;是",$E$4:$E$200,"&lt;&gt;封闭期",$H$4:$H$200,"&gt;10",$BN$4:$BN$200,"&gt;-6",$BR$4:$BR$200,"&gt;=70",$C$4:$C$200,"&lt;20190630",$K$4:$K$200,"&lt;=30"))</f>
        <v>-</v>
      </c>
      <c r="BD175" s="20">
        <v>0.79166666666666663</v>
      </c>
      <c r="BE175" s="19" t="str">
        <f>IFERROR(RANK(BD175,BD:BD)&amp;"/"&amp;COUNT(BD:BD),"-")</f>
        <v>178/197</v>
      </c>
      <c r="BF175" s="26">
        <f>IFERROR(RANK(BD175,BD:BD)/COUNT(BD:BD),"-")</f>
        <v>0.90355329949238583</v>
      </c>
      <c r="BG175" s="34" t="str">
        <f>IF(OR($C175&gt;20190630,$K175&gt;30,BD175="-",$D175="是",$E175="封闭期",$H175&lt;10,$BN175&lt;-6,$BR175&lt;70),"-",COUNTIFS(BD$4:BD$200,"&lt;&gt;-",$D$4:$D$200,"&lt;&gt;是",$E$4:$E$200,"&lt;&gt;封闭期",$H$4:$H$200,"&gt;10",$BN$4:$BN$200,"&gt;-6",$BR$4:$BR$200,"&gt;=70",$K$4:$K$200,"&lt;=30",$C$4:$C$200,"&lt;20190630",BD$4:BD$200,"&gt;="&amp;BD175)&amp;"/"&amp;COUNTIFS(BD$4:BD$200,"&lt;&gt;-",$D$4:$D$200,"&lt;&gt;是",$E$4:$E$200,"&lt;&gt;封闭期",$H$4:$H$200,"&gt;10",$BN$4:$BN$200,"&gt;-6",$BR$4:$BR$200,"&gt;=70",$C$4:$C$200,"&lt;20190630",$K$4:$K$200,"&lt;=30"))</f>
        <v>-</v>
      </c>
      <c r="BH175" s="33" t="str">
        <f>IF(OR($C175&gt;20190630,$K175&gt;30,BD175="-",$D175="是",$E175="封闭期",$H175&lt;10,$BN175&lt;-6,$BR175&lt;70),"-",COUNTIFS(BD$4:BD$200,"&lt;&gt;-",$D$4:$D$200,"&lt;&gt;是",$E$4:$E$200,"&lt;&gt;封闭期",$H$4:$H$200,"&gt;10",$BN$4:$BN$200,"&gt;-6",$BR$4:$BR$200,"&gt;=70",$K$4:$K$200,"&lt;=30",$C$4:$C$200,"&lt;20190630",BD$4:BD$200,"&gt;="&amp;BD175)/COUNTIFS(BD$4:BD$200,"&lt;&gt;-",$D$4:$D$200,"&lt;&gt;是",$E$4:$E$200,"&lt;&gt;封闭期",$H$4:$H$200,"&gt;10",$BN$4:$BN$200,"&gt;-6",$BR$4:$BR$200,"&gt;=70",$C$4:$C$200,"&lt;20190630",$K$4:$K$200,"&lt;=30"))</f>
        <v>-</v>
      </c>
      <c r="BI175" s="21">
        <f>[1]!f_risk_maxdownside(A175,$AM$2,$L$2)</f>
        <v>-2.849981433345711</v>
      </c>
      <c r="BJ175" s="19" t="str">
        <f>IFERROR(RANK(BI175,BI:BI)&amp;"/"&amp;COUNT(BI:BI),"-")</f>
        <v>82/197</v>
      </c>
      <c r="BK175" s="26">
        <f>IFERROR(RANK(BI175,BI:BI)/COUNT(BI:BI),"-")</f>
        <v>0.41624365482233505</v>
      </c>
      <c r="BL175" s="34" t="str">
        <f>IF(OR($C175&gt;20190630,$K175&gt;30,BI175="-",$D175="是",$E175="封闭期",$H175&lt;10,$BN175&lt;-6,$BR175&lt;70),"-",COUNTIFS(BI$4:BI$200,"&lt;&gt;-",$D$4:$D$200,"&lt;&gt;是",$E$4:$E$200,"&lt;&gt;封闭期",$H$4:$H$200,"&gt;10",$BN$4:$BN$200,"&gt;-6",$BR$4:$BR$200,"&gt;=70",$K$4:$K$200,"&lt;=30",$C$4:$C$200,"&lt;20190630",BI$4:BI$200,"&gt;="&amp;BI175)&amp;"/"&amp;COUNTIFS(BI$4:BI$200,"&lt;&gt;-",$D$4:$D$200,"&lt;&gt;是",$E$4:$E$200,"&lt;&gt;封闭期",$H$4:$H$200,"&gt;10",$BN$4:$BN$200,"&gt;-6",$BR$4:$BR$200,"&gt;=70",$C$4:$C$200,"&lt;20190630",$K$4:$K$200,"&lt;=30"))</f>
        <v>-</v>
      </c>
      <c r="BM175" s="33" t="str">
        <f>IF(OR($C175&gt;20190630,$K175&gt;30,BI175="-",$D175="是",$E175="封闭期",$H175&lt;10,$BN175&lt;-6,$BR175&lt;70),"-",COUNTIFS(BI$4:BI$200,"&lt;&gt;-",$D$4:$D$200,"&lt;&gt;是",$E$4:$E$200,"&lt;&gt;封闭期",$H$4:$H$200,"&gt;10",$BN$4:$BN$200,"&gt;-6",$BR$4:$BR$200,"&gt;=70",$K$4:$K$200,"&lt;=30",$C$4:$C$200,"&lt;20190630",BI$4:BI$200,"&gt;="&amp;BI175)/COUNTIFS(BI$4:BI$200,"&lt;&gt;-",$D$4:$D$200,"&lt;&gt;是",$E$4:$E$200,"&lt;&gt;封闭期",$H$4:$H$200,"&gt;10",$BN$4:$BN$200,"&gt;-6",$BR$4:$BR$200,"&gt;=70",$C$4:$C$200,"&lt;20190630",$K$4:$K$200,"&lt;=30"))</f>
        <v>-</v>
      </c>
      <c r="BN175" s="21">
        <f>[1]!f_risk_maxdownside(A175,$AM$2,$E$1)</f>
        <v>-2.849981433345711</v>
      </c>
      <c r="BO175" s="21">
        <f>IF(C175&lt;20190930,[1]!f_return_2y(A175,"0","20210930"),"-")</f>
        <v>5.8412112002229799</v>
      </c>
      <c r="BP175" s="19" t="str">
        <f>IFERROR(RANK(BO175,BO:BO)&amp;"/"&amp;COUNT(BO:BO),"-")</f>
        <v>179/197</v>
      </c>
      <c r="BQ175" s="25">
        <f>IFERROR(RANK(BO175,BO:BO)/COUNT(BO:BO),"-")</f>
        <v>0.90862944162436543</v>
      </c>
      <c r="BR175" s="19">
        <f>IF(C175&lt;20190930,[1]!f_absolute_profitmonthper(A175,"20190930","20210930"),"-")</f>
        <v>70.833333333333343</v>
      </c>
      <c r="BS175" s="19" t="str">
        <f>IFERROR(RANK(BR175,BR:BR)&amp;"/"&amp;COUNT(BR:BR),"-")</f>
        <v>55/198</v>
      </c>
      <c r="BT175" s="25">
        <f>IFERROR(RANK(BR175,BR:BR)/COUNT(BR:BR),"-")</f>
        <v>0.27777777777777779</v>
      </c>
      <c r="BV175" s="12">
        <f>X175-3/M175</f>
        <v>0.68283226490397109</v>
      </c>
      <c r="BW175" s="76">
        <f>IFERROR(RANK(BV175,BV:BV)/COUNT(BV:BV),"-")</f>
        <v>0.68527918781725883</v>
      </c>
      <c r="BX175" s="76">
        <f>IFERROR(RANK(L175,L:L)/COUNT(L:L),"-")</f>
        <v>0.81313131313131315</v>
      </c>
      <c r="BY175" s="12">
        <f>AY175-3/AN175</f>
        <v>-1.4165050433489039</v>
      </c>
      <c r="BZ175" s="76">
        <f>IFERROR(RANK(BY175,BY:BY)/COUNT(BY:BY),"-")</f>
        <v>0.97461928934010156</v>
      </c>
      <c r="CA175" s="76">
        <f>IFERROR(RANK(AM175,AM:AM)/COUNT(AM:AM),"-")</f>
        <v>0.8737373737373737</v>
      </c>
      <c r="CB175" s="2"/>
      <c r="CC175" s="77">
        <f>AV175+BF175+BZ175+CA175</f>
        <v>3.6706916884581862</v>
      </c>
      <c r="CD175" s="77">
        <f>BW175+BX175+AE175+U175</f>
        <v>2.2953648156693842</v>
      </c>
      <c r="CE175" s="77">
        <f>CC175+CD175</f>
        <v>5.9660565041275699</v>
      </c>
    </row>
    <row r="176" spans="1:83" s="17" customFormat="1" x14ac:dyDescent="0.35">
      <c r="A176" s="15" t="s">
        <v>229</v>
      </c>
      <c r="B176" s="15" t="s">
        <v>230</v>
      </c>
      <c r="C176" s="16">
        <v>20160421</v>
      </c>
      <c r="D176" s="16" t="str">
        <f>[1]!f_info_regulopenfundornot(A176)</f>
        <v>否</v>
      </c>
      <c r="E176" s="16" t="str">
        <f>[1]!f_dq_status(A176,$E$1)</f>
        <v>暂停大额申购|开放赎回</v>
      </c>
      <c r="F176" s="17" t="str">
        <f>[1]!f_info_fundmanager(A176)</f>
        <v>曹建华</v>
      </c>
      <c r="G176" s="16">
        <v>20210928</v>
      </c>
      <c r="H176" s="18">
        <f>[1]!f_netasset_total(A176,$E$1,100000000)</f>
        <v>10.5007985018</v>
      </c>
      <c r="I176" s="18">
        <f>[1]!f_prt_convertiblebondtonav(A176,$E$1)</f>
        <v>0</v>
      </c>
      <c r="J176" s="18">
        <f>[1]!f_prt_stocktonav(A176,$E$1)+0.5*I176</f>
        <v>0</v>
      </c>
      <c r="K176" s="19">
        <v>44.960580847168053</v>
      </c>
      <c r="L176" s="19">
        <f>[1]!f_return($A176,"1",L$2,$E$1)</f>
        <v>3.8434161865204652</v>
      </c>
      <c r="M176" s="19">
        <f>[1]!f_risk_stdevyearly($A176,L$2,$E$1,1,1)</f>
        <v>0.41627296598364105</v>
      </c>
      <c r="N176" s="19">
        <f>IFERROR(L176/M176,"-")</f>
        <v>9.2329228669428076</v>
      </c>
      <c r="O176" s="19" t="str">
        <f>IFERROR(RANK(N176,N:N)&amp;"/"&amp;COUNT(N:N),"-")</f>
        <v>2/197</v>
      </c>
      <c r="P176" s="26">
        <f>IF(O176="-","-",RANK(N176,N:N)/COUNT(N:N))</f>
        <v>1.015228426395939E-2</v>
      </c>
      <c r="Q176" s="56">
        <v>0.74619289340101524</v>
      </c>
      <c r="R176" s="33" t="str">
        <f>IF(OR($C176&gt;20190630,$K176&gt;30,N176="-",$D176="是",$E176="封闭期",$H176&lt;10,$BN176&lt;-6,$BR176&lt;70),"-",COUNTIFS(N$4:N$200,"&lt;&gt;-",$D$4:$D$200,"&lt;&gt;是",$E$4:$E$200,"&lt;&gt;封闭期",$H$4:$H$200,"&gt;10",$BN$4:$BN$200,"&gt;-6",$BR$4:$BR$200,"&gt;=70",$K$4:$K$200,"&lt;=30",$C$4:$C$200,"&lt;20190630",N$4:N$200,"&gt;="&amp;N176)/COUNTIFS(N$4:N$200,"&lt;&gt;-",$D$4:$D$200,"&lt;&gt;是",$E$4:$E$200,"&lt;&gt;封闭期",$H$4:$H$200,"&gt;10",$BN$4:$BN$200,"&gt;-6",$BR$4:$BR$200,"&gt;=70",$C$4:$C$200,"&lt;20190630",$K$4:$K$200,"&lt;=30"))</f>
        <v>-</v>
      </c>
      <c r="S176" s="19">
        <f>IFERROR((L176-3)/M176,"-")</f>
        <v>2.0261132848910739</v>
      </c>
      <c r="T176" s="19" t="str">
        <f>IFERROR(RANK(S176,S:S)&amp;"/"&amp;COUNT(S:S),"-")</f>
        <v>14/197</v>
      </c>
      <c r="U176" s="26">
        <f>IFERROR(RANK(S176,S:S)/COUNT(S:S),"-")</f>
        <v>7.1065989847715741E-2</v>
      </c>
      <c r="V176" s="34" t="str">
        <f>IF(OR($C176&gt;20190630,$K176&gt;30,S176="-",$D176="是",$E176="封闭期",$H176&lt;10,$BN176&lt;-6,$BR176&lt;70),"-",COUNTIFS(S$4:S$200,"&lt;&gt;-",$D$4:$D$200,"&lt;&gt;是",$E$4:$E$200,"&lt;&gt;封闭期",$H$4:$H$200,"&gt;10",$BN$4:$BN$200,"&gt;-6",$BR$4:$BR$200,"&gt;=70",$K$4:$K$200,"&lt;=30",$C$4:$C$200,"&lt;20190630",S$4:S$200,"&gt;="&amp;S176)&amp;"/"&amp;COUNTIFS(S$4:S$200,"&lt;&gt;-",$D$4:$D$200,"&lt;&gt;是",$E$4:$E$200,"&lt;&gt;封闭期",$H$4:$H$200,"&gt;10",$BN$4:$BN$200,"&gt;-6",$BR$4:$BR$200,"&gt;=70",$C$4:$C$200,"&lt;20190630",$K$4:$K$200,"&lt;=30"))</f>
        <v>-</v>
      </c>
      <c r="W176" s="33" t="str">
        <f>IF(OR($C176&gt;20190630,$K176&gt;30,S176="-",$D176="是",$E176="封闭期",$H176&lt;10,$BN176&lt;-6,$BR176&lt;70),"-",COUNTIFS(S$4:S$200,"&lt;&gt;-",$D$4:$D$200,"&lt;&gt;是",$E$4:$E$200,"&lt;&gt;封闭期",$H$4:$H$200,"&gt;10",$BN$4:$BN$200,"&gt;-6",$BR$4:$BR$200,"&gt;=70",$K$4:$K$200,"&lt;=30",$C$4:$C$200,"&lt;20190630",S$4:S$200,"&gt;="&amp;S176)/COUNTIFS(S$4:S$200,"&lt;&gt;-",$D$4:$D$200,"&lt;&gt;是",$E$4:$E$200,"&lt;&gt;封闭期",$H$4:$H$200,"&gt;10",$BN$4:$BN$200,"&gt;-6",$BR$4:$BR$200,"&gt;=70",$C$4:$C$200,"&lt;20190630",$K$4:$K$200,"&lt;=30"))</f>
        <v>-</v>
      </c>
      <c r="X176" s="19">
        <f>[1]!f_risk_calmar(A176,$L$2,$E$1)</f>
        <v>9.6872836271955247</v>
      </c>
      <c r="Y176" s="19" t="str">
        <f>IFERROR(RANK(X176,X:X)&amp;"/"&amp;COUNT(X:X),"-")</f>
        <v>8/197</v>
      </c>
      <c r="Z176" s="26">
        <f>IFERROR(RANK(X176,X:X)/COUNT(X:X),"-")</f>
        <v>4.060913705583756E-2</v>
      </c>
      <c r="AA176" s="34" t="str">
        <f>IF(OR($C176&gt;20190630,$K176&gt;30,X176="-",$D176="是",$E176="封闭期",$H176&lt;10,$BN176&lt;-6,$BR176&lt;70),"-",COUNTIFS(X$4:X$200,"&lt;&gt;-",$D$4:$D$200,"&lt;&gt;是",$E$4:$E$200,"&lt;&gt;封闭期",$H$4:$H$200,"&gt;10",$BN$4:$BN$200,"&gt;-6",$BR$4:$BR$200,"&gt;=70",$K$4:$K$200,"&lt;=30",$C$4:$C$200,"&lt;20190630",X$4:X$200,"&gt;="&amp;X176)&amp;"/"&amp;COUNTIFS(X$4:X$200,"&lt;&gt;-",$D$4:$D$200,"&lt;&gt;是",$E$4:$E$200,"&lt;&gt;封闭期",$H$4:$H$200,"&gt;10",$BN$4:$BN$200,"&gt;-6",$BR$4:$BR$200,"&gt;=70",$C$4:$C$200,"&lt;20190630",$K$4:$K$200,"&lt;=30"))</f>
        <v>-</v>
      </c>
      <c r="AB176" s="33" t="str">
        <f>IF(OR($C176&gt;20190630,$K176&gt;30,X176="-",$D176="是",$E176="封闭期",$H176&lt;10,$BN176&lt;-6,$BR176&lt;70),"-",COUNTIFS(X$4:X$200,"&lt;&gt;-",$D$4:$D$200,"&lt;&gt;是",$E$4:$E$200,"&lt;&gt;封闭期",$H$4:$H$200,"&gt;10",$BN$4:$BN$200,"&gt;-6",$BR$4:$BR$200,"&gt;=70",$K$4:$K$200,"&lt;=30",$C$4:$C$200,"&lt;20190630",X$4:X$200,"&gt;="&amp;X176)/COUNTIFS(X$4:X$200,"&lt;&gt;-",$D$4:$D$200,"&lt;&gt;是",$E$4:$E$200,"&lt;&gt;封闭期",$H$4:$H$200,"&gt;10",$BN$4:$BN$200,"&gt;-6",$BR$4:$BR$200,"&gt;=70",$C$4:$C$200,"&lt;20190630",$K$4:$K$200,"&lt;=30"))</f>
        <v>-</v>
      </c>
      <c r="AC176" s="20">
        <v>1</v>
      </c>
      <c r="AD176" s="19" t="str">
        <f>IFERROR(RANK(AC176,AC:AC)&amp;"/"&amp;COUNT(AC:AC),"-")</f>
        <v>1/197</v>
      </c>
      <c r="AE176" s="26">
        <f>IFERROR(RANK(AC176,AC:AC)/COUNT(AC:AC),"-")</f>
        <v>5.076142131979695E-3</v>
      </c>
      <c r="AF176" s="34" t="str">
        <f>IF(OR($C176&gt;20190630,$K176&gt;30,AC176="-",$D176="是",$E176="封闭期",$H176&lt;10,$BN176&lt;-6,$BR176&lt;70),"-",COUNTIFS(AC$4:AC$200,"&lt;&gt;-",$D$4:$D$200,"&lt;&gt;是",$E$4:$E$200,"&lt;&gt;封闭期",$H$4:$H$200,"&gt;10",$BN$4:$BN$200,"&gt;-6",$BR$4:$BR$200,"&gt;=70",$K$4:$K$200,"&lt;=30",$C$4:$C$200,"&lt;20190630",AC$4:AC$200,"&gt;="&amp;AC176)&amp;"/"&amp;COUNTIFS(AC$4:AC$200,"&lt;&gt;-",$D$4:$D$200,"&lt;&gt;是",$E$4:$E$200,"&lt;&gt;封闭期",$H$4:$H$200,"&gt;10",$BN$4:$BN$200,"&gt;-6",$BR$4:$BR$200,"&gt;=70",$C$4:$C$200,"&lt;20190630",$K$4:$K$200,"&lt;=30"))</f>
        <v>-</v>
      </c>
      <c r="AG176" s="33" t="str">
        <f>IF(OR($C176&gt;20190630,$K176&gt;30,AC176="-",$D176="是",$E176="封闭期",$H176&lt;10,$BN176&lt;-6,$BR176&lt;70),"-",COUNTIFS(AC$4:AC$200,"&lt;&gt;-",$D$4:$D$200,"&lt;&gt;是",$E$4:$E$200,"&lt;&gt;封闭期",$H$4:$H$200,"&gt;10",$BN$4:$BN$200,"&gt;-6",$BR$4:$BR$200,"&gt;=70",$K$4:$K$200,"&lt;=30",$C$4:$C$200,"&lt;20190630",AC$4:AC$200,"&gt;="&amp;AC176)/COUNTIFS(AC$4:AC$200,"&lt;&gt;-",$D$4:$D$200,"&lt;&gt;是",$E$4:$E$200,"&lt;&gt;封闭期",$H$4:$H$200,"&gt;10",$BN$4:$BN$200,"&gt;-6",$BR$4:$BR$200,"&gt;=70",$C$4:$C$200,"&lt;20190630",$K$4:$K$200,"&lt;=30"))</f>
        <v>-</v>
      </c>
      <c r="AH176" s="21">
        <f>[1]!f_risk_maxdownside(A176,$L$2,$E$1)</f>
        <v>-0.39674859686472674</v>
      </c>
      <c r="AI176" s="19" t="str">
        <f>IFERROR(RANK(AH176,AH:AH)&amp;"/"&amp;COUNT(AH:AH),"-")</f>
        <v>5/197</v>
      </c>
      <c r="AJ176" s="26">
        <f>IFERROR(RANK(AH176,AH:AH)/COUNT(AH:AH),"-")</f>
        <v>2.5380710659898477E-2</v>
      </c>
      <c r="AK176" s="34" t="str">
        <f>IF(OR($C176&gt;20190630,$K176&gt;30,AH176="-",$D176="是",$E176="封闭期",$H176&lt;10,$BN176&lt;-6,$BR176&lt;70),"-",COUNTIFS(AH$4:AH$200,"&lt;&gt;-",$D$4:$D$200,"&lt;&gt;是",$E$4:$E$200,"&lt;&gt;封闭期",$H$4:$H$200,"&gt;10",$BN$4:$BN$200,"&gt;-6",$BR$4:$BR$200,"&gt;=70",$K$4:$K$200,"&lt;=30",$C$4:$C$200,"&lt;20190630",AH$4:AH$200,"&gt;="&amp;AH176)&amp;"/"&amp;COUNTIFS(AH$4:AH$200,"&lt;&gt;-",$D$4:$D$200,"&lt;&gt;是",$E$4:$E$200,"&lt;&gt;封闭期",$H$4:$H$200,"&gt;10",$BN$4:$BN$200,"&gt;-6",$BR$4:$BR$200,"&gt;=70",$C$4:$C$200,"&lt;20190630",$K$4:$K$200,"&lt;=30"))</f>
        <v>-</v>
      </c>
      <c r="AL176" s="33" t="str">
        <f>IF(OR($C176&gt;20190630,$K176&gt;30,AH176="-",$D176="是",$E176="封闭期",$H176&lt;10,$BN176&lt;-6,$BR176&lt;70),"-",COUNTIFS(AH$4:AH$200,"&lt;&gt;-",$D$4:$D$200,"&lt;&gt;是",$E$4:$E$200,"&lt;&gt;封闭期",$H$4:$H$200,"&gt;10",$BN$4:$BN$200,"&gt;-6",$BR$4:$BR$200,"&gt;=70",$K$4:$K$200,"&lt;=30",$C$4:$C$200,"&lt;20190630",AH$4:AH$200,"&gt;="&amp;AH176)/COUNTIFS(AH$4:AH$200,"&lt;&gt;-",$D$4:$D$200,"&lt;&gt;是",$E$4:$E$200,"&lt;&gt;封闭期",$H$4:$H$200,"&gt;10",$BN$4:$BN$200,"&gt;-6",$BR$4:$BR$200,"&gt;=70",$C$4:$C$200,"&lt;20190630",$K$4:$K$200,"&lt;=30"))</f>
        <v>-</v>
      </c>
      <c r="AM176" s="19">
        <f>[1]!f_return($A176,"1",AM$2,$L$2)</f>
        <v>2.4519130219753826</v>
      </c>
      <c r="AN176" s="19">
        <f>[1]!f_risk_stdevyearly($A176,AM$2,$L$2,1,1)</f>
        <v>1.1669232074493547</v>
      </c>
      <c r="AO176" s="19">
        <f>IFERROR(AM176/AN176,"-")</f>
        <v>2.1011777007458283</v>
      </c>
      <c r="AP176" s="19" t="str">
        <f>IFERROR(RANK(AO176,AO:AO)&amp;"/"&amp;COUNT(AO:AO),"-")</f>
        <v>40/197</v>
      </c>
      <c r="AQ176" s="26">
        <f>IF(AP176="-","-",RANK(AO176,AO:AO)/COUNT(AO:AO))</f>
        <v>0.20304568527918782</v>
      </c>
      <c r="AR176" s="57">
        <v>0.87817258883248728</v>
      </c>
      <c r="AS176" s="33" t="str">
        <f>IF(OR($C176&gt;20190630,$K176&gt;30,AO176="-",$D176="是",$E176="封闭期",$H176&lt;10,$BN176&lt;-6,$BR176&lt;70),"-",COUNTIFS(AO$4:AO$200,"&lt;&gt;-",$D$4:$D$200,"&lt;&gt;是",$E$4:$E$200,"&lt;&gt;封闭期",$H$4:$H$200,"&gt;10",$BN$4:$BN$200,"&gt;-6",$BR$4:$BR$200,"&gt;=70",$K$4:$K$200,"&lt;=30",$C$4:$C$200,"&lt;20190630",AO$4:AO$200,"&gt;="&amp;AO176)/COUNTIFS(AO$4:AO$200,"&lt;&gt;-",$D$4:$D$200,"&lt;&gt;是",$E$4:$E$200,"&lt;&gt;封闭期",$H$4:$H$200,"&gt;10",$BN$4:$BN$200,"&gt;-6",$BR$4:$BR$200,"&gt;=70",$C$4:$C$200,"&lt;20190630",$K$4:$K$200,"&lt;=30"))</f>
        <v>-</v>
      </c>
      <c r="AT176" s="19">
        <f>IFERROR((AM176-3)/AN176,"-")</f>
        <v>-0.46968555816335045</v>
      </c>
      <c r="AU176" s="19" t="str">
        <f>IFERROR(RANK(AT176,AT:AT)&amp;"/"&amp;COUNT(AT:AT),"-")</f>
        <v>183/197</v>
      </c>
      <c r="AV176" s="26">
        <f>IFERROR(RANK(AT176,AT:AT)/COUNT(AT:AT),"-")</f>
        <v>0.92893401015228427</v>
      </c>
      <c r="AW176" s="34" t="str">
        <f>IF(OR($C176&gt;20190630,$K176&gt;30,AT176="-",$D176="是",$E176="封闭期",$H176&lt;10,$BN176&lt;-6,$BR176&lt;70),"-",COUNTIFS(AT$4:AT$200,"&lt;&gt;-",$D$4:$D$200,"&lt;&gt;是",$E$4:$E$200,"&lt;&gt;封闭期",$H$4:$H$200,"&gt;10",$BN$4:$BN$200,"&gt;-6",$BR$4:$BR$200,"&gt;=70",$K$4:$K$200,"&lt;=30",$C$4:$C$200,"&lt;20190630",AT$4:AT$200,"&gt;="&amp;AT176)&amp;"/"&amp;COUNTIFS(AT$4:AT$200,"&lt;&gt;-",$D$4:$D$200,"&lt;&gt;是",$E$4:$E$200,"&lt;&gt;封闭期",$H$4:$H$200,"&gt;10",$BN$4:$BN$200,"&gt;-6",$BR$4:$BR$200,"&gt;=70",$C$4:$C$200,"&lt;20190630",$K$4:$K$200,"&lt;=30"))</f>
        <v>-</v>
      </c>
      <c r="AX176" s="33" t="str">
        <f>IF(OR($C176&gt;20190630,$K176&gt;30,AT176="-",$D176="是",$E176="封闭期",$H176&lt;10,$BN176&lt;-6,$BR176&lt;70),"-",COUNTIFS(AT$4:AT$200,"&lt;&gt;-",$D$4:$D$200,"&lt;&gt;是",$E$4:$E$200,"&lt;&gt;封闭期",$H$4:$H$200,"&gt;10",$BN$4:$BN$200,"&gt;-6",$BR$4:$BR$200,"&gt;=70",$K$4:$K$200,"&lt;=30",$C$4:$C$200,"&lt;20190630",AT$4:AT$200,"&gt;="&amp;AT176)/COUNTIFS(AT$4:AT$200,"&lt;&gt;-",$D$4:$D$200,"&lt;&gt;是",$E$4:$E$200,"&lt;&gt;封闭期",$H$4:$H$200,"&gt;10",$BN$4:$BN$200,"&gt;-6",$BR$4:$BR$200,"&gt;=70",$C$4:$C$200,"&lt;20190630",$K$4:$K$200,"&lt;=30"))</f>
        <v>-</v>
      </c>
      <c r="AY176" s="19">
        <f>[1]!f_risk_calmar(A176,$AM$2,$L$2)</f>
        <v>0.96776822623005843</v>
      </c>
      <c r="AZ176" s="19" t="str">
        <f>IFERROR(RANK(AY176,AY:AY)&amp;"/"&amp;COUNT(AY:AY),"-")</f>
        <v>172/197</v>
      </c>
      <c r="BA176" s="26">
        <f>IFERROR(RANK(AY176,AY:AY)/COUNT(AY:AY),"-")</f>
        <v>0.87309644670050757</v>
      </c>
      <c r="BB176" s="34" t="str">
        <f>IF(OR($C176&gt;20190630,$K176&gt;30,AY176="-",$D176="是",$E176="封闭期",$H176&lt;10,$BN176&lt;-6,$BR176&lt;70),"-",COUNTIFS(AY$4:AY$200,"&lt;&gt;-",$D$4:$D$200,"&lt;&gt;是",$E$4:$E$200,"&lt;&gt;封闭期",$H$4:$H$200,"&gt;10",$BN$4:$BN$200,"&gt;-6",$BR$4:$BR$200,"&gt;=70",$K$4:$K$200,"&lt;=30",$C$4:$C$200,"&lt;20190630",AY$4:AY$200,"&gt;="&amp;AY176)&amp;"/"&amp;COUNTIFS(AY$4:AY$200,"&lt;&gt;-",$D$4:$D$200,"&lt;&gt;是",$E$4:$E$200,"&lt;&gt;封闭期",$H$4:$H$200,"&gt;10",$BN$4:$BN$200,"&gt;-6",$BR$4:$BR$200,"&gt;=70",$C$4:$C$200,"&lt;20190630",$K$4:$K$200,"&lt;=30"))</f>
        <v>-</v>
      </c>
      <c r="BC176" s="33" t="str">
        <f>IF(OR($C176&gt;20190630,$K176&gt;30,AY176="-",$D176="是",$E176="封闭期",$H176&lt;10,$BN176&lt;-6,$BR176&lt;70),"-",COUNTIFS(AY$4:AY$200,"&lt;&gt;-",$D$4:$D$200,"&lt;&gt;是",$E$4:$E$200,"&lt;&gt;封闭期",$H$4:$H$200,"&gt;10",$BN$4:$BN$200,"&gt;-6",$BR$4:$BR$200,"&gt;=70",$K$4:$K$200,"&lt;=30",$C$4:$C$200,"&lt;20190630",AY$4:AY$200,"&gt;="&amp;AY176)/COUNTIFS(AY$4:AY$200,"&lt;&gt;-",$D$4:$D$200,"&lt;&gt;是",$E$4:$E$200,"&lt;&gt;封闭期",$H$4:$H$200,"&gt;10",$BN$4:$BN$200,"&gt;-6",$BR$4:$BR$200,"&gt;=70",$C$4:$C$200,"&lt;20190630",$K$4:$K$200,"&lt;=30"))</f>
        <v>-</v>
      </c>
      <c r="BD176" s="20">
        <v>0.80833333333333335</v>
      </c>
      <c r="BE176" s="19" t="str">
        <f>IFERROR(RANK(BD176,BD:BD)&amp;"/"&amp;COUNT(BD:BD),"-")</f>
        <v>175/197</v>
      </c>
      <c r="BF176" s="26">
        <f>IFERROR(RANK(BD176,BD:BD)/COUNT(BD:BD),"-")</f>
        <v>0.8883248730964467</v>
      </c>
      <c r="BG176" s="34" t="str">
        <f>IF(OR($C176&gt;20190630,$K176&gt;30,BD176="-",$D176="是",$E176="封闭期",$H176&lt;10,$BN176&lt;-6,$BR176&lt;70),"-",COUNTIFS(BD$4:BD$200,"&lt;&gt;-",$D$4:$D$200,"&lt;&gt;是",$E$4:$E$200,"&lt;&gt;封闭期",$H$4:$H$200,"&gt;10",$BN$4:$BN$200,"&gt;-6",$BR$4:$BR$200,"&gt;=70",$K$4:$K$200,"&lt;=30",$C$4:$C$200,"&lt;20190630",BD$4:BD$200,"&gt;="&amp;BD176)&amp;"/"&amp;COUNTIFS(BD$4:BD$200,"&lt;&gt;-",$D$4:$D$200,"&lt;&gt;是",$E$4:$E$200,"&lt;&gt;封闭期",$H$4:$H$200,"&gt;10",$BN$4:$BN$200,"&gt;-6",$BR$4:$BR$200,"&gt;=70",$C$4:$C$200,"&lt;20190630",$K$4:$K$200,"&lt;=30"))</f>
        <v>-</v>
      </c>
      <c r="BH176" s="33" t="str">
        <f>IF(OR($C176&gt;20190630,$K176&gt;30,BD176="-",$D176="是",$E176="封闭期",$H176&lt;10,$BN176&lt;-6,$BR176&lt;70),"-",COUNTIFS(BD$4:BD$200,"&lt;&gt;-",$D$4:$D$200,"&lt;&gt;是",$E$4:$E$200,"&lt;&gt;封闭期",$H$4:$H$200,"&gt;10",$BN$4:$BN$200,"&gt;-6",$BR$4:$BR$200,"&gt;=70",$K$4:$K$200,"&lt;=30",$C$4:$C$200,"&lt;20190630",BD$4:BD$200,"&gt;="&amp;BD176)/COUNTIFS(BD$4:BD$200,"&lt;&gt;-",$D$4:$D$200,"&lt;&gt;是",$E$4:$E$200,"&lt;&gt;封闭期",$H$4:$H$200,"&gt;10",$BN$4:$BN$200,"&gt;-6",$BR$4:$BR$200,"&gt;=70",$C$4:$C$200,"&lt;20190630",$K$4:$K$200,"&lt;=30"))</f>
        <v>-</v>
      </c>
      <c r="BI176" s="21">
        <f>[1]!f_risk_maxdownside(A176,$AM$2,$L$2)</f>
        <v>-2.5335746261548708</v>
      </c>
      <c r="BJ176" s="19" t="str">
        <f>IFERROR(RANK(BI176,BI:BI)&amp;"/"&amp;COUNT(BI:BI),"-")</f>
        <v>65/197</v>
      </c>
      <c r="BK176" s="26">
        <f>IFERROR(RANK(BI176,BI:BI)/COUNT(BI:BI),"-")</f>
        <v>0.32994923857868019</v>
      </c>
      <c r="BL176" s="34" t="str">
        <f>IF(OR($C176&gt;20190630,$K176&gt;30,BI176="-",$D176="是",$E176="封闭期",$H176&lt;10,$BN176&lt;-6,$BR176&lt;70),"-",COUNTIFS(BI$4:BI$200,"&lt;&gt;-",$D$4:$D$200,"&lt;&gt;是",$E$4:$E$200,"&lt;&gt;封闭期",$H$4:$H$200,"&gt;10",$BN$4:$BN$200,"&gt;-6",$BR$4:$BR$200,"&gt;=70",$K$4:$K$200,"&lt;=30",$C$4:$C$200,"&lt;20190630",BI$4:BI$200,"&gt;="&amp;BI176)&amp;"/"&amp;COUNTIFS(BI$4:BI$200,"&lt;&gt;-",$D$4:$D$200,"&lt;&gt;是",$E$4:$E$200,"&lt;&gt;封闭期",$H$4:$H$200,"&gt;10",$BN$4:$BN$200,"&gt;-6",$BR$4:$BR$200,"&gt;=70",$C$4:$C$200,"&lt;20190630",$K$4:$K$200,"&lt;=30"))</f>
        <v>-</v>
      </c>
      <c r="BM176" s="33" t="str">
        <f>IF(OR($C176&gt;20190630,$K176&gt;30,BI176="-",$D176="是",$E176="封闭期",$H176&lt;10,$BN176&lt;-6,$BR176&lt;70),"-",COUNTIFS(BI$4:BI$200,"&lt;&gt;-",$D$4:$D$200,"&lt;&gt;是",$E$4:$E$200,"&lt;&gt;封闭期",$H$4:$H$200,"&gt;10",$BN$4:$BN$200,"&gt;-6",$BR$4:$BR$200,"&gt;=70",$K$4:$K$200,"&lt;=30",$C$4:$C$200,"&lt;20190630",BI$4:BI$200,"&gt;="&amp;BI176)/COUNTIFS(BI$4:BI$200,"&lt;&gt;-",$D$4:$D$200,"&lt;&gt;是",$E$4:$E$200,"&lt;&gt;封闭期",$H$4:$H$200,"&gt;10",$BN$4:$BN$200,"&gt;-6",$BR$4:$BR$200,"&gt;=70",$C$4:$C$200,"&lt;20190630",$K$4:$K$200,"&lt;=30"))</f>
        <v>-</v>
      </c>
      <c r="BN176" s="21">
        <f>[1]!f_risk_maxdownside(A176,$AM$2,$E$1)</f>
        <v>-2.5335746261548708</v>
      </c>
      <c r="BO176" s="21">
        <f>IF(C176&lt;20190930,[1]!f_return_2y(A176,"0","20210930"),"-")</f>
        <v>6.4355634312193235</v>
      </c>
      <c r="BP176" s="19" t="str">
        <f>IFERROR(RANK(BO176,BO:BO)&amp;"/"&amp;COUNT(BO:BO),"-")</f>
        <v>175/197</v>
      </c>
      <c r="BQ176" s="25">
        <f>IFERROR(RANK(BO176,BO:BO)/COUNT(BO:BO),"-")</f>
        <v>0.8883248730964467</v>
      </c>
      <c r="BR176" s="19">
        <f>IF(C176&lt;20190930,[1]!f_absolute_profitmonthper(A176,"20190930","20210930"),"-")</f>
        <v>79.166666666666657</v>
      </c>
      <c r="BS176" s="19" t="str">
        <f>IFERROR(RANK(BR176,BR:BR)&amp;"/"&amp;COUNT(BR:BR),"-")</f>
        <v>16/198</v>
      </c>
      <c r="BT176" s="25">
        <f>IFERROR(RANK(BR176,BR:BR)/COUNT(BR:BR),"-")</f>
        <v>8.0808080808080815E-2</v>
      </c>
      <c r="BV176" s="12">
        <f>X176-3/M176</f>
        <v>2.4804740451437901</v>
      </c>
      <c r="BW176" s="76">
        <f>IFERROR(RANK(BV176,BV:BV)/COUNT(BV:BV),"-")</f>
        <v>0.27411167512690354</v>
      </c>
      <c r="BX176" s="76">
        <f>IFERROR(RANK(L176,L:L)/COUNT(L:L),"-")</f>
        <v>0.74747474747474751</v>
      </c>
      <c r="BY176" s="12">
        <f>AY176-3/AN176</f>
        <v>-1.6030950326791207</v>
      </c>
      <c r="BZ176" s="76">
        <f>IFERROR(RANK(BY176,BY:BY)/COUNT(BY:BY),"-")</f>
        <v>0.97969543147208127</v>
      </c>
      <c r="CA176" s="76">
        <f>IFERROR(RANK(AM176,AM:AM)/COUNT(AM:AM),"-")</f>
        <v>0.87878787878787878</v>
      </c>
      <c r="CB176" s="2"/>
      <c r="CC176" s="77">
        <f>AV176+BF176+BZ176+CA176</f>
        <v>3.6757421935086909</v>
      </c>
      <c r="CD176" s="77">
        <f>BW176+BX176+AE176+U176</f>
        <v>1.0977285545813464</v>
      </c>
      <c r="CE176" s="77">
        <f>CC176+CD176</f>
        <v>4.7734707480900376</v>
      </c>
    </row>
    <row r="177" spans="1:83" s="17" customFormat="1" x14ac:dyDescent="0.35">
      <c r="A177" s="15" t="s">
        <v>351</v>
      </c>
      <c r="B177" s="15" t="s">
        <v>352</v>
      </c>
      <c r="C177" s="16">
        <v>20171124</v>
      </c>
      <c r="D177" s="16" t="str">
        <f>[1]!f_info_regulopenfundornot(A177)</f>
        <v>是</v>
      </c>
      <c r="E177" s="16" t="str">
        <f>[1]!f_dq_status(A177,$E$1)</f>
        <v>暂停申购|暂停赎回</v>
      </c>
      <c r="F177" s="17" t="str">
        <f>[1]!f_info_fundmanager(A177)</f>
        <v>王侃</v>
      </c>
      <c r="G177" s="16">
        <v>20210227</v>
      </c>
      <c r="H177" s="18">
        <f>[1]!f_netasset_total(A177,$E$1,100000000)</f>
        <v>31.113495730900002</v>
      </c>
      <c r="I177" s="18">
        <f>[1]!f_prt_convertiblebondtonav(A177,$E$1)</f>
        <v>0</v>
      </c>
      <c r="J177" s="18">
        <f>[1]!f_prt_stocktonav(A177,$E$1)+0.5*I177</f>
        <v>0</v>
      </c>
      <c r="K177" s="19">
        <v>19.320876226806782</v>
      </c>
      <c r="L177" s="19">
        <f>[1]!f_return($A177,"1",L$2,$E$1)</f>
        <v>3.9731717279883894</v>
      </c>
      <c r="M177" s="19">
        <f>[1]!f_risk_stdevyearly($A177,L$2,$E$1,1,1)</f>
        <v>0.49568400759971709</v>
      </c>
      <c r="N177" s="19">
        <f>IFERROR(L177/M177,"-")</f>
        <v>8.0155334186146874</v>
      </c>
      <c r="O177" s="19" t="str">
        <f>IFERROR(RANK(N177,N:N)&amp;"/"&amp;COUNT(N:N),"-")</f>
        <v>5/197</v>
      </c>
      <c r="P177" s="26">
        <f>IF(O177="-","-",RANK(N177,N:N)/COUNT(N:N))</f>
        <v>2.5380710659898477E-2</v>
      </c>
      <c r="Q177" s="56">
        <v>0.73096446700507611</v>
      </c>
      <c r="R177" s="33" t="str">
        <f>IF(OR($C177&gt;20190630,$K177&gt;30,N177="-",$D177="是",$E177="封闭期",$H177&lt;10,$BN177&lt;-6,$BR177&lt;70),"-",COUNTIFS(N$4:N$200,"&lt;&gt;-",$D$4:$D$200,"&lt;&gt;是",$E$4:$E$200,"&lt;&gt;封闭期",$H$4:$H$200,"&gt;10",$BN$4:$BN$200,"&gt;-6",$BR$4:$BR$200,"&gt;=70",$K$4:$K$200,"&lt;=30",$C$4:$C$200,"&lt;20190630",N$4:N$200,"&gt;="&amp;N177)/COUNTIFS(N$4:N$200,"&lt;&gt;-",$D$4:$D$200,"&lt;&gt;是",$E$4:$E$200,"&lt;&gt;封闭期",$H$4:$H$200,"&gt;10",$BN$4:$BN$200,"&gt;-6",$BR$4:$BR$200,"&gt;=70",$C$4:$C$200,"&lt;20190630",$K$4:$K$200,"&lt;=30"))</f>
        <v>-</v>
      </c>
      <c r="S177" s="19">
        <f>IFERROR((L177-3)/M177,"-")</f>
        <v>1.9632905501648965</v>
      </c>
      <c r="T177" s="19" t="str">
        <f>IFERROR(RANK(S177,S:S)&amp;"/"&amp;COUNT(S:S),"-")</f>
        <v>15/197</v>
      </c>
      <c r="U177" s="26">
        <f>IFERROR(RANK(S177,S:S)/COUNT(S:S),"-")</f>
        <v>7.6142131979695438E-2</v>
      </c>
      <c r="V177" s="34" t="str">
        <f>IF(OR($C177&gt;20190630,$K177&gt;30,S177="-",$D177="是",$E177="封闭期",$H177&lt;10,$BN177&lt;-6,$BR177&lt;70),"-",COUNTIFS(S$4:S$200,"&lt;&gt;-",$D$4:$D$200,"&lt;&gt;是",$E$4:$E$200,"&lt;&gt;封闭期",$H$4:$H$200,"&gt;10",$BN$4:$BN$200,"&gt;-6",$BR$4:$BR$200,"&gt;=70",$K$4:$K$200,"&lt;=30",$C$4:$C$200,"&lt;20190630",S$4:S$200,"&gt;="&amp;S177)&amp;"/"&amp;COUNTIFS(S$4:S$200,"&lt;&gt;-",$D$4:$D$200,"&lt;&gt;是",$E$4:$E$200,"&lt;&gt;封闭期",$H$4:$H$200,"&gt;10",$BN$4:$BN$200,"&gt;-6",$BR$4:$BR$200,"&gt;=70",$C$4:$C$200,"&lt;20190630",$K$4:$K$200,"&lt;=30"))</f>
        <v>-</v>
      </c>
      <c r="W177" s="33" t="str">
        <f>IF(OR($C177&gt;20190630,$K177&gt;30,S177="-",$D177="是",$E177="封闭期",$H177&lt;10,$BN177&lt;-6,$BR177&lt;70),"-",COUNTIFS(S$4:S$200,"&lt;&gt;-",$D$4:$D$200,"&lt;&gt;是",$E$4:$E$200,"&lt;&gt;封闭期",$H$4:$H$200,"&gt;10",$BN$4:$BN$200,"&gt;-6",$BR$4:$BR$200,"&gt;=70",$K$4:$K$200,"&lt;=30",$C$4:$C$200,"&lt;20190630",S$4:S$200,"&gt;="&amp;S177)/COUNTIFS(S$4:S$200,"&lt;&gt;-",$D$4:$D$200,"&lt;&gt;是",$E$4:$E$200,"&lt;&gt;封闭期",$H$4:$H$200,"&gt;10",$BN$4:$BN$200,"&gt;-6",$BR$4:$BR$200,"&gt;=70",$C$4:$C$200,"&lt;20190630",$K$4:$K$200,"&lt;=30"))</f>
        <v>-</v>
      </c>
      <c r="X177" s="19">
        <f>[1]!f_risk_calmar(A177,$L$2,$E$1)</f>
        <v>11.331265036459923</v>
      </c>
      <c r="Y177" s="19" t="str">
        <f>IFERROR(RANK(X177,X:X)&amp;"/"&amp;COUNT(X:X),"-")</f>
        <v>5/197</v>
      </c>
      <c r="Z177" s="26">
        <f>IFERROR(RANK(X177,X:X)/COUNT(X:X),"-")</f>
        <v>2.5380710659898477E-2</v>
      </c>
      <c r="AA177" s="34" t="str">
        <f>IF(OR($C177&gt;20190630,$K177&gt;30,X177="-",$D177="是",$E177="封闭期",$H177&lt;10,$BN177&lt;-6,$BR177&lt;70),"-",COUNTIFS(X$4:X$200,"&lt;&gt;-",$D$4:$D$200,"&lt;&gt;是",$E$4:$E$200,"&lt;&gt;封闭期",$H$4:$H$200,"&gt;10",$BN$4:$BN$200,"&gt;-6",$BR$4:$BR$200,"&gt;=70",$K$4:$K$200,"&lt;=30",$C$4:$C$200,"&lt;20190630",X$4:X$200,"&gt;="&amp;X177)&amp;"/"&amp;COUNTIFS(X$4:X$200,"&lt;&gt;-",$D$4:$D$200,"&lt;&gt;是",$E$4:$E$200,"&lt;&gt;封闭期",$H$4:$H$200,"&gt;10",$BN$4:$BN$200,"&gt;-6",$BR$4:$BR$200,"&gt;=70",$C$4:$C$200,"&lt;20190630",$K$4:$K$200,"&lt;=30"))</f>
        <v>-</v>
      </c>
      <c r="AB177" s="33" t="str">
        <f>IF(OR($C177&gt;20190630,$K177&gt;30,X177="-",$D177="是",$E177="封闭期",$H177&lt;10,$BN177&lt;-6,$BR177&lt;70),"-",COUNTIFS(X$4:X$200,"&lt;&gt;-",$D$4:$D$200,"&lt;&gt;是",$E$4:$E$200,"&lt;&gt;封闭期",$H$4:$H$200,"&gt;10",$BN$4:$BN$200,"&gt;-6",$BR$4:$BR$200,"&gt;=70",$K$4:$K$200,"&lt;=30",$C$4:$C$200,"&lt;20190630",X$4:X$200,"&gt;="&amp;X177)/COUNTIFS(X$4:X$200,"&lt;&gt;-",$D$4:$D$200,"&lt;&gt;是",$E$4:$E$200,"&lt;&gt;封闭期",$H$4:$H$200,"&gt;10",$BN$4:$BN$200,"&gt;-6",$BR$4:$BR$200,"&gt;=70",$C$4:$C$200,"&lt;20190630",$K$4:$K$200,"&lt;=30"))</f>
        <v>-</v>
      </c>
      <c r="AC177" s="20">
        <v>1</v>
      </c>
      <c r="AD177" s="19" t="str">
        <f>IFERROR(RANK(AC177,AC:AC)&amp;"/"&amp;COUNT(AC:AC),"-")</f>
        <v>1/197</v>
      </c>
      <c r="AE177" s="26">
        <f>IFERROR(RANK(AC177,AC:AC)/COUNT(AC:AC),"-")</f>
        <v>5.076142131979695E-3</v>
      </c>
      <c r="AF177" s="34" t="str">
        <f>IF(OR($C177&gt;20190630,$K177&gt;30,AC177="-",$D177="是",$E177="封闭期",$H177&lt;10,$BN177&lt;-6,$BR177&lt;70),"-",COUNTIFS(AC$4:AC$200,"&lt;&gt;-",$D$4:$D$200,"&lt;&gt;是",$E$4:$E$200,"&lt;&gt;封闭期",$H$4:$H$200,"&gt;10",$BN$4:$BN$200,"&gt;-6",$BR$4:$BR$200,"&gt;=70",$K$4:$K$200,"&lt;=30",$C$4:$C$200,"&lt;20190630",AC$4:AC$200,"&gt;="&amp;AC177)&amp;"/"&amp;COUNTIFS(AC$4:AC$200,"&lt;&gt;-",$D$4:$D$200,"&lt;&gt;是",$E$4:$E$200,"&lt;&gt;封闭期",$H$4:$H$200,"&gt;10",$BN$4:$BN$200,"&gt;-6",$BR$4:$BR$200,"&gt;=70",$C$4:$C$200,"&lt;20190630",$K$4:$K$200,"&lt;=30"))</f>
        <v>-</v>
      </c>
      <c r="AG177" s="33" t="str">
        <f>IF(OR($C177&gt;20190630,$K177&gt;30,AC177="-",$D177="是",$E177="封闭期",$H177&lt;10,$BN177&lt;-6,$BR177&lt;70),"-",COUNTIFS(AC$4:AC$200,"&lt;&gt;-",$D$4:$D$200,"&lt;&gt;是",$E$4:$E$200,"&lt;&gt;封闭期",$H$4:$H$200,"&gt;10",$BN$4:$BN$200,"&gt;-6",$BR$4:$BR$200,"&gt;=70",$K$4:$K$200,"&lt;=30",$C$4:$C$200,"&lt;20190630",AC$4:AC$200,"&gt;="&amp;AC177)/COUNTIFS(AC$4:AC$200,"&lt;&gt;-",$D$4:$D$200,"&lt;&gt;是",$E$4:$E$200,"&lt;&gt;封闭期",$H$4:$H$200,"&gt;10",$BN$4:$BN$200,"&gt;-6",$BR$4:$BR$200,"&gt;=70",$C$4:$C$200,"&lt;20190630",$K$4:$K$200,"&lt;=30"))</f>
        <v>-</v>
      </c>
      <c r="AH177" s="21">
        <f>[1]!f_risk_maxdownside(A177,$L$2,$E$1)</f>
        <v>-0.35063796629980465</v>
      </c>
      <c r="AI177" s="19" t="str">
        <f>IFERROR(RANK(AH177,AH:AH)&amp;"/"&amp;COUNT(AH:AH),"-")</f>
        <v>4/197</v>
      </c>
      <c r="AJ177" s="26">
        <f>IFERROR(RANK(AH177,AH:AH)/COUNT(AH:AH),"-")</f>
        <v>2.030456852791878E-2</v>
      </c>
      <c r="AK177" s="34" t="str">
        <f>IF(OR($C177&gt;20190630,$K177&gt;30,AH177="-",$D177="是",$E177="封闭期",$H177&lt;10,$BN177&lt;-6,$BR177&lt;70),"-",COUNTIFS(AH$4:AH$200,"&lt;&gt;-",$D$4:$D$200,"&lt;&gt;是",$E$4:$E$200,"&lt;&gt;封闭期",$H$4:$H$200,"&gt;10",$BN$4:$BN$200,"&gt;-6",$BR$4:$BR$200,"&gt;=70",$K$4:$K$200,"&lt;=30",$C$4:$C$200,"&lt;20190630",AH$4:AH$200,"&gt;="&amp;AH177)&amp;"/"&amp;COUNTIFS(AH$4:AH$200,"&lt;&gt;-",$D$4:$D$200,"&lt;&gt;是",$E$4:$E$200,"&lt;&gt;封闭期",$H$4:$H$200,"&gt;10",$BN$4:$BN$200,"&gt;-6",$BR$4:$BR$200,"&gt;=70",$C$4:$C$200,"&lt;20190630",$K$4:$K$200,"&lt;=30"))</f>
        <v>-</v>
      </c>
      <c r="AL177" s="33" t="str">
        <f>IF(OR($C177&gt;20190630,$K177&gt;30,AH177="-",$D177="是",$E177="封闭期",$H177&lt;10,$BN177&lt;-6,$BR177&lt;70),"-",COUNTIFS(AH$4:AH$200,"&lt;&gt;-",$D$4:$D$200,"&lt;&gt;是",$E$4:$E$200,"&lt;&gt;封闭期",$H$4:$H$200,"&gt;10",$BN$4:$BN$200,"&gt;-6",$BR$4:$BR$200,"&gt;=70",$K$4:$K$200,"&lt;=30",$C$4:$C$200,"&lt;20190630",AH$4:AH$200,"&gt;="&amp;AH177)/COUNTIFS(AH$4:AH$200,"&lt;&gt;-",$D$4:$D$200,"&lt;&gt;是",$E$4:$E$200,"&lt;&gt;封闭期",$H$4:$H$200,"&gt;10",$BN$4:$BN$200,"&gt;-6",$BR$4:$BR$200,"&gt;=70",$C$4:$C$200,"&lt;20190630",$K$4:$K$200,"&lt;=30"))</f>
        <v>-</v>
      </c>
      <c r="AM177" s="19">
        <f>[1]!f_return($A177,"1",AM$2,$L$2)</f>
        <v>2.4258760399802792</v>
      </c>
      <c r="AN177" s="19">
        <f>[1]!f_risk_stdevyearly($A177,AM$2,$L$2,1,1)</f>
        <v>2.0495877135382599</v>
      </c>
      <c r="AO177" s="19">
        <f>IFERROR(AM177/AN177,"-")</f>
        <v>1.1835922044011586</v>
      </c>
      <c r="AP177" s="19" t="str">
        <f>IFERROR(RANK(AO177,AO:AO)&amp;"/"&amp;COUNT(AO:AO),"-")</f>
        <v>145/197</v>
      </c>
      <c r="AQ177" s="26">
        <f>IF(AP177="-","-",RANK(AO177,AO:AO)/COUNT(AO:AO))</f>
        <v>0.73604060913705582</v>
      </c>
      <c r="AR177" s="57">
        <v>0.88324873096446699</v>
      </c>
      <c r="AS177" s="33" t="str">
        <f>IF(OR($C177&gt;20190630,$K177&gt;30,AO177="-",$D177="是",$E177="封闭期",$H177&lt;10,$BN177&lt;-6,$BR177&lt;70),"-",COUNTIFS(AO$4:AO$200,"&lt;&gt;-",$D$4:$D$200,"&lt;&gt;是",$E$4:$E$200,"&lt;&gt;封闭期",$H$4:$H$200,"&gt;10",$BN$4:$BN$200,"&gt;-6",$BR$4:$BR$200,"&gt;=70",$K$4:$K$200,"&lt;=30",$C$4:$C$200,"&lt;20190630",AO$4:AO$200,"&gt;="&amp;AO177)/COUNTIFS(AO$4:AO$200,"&lt;&gt;-",$D$4:$D$200,"&lt;&gt;是",$E$4:$E$200,"&lt;&gt;封闭期",$H$4:$H$200,"&gt;10",$BN$4:$BN$200,"&gt;-6",$BR$4:$BR$200,"&gt;=70",$C$4:$C$200,"&lt;20190630",$K$4:$K$200,"&lt;=30"))</f>
        <v>-</v>
      </c>
      <c r="AT177" s="19">
        <f>IFERROR((AM177-3)/AN177,"-")</f>
        <v>-0.28011680409061135</v>
      </c>
      <c r="AU177" s="19" t="str">
        <f>IFERROR(RANK(AT177,AT:AT)&amp;"/"&amp;COUNT(AT:AT),"-")</f>
        <v>177/197</v>
      </c>
      <c r="AV177" s="26">
        <f>IFERROR(RANK(AT177,AT:AT)/COUNT(AT:AT),"-")</f>
        <v>0.89847715736040612</v>
      </c>
      <c r="AW177" s="34" t="str">
        <f>IF(OR($C177&gt;20190630,$K177&gt;30,AT177="-",$D177="是",$E177="封闭期",$H177&lt;10,$BN177&lt;-6,$BR177&lt;70),"-",COUNTIFS(AT$4:AT$200,"&lt;&gt;-",$D$4:$D$200,"&lt;&gt;是",$E$4:$E$200,"&lt;&gt;封闭期",$H$4:$H$200,"&gt;10",$BN$4:$BN$200,"&gt;-6",$BR$4:$BR$200,"&gt;=70",$K$4:$K$200,"&lt;=30",$C$4:$C$200,"&lt;20190630",AT$4:AT$200,"&gt;="&amp;AT177)&amp;"/"&amp;COUNTIFS(AT$4:AT$200,"&lt;&gt;-",$D$4:$D$200,"&lt;&gt;是",$E$4:$E$200,"&lt;&gt;封闭期",$H$4:$H$200,"&gt;10",$BN$4:$BN$200,"&gt;-6",$BR$4:$BR$200,"&gt;=70",$C$4:$C$200,"&lt;20190630",$K$4:$K$200,"&lt;=30"))</f>
        <v>-</v>
      </c>
      <c r="AX177" s="33" t="str">
        <f>IF(OR($C177&gt;20190630,$K177&gt;30,AT177="-",$D177="是",$E177="封闭期",$H177&lt;10,$BN177&lt;-6,$BR177&lt;70),"-",COUNTIFS(AT$4:AT$200,"&lt;&gt;-",$D$4:$D$200,"&lt;&gt;是",$E$4:$E$200,"&lt;&gt;封闭期",$H$4:$H$200,"&gt;10",$BN$4:$BN$200,"&gt;-6",$BR$4:$BR$200,"&gt;=70",$K$4:$K$200,"&lt;=30",$C$4:$C$200,"&lt;20190630",AT$4:AT$200,"&gt;="&amp;AT177)/COUNTIFS(AT$4:AT$200,"&lt;&gt;-",$D$4:$D$200,"&lt;&gt;是",$E$4:$E$200,"&lt;&gt;封闭期",$H$4:$H$200,"&gt;10",$BN$4:$BN$200,"&gt;-6",$BR$4:$BR$200,"&gt;=70",$C$4:$C$200,"&lt;20190630",$K$4:$K$200,"&lt;=30"))</f>
        <v>-</v>
      </c>
      <c r="AY177" s="19">
        <f>[1]!f_risk_calmar(A177,$AM$2,$L$2)</f>
        <v>0.67910951230210681</v>
      </c>
      <c r="AZ177" s="19" t="str">
        <f>IFERROR(RANK(AY177,AY:AY)&amp;"/"&amp;COUNT(AY:AY),"-")</f>
        <v>182/197</v>
      </c>
      <c r="BA177" s="26">
        <f>IFERROR(RANK(AY177,AY:AY)/COUNT(AY:AY),"-")</f>
        <v>0.92385786802030456</v>
      </c>
      <c r="BB177" s="34" t="str">
        <f>IF(OR($C177&gt;20190630,$K177&gt;30,AY177="-",$D177="是",$E177="封闭期",$H177&lt;10,$BN177&lt;-6,$BR177&lt;70),"-",COUNTIFS(AY$4:AY$200,"&lt;&gt;-",$D$4:$D$200,"&lt;&gt;是",$E$4:$E$200,"&lt;&gt;封闭期",$H$4:$H$200,"&gt;10",$BN$4:$BN$200,"&gt;-6",$BR$4:$BR$200,"&gt;=70",$K$4:$K$200,"&lt;=30",$C$4:$C$200,"&lt;20190630",AY$4:AY$200,"&gt;="&amp;AY177)&amp;"/"&amp;COUNTIFS(AY$4:AY$200,"&lt;&gt;-",$D$4:$D$200,"&lt;&gt;是",$E$4:$E$200,"&lt;&gt;封闭期",$H$4:$H$200,"&gt;10",$BN$4:$BN$200,"&gt;-6",$BR$4:$BR$200,"&gt;=70",$C$4:$C$200,"&lt;20190630",$K$4:$K$200,"&lt;=30"))</f>
        <v>-</v>
      </c>
      <c r="BC177" s="33" t="str">
        <f>IF(OR($C177&gt;20190630,$K177&gt;30,AY177="-",$D177="是",$E177="封闭期",$H177&lt;10,$BN177&lt;-6,$BR177&lt;70),"-",COUNTIFS(AY$4:AY$200,"&lt;&gt;-",$D$4:$D$200,"&lt;&gt;是",$E$4:$E$200,"&lt;&gt;封闭期",$H$4:$H$200,"&gt;10",$BN$4:$BN$200,"&gt;-6",$BR$4:$BR$200,"&gt;=70",$K$4:$K$200,"&lt;=30",$C$4:$C$200,"&lt;20190630",AY$4:AY$200,"&gt;="&amp;AY177)/COUNTIFS(AY$4:AY$200,"&lt;&gt;-",$D$4:$D$200,"&lt;&gt;是",$E$4:$E$200,"&lt;&gt;封闭期",$H$4:$H$200,"&gt;10",$BN$4:$BN$200,"&gt;-6",$BR$4:$BR$200,"&gt;=70",$C$4:$C$200,"&lt;20190630",$K$4:$K$200,"&lt;=30"))</f>
        <v>-</v>
      </c>
      <c r="BD177" s="20">
        <v>0.79166666666666663</v>
      </c>
      <c r="BE177" s="19" t="str">
        <f>IFERROR(RANK(BD177,BD:BD)&amp;"/"&amp;COUNT(BD:BD),"-")</f>
        <v>178/197</v>
      </c>
      <c r="BF177" s="26">
        <f>IFERROR(RANK(BD177,BD:BD)/COUNT(BD:BD),"-")</f>
        <v>0.90355329949238583</v>
      </c>
      <c r="BG177" s="34" t="str">
        <f>IF(OR($C177&gt;20190630,$K177&gt;30,BD177="-",$D177="是",$E177="封闭期",$H177&lt;10,$BN177&lt;-6,$BR177&lt;70),"-",COUNTIFS(BD$4:BD$200,"&lt;&gt;-",$D$4:$D$200,"&lt;&gt;是",$E$4:$E$200,"&lt;&gt;封闭期",$H$4:$H$200,"&gt;10",$BN$4:$BN$200,"&gt;-6",$BR$4:$BR$200,"&gt;=70",$K$4:$K$200,"&lt;=30",$C$4:$C$200,"&lt;20190630",BD$4:BD$200,"&gt;="&amp;BD177)&amp;"/"&amp;COUNTIFS(BD$4:BD$200,"&lt;&gt;-",$D$4:$D$200,"&lt;&gt;是",$E$4:$E$200,"&lt;&gt;封闭期",$H$4:$H$200,"&gt;10",$BN$4:$BN$200,"&gt;-6",$BR$4:$BR$200,"&gt;=70",$C$4:$C$200,"&lt;20190630",$K$4:$K$200,"&lt;=30"))</f>
        <v>-</v>
      </c>
      <c r="BH177" s="33" t="str">
        <f>IF(OR($C177&gt;20190630,$K177&gt;30,BD177="-",$D177="是",$E177="封闭期",$H177&lt;10,$BN177&lt;-6,$BR177&lt;70),"-",COUNTIFS(BD$4:BD$200,"&lt;&gt;-",$D$4:$D$200,"&lt;&gt;是",$E$4:$E$200,"&lt;&gt;封闭期",$H$4:$H$200,"&gt;10",$BN$4:$BN$200,"&gt;-6",$BR$4:$BR$200,"&gt;=70",$K$4:$K$200,"&lt;=30",$C$4:$C$200,"&lt;20190630",BD$4:BD$200,"&gt;="&amp;BD177)/COUNTIFS(BD$4:BD$200,"&lt;&gt;-",$D$4:$D$200,"&lt;&gt;是",$E$4:$E$200,"&lt;&gt;封闭期",$H$4:$H$200,"&gt;10",$BN$4:$BN$200,"&gt;-6",$BR$4:$BR$200,"&gt;=70",$C$4:$C$200,"&lt;20190630",$K$4:$K$200,"&lt;=30"))</f>
        <v>-</v>
      </c>
      <c r="BI177" s="21">
        <f>[1]!f_risk_maxdownside(A177,$AM$2,$L$2)</f>
        <v>-3.5721426309533282</v>
      </c>
      <c r="BJ177" s="19" t="str">
        <f>IFERROR(RANK(BI177,BI:BI)&amp;"/"&amp;COUNT(BI:BI),"-")</f>
        <v>115/197</v>
      </c>
      <c r="BK177" s="26">
        <f>IFERROR(RANK(BI177,BI:BI)/COUNT(BI:BI),"-")</f>
        <v>0.58375634517766495</v>
      </c>
      <c r="BL177" s="34" t="str">
        <f>IF(OR($C177&gt;20190630,$K177&gt;30,BI177="-",$D177="是",$E177="封闭期",$H177&lt;10,$BN177&lt;-6,$BR177&lt;70),"-",COUNTIFS(BI$4:BI$200,"&lt;&gt;-",$D$4:$D$200,"&lt;&gt;是",$E$4:$E$200,"&lt;&gt;封闭期",$H$4:$H$200,"&gt;10",$BN$4:$BN$200,"&gt;-6",$BR$4:$BR$200,"&gt;=70",$K$4:$K$200,"&lt;=30",$C$4:$C$200,"&lt;20190630",BI$4:BI$200,"&gt;="&amp;BI177)&amp;"/"&amp;COUNTIFS(BI$4:BI$200,"&lt;&gt;-",$D$4:$D$200,"&lt;&gt;是",$E$4:$E$200,"&lt;&gt;封闭期",$H$4:$H$200,"&gt;10",$BN$4:$BN$200,"&gt;-6",$BR$4:$BR$200,"&gt;=70",$C$4:$C$200,"&lt;20190630",$K$4:$K$200,"&lt;=30"))</f>
        <v>-</v>
      </c>
      <c r="BM177" s="33" t="str">
        <f>IF(OR($C177&gt;20190630,$K177&gt;30,BI177="-",$D177="是",$E177="封闭期",$H177&lt;10,$BN177&lt;-6,$BR177&lt;70),"-",COUNTIFS(BI$4:BI$200,"&lt;&gt;-",$D$4:$D$200,"&lt;&gt;是",$E$4:$E$200,"&lt;&gt;封闭期",$H$4:$H$200,"&gt;10",$BN$4:$BN$200,"&gt;-6",$BR$4:$BR$200,"&gt;=70",$K$4:$K$200,"&lt;=30",$C$4:$C$200,"&lt;20190630",BI$4:BI$200,"&gt;="&amp;BI177)/COUNTIFS(BI$4:BI$200,"&lt;&gt;-",$D$4:$D$200,"&lt;&gt;是",$E$4:$E$200,"&lt;&gt;封闭期",$H$4:$H$200,"&gt;10",$BN$4:$BN$200,"&gt;-6",$BR$4:$BR$200,"&gt;=70",$C$4:$C$200,"&lt;20190630",$K$4:$K$200,"&lt;=30"))</f>
        <v>-</v>
      </c>
      <c r="BN177" s="21">
        <f>[1]!f_risk_maxdownside(A177,$AM$2,$E$1)</f>
        <v>-3.5721426309533282</v>
      </c>
      <c r="BO177" s="21">
        <f>IF(C177&lt;20190930,[1]!f_return_2y(A177,"0","20210930"),"-")</f>
        <v>6.5208293340621708</v>
      </c>
      <c r="BP177" s="19" t="str">
        <f>IFERROR(RANK(BO177,BO:BO)&amp;"/"&amp;COUNT(BO:BO),"-")</f>
        <v>173/197</v>
      </c>
      <c r="BQ177" s="25">
        <f>IFERROR(RANK(BO177,BO:BO)/COUNT(BO:BO),"-")</f>
        <v>0.87817258883248728</v>
      </c>
      <c r="BR177" s="19">
        <f>IF(C177&lt;20190930,[1]!f_absolute_profitmonthper(A177,"20190930","20210930"),"-")</f>
        <v>75</v>
      </c>
      <c r="BS177" s="19" t="str">
        <f>IFERROR(RANK(BR177,BR:BR)&amp;"/"&amp;COUNT(BR:BR),"-")</f>
        <v>26/198</v>
      </c>
      <c r="BT177" s="25">
        <f>IFERROR(RANK(BR177,BR:BR)/COUNT(BR:BR),"-")</f>
        <v>0.13131313131313133</v>
      </c>
      <c r="BV177" s="12">
        <f>X177-3/M177</f>
        <v>5.2790221680101315</v>
      </c>
      <c r="BW177" s="76">
        <f>IFERROR(RANK(BV177,BV:BV)/COUNT(BV:BV),"-")</f>
        <v>8.1218274111675121E-2</v>
      </c>
      <c r="BX177" s="76">
        <f>IFERROR(RANK(L177,L:L)/COUNT(L:L),"-")</f>
        <v>0.73232323232323238</v>
      </c>
      <c r="BY177" s="12">
        <f>AY177-3/AN177</f>
        <v>-0.78459949618966307</v>
      </c>
      <c r="BZ177" s="76">
        <f>IFERROR(RANK(BY177,BY:BY)/COUNT(BY:BY),"-")</f>
        <v>0.92385786802030456</v>
      </c>
      <c r="CA177" s="76">
        <f>IFERROR(RANK(AM177,AM:AM)/COUNT(AM:AM),"-")</f>
        <v>0.88383838383838387</v>
      </c>
      <c r="CB177" s="2"/>
      <c r="CC177" s="77">
        <f>AV177+BF177+BZ177+CA177</f>
        <v>3.6097267087114799</v>
      </c>
      <c r="CD177" s="77">
        <f>BW177+BX177+AE177+U177</f>
        <v>0.89475978054658267</v>
      </c>
      <c r="CE177" s="77">
        <f>CC177+CD177</f>
        <v>4.5044864892580625</v>
      </c>
    </row>
    <row r="178" spans="1:83" s="17" customFormat="1" hidden="1" x14ac:dyDescent="0.35">
      <c r="A178" s="15" t="s">
        <v>171</v>
      </c>
      <c r="B178" s="15" t="s">
        <v>172</v>
      </c>
      <c r="C178" s="16">
        <v>20140128</v>
      </c>
      <c r="D178" s="16" t="str">
        <f>[1]!f_info_regulopenfundornot(A178)</f>
        <v>否</v>
      </c>
      <c r="E178" s="16" t="str">
        <f>[1]!f_dq_status(A178,$E$1)</f>
        <v>开放申购|开放赎回</v>
      </c>
      <c r="F178" s="17" t="str">
        <f>[1]!f_info_fundmanager(A178)</f>
        <v>唐赟</v>
      </c>
      <c r="G178" s="16">
        <v>20200714</v>
      </c>
      <c r="H178" s="18">
        <f>[1]!f_netasset_total(A178,$E$1,100000000)</f>
        <v>0.31252509109999999</v>
      </c>
      <c r="I178" s="18">
        <f>[1]!f_prt_convertiblebondtonav(A178,$E$1)</f>
        <v>15.832385063171387</v>
      </c>
      <c r="J178" s="18">
        <f>[1]!f_prt_stocktonav(A178,$E$1)+0.5*I178</f>
        <v>10.247803688049316</v>
      </c>
      <c r="K178" s="19">
        <v>0</v>
      </c>
      <c r="L178" s="19">
        <f>[1]!f_return($A178,"1",L$2,$E$1)</f>
        <v>19.269284364270732</v>
      </c>
      <c r="M178" s="19">
        <f>[1]!f_risk_stdevyearly($A178,L$2,$E$1,1,1)</f>
        <v>9.5848853673954686</v>
      </c>
      <c r="N178" s="19">
        <f>IFERROR(L178/M178,"-")</f>
        <v>2.0103823494664117</v>
      </c>
      <c r="O178" s="19" t="str">
        <f>IFERROR(RANK(N178,N:N)&amp;"/"&amp;COUNT(N:N),"-")</f>
        <v>48/197</v>
      </c>
      <c r="P178" s="26">
        <f>IF(O178="-","-",RANK(N178,N:N)/COUNT(N:N))</f>
        <v>0.24365482233502539</v>
      </c>
      <c r="Q178" s="56">
        <v>3.0456852791878174E-2</v>
      </c>
      <c r="R178" s="33" t="str">
        <f>IF(OR($C178&gt;20190630,$K178&gt;30,N178="-",$D178="是",$E178="封闭期",$H178&lt;10,$BN178&lt;-6,$BR178&lt;70),"-",COUNTIFS(N$4:N$200,"&lt;&gt;-",$D$4:$D$200,"&lt;&gt;是",$E$4:$E$200,"&lt;&gt;封闭期",$H$4:$H$200,"&gt;10",$BN$4:$BN$200,"&gt;-6",$BR$4:$BR$200,"&gt;=70",$K$4:$K$200,"&lt;=30",$C$4:$C$200,"&lt;20190630",N$4:N$200,"&gt;="&amp;N178)/COUNTIFS(N$4:N$200,"&lt;&gt;-",$D$4:$D$200,"&lt;&gt;是",$E$4:$E$200,"&lt;&gt;封闭期",$H$4:$H$200,"&gt;10",$BN$4:$BN$200,"&gt;-6",$BR$4:$BR$200,"&gt;=70",$C$4:$C$200,"&lt;20190630",$K$4:$K$200,"&lt;=30"))</f>
        <v>-</v>
      </c>
      <c r="S178" s="19">
        <f>IFERROR((L178-3)/M178,"-")</f>
        <v>1.6973895608197176</v>
      </c>
      <c r="T178" s="19" t="str">
        <f>IFERROR(RANK(S178,S:S)&amp;"/"&amp;COUNT(S:S),"-")</f>
        <v>20/197</v>
      </c>
      <c r="U178" s="26">
        <f>IFERROR(RANK(S178,S:S)/COUNT(S:S),"-")</f>
        <v>0.10152284263959391</v>
      </c>
      <c r="V178" s="34" t="str">
        <f>IF(OR($C178&gt;20190630,$K178&gt;30,S178="-",$D178="是",$E178="封闭期",$H178&lt;10,$BN178&lt;-6,$BR178&lt;70),"-",COUNTIFS(S$4:S$200,"&lt;&gt;-",$D$4:$D$200,"&lt;&gt;是",$E$4:$E$200,"&lt;&gt;封闭期",$H$4:$H$200,"&gt;10",$BN$4:$BN$200,"&gt;-6",$BR$4:$BR$200,"&gt;=70",$K$4:$K$200,"&lt;=30",$C$4:$C$200,"&lt;20190630",S$4:S$200,"&gt;="&amp;S178)&amp;"/"&amp;COUNTIFS(S$4:S$200,"&lt;&gt;-",$D$4:$D$200,"&lt;&gt;是",$E$4:$E$200,"&lt;&gt;封闭期",$H$4:$H$200,"&gt;10",$BN$4:$BN$200,"&gt;-6",$BR$4:$BR$200,"&gt;=70",$C$4:$C$200,"&lt;20190630",$K$4:$K$200,"&lt;=30"))</f>
        <v>-</v>
      </c>
      <c r="W178" s="33" t="str">
        <f>IF(OR($C178&gt;20190630,$K178&gt;30,S178="-",$D178="是",$E178="封闭期",$H178&lt;10,$BN178&lt;-6,$BR178&lt;70),"-",COUNTIFS(S$4:S$200,"&lt;&gt;-",$D$4:$D$200,"&lt;&gt;是",$E$4:$E$200,"&lt;&gt;封闭期",$H$4:$H$200,"&gt;10",$BN$4:$BN$200,"&gt;-6",$BR$4:$BR$200,"&gt;=70",$K$4:$K$200,"&lt;=30",$C$4:$C$200,"&lt;20190630",S$4:S$200,"&gt;="&amp;S178)/COUNTIFS(S$4:S$200,"&lt;&gt;-",$D$4:$D$200,"&lt;&gt;是",$E$4:$E$200,"&lt;&gt;封闭期",$H$4:$H$200,"&gt;10",$BN$4:$BN$200,"&gt;-6",$BR$4:$BR$200,"&gt;=70",$C$4:$C$200,"&lt;20190630",$K$4:$K$200,"&lt;=30"))</f>
        <v>-</v>
      </c>
      <c r="X178" s="19">
        <f>[1]!f_risk_calmar(A178,$L$2,$E$1)</f>
        <v>4.4423999964145446</v>
      </c>
      <c r="Y178" s="19" t="str">
        <f>IFERROR(RANK(X178,X:X)&amp;"/"&amp;COUNT(X:X),"-")</f>
        <v>39/197</v>
      </c>
      <c r="Z178" s="26">
        <f>IFERROR(RANK(X178,X:X)/COUNT(X:X),"-")</f>
        <v>0.19796954314720813</v>
      </c>
      <c r="AA178" s="34" t="str">
        <f>IF(OR($C178&gt;20190630,$K178&gt;30,X178="-",$D178="是",$E178="封闭期",$H178&lt;10,$BN178&lt;-6,$BR178&lt;70),"-",COUNTIFS(X$4:X$200,"&lt;&gt;-",$D$4:$D$200,"&lt;&gt;是",$E$4:$E$200,"&lt;&gt;封闭期",$H$4:$H$200,"&gt;10",$BN$4:$BN$200,"&gt;-6",$BR$4:$BR$200,"&gt;=70",$K$4:$K$200,"&lt;=30",$C$4:$C$200,"&lt;20190630",X$4:X$200,"&gt;="&amp;X178)&amp;"/"&amp;COUNTIFS(X$4:X$200,"&lt;&gt;-",$D$4:$D$200,"&lt;&gt;是",$E$4:$E$200,"&lt;&gt;封闭期",$H$4:$H$200,"&gt;10",$BN$4:$BN$200,"&gt;-6",$BR$4:$BR$200,"&gt;=70",$C$4:$C$200,"&lt;20190630",$K$4:$K$200,"&lt;=30"))</f>
        <v>-</v>
      </c>
      <c r="AB178" s="33" t="str">
        <f>IF(OR($C178&gt;20190630,$K178&gt;30,X178="-",$D178="是",$E178="封闭期",$H178&lt;10,$BN178&lt;-6,$BR178&lt;70),"-",COUNTIFS(X$4:X$200,"&lt;&gt;-",$D$4:$D$200,"&lt;&gt;是",$E$4:$E$200,"&lt;&gt;封闭期",$H$4:$H$200,"&gt;10",$BN$4:$BN$200,"&gt;-6",$BR$4:$BR$200,"&gt;=70",$K$4:$K$200,"&lt;=30",$C$4:$C$200,"&lt;20190630",X$4:X$200,"&gt;="&amp;X178)/COUNTIFS(X$4:X$200,"&lt;&gt;-",$D$4:$D$200,"&lt;&gt;是",$E$4:$E$200,"&lt;&gt;封闭期",$H$4:$H$200,"&gt;10",$BN$4:$BN$200,"&gt;-6",$BR$4:$BR$200,"&gt;=70",$C$4:$C$200,"&lt;20190630",$K$4:$K$200,"&lt;=30"))</f>
        <v>-</v>
      </c>
      <c r="AC178" s="20">
        <v>1</v>
      </c>
      <c r="AD178" s="19" t="str">
        <f>IFERROR(RANK(AC178,AC:AC)&amp;"/"&amp;COUNT(AC:AC),"-")</f>
        <v>1/197</v>
      </c>
      <c r="AE178" s="26">
        <f>IFERROR(RANK(AC178,AC:AC)/COUNT(AC:AC),"-")</f>
        <v>5.076142131979695E-3</v>
      </c>
      <c r="AF178" s="34" t="str">
        <f>IF(OR($C178&gt;20190630,$K178&gt;30,AC178="-",$D178="是",$E178="封闭期",$H178&lt;10,$BN178&lt;-6,$BR178&lt;70),"-",COUNTIFS(AC$4:AC$200,"&lt;&gt;-",$D$4:$D$200,"&lt;&gt;是",$E$4:$E$200,"&lt;&gt;封闭期",$H$4:$H$200,"&gt;10",$BN$4:$BN$200,"&gt;-6",$BR$4:$BR$200,"&gt;=70",$K$4:$K$200,"&lt;=30",$C$4:$C$200,"&lt;20190630",AC$4:AC$200,"&gt;="&amp;AC178)&amp;"/"&amp;COUNTIFS(AC$4:AC$200,"&lt;&gt;-",$D$4:$D$200,"&lt;&gt;是",$E$4:$E$200,"&lt;&gt;封闭期",$H$4:$H$200,"&gt;10",$BN$4:$BN$200,"&gt;-6",$BR$4:$BR$200,"&gt;=70",$C$4:$C$200,"&lt;20190630",$K$4:$K$200,"&lt;=30"))</f>
        <v>-</v>
      </c>
      <c r="AG178" s="33" t="str">
        <f>IF(OR($C178&gt;20190630,$K178&gt;30,AC178="-",$D178="是",$E178="封闭期",$H178&lt;10,$BN178&lt;-6,$BR178&lt;70),"-",COUNTIFS(AC$4:AC$200,"&lt;&gt;-",$D$4:$D$200,"&lt;&gt;是",$E$4:$E$200,"&lt;&gt;封闭期",$H$4:$H$200,"&gt;10",$BN$4:$BN$200,"&gt;-6",$BR$4:$BR$200,"&gt;=70",$K$4:$K$200,"&lt;=30",$C$4:$C$200,"&lt;20190630",AC$4:AC$200,"&gt;="&amp;AC178)/COUNTIFS(AC$4:AC$200,"&lt;&gt;-",$D$4:$D$200,"&lt;&gt;是",$E$4:$E$200,"&lt;&gt;封闭期",$H$4:$H$200,"&gt;10",$BN$4:$BN$200,"&gt;-6",$BR$4:$BR$200,"&gt;=70",$C$4:$C$200,"&lt;20190630",$K$4:$K$200,"&lt;=30"))</f>
        <v>-</v>
      </c>
      <c r="AH178" s="21">
        <f>[1]!f_risk_maxdownside(A178,$L$2,$E$1)</f>
        <v>-4.3375842742263071</v>
      </c>
      <c r="AI178" s="19" t="str">
        <f>IFERROR(RANK(AH178,AH:AH)&amp;"/"&amp;COUNT(AH:AH),"-")</f>
        <v>135/197</v>
      </c>
      <c r="AJ178" s="26">
        <f>IFERROR(RANK(AH178,AH:AH)/COUNT(AH:AH),"-")</f>
        <v>0.68527918781725883</v>
      </c>
      <c r="AK178" s="34" t="str">
        <f>IF(OR($C178&gt;20190630,$K178&gt;30,AH178="-",$D178="是",$E178="封闭期",$H178&lt;10,$BN178&lt;-6,$BR178&lt;70),"-",COUNTIFS(AH$4:AH$200,"&lt;&gt;-",$D$4:$D$200,"&lt;&gt;是",$E$4:$E$200,"&lt;&gt;封闭期",$H$4:$H$200,"&gt;10",$BN$4:$BN$200,"&gt;-6",$BR$4:$BR$200,"&gt;=70",$K$4:$K$200,"&lt;=30",$C$4:$C$200,"&lt;20190630",AH$4:AH$200,"&gt;="&amp;AH178)&amp;"/"&amp;COUNTIFS(AH$4:AH$200,"&lt;&gt;-",$D$4:$D$200,"&lt;&gt;是",$E$4:$E$200,"&lt;&gt;封闭期",$H$4:$H$200,"&gt;10",$BN$4:$BN$200,"&gt;-6",$BR$4:$BR$200,"&gt;=70",$C$4:$C$200,"&lt;20190630",$K$4:$K$200,"&lt;=30"))</f>
        <v>-</v>
      </c>
      <c r="AL178" s="33" t="str">
        <f>IF(OR($C178&gt;20190630,$K178&gt;30,AH178="-",$D178="是",$E178="封闭期",$H178&lt;10,$BN178&lt;-6,$BR178&lt;70),"-",COUNTIFS(AH$4:AH$200,"&lt;&gt;-",$D$4:$D$200,"&lt;&gt;是",$E$4:$E$200,"&lt;&gt;封闭期",$H$4:$H$200,"&gt;10",$BN$4:$BN$200,"&gt;-6",$BR$4:$BR$200,"&gt;=70",$K$4:$K$200,"&lt;=30",$C$4:$C$200,"&lt;20190630",AH$4:AH$200,"&gt;="&amp;AH178)/COUNTIFS(AH$4:AH$200,"&lt;&gt;-",$D$4:$D$200,"&lt;&gt;是",$E$4:$E$200,"&lt;&gt;封闭期",$H$4:$H$200,"&gt;10",$BN$4:$BN$200,"&gt;-6",$BR$4:$BR$200,"&gt;=70",$C$4:$C$200,"&lt;20190630",$K$4:$K$200,"&lt;=30"))</f>
        <v>-</v>
      </c>
      <c r="AM178" s="19">
        <f>[1]!f_return($A178,"1",AM$2,$L$2)</f>
        <v>2.3713952281154693</v>
      </c>
      <c r="AN178" s="19">
        <f>[1]!f_risk_stdevyearly($A178,AM$2,$L$2,1,1)</f>
        <v>6.8923104445851022</v>
      </c>
      <c r="AO178" s="19">
        <f>IFERROR(AM178/AN178,"-")</f>
        <v>0.34406390239988976</v>
      </c>
      <c r="AP178" s="19" t="str">
        <f>IFERROR(RANK(AO178,AO:AO)&amp;"/"&amp;COUNT(AO:AO),"-")</f>
        <v>188/197</v>
      </c>
      <c r="AQ178" s="26">
        <f>IF(AP178="-","-",RANK(AO178,AO:AO)/COUNT(AO:AO))</f>
        <v>0.95431472081218272</v>
      </c>
      <c r="AR178" s="57">
        <v>0.8883248730964467</v>
      </c>
      <c r="AS178" s="33" t="str">
        <f>IF(OR($C178&gt;20190630,$K178&gt;30,AO178="-",$D178="是",$E178="封闭期",$H178&lt;10,$BN178&lt;-6,$BR178&lt;70),"-",COUNTIFS(AO$4:AO$200,"&lt;&gt;-",$D$4:$D$200,"&lt;&gt;是",$E$4:$E$200,"&lt;&gt;封闭期",$H$4:$H$200,"&gt;10",$BN$4:$BN$200,"&gt;-6",$BR$4:$BR$200,"&gt;=70",$K$4:$K$200,"&lt;=30",$C$4:$C$200,"&lt;20190630",AO$4:AO$200,"&gt;="&amp;AO178)/COUNTIFS(AO$4:AO$200,"&lt;&gt;-",$D$4:$D$200,"&lt;&gt;是",$E$4:$E$200,"&lt;&gt;封闭期",$H$4:$H$200,"&gt;10",$BN$4:$BN$200,"&gt;-6",$BR$4:$BR$200,"&gt;=70",$C$4:$C$200,"&lt;20190630",$K$4:$K$200,"&lt;=30"))</f>
        <v>-</v>
      </c>
      <c r="AT178" s="19">
        <f>IFERROR((AM178-3)/AN178,"-")</f>
        <v>-9.1203780929280373E-2</v>
      </c>
      <c r="AU178" s="19" t="str">
        <f>IFERROR(RANK(AT178,AT:AT)&amp;"/"&amp;COUNT(AT:AT),"-")</f>
        <v>172/197</v>
      </c>
      <c r="AV178" s="26">
        <f>IFERROR(RANK(AT178,AT:AT)/COUNT(AT:AT),"-")</f>
        <v>0.87309644670050757</v>
      </c>
      <c r="AW178" s="34" t="str">
        <f>IF(OR($C178&gt;20190630,$K178&gt;30,AT178="-",$D178="是",$E178="封闭期",$H178&lt;10,$BN178&lt;-6,$BR178&lt;70),"-",COUNTIFS(AT$4:AT$200,"&lt;&gt;-",$D$4:$D$200,"&lt;&gt;是",$E$4:$E$200,"&lt;&gt;封闭期",$H$4:$H$200,"&gt;10",$BN$4:$BN$200,"&gt;-6",$BR$4:$BR$200,"&gt;=70",$K$4:$K$200,"&lt;=30",$C$4:$C$200,"&lt;20190630",AT$4:AT$200,"&gt;="&amp;AT178)&amp;"/"&amp;COUNTIFS(AT$4:AT$200,"&lt;&gt;-",$D$4:$D$200,"&lt;&gt;是",$E$4:$E$200,"&lt;&gt;封闭期",$H$4:$H$200,"&gt;10",$BN$4:$BN$200,"&gt;-6",$BR$4:$BR$200,"&gt;=70",$C$4:$C$200,"&lt;20190630",$K$4:$K$200,"&lt;=30"))</f>
        <v>-</v>
      </c>
      <c r="AX178" s="33" t="str">
        <f>IF(OR($C178&gt;20190630,$K178&gt;30,AT178="-",$D178="是",$E178="封闭期",$H178&lt;10,$BN178&lt;-6,$BR178&lt;70),"-",COUNTIFS(AT$4:AT$200,"&lt;&gt;-",$D$4:$D$200,"&lt;&gt;是",$E$4:$E$200,"&lt;&gt;封闭期",$H$4:$H$200,"&gt;10",$BN$4:$BN$200,"&gt;-6",$BR$4:$BR$200,"&gt;=70",$K$4:$K$200,"&lt;=30",$C$4:$C$200,"&lt;20190630",AT$4:AT$200,"&gt;="&amp;AT178)/COUNTIFS(AT$4:AT$200,"&lt;&gt;-",$D$4:$D$200,"&lt;&gt;是",$E$4:$E$200,"&lt;&gt;封闭期",$H$4:$H$200,"&gt;10",$BN$4:$BN$200,"&gt;-6",$BR$4:$BR$200,"&gt;=70",$C$4:$C$200,"&lt;20190630",$K$4:$K$200,"&lt;=30"))</f>
        <v>-</v>
      </c>
      <c r="AY178" s="19">
        <f>[1]!f_risk_calmar(A178,$AM$2,$L$2)</f>
        <v>0.34473005160534242</v>
      </c>
      <c r="AZ178" s="19" t="str">
        <f>IFERROR(RANK(AY178,AY:AY)&amp;"/"&amp;COUNT(AY:AY),"-")</f>
        <v>190/197</v>
      </c>
      <c r="BA178" s="26">
        <f>IFERROR(RANK(AY178,AY:AY)/COUNT(AY:AY),"-")</f>
        <v>0.96446700507614214</v>
      </c>
      <c r="BB178" s="34" t="str">
        <f>IF(OR($C178&gt;20190630,$K178&gt;30,AY178="-",$D178="是",$E178="封闭期",$H178&lt;10,$BN178&lt;-6,$BR178&lt;70),"-",COUNTIFS(AY$4:AY$200,"&lt;&gt;-",$D$4:$D$200,"&lt;&gt;是",$E$4:$E$200,"&lt;&gt;封闭期",$H$4:$H$200,"&gt;10",$BN$4:$BN$200,"&gt;-6",$BR$4:$BR$200,"&gt;=70",$K$4:$K$200,"&lt;=30",$C$4:$C$200,"&lt;20190630",AY$4:AY$200,"&gt;="&amp;AY178)&amp;"/"&amp;COUNTIFS(AY$4:AY$200,"&lt;&gt;-",$D$4:$D$200,"&lt;&gt;是",$E$4:$E$200,"&lt;&gt;封闭期",$H$4:$H$200,"&gt;10",$BN$4:$BN$200,"&gt;-6",$BR$4:$BR$200,"&gt;=70",$C$4:$C$200,"&lt;20190630",$K$4:$K$200,"&lt;=30"))</f>
        <v>-</v>
      </c>
      <c r="BC178" s="33" t="str">
        <f>IF(OR($C178&gt;20190630,$K178&gt;30,AY178="-",$D178="是",$E178="封闭期",$H178&lt;10,$BN178&lt;-6,$BR178&lt;70),"-",COUNTIFS(AY$4:AY$200,"&lt;&gt;-",$D$4:$D$200,"&lt;&gt;是",$E$4:$E$200,"&lt;&gt;封闭期",$H$4:$H$200,"&gt;10",$BN$4:$BN$200,"&gt;-6",$BR$4:$BR$200,"&gt;=70",$K$4:$K$200,"&lt;=30",$C$4:$C$200,"&lt;20190630",AY$4:AY$200,"&gt;="&amp;AY178)/COUNTIFS(AY$4:AY$200,"&lt;&gt;-",$D$4:$D$200,"&lt;&gt;是",$E$4:$E$200,"&lt;&gt;封闭期",$H$4:$H$200,"&gt;10",$BN$4:$BN$200,"&gt;-6",$BR$4:$BR$200,"&gt;=70",$C$4:$C$200,"&lt;20190630",$K$4:$K$200,"&lt;=30"))</f>
        <v>-</v>
      </c>
      <c r="BD178" s="20">
        <v>0.85833333333333328</v>
      </c>
      <c r="BE178" s="19" t="str">
        <f>IFERROR(RANK(BD178,BD:BD)&amp;"/"&amp;COUNT(BD:BD),"-")</f>
        <v>169/197</v>
      </c>
      <c r="BF178" s="26">
        <f>IFERROR(RANK(BD178,BD:BD)/COUNT(BD:BD),"-")</f>
        <v>0.85786802030456855</v>
      </c>
      <c r="BG178" s="34" t="str">
        <f>IF(OR($C178&gt;20190630,$K178&gt;30,BD178="-",$D178="是",$E178="封闭期",$H178&lt;10,$BN178&lt;-6,$BR178&lt;70),"-",COUNTIFS(BD$4:BD$200,"&lt;&gt;-",$D$4:$D$200,"&lt;&gt;是",$E$4:$E$200,"&lt;&gt;封闭期",$H$4:$H$200,"&gt;10",$BN$4:$BN$200,"&gt;-6",$BR$4:$BR$200,"&gt;=70",$K$4:$K$200,"&lt;=30",$C$4:$C$200,"&lt;20190630",BD$4:BD$200,"&gt;="&amp;BD178)&amp;"/"&amp;COUNTIFS(BD$4:BD$200,"&lt;&gt;-",$D$4:$D$200,"&lt;&gt;是",$E$4:$E$200,"&lt;&gt;封闭期",$H$4:$H$200,"&gt;10",$BN$4:$BN$200,"&gt;-6",$BR$4:$BR$200,"&gt;=70",$C$4:$C$200,"&lt;20190630",$K$4:$K$200,"&lt;=30"))</f>
        <v>-</v>
      </c>
      <c r="BH178" s="33" t="str">
        <f>IF(OR($C178&gt;20190630,$K178&gt;30,BD178="-",$D178="是",$E178="封闭期",$H178&lt;10,$BN178&lt;-6,$BR178&lt;70),"-",COUNTIFS(BD$4:BD$200,"&lt;&gt;-",$D$4:$D$200,"&lt;&gt;是",$E$4:$E$200,"&lt;&gt;封闭期",$H$4:$H$200,"&gt;10",$BN$4:$BN$200,"&gt;-6",$BR$4:$BR$200,"&gt;=70",$K$4:$K$200,"&lt;=30",$C$4:$C$200,"&lt;20190630",BD$4:BD$200,"&gt;="&amp;BD178)/COUNTIFS(BD$4:BD$200,"&lt;&gt;-",$D$4:$D$200,"&lt;&gt;是",$E$4:$E$200,"&lt;&gt;封闭期",$H$4:$H$200,"&gt;10",$BN$4:$BN$200,"&gt;-6",$BR$4:$BR$200,"&gt;=70",$C$4:$C$200,"&lt;20190630",$K$4:$K$200,"&lt;=30"))</f>
        <v>-</v>
      </c>
      <c r="BI178" s="21">
        <f>[1]!f_risk_maxdownside(A178,$AM$2,$L$2)</f>
        <v>-6.8789918867598914</v>
      </c>
      <c r="BJ178" s="19" t="str">
        <f>IFERROR(RANK(BI178,BI:BI)&amp;"/"&amp;COUNT(BI:BI),"-")</f>
        <v>179/197</v>
      </c>
      <c r="BK178" s="26">
        <f>IFERROR(RANK(BI178,BI:BI)/COUNT(BI:BI),"-")</f>
        <v>0.90862944162436543</v>
      </c>
      <c r="BL178" s="34" t="str">
        <f>IF(OR($C178&gt;20190630,$K178&gt;30,BI178="-",$D178="是",$E178="封闭期",$H178&lt;10,$BN178&lt;-6,$BR178&lt;70),"-",COUNTIFS(BI$4:BI$200,"&lt;&gt;-",$D$4:$D$200,"&lt;&gt;是",$E$4:$E$200,"&lt;&gt;封闭期",$H$4:$H$200,"&gt;10",$BN$4:$BN$200,"&gt;-6",$BR$4:$BR$200,"&gt;=70",$K$4:$K$200,"&lt;=30",$C$4:$C$200,"&lt;20190630",BI$4:BI$200,"&gt;="&amp;BI178)&amp;"/"&amp;COUNTIFS(BI$4:BI$200,"&lt;&gt;-",$D$4:$D$200,"&lt;&gt;是",$E$4:$E$200,"&lt;&gt;封闭期",$H$4:$H$200,"&gt;10",$BN$4:$BN$200,"&gt;-6",$BR$4:$BR$200,"&gt;=70",$C$4:$C$200,"&lt;20190630",$K$4:$K$200,"&lt;=30"))</f>
        <v>-</v>
      </c>
      <c r="BM178" s="33" t="str">
        <f>IF(OR($C178&gt;20190630,$K178&gt;30,BI178="-",$D178="是",$E178="封闭期",$H178&lt;10,$BN178&lt;-6,$BR178&lt;70),"-",COUNTIFS(BI$4:BI$200,"&lt;&gt;-",$D$4:$D$200,"&lt;&gt;是",$E$4:$E$200,"&lt;&gt;封闭期",$H$4:$H$200,"&gt;10",$BN$4:$BN$200,"&gt;-6",$BR$4:$BR$200,"&gt;=70",$K$4:$K$200,"&lt;=30",$C$4:$C$200,"&lt;20190630",BI$4:BI$200,"&gt;="&amp;BI178)/COUNTIFS(BI$4:BI$200,"&lt;&gt;-",$D$4:$D$200,"&lt;&gt;是",$E$4:$E$200,"&lt;&gt;封闭期",$H$4:$H$200,"&gt;10",$BN$4:$BN$200,"&gt;-6",$BR$4:$BR$200,"&gt;=70",$C$4:$C$200,"&lt;20190630",$K$4:$K$200,"&lt;=30"))</f>
        <v>-</v>
      </c>
      <c r="BN178" s="21">
        <f>[1]!f_risk_maxdownside(A178,$AM$2,$E$1)</f>
        <v>-8.2858622475401305</v>
      </c>
      <c r="BO178" s="21">
        <f>IF(C178&lt;20190930,[1]!f_return_2y(A178,"0","20210930"),"-")</f>
        <v>21.969839773798313</v>
      </c>
      <c r="BP178" s="19" t="str">
        <f>IFERROR(RANK(BO178,BO:BO)&amp;"/"&amp;COUNT(BO:BO),"-")</f>
        <v>31/197</v>
      </c>
      <c r="BQ178" s="25">
        <f>IFERROR(RANK(BO178,BO:BO)/COUNT(BO:BO),"-")</f>
        <v>0.15736040609137056</v>
      </c>
      <c r="BR178" s="19">
        <f>IF(C178&lt;20190930,[1]!f_absolute_profitmonthper(A178,"20190930","20210930"),"-")</f>
        <v>70.833333333333343</v>
      </c>
      <c r="BS178" s="19" t="str">
        <f>IFERROR(RANK(BR178,BR:BR)&amp;"/"&amp;COUNT(BR:BR),"-")</f>
        <v>55/198</v>
      </c>
      <c r="BT178" s="25">
        <f>IFERROR(RANK(BR178,BR:BR)/COUNT(BR:BR),"-")</f>
        <v>0.27777777777777779</v>
      </c>
      <c r="BV178" s="12">
        <f>X178-3/M178</f>
        <v>4.1294072077678505</v>
      </c>
      <c r="BW178" s="76">
        <f>IFERROR(RANK(BV178,BV:BV)/COUNT(BV:BV),"-")</f>
        <v>0.14720812182741116</v>
      </c>
      <c r="BX178" s="76">
        <f>IFERROR(RANK(L178,L:L)/COUNT(L:L),"-")</f>
        <v>3.5353535353535352E-2</v>
      </c>
      <c r="BY178" s="12">
        <f>AY178-3/AN178</f>
        <v>-9.0537631723827672E-2</v>
      </c>
      <c r="BZ178" s="76">
        <f>IFERROR(RANK(BY178,BY:BY)/COUNT(BY:BY),"-")</f>
        <v>0.86802030456852797</v>
      </c>
      <c r="CA178" s="76">
        <f>IFERROR(RANK(AM178,AM:AM)/COUNT(AM:AM),"-")</f>
        <v>0.88888888888888884</v>
      </c>
      <c r="CB178" s="2"/>
      <c r="CC178" s="77">
        <f>AV178+BF178+BZ178+CA178</f>
        <v>3.4878736604624927</v>
      </c>
      <c r="CD178" s="77">
        <f>BW178+BX178+AE178+U178</f>
        <v>0.28916064195252011</v>
      </c>
      <c r="CE178" s="77">
        <f>CC178+CD178</f>
        <v>3.7770343024150126</v>
      </c>
    </row>
    <row r="179" spans="1:83" s="2" customFormat="1" hidden="1" x14ac:dyDescent="0.35">
      <c r="A179" s="15" t="s">
        <v>53</v>
      </c>
      <c r="B179" s="15" t="s">
        <v>54</v>
      </c>
      <c r="C179" s="16">
        <v>20090304</v>
      </c>
      <c r="D179" s="16" t="str">
        <f>[1]!f_info_regulopenfundornot(A179)</f>
        <v>否</v>
      </c>
      <c r="E179" s="16" t="str">
        <f>[1]!f_dq_status(A179,$E$1)</f>
        <v>开放申购|开放赎回</v>
      </c>
      <c r="F179" s="17" t="str">
        <f>[1]!f_info_fundmanager(A179)</f>
        <v>景辉,郝旭东,谢屹</v>
      </c>
      <c r="G179" s="16">
        <v>20180622</v>
      </c>
      <c r="H179" s="18">
        <f>[1]!f_netasset_total(A179,$E$1,100000000)</f>
        <v>2.6453438509999998</v>
      </c>
      <c r="I179" s="18">
        <f>[1]!f_prt_convertiblebondtonav(A179,$E$1)</f>
        <v>4.0877933502197266</v>
      </c>
      <c r="J179" s="18">
        <f>[1]!f_prt_stocktonav(A179,$E$1)+0.5*I179</f>
        <v>20.228142738342285</v>
      </c>
      <c r="K179" s="19">
        <v>3.772666451745899</v>
      </c>
      <c r="L179" s="19">
        <f>[1]!f_return($A179,"1",L$2,$E$1)</f>
        <v>4.1223339093912736</v>
      </c>
      <c r="M179" s="19">
        <f>[1]!f_risk_stdevyearly($A179,L$2,$E$1,1,1)</f>
        <v>2.9217445068983343</v>
      </c>
      <c r="N179" s="19">
        <f>IFERROR(L179/M179,"-")</f>
        <v>1.4109152595849186</v>
      </c>
      <c r="O179" s="19" t="str">
        <f>IFERROR(RANK(N179,N:N)&amp;"/"&amp;COUNT(N:N),"-")</f>
        <v>97/197</v>
      </c>
      <c r="P179" s="26">
        <f>IF(O179="-","-",RANK(N179,N:N)/COUNT(N:N))</f>
        <v>0.49238578680203043</v>
      </c>
      <c r="Q179" s="56">
        <v>0.71573604060913709</v>
      </c>
      <c r="R179" s="33" t="str">
        <f>IF(OR($C179&gt;20190630,$K179&gt;30,N179="-",$D179="是",$E179="封闭期",$H179&lt;10,$BN179&lt;-6,$BR179&lt;70),"-",COUNTIFS(N$4:N$200,"&lt;&gt;-",$D$4:$D$200,"&lt;&gt;是",$E$4:$E$200,"&lt;&gt;封闭期",$H$4:$H$200,"&gt;10",$BN$4:$BN$200,"&gt;-6",$BR$4:$BR$200,"&gt;=70",$K$4:$K$200,"&lt;=30",$C$4:$C$200,"&lt;20190630",N$4:N$200,"&gt;="&amp;N179)/COUNTIFS(N$4:N$200,"&lt;&gt;-",$D$4:$D$200,"&lt;&gt;是",$E$4:$E$200,"&lt;&gt;封闭期",$H$4:$H$200,"&gt;10",$BN$4:$BN$200,"&gt;-6",$BR$4:$BR$200,"&gt;=70",$C$4:$C$200,"&lt;20190630",$K$4:$K$200,"&lt;=30"))</f>
        <v>-</v>
      </c>
      <c r="S179" s="19">
        <f>IFERROR((L179-3)/M179,"-")</f>
        <v>0.38413143474434763</v>
      </c>
      <c r="T179" s="19" t="str">
        <f>IFERROR(RANK(S179,S:S)&amp;"/"&amp;COUNT(S:S),"-")</f>
        <v>130/197</v>
      </c>
      <c r="U179" s="26">
        <f>IFERROR(RANK(S179,S:S)/COUNT(S:S),"-")</f>
        <v>0.65989847715736039</v>
      </c>
      <c r="V179" s="34" t="str">
        <f>IF(OR($C179&gt;20190630,$K179&gt;30,S179="-",$D179="是",$E179="封闭期",$H179&lt;10,$BN179&lt;-6,$BR179&lt;70),"-",COUNTIFS(S$4:S$200,"&lt;&gt;-",$D$4:$D$200,"&lt;&gt;是",$E$4:$E$200,"&lt;&gt;封闭期",$H$4:$H$200,"&gt;10",$BN$4:$BN$200,"&gt;-6",$BR$4:$BR$200,"&gt;=70",$K$4:$K$200,"&lt;=30",$C$4:$C$200,"&lt;20190630",S$4:S$200,"&gt;="&amp;S179)&amp;"/"&amp;COUNTIFS(S$4:S$200,"&lt;&gt;-",$D$4:$D$200,"&lt;&gt;是",$E$4:$E$200,"&lt;&gt;封闭期",$H$4:$H$200,"&gt;10",$BN$4:$BN$200,"&gt;-6",$BR$4:$BR$200,"&gt;=70",$C$4:$C$200,"&lt;20190630",$K$4:$K$200,"&lt;=30"))</f>
        <v>-</v>
      </c>
      <c r="W179" s="33" t="str">
        <f>IF(OR($C179&gt;20190630,$K179&gt;30,S179="-",$D179="是",$E179="封闭期",$H179&lt;10,$BN179&lt;-6,$BR179&lt;70),"-",COUNTIFS(S$4:S$200,"&lt;&gt;-",$D$4:$D$200,"&lt;&gt;是",$E$4:$E$200,"&lt;&gt;封闭期",$H$4:$H$200,"&gt;10",$BN$4:$BN$200,"&gt;-6",$BR$4:$BR$200,"&gt;=70",$K$4:$K$200,"&lt;=30",$C$4:$C$200,"&lt;20190630",S$4:S$200,"&gt;="&amp;S179)/COUNTIFS(S$4:S$200,"&lt;&gt;-",$D$4:$D$200,"&lt;&gt;是",$E$4:$E$200,"&lt;&gt;封闭期",$H$4:$H$200,"&gt;10",$BN$4:$BN$200,"&gt;-6",$BR$4:$BR$200,"&gt;=70",$C$4:$C$200,"&lt;20190630",$K$4:$K$200,"&lt;=30"))</f>
        <v>-</v>
      </c>
      <c r="X179" s="19">
        <f>[1]!f_risk_calmar(A179,$L$2,$E$1)</f>
        <v>3.0770278109384557</v>
      </c>
      <c r="Y179" s="19" t="str">
        <f>IFERROR(RANK(X179,X:X)&amp;"/"&amp;COUNT(X:X),"-")</f>
        <v>60/197</v>
      </c>
      <c r="Z179" s="26">
        <f>IFERROR(RANK(X179,X:X)/COUNT(X:X),"-")</f>
        <v>0.30456852791878175</v>
      </c>
      <c r="AA179" s="34" t="str">
        <f>IF(OR($C179&gt;20190630,$K179&gt;30,X179="-",$D179="是",$E179="封闭期",$H179&lt;10,$BN179&lt;-6,$BR179&lt;70),"-",COUNTIFS(X$4:X$200,"&lt;&gt;-",$D$4:$D$200,"&lt;&gt;是",$E$4:$E$200,"&lt;&gt;封闭期",$H$4:$H$200,"&gt;10",$BN$4:$BN$200,"&gt;-6",$BR$4:$BR$200,"&gt;=70",$K$4:$K$200,"&lt;=30",$C$4:$C$200,"&lt;20190630",X$4:X$200,"&gt;="&amp;X179)&amp;"/"&amp;COUNTIFS(X$4:X$200,"&lt;&gt;-",$D$4:$D$200,"&lt;&gt;是",$E$4:$E$200,"&lt;&gt;封闭期",$H$4:$H$200,"&gt;10",$BN$4:$BN$200,"&gt;-6",$BR$4:$BR$200,"&gt;=70",$C$4:$C$200,"&lt;20190630",$K$4:$K$200,"&lt;=30"))</f>
        <v>-</v>
      </c>
      <c r="AB179" s="33" t="str">
        <f>IF(OR($C179&gt;20190630,$K179&gt;30,X179="-",$D179="是",$E179="封闭期",$H179&lt;10,$BN179&lt;-6,$BR179&lt;70),"-",COUNTIFS(X$4:X$200,"&lt;&gt;-",$D$4:$D$200,"&lt;&gt;是",$E$4:$E$200,"&lt;&gt;封闭期",$H$4:$H$200,"&gt;10",$BN$4:$BN$200,"&gt;-6",$BR$4:$BR$200,"&gt;=70",$K$4:$K$200,"&lt;=30",$C$4:$C$200,"&lt;20190630",X$4:X$200,"&gt;="&amp;X179)/COUNTIFS(X$4:X$200,"&lt;&gt;-",$D$4:$D$200,"&lt;&gt;是",$E$4:$E$200,"&lt;&gt;封闭期",$H$4:$H$200,"&gt;10",$BN$4:$BN$200,"&gt;-6",$BR$4:$BR$200,"&gt;=70",$C$4:$C$200,"&lt;20190630",$K$4:$K$200,"&lt;=30"))</f>
        <v>-</v>
      </c>
      <c r="AC179" s="20">
        <v>1</v>
      </c>
      <c r="AD179" s="19" t="str">
        <f>IFERROR(RANK(AC179,AC:AC)&amp;"/"&amp;COUNT(AC:AC),"-")</f>
        <v>1/197</v>
      </c>
      <c r="AE179" s="26">
        <f>IFERROR(RANK(AC179,AC:AC)/COUNT(AC:AC),"-")</f>
        <v>5.076142131979695E-3</v>
      </c>
      <c r="AF179" s="34" t="str">
        <f>IF(OR($C179&gt;20190630,$K179&gt;30,AC179="-",$D179="是",$E179="封闭期",$H179&lt;10,$BN179&lt;-6,$BR179&lt;70),"-",COUNTIFS(AC$4:AC$200,"&lt;&gt;-",$D$4:$D$200,"&lt;&gt;是",$E$4:$E$200,"&lt;&gt;封闭期",$H$4:$H$200,"&gt;10",$BN$4:$BN$200,"&gt;-6",$BR$4:$BR$200,"&gt;=70",$K$4:$K$200,"&lt;=30",$C$4:$C$200,"&lt;20190630",AC$4:AC$200,"&gt;="&amp;AC179)&amp;"/"&amp;COUNTIFS(AC$4:AC$200,"&lt;&gt;-",$D$4:$D$200,"&lt;&gt;是",$E$4:$E$200,"&lt;&gt;封闭期",$H$4:$H$200,"&gt;10",$BN$4:$BN$200,"&gt;-6",$BR$4:$BR$200,"&gt;=70",$C$4:$C$200,"&lt;20190630",$K$4:$K$200,"&lt;=30"))</f>
        <v>-</v>
      </c>
      <c r="AG179" s="33" t="str">
        <f>IF(OR($C179&gt;20190630,$K179&gt;30,AC179="-",$D179="是",$E179="封闭期",$H179&lt;10,$BN179&lt;-6,$BR179&lt;70),"-",COUNTIFS(AC$4:AC$200,"&lt;&gt;-",$D$4:$D$200,"&lt;&gt;是",$E$4:$E$200,"&lt;&gt;封闭期",$H$4:$H$200,"&gt;10",$BN$4:$BN$200,"&gt;-6",$BR$4:$BR$200,"&gt;=70",$K$4:$K$200,"&lt;=30",$C$4:$C$200,"&lt;20190630",AC$4:AC$200,"&gt;="&amp;AC179)/COUNTIFS(AC$4:AC$200,"&lt;&gt;-",$D$4:$D$200,"&lt;&gt;是",$E$4:$E$200,"&lt;&gt;封闭期",$H$4:$H$200,"&gt;10",$BN$4:$BN$200,"&gt;-6",$BR$4:$BR$200,"&gt;=70",$C$4:$C$200,"&lt;20190630",$K$4:$K$200,"&lt;=30"))</f>
        <v>-</v>
      </c>
      <c r="AH179" s="21">
        <f>[1]!f_risk_maxdownside(A179,$L$2,$E$1)</f>
        <v>-1.3397129186603005</v>
      </c>
      <c r="AI179" s="19" t="str">
        <f>IFERROR(RANK(AH179,AH:AH)&amp;"/"&amp;COUNT(AH:AH),"-")</f>
        <v>36/197</v>
      </c>
      <c r="AJ179" s="26">
        <f>IFERROR(RANK(AH179,AH:AH)/COUNT(AH:AH),"-")</f>
        <v>0.18274111675126903</v>
      </c>
      <c r="AK179" s="34" t="str">
        <f>IF(OR($C179&gt;20190630,$K179&gt;30,AH179="-",$D179="是",$E179="封闭期",$H179&lt;10,$BN179&lt;-6,$BR179&lt;70),"-",COUNTIFS(AH$4:AH$200,"&lt;&gt;-",$D$4:$D$200,"&lt;&gt;是",$E$4:$E$200,"&lt;&gt;封闭期",$H$4:$H$200,"&gt;10",$BN$4:$BN$200,"&gt;-6",$BR$4:$BR$200,"&gt;=70",$K$4:$K$200,"&lt;=30",$C$4:$C$200,"&lt;20190630",AH$4:AH$200,"&gt;="&amp;AH179)&amp;"/"&amp;COUNTIFS(AH$4:AH$200,"&lt;&gt;-",$D$4:$D$200,"&lt;&gt;是",$E$4:$E$200,"&lt;&gt;封闭期",$H$4:$H$200,"&gt;10",$BN$4:$BN$200,"&gt;-6",$BR$4:$BR$200,"&gt;=70",$C$4:$C$200,"&lt;20190630",$K$4:$K$200,"&lt;=30"))</f>
        <v>-</v>
      </c>
      <c r="AL179" s="33" t="str">
        <f>IF(OR($C179&gt;20190630,$K179&gt;30,AH179="-",$D179="是",$E179="封闭期",$H179&lt;10,$BN179&lt;-6,$BR179&lt;70),"-",COUNTIFS(AH$4:AH$200,"&lt;&gt;-",$D$4:$D$200,"&lt;&gt;是",$E$4:$E$200,"&lt;&gt;封闭期",$H$4:$H$200,"&gt;10",$BN$4:$BN$200,"&gt;-6",$BR$4:$BR$200,"&gt;=70",$K$4:$K$200,"&lt;=30",$C$4:$C$200,"&lt;20190630",AH$4:AH$200,"&gt;="&amp;AH179)/COUNTIFS(AH$4:AH$200,"&lt;&gt;-",$D$4:$D$200,"&lt;&gt;是",$E$4:$E$200,"&lt;&gt;封闭期",$H$4:$H$200,"&gt;10",$BN$4:$BN$200,"&gt;-6",$BR$4:$BR$200,"&gt;=70",$C$4:$C$200,"&lt;20190630",$K$4:$K$200,"&lt;=30"))</f>
        <v>-</v>
      </c>
      <c r="AM179" s="19">
        <f>[1]!f_return($A179,"1",AM$2,$L$2)</f>
        <v>2.3579017209609754</v>
      </c>
      <c r="AN179" s="19">
        <f>[1]!f_risk_stdevyearly($A179,AM$2,$L$2,1,1)</f>
        <v>2.4656499698685863</v>
      </c>
      <c r="AO179" s="19">
        <f>IFERROR(AM179/AN179,"-")</f>
        <v>0.95630026555904302</v>
      </c>
      <c r="AP179" s="19" t="str">
        <f>IFERROR(RANK(AO179,AO:AO)&amp;"/"&amp;COUNT(AO:AO),"-")</f>
        <v>163/197</v>
      </c>
      <c r="AQ179" s="26">
        <f>IF(AP179="-","-",RANK(AO179,AO:AO)/COUNT(AO:AO))</f>
        <v>0.82741116751269039</v>
      </c>
      <c r="AR179" s="57">
        <v>0.89340101522842641</v>
      </c>
      <c r="AS179" s="33" t="str">
        <f>IF(OR($C179&gt;20190630,$K179&gt;30,AO179="-",$D179="是",$E179="封闭期",$H179&lt;10,$BN179&lt;-6,$BR179&lt;70),"-",COUNTIFS(AO$4:AO$200,"&lt;&gt;-",$D$4:$D$200,"&lt;&gt;是",$E$4:$E$200,"&lt;&gt;封闭期",$H$4:$H$200,"&gt;10",$BN$4:$BN$200,"&gt;-6",$BR$4:$BR$200,"&gt;=70",$K$4:$K$200,"&lt;=30",$C$4:$C$200,"&lt;20190630",AO$4:AO$200,"&gt;="&amp;AO179)/COUNTIFS(AO$4:AO$200,"&lt;&gt;-",$D$4:$D$200,"&lt;&gt;是",$E$4:$E$200,"&lt;&gt;封闭期",$H$4:$H$200,"&gt;10",$BN$4:$BN$200,"&gt;-6",$BR$4:$BR$200,"&gt;=70",$C$4:$C$200,"&lt;20190630",$K$4:$K$200,"&lt;=30"))</f>
        <v>-</v>
      </c>
      <c r="AT179" s="19">
        <f>IFERROR((AM179-3)/AN179,"-")</f>
        <v>-0.26041745052451504</v>
      </c>
      <c r="AU179" s="19" t="str">
        <f>IFERROR(RANK(AT179,AT:AT)&amp;"/"&amp;COUNT(AT:AT),"-")</f>
        <v>175/197</v>
      </c>
      <c r="AV179" s="26">
        <f>IFERROR(RANK(AT179,AT:AT)/COUNT(AT:AT),"-")</f>
        <v>0.8883248730964467</v>
      </c>
      <c r="AW179" s="34" t="str">
        <f>IF(OR($C179&gt;20190630,$K179&gt;30,AT179="-",$D179="是",$E179="封闭期",$H179&lt;10,$BN179&lt;-6,$BR179&lt;70),"-",COUNTIFS(AT$4:AT$200,"&lt;&gt;-",$D$4:$D$200,"&lt;&gt;是",$E$4:$E$200,"&lt;&gt;封闭期",$H$4:$H$200,"&gt;10",$BN$4:$BN$200,"&gt;-6",$BR$4:$BR$200,"&gt;=70",$K$4:$K$200,"&lt;=30",$C$4:$C$200,"&lt;20190630",AT$4:AT$200,"&gt;="&amp;AT179)&amp;"/"&amp;COUNTIFS(AT$4:AT$200,"&lt;&gt;-",$D$4:$D$200,"&lt;&gt;是",$E$4:$E$200,"&lt;&gt;封闭期",$H$4:$H$200,"&gt;10",$BN$4:$BN$200,"&gt;-6",$BR$4:$BR$200,"&gt;=70",$C$4:$C$200,"&lt;20190630",$K$4:$K$200,"&lt;=30"))</f>
        <v>-</v>
      </c>
      <c r="AX179" s="33" t="str">
        <f>IF(OR($C179&gt;20190630,$K179&gt;30,AT179="-",$D179="是",$E179="封闭期",$H179&lt;10,$BN179&lt;-6,$BR179&lt;70),"-",COUNTIFS(AT$4:AT$200,"&lt;&gt;-",$D$4:$D$200,"&lt;&gt;是",$E$4:$E$200,"&lt;&gt;封闭期",$H$4:$H$200,"&gt;10",$BN$4:$BN$200,"&gt;-6",$BR$4:$BR$200,"&gt;=70",$K$4:$K$200,"&lt;=30",$C$4:$C$200,"&lt;20190630",AT$4:AT$200,"&gt;="&amp;AT179)/COUNTIFS(AT$4:AT$200,"&lt;&gt;-",$D$4:$D$200,"&lt;&gt;是",$E$4:$E$200,"&lt;&gt;封闭期",$H$4:$H$200,"&gt;10",$BN$4:$BN$200,"&gt;-6",$BR$4:$BR$200,"&gt;=70",$C$4:$C$200,"&lt;20190630",$K$4:$K$200,"&lt;=30"))</f>
        <v>-</v>
      </c>
      <c r="AY179" s="19">
        <f>[1]!f_risk_calmar(A179,$AM$2,$L$2)</f>
        <v>1.0799189882001259</v>
      </c>
      <c r="AZ179" s="19" t="str">
        <f>IFERROR(RANK(AY179,AY:AY)&amp;"/"&amp;COUNT(AY:AY),"-")</f>
        <v>164/197</v>
      </c>
      <c r="BA179" s="26">
        <f>IFERROR(RANK(AY179,AY:AY)/COUNT(AY:AY),"-")</f>
        <v>0.8324873096446701</v>
      </c>
      <c r="BB179" s="34" t="str">
        <f>IF(OR($C179&gt;20190630,$K179&gt;30,AY179="-",$D179="是",$E179="封闭期",$H179&lt;10,$BN179&lt;-6,$BR179&lt;70),"-",COUNTIFS(AY$4:AY$200,"&lt;&gt;-",$D$4:$D$200,"&lt;&gt;是",$E$4:$E$200,"&lt;&gt;封闭期",$H$4:$H$200,"&gt;10",$BN$4:$BN$200,"&gt;-6",$BR$4:$BR$200,"&gt;=70",$K$4:$K$200,"&lt;=30",$C$4:$C$200,"&lt;20190630",AY$4:AY$200,"&gt;="&amp;AY179)&amp;"/"&amp;COUNTIFS(AY$4:AY$200,"&lt;&gt;-",$D$4:$D$200,"&lt;&gt;是",$E$4:$E$200,"&lt;&gt;封闭期",$H$4:$H$200,"&gt;10",$BN$4:$BN$200,"&gt;-6",$BR$4:$BR$200,"&gt;=70",$C$4:$C$200,"&lt;20190630",$K$4:$K$200,"&lt;=30"))</f>
        <v>-</v>
      </c>
      <c r="BC179" s="33" t="str">
        <f>IF(OR($C179&gt;20190630,$K179&gt;30,AY179="-",$D179="是",$E179="封闭期",$H179&lt;10,$BN179&lt;-6,$BR179&lt;70),"-",COUNTIFS(AY$4:AY$200,"&lt;&gt;-",$D$4:$D$200,"&lt;&gt;是",$E$4:$E$200,"&lt;&gt;封闭期",$H$4:$H$200,"&gt;10",$BN$4:$BN$200,"&gt;-6",$BR$4:$BR$200,"&gt;=70",$K$4:$K$200,"&lt;=30",$C$4:$C$200,"&lt;20190630",AY$4:AY$200,"&gt;="&amp;AY179)/COUNTIFS(AY$4:AY$200,"&lt;&gt;-",$D$4:$D$200,"&lt;&gt;是",$E$4:$E$200,"&lt;&gt;封闭期",$H$4:$H$200,"&gt;10",$BN$4:$BN$200,"&gt;-6",$BR$4:$BR$200,"&gt;=70",$C$4:$C$200,"&lt;20190630",$K$4:$K$200,"&lt;=30"))</f>
        <v>-</v>
      </c>
      <c r="BD179" s="20">
        <v>0.78333333333333333</v>
      </c>
      <c r="BE179" s="19" t="str">
        <f>IFERROR(RANK(BD179,BD:BD)&amp;"/"&amp;COUNT(BD:BD),"-")</f>
        <v>180/197</v>
      </c>
      <c r="BF179" s="26">
        <f>IFERROR(RANK(BD179,BD:BD)/COUNT(BD:BD),"-")</f>
        <v>0.91370558375634514</v>
      </c>
      <c r="BG179" s="34" t="str">
        <f>IF(OR($C179&gt;20190630,$K179&gt;30,BD179="-",$D179="是",$E179="封闭期",$H179&lt;10,$BN179&lt;-6,$BR179&lt;70),"-",COUNTIFS(BD$4:BD$200,"&lt;&gt;-",$D$4:$D$200,"&lt;&gt;是",$E$4:$E$200,"&lt;&gt;封闭期",$H$4:$H$200,"&gt;10",$BN$4:$BN$200,"&gt;-6",$BR$4:$BR$200,"&gt;=70",$K$4:$K$200,"&lt;=30",$C$4:$C$200,"&lt;20190630",BD$4:BD$200,"&gt;="&amp;BD179)&amp;"/"&amp;COUNTIFS(BD$4:BD$200,"&lt;&gt;-",$D$4:$D$200,"&lt;&gt;是",$E$4:$E$200,"&lt;&gt;封闭期",$H$4:$H$200,"&gt;10",$BN$4:$BN$200,"&gt;-6",$BR$4:$BR$200,"&gt;=70",$C$4:$C$200,"&lt;20190630",$K$4:$K$200,"&lt;=30"))</f>
        <v>-</v>
      </c>
      <c r="BH179" s="33" t="str">
        <f>IF(OR($C179&gt;20190630,$K179&gt;30,BD179="-",$D179="是",$E179="封闭期",$H179&lt;10,$BN179&lt;-6,$BR179&lt;70),"-",COUNTIFS(BD$4:BD$200,"&lt;&gt;-",$D$4:$D$200,"&lt;&gt;是",$E$4:$E$200,"&lt;&gt;封闭期",$H$4:$H$200,"&gt;10",$BN$4:$BN$200,"&gt;-6",$BR$4:$BR$200,"&gt;=70",$K$4:$K$200,"&lt;=30",$C$4:$C$200,"&lt;20190630",BD$4:BD$200,"&gt;="&amp;BD179)/COUNTIFS(BD$4:BD$200,"&lt;&gt;-",$D$4:$D$200,"&lt;&gt;是",$E$4:$E$200,"&lt;&gt;封闭期",$H$4:$H$200,"&gt;10",$BN$4:$BN$200,"&gt;-6",$BR$4:$BR$200,"&gt;=70",$C$4:$C$200,"&lt;20190630",$K$4:$K$200,"&lt;=30"))</f>
        <v>-</v>
      </c>
      <c r="BI179" s="21">
        <f>[1]!f_risk_maxdownside(A179,$AM$2,$L$2)</f>
        <v>-2.1834061135371194</v>
      </c>
      <c r="BJ179" s="19" t="str">
        <f>IFERROR(RANK(BI179,BI:BI)&amp;"/"&amp;COUNT(BI:BI),"-")</f>
        <v>44/197</v>
      </c>
      <c r="BK179" s="26">
        <f>IFERROR(RANK(BI179,BI:BI)/COUNT(BI:BI),"-")</f>
        <v>0.2233502538071066</v>
      </c>
      <c r="BL179" s="34" t="str">
        <f>IF(OR($C179&gt;20190630,$K179&gt;30,BI179="-",$D179="是",$E179="封闭期",$H179&lt;10,$BN179&lt;-6,$BR179&lt;70),"-",COUNTIFS(BI$4:BI$200,"&lt;&gt;-",$D$4:$D$200,"&lt;&gt;是",$E$4:$E$200,"&lt;&gt;封闭期",$H$4:$H$200,"&gt;10",$BN$4:$BN$200,"&gt;-6",$BR$4:$BR$200,"&gt;=70",$K$4:$K$200,"&lt;=30",$C$4:$C$200,"&lt;20190630",BI$4:BI$200,"&gt;="&amp;BI179)&amp;"/"&amp;COUNTIFS(BI$4:BI$200,"&lt;&gt;-",$D$4:$D$200,"&lt;&gt;是",$E$4:$E$200,"&lt;&gt;封闭期",$H$4:$H$200,"&gt;10",$BN$4:$BN$200,"&gt;-6",$BR$4:$BR$200,"&gt;=70",$C$4:$C$200,"&lt;20190630",$K$4:$K$200,"&lt;=30"))</f>
        <v>-</v>
      </c>
      <c r="BM179" s="33" t="str">
        <f>IF(OR($C179&gt;20190630,$K179&gt;30,BI179="-",$D179="是",$E179="封闭期",$H179&lt;10,$BN179&lt;-6,$BR179&lt;70),"-",COUNTIFS(BI$4:BI$200,"&lt;&gt;-",$D$4:$D$200,"&lt;&gt;是",$E$4:$E$200,"&lt;&gt;封闭期",$H$4:$H$200,"&gt;10",$BN$4:$BN$200,"&gt;-6",$BR$4:$BR$200,"&gt;=70",$K$4:$K$200,"&lt;=30",$C$4:$C$200,"&lt;20190630",BI$4:BI$200,"&gt;="&amp;BI179)/COUNTIFS(BI$4:BI$200,"&lt;&gt;-",$D$4:$D$200,"&lt;&gt;是",$E$4:$E$200,"&lt;&gt;封闭期",$H$4:$H$200,"&gt;10",$BN$4:$BN$200,"&gt;-6",$BR$4:$BR$200,"&gt;=70",$C$4:$C$200,"&lt;20190630",$K$4:$K$200,"&lt;=30"))</f>
        <v>-</v>
      </c>
      <c r="BN179" s="21">
        <f>[1]!f_risk_maxdownside(A179,$AM$2,$E$1)</f>
        <v>-2.1834061135371194</v>
      </c>
      <c r="BO179" s="21">
        <f>IF(C179&lt;20190930,[1]!f_return_2y(A179,"0","20210930"),"-")</f>
        <v>6.5082547381681177</v>
      </c>
      <c r="BP179" s="19" t="str">
        <f>IFERROR(RANK(BO179,BO:BO)&amp;"/"&amp;COUNT(BO:BO),"-")</f>
        <v>174/197</v>
      </c>
      <c r="BQ179" s="25">
        <f>IFERROR(RANK(BO179,BO:BO)/COUNT(BO:BO),"-")</f>
        <v>0.88324873096446699</v>
      </c>
      <c r="BR179" s="19">
        <f>IF(C179&lt;20190930,[1]!f_absolute_profitmonthper(A179,"20190930","20210930"),"-")</f>
        <v>62.5</v>
      </c>
      <c r="BS179" s="19" t="str">
        <f>IFERROR(RANK(BR179,BR:BR)&amp;"/"&amp;COUNT(BR:BR),"-")</f>
        <v>142/198</v>
      </c>
      <c r="BT179" s="25">
        <f>IFERROR(RANK(BR179,BR:BR)/COUNT(BR:BR),"-")</f>
        <v>0.71717171717171713</v>
      </c>
      <c r="BU179" s="17"/>
      <c r="BV179" s="12">
        <f>X179-3/M179</f>
        <v>2.0502439860978843</v>
      </c>
      <c r="BW179" s="76">
        <f>IFERROR(RANK(BV179,BV:BV)/COUNT(BV:BV),"-")</f>
        <v>0.31472081218274112</v>
      </c>
      <c r="BX179" s="76">
        <f>IFERROR(RANK(L179,L:L)/COUNT(L:L),"-")</f>
        <v>0.71717171717171713</v>
      </c>
      <c r="BY179" s="12">
        <f>AY179-3/AN179</f>
        <v>-0.13679872788343217</v>
      </c>
      <c r="BZ179" s="76">
        <f>IFERROR(RANK(BY179,BY:BY)/COUNT(BY:BY),"-")</f>
        <v>0.87309644670050757</v>
      </c>
      <c r="CA179" s="76">
        <f>IFERROR(RANK(AM179,AM:AM)/COUNT(AM:AM),"-")</f>
        <v>0.89393939393939392</v>
      </c>
      <c r="CC179" s="77">
        <f>AV179+BF179+BZ179+CA179</f>
        <v>3.5690662974926934</v>
      </c>
      <c r="CD179" s="77">
        <f>BW179+BX179+AE179+U179</f>
        <v>1.6968671486437983</v>
      </c>
      <c r="CE179" s="77">
        <f>CC179+CD179</f>
        <v>5.2659334461364917</v>
      </c>
    </row>
    <row r="180" spans="1:83" s="17" customFormat="1" x14ac:dyDescent="0.35">
      <c r="A180" s="3" t="s">
        <v>27</v>
      </c>
      <c r="B180" s="3" t="s">
        <v>28</v>
      </c>
      <c r="C180" s="4">
        <v>20080827</v>
      </c>
      <c r="D180" s="4" t="str">
        <f>[1]!f_info_regulopenfundornot(A180)</f>
        <v>否</v>
      </c>
      <c r="E180" s="4" t="str">
        <f>[1]!f_dq_status(A180,$E$1)</f>
        <v>开放申购|开放赎回</v>
      </c>
      <c r="F180" s="17" t="str">
        <f>[1]!f_info_fundmanager(A180)</f>
        <v>魏建</v>
      </c>
      <c r="G180" s="4">
        <v>20200710</v>
      </c>
      <c r="H180" s="11">
        <f>[1]!f_netasset_total(A180,$E$1,100000000)</f>
        <v>12.4677163895</v>
      </c>
      <c r="I180" s="11">
        <f>[1]!f_prt_convertiblebondtonav(A180,$E$1)</f>
        <v>0</v>
      </c>
      <c r="J180" s="11">
        <f>[1]!f_prt_stocktonav(A180,$E$1)+0.5*I180</f>
        <v>0</v>
      </c>
      <c r="K180" s="12">
        <v>28.605479051509189</v>
      </c>
      <c r="L180" s="19">
        <f>[1]!f_return($A180,"1",L$2,$E$1)</f>
        <v>4.6620046164306261</v>
      </c>
      <c r="M180" s="19">
        <f>[1]!f_risk_stdevyearly($A180,L$2,$E$1,1,1)</f>
        <v>0.48571637410793761</v>
      </c>
      <c r="N180" s="12">
        <f>IFERROR(L180/M180,"-")</f>
        <v>9.59820352977151</v>
      </c>
      <c r="O180" s="12" t="str">
        <f>IFERROR(RANK(N180,N:N)&amp;"/"&amp;COUNT(N:N),"-")</f>
        <v>1/197</v>
      </c>
      <c r="P180" s="26">
        <f>IF(O180="-","-",RANK(N180,N:N)/COUNT(N:N))</f>
        <v>5.076142131979695E-3</v>
      </c>
      <c r="Q180" s="58">
        <v>0.62436548223350252</v>
      </c>
      <c r="R180" s="33">
        <f>IF(OR($C180&gt;20190630,$K180&gt;30,N180="-",$D180="是",$E180="封闭期",$H180&lt;10,$BN180&lt;-6,$BR180&lt;70),"-",COUNTIFS(N$4:N$200,"&lt;&gt;-",$D$4:$D$200,"&lt;&gt;是",$E$4:$E$200,"&lt;&gt;封闭期",$H$4:$H$200,"&gt;10",$BN$4:$BN$200,"&gt;-6",$BR$4:$BR$200,"&gt;=70",$K$4:$K$200,"&lt;=30",$C$4:$C$200,"&lt;20190630",N$4:N$200,"&gt;="&amp;N180)/COUNTIFS(N$4:N$200,"&lt;&gt;-",$D$4:$D$200,"&lt;&gt;是",$E$4:$E$200,"&lt;&gt;封闭期",$H$4:$H$200,"&gt;10",$BN$4:$BN$200,"&gt;-6",$BR$4:$BR$200,"&gt;=70",$C$4:$C$200,"&lt;20190630",$K$4:$K$200,"&lt;=30"))</f>
        <v>2.564102564102564E-2</v>
      </c>
      <c r="S180" s="12">
        <f>IFERROR((L180-3)/M180,"-")</f>
        <v>3.4217594979849077</v>
      </c>
      <c r="T180" s="12" t="str">
        <f>IFERROR(RANK(S180,S:S)&amp;"/"&amp;COUNT(S:S),"-")</f>
        <v>2/197</v>
      </c>
      <c r="U180" s="26">
        <f>IFERROR(RANK(S180,S:S)/COUNT(S:S),"-")</f>
        <v>1.015228426395939E-2</v>
      </c>
      <c r="V180" s="13" t="str">
        <f>IF(OR($C180&gt;20190630,$K180&gt;30,S180="-",$D180="是",$E180="封闭期",$H180&lt;10,$BN180&lt;-6,$BR180&lt;70),"-",COUNTIFS(S$4:S$200,"&lt;&gt;-",$D$4:$D$200,"&lt;&gt;是",$E$4:$E$200,"&lt;&gt;封闭期",$H$4:$H$200,"&gt;10",$BN$4:$BN$200,"&gt;-6",$BR$4:$BR$200,"&gt;=70",$K$4:$K$200,"&lt;=30",$C$4:$C$200,"&lt;20190630",S$4:S$200,"&gt;="&amp;S180)&amp;"/"&amp;COUNTIFS(S$4:S$200,"&lt;&gt;-",$D$4:$D$200,"&lt;&gt;是",$E$4:$E$200,"&lt;&gt;封闭期",$H$4:$H$200,"&gt;10",$BN$4:$BN$200,"&gt;-6",$BR$4:$BR$200,"&gt;=70",$C$4:$C$200,"&lt;20190630",$K$4:$K$200,"&lt;=30"))</f>
        <v>1/39</v>
      </c>
      <c r="W180" s="33">
        <f>IF(OR($C180&gt;20190630,$K180&gt;30,S180="-",$D180="是",$E180="封闭期",$H180&lt;10,$BN180&lt;-6,$BR180&lt;70),"-",COUNTIFS(S$4:S$200,"&lt;&gt;-",$D$4:$D$200,"&lt;&gt;是",$E$4:$E$200,"&lt;&gt;封闭期",$H$4:$H$200,"&gt;10",$BN$4:$BN$200,"&gt;-6",$BR$4:$BR$200,"&gt;=70",$K$4:$K$200,"&lt;=30",$C$4:$C$200,"&lt;20190630",S$4:S$200,"&gt;="&amp;S180)/COUNTIFS(S$4:S$200,"&lt;&gt;-",$D$4:$D$200,"&lt;&gt;是",$E$4:$E$200,"&lt;&gt;封闭期",$H$4:$H$200,"&gt;10",$BN$4:$BN$200,"&gt;-6",$BR$4:$BR$200,"&gt;=70",$C$4:$C$200,"&lt;20190630",$K$4:$K$200,"&lt;=30"))</f>
        <v>2.564102564102564E-2</v>
      </c>
      <c r="X180" s="19">
        <f>[1]!f_risk_calmar(A180,$L$2,$E$1)</f>
        <v>16.740967202312873</v>
      </c>
      <c r="Y180" s="12" t="str">
        <f>IFERROR(RANK(X180,X:X)&amp;"/"&amp;COUNT(X:X),"-")</f>
        <v>3/197</v>
      </c>
      <c r="Z180" s="26">
        <f>IFERROR(RANK(X180,X:X)/COUNT(X:X),"-")</f>
        <v>1.5228426395939087E-2</v>
      </c>
      <c r="AA180" s="13" t="str">
        <f>IF(OR($C180&gt;20190630,$K180&gt;30,X180="-",$D180="是",$E180="封闭期",$H180&lt;10,$BN180&lt;-6,$BR180&lt;70),"-",COUNTIFS(X$4:X$200,"&lt;&gt;-",$D$4:$D$200,"&lt;&gt;是",$E$4:$E$200,"&lt;&gt;封闭期",$H$4:$H$200,"&gt;10",$BN$4:$BN$200,"&gt;-6",$BR$4:$BR$200,"&gt;=70",$K$4:$K$200,"&lt;=30",$C$4:$C$200,"&lt;20190630",X$4:X$200,"&gt;="&amp;X180)&amp;"/"&amp;COUNTIFS(X$4:X$200,"&lt;&gt;-",$D$4:$D$200,"&lt;&gt;是",$E$4:$E$200,"&lt;&gt;封闭期",$H$4:$H$200,"&gt;10",$BN$4:$BN$200,"&gt;-6",$BR$4:$BR$200,"&gt;=70",$C$4:$C$200,"&lt;20190630",$K$4:$K$200,"&lt;=30"))</f>
        <v>1/39</v>
      </c>
      <c r="AB180" s="33">
        <f>IF(OR($C180&gt;20190630,$K180&gt;30,X180="-",$D180="是",$E180="封闭期",$H180&lt;10,$BN180&lt;-6,$BR180&lt;70),"-",COUNTIFS(X$4:X$200,"&lt;&gt;-",$D$4:$D$200,"&lt;&gt;是",$E$4:$E$200,"&lt;&gt;封闭期",$H$4:$H$200,"&gt;10",$BN$4:$BN$200,"&gt;-6",$BR$4:$BR$200,"&gt;=70",$K$4:$K$200,"&lt;=30",$C$4:$C$200,"&lt;20190630",X$4:X$200,"&gt;="&amp;X180)/COUNTIFS(X$4:X$200,"&lt;&gt;-",$D$4:$D$200,"&lt;&gt;是",$E$4:$E$200,"&lt;&gt;封闭期",$H$4:$H$200,"&gt;10",$BN$4:$BN$200,"&gt;-6",$BR$4:$BR$200,"&gt;=70",$C$4:$C$200,"&lt;20190630",$K$4:$K$200,"&lt;=30"))</f>
        <v>2.564102564102564E-2</v>
      </c>
      <c r="AC180" s="20">
        <v>1</v>
      </c>
      <c r="AD180" s="12" t="str">
        <f>IFERROR(RANK(AC180,AC:AC)&amp;"/"&amp;COUNT(AC:AC),"-")</f>
        <v>1/197</v>
      </c>
      <c r="AE180" s="26">
        <f>IFERROR(RANK(AC180,AC:AC)/COUNT(AC:AC),"-")</f>
        <v>5.076142131979695E-3</v>
      </c>
      <c r="AF180" s="13" t="str">
        <f>IF(OR($C180&gt;20190630,$K180&gt;30,AC180="-",$D180="是",$E180="封闭期",$H180&lt;10,$BN180&lt;-6,$BR180&lt;70),"-",COUNTIFS(AC$4:AC$200,"&lt;&gt;-",$D$4:$D$200,"&lt;&gt;是",$E$4:$E$200,"&lt;&gt;封闭期",$H$4:$H$200,"&gt;10",$BN$4:$BN$200,"&gt;-6",$BR$4:$BR$200,"&gt;=70",$K$4:$K$200,"&lt;=30",$C$4:$C$200,"&lt;20190630",AC$4:AC$200,"&gt;="&amp;AC180)&amp;"/"&amp;COUNTIFS(AC$4:AC$200,"&lt;&gt;-",$D$4:$D$200,"&lt;&gt;是",$E$4:$E$200,"&lt;&gt;封闭期",$H$4:$H$200,"&gt;10",$BN$4:$BN$200,"&gt;-6",$BR$4:$BR$200,"&gt;=70",$C$4:$C$200,"&lt;20190630",$K$4:$K$200,"&lt;=30"))</f>
        <v>28/39</v>
      </c>
      <c r="AG180" s="33">
        <f>IF(OR($C180&gt;20190630,$K180&gt;30,AC180="-",$D180="是",$E180="封闭期",$H180&lt;10,$BN180&lt;-6,$BR180&lt;70),"-",COUNTIFS(AC$4:AC$200,"&lt;&gt;-",$D$4:$D$200,"&lt;&gt;是",$E$4:$E$200,"&lt;&gt;封闭期",$H$4:$H$200,"&gt;10",$BN$4:$BN$200,"&gt;-6",$BR$4:$BR$200,"&gt;=70",$K$4:$K$200,"&lt;=30",$C$4:$C$200,"&lt;20190630",AC$4:AC$200,"&gt;="&amp;AC180)/COUNTIFS(AC$4:AC$200,"&lt;&gt;-",$D$4:$D$200,"&lt;&gt;是",$E$4:$E$200,"&lt;&gt;封闭期",$H$4:$H$200,"&gt;10",$BN$4:$BN$200,"&gt;-6",$BR$4:$BR$200,"&gt;=70",$C$4:$C$200,"&lt;20190630",$K$4:$K$200,"&lt;=30"))</f>
        <v>0.71794871794871795</v>
      </c>
      <c r="AH180" s="21">
        <f>[1]!f_risk_maxdownside(A180,$L$2,$E$1)</f>
        <v>-0.27847880950310566</v>
      </c>
      <c r="AI180" s="19" t="str">
        <f>IFERROR(RANK(AH180,AH:AH)&amp;"/"&amp;COUNT(AH:AH),"-")</f>
        <v>3/197</v>
      </c>
      <c r="AJ180" s="26">
        <f>IFERROR(RANK(AH180,AH:AH)/COUNT(AH:AH),"-")</f>
        <v>1.5228426395939087E-2</v>
      </c>
      <c r="AK180" s="34" t="str">
        <f>IF(OR($C180&gt;20190630,$K180&gt;30,AH180="-",$D180="是",$E180="封闭期",$H180&lt;10,$BN180&lt;-6,$BR180&lt;70),"-",COUNTIFS(AH$4:AH$200,"&lt;&gt;-",$D$4:$D$200,"&lt;&gt;是",$E$4:$E$200,"&lt;&gt;封闭期",$H$4:$H$200,"&gt;10",$BN$4:$BN$200,"&gt;-6",$BR$4:$BR$200,"&gt;=70",$K$4:$K$200,"&lt;=30",$C$4:$C$200,"&lt;20190630",AH$4:AH$200,"&gt;="&amp;AH180)&amp;"/"&amp;COUNTIFS(AH$4:AH$200,"&lt;&gt;-",$D$4:$D$200,"&lt;&gt;是",$E$4:$E$200,"&lt;&gt;封闭期",$H$4:$H$200,"&gt;10",$BN$4:$BN$200,"&gt;-6",$BR$4:$BR$200,"&gt;=70",$C$4:$C$200,"&lt;20190630",$K$4:$K$200,"&lt;=30"))</f>
        <v>1/39</v>
      </c>
      <c r="AL180" s="33">
        <f>IF(OR($C180&gt;20190630,$K180&gt;30,AH180="-",$D180="是",$E180="封闭期",$H180&lt;10,$BN180&lt;-6,$BR180&lt;70),"-",COUNTIFS(AH$4:AH$200,"&lt;&gt;-",$D$4:$D$200,"&lt;&gt;是",$E$4:$E$200,"&lt;&gt;封闭期",$H$4:$H$200,"&gt;10",$BN$4:$BN$200,"&gt;-6",$BR$4:$BR$200,"&gt;=70",$K$4:$K$200,"&lt;=30",$C$4:$C$200,"&lt;20190630",AH$4:AH$200,"&gt;="&amp;AH180)/COUNTIFS(AH$4:AH$200,"&lt;&gt;-",$D$4:$D$200,"&lt;&gt;是",$E$4:$E$200,"&lt;&gt;封闭期",$H$4:$H$200,"&gt;10",$BN$4:$BN$200,"&gt;-6",$BR$4:$BR$200,"&gt;=70",$C$4:$C$200,"&lt;20190630",$K$4:$K$200,"&lt;=30"))</f>
        <v>2.564102564102564E-2</v>
      </c>
      <c r="AM180" s="19">
        <f>[1]!f_return($A180,"1",AM$2,$L$2)</f>
        <v>2.3562810468748641</v>
      </c>
      <c r="AN180" s="19">
        <f>[1]!f_risk_stdevyearly($A180,AM$2,$L$2,1,1)</f>
        <v>0.80527569952742006</v>
      </c>
      <c r="AO180" s="12">
        <f>IFERROR(AM180/AN180,"-")</f>
        <v>2.9260550743772091</v>
      </c>
      <c r="AP180" s="12" t="str">
        <f>IFERROR(RANK(AO180,AO:AO)&amp;"/"&amp;COUNT(AO:AO),"-")</f>
        <v>13/197</v>
      </c>
      <c r="AQ180" s="26">
        <f>IF(AP180="-","-",RANK(AO180,AO:AO)/COUNT(AO:AO))</f>
        <v>6.5989847715736044E-2</v>
      </c>
      <c r="AR180" s="60">
        <v>0.89847715736040612</v>
      </c>
      <c r="AS180" s="35">
        <f>IF(OR($C180&gt;20190630,$K180&gt;30,AO180="-",$D180="是",$E180="封闭期",$H180&lt;10,$BN180&lt;-6,$BR180&lt;70),"-",COUNTIFS(AO$4:AO$200,"&lt;&gt;-",$D$4:$D$200,"&lt;&gt;是",$E$4:$E$200,"&lt;&gt;封闭期",$H$4:$H$200,"&gt;10",$BN$4:$BN$200,"&gt;-6",$BR$4:$BR$200,"&gt;=70",$K$4:$K$200,"&lt;=30",$C$4:$C$200,"&lt;20190630",AO$4:AO$200,"&gt;="&amp;AO180)/COUNTIFS(AO$4:AO$200,"&lt;&gt;-",$D$4:$D$200,"&lt;&gt;是",$E$4:$E$200,"&lt;&gt;封闭期",$H$4:$H$200,"&gt;10",$BN$4:$BN$200,"&gt;-6",$BR$4:$BR$200,"&gt;=70",$C$4:$C$200,"&lt;20190630",$K$4:$K$200,"&lt;=30"))</f>
        <v>0.10256410256410256</v>
      </c>
      <c r="AT180" s="12">
        <f>IFERROR((AM180-3)/AN180,"-")</f>
        <v>-0.79937709967270276</v>
      </c>
      <c r="AU180" s="12" t="str">
        <f>IFERROR(RANK(AT180,AT:AT)&amp;"/"&amp;COUNT(AT:AT),"-")</f>
        <v>192/197</v>
      </c>
      <c r="AV180" s="26">
        <f>IFERROR(RANK(AT180,AT:AT)/COUNT(AT:AT),"-")</f>
        <v>0.97461928934010156</v>
      </c>
      <c r="AW180" s="13" t="str">
        <f>IF(OR($C180&gt;20190630,$K180&gt;30,AT180="-",$D180="是",$E180="封闭期",$H180&lt;10,$BN180&lt;-6,$BR180&lt;70),"-",COUNTIFS(AT$4:AT$200,"&lt;&gt;-",$D$4:$D$200,"&lt;&gt;是",$E$4:$E$200,"&lt;&gt;封闭期",$H$4:$H$200,"&gt;10",$BN$4:$BN$200,"&gt;-6",$BR$4:$BR$200,"&gt;=70",$K$4:$K$200,"&lt;=30",$C$4:$C$200,"&lt;20190630",AT$4:AT$200,"&gt;="&amp;AT180)&amp;"/"&amp;COUNTIFS(AT$4:AT$200,"&lt;&gt;-",$D$4:$D$200,"&lt;&gt;是",$E$4:$E$200,"&lt;&gt;封闭期",$H$4:$H$200,"&gt;10",$BN$4:$BN$200,"&gt;-6",$BR$4:$BR$200,"&gt;=70",$C$4:$C$200,"&lt;20190630",$K$4:$K$200,"&lt;=30"))</f>
        <v>39/39</v>
      </c>
      <c r="AX180" s="33">
        <f>IF(OR($C180&gt;20190630,$K180&gt;30,AT180="-",$D180="是",$E180="封闭期",$H180&lt;10,$BN180&lt;-6,$BR180&lt;70),"-",COUNTIFS(AT$4:AT$200,"&lt;&gt;-",$D$4:$D$200,"&lt;&gt;是",$E$4:$E$200,"&lt;&gt;封闭期",$H$4:$H$200,"&gt;10",$BN$4:$BN$200,"&gt;-6",$BR$4:$BR$200,"&gt;=70",$K$4:$K$200,"&lt;=30",$C$4:$C$200,"&lt;20190630",AT$4:AT$200,"&gt;="&amp;AT180)/COUNTIFS(AT$4:AT$200,"&lt;&gt;-",$D$4:$D$200,"&lt;&gt;是",$E$4:$E$200,"&lt;&gt;封闭期",$H$4:$H$200,"&gt;10",$BN$4:$BN$200,"&gt;-6",$BR$4:$BR$200,"&gt;=70",$C$4:$C$200,"&lt;20190630",$K$4:$K$200,"&lt;=30"))</f>
        <v>1</v>
      </c>
      <c r="AY180" s="19">
        <f>[1]!f_risk_calmar(A180,$AM$2,$L$2)</f>
        <v>1.5895024380454763</v>
      </c>
      <c r="AZ180" s="12" t="str">
        <f>IFERROR(RANK(AY180,AY:AY)&amp;"/"&amp;COUNT(AY:AY),"-")</f>
        <v>143/197</v>
      </c>
      <c r="BA180" s="26">
        <f>IFERROR(RANK(AY180,AY:AY)/COUNT(AY:AY),"-")</f>
        <v>0.7258883248730964</v>
      </c>
      <c r="BB180" s="13" t="str">
        <f>IF(OR($C180&gt;20190630,$K180&gt;30,AY180="-",$D180="是",$E180="封闭期",$H180&lt;10,$BN180&lt;-6,$BR180&lt;70),"-",COUNTIFS(AY$4:AY$200,"&lt;&gt;-",$D$4:$D$200,"&lt;&gt;是",$E$4:$E$200,"&lt;&gt;封闭期",$H$4:$H$200,"&gt;10",$BN$4:$BN$200,"&gt;-6",$BR$4:$BR$200,"&gt;=70",$K$4:$K$200,"&lt;=30",$C$4:$C$200,"&lt;20190630",AY$4:AY$200,"&gt;="&amp;AY180)&amp;"/"&amp;COUNTIFS(AY$4:AY$200,"&lt;&gt;-",$D$4:$D$200,"&lt;&gt;是",$E$4:$E$200,"&lt;&gt;封闭期",$H$4:$H$200,"&gt;10",$BN$4:$BN$200,"&gt;-6",$BR$4:$BR$200,"&gt;=70",$C$4:$C$200,"&lt;20190630",$K$4:$K$200,"&lt;=30"))</f>
        <v>35/39</v>
      </c>
      <c r="BC180" s="33">
        <f>IF(OR($C180&gt;20190630,$K180&gt;30,AY180="-",$D180="是",$E180="封闭期",$H180&lt;10,$BN180&lt;-6,$BR180&lt;70),"-",COUNTIFS(AY$4:AY$200,"&lt;&gt;-",$D$4:$D$200,"&lt;&gt;是",$E$4:$E$200,"&lt;&gt;封闭期",$H$4:$H$200,"&gt;10",$BN$4:$BN$200,"&gt;-6",$BR$4:$BR$200,"&gt;=70",$K$4:$K$200,"&lt;=30",$C$4:$C$200,"&lt;20190630",AY$4:AY$200,"&gt;="&amp;AY180)/COUNTIFS(AY$4:AY$200,"&lt;&gt;-",$D$4:$D$200,"&lt;&gt;是",$E$4:$E$200,"&lt;&gt;封闭期",$H$4:$H$200,"&gt;10",$BN$4:$BN$200,"&gt;-6",$BR$4:$BR$200,"&gt;=70",$C$4:$C$200,"&lt;20190630",$K$4:$K$200,"&lt;=30"))</f>
        <v>0.89743589743589747</v>
      </c>
      <c r="BD180" s="20">
        <v>1</v>
      </c>
      <c r="BE180" s="12" t="str">
        <f>IFERROR(RANK(BD180,BD:BD)&amp;"/"&amp;COUNT(BD:BD),"-")</f>
        <v>1/197</v>
      </c>
      <c r="BF180" s="26">
        <f>IFERROR(RANK(BD180,BD:BD)/COUNT(BD:BD),"-")</f>
        <v>5.076142131979695E-3</v>
      </c>
      <c r="BG180" s="13" t="str">
        <f>IF(OR($C180&gt;20190630,$K180&gt;30,BD180="-",$D180="是",$E180="封闭期",$H180&lt;10,$BN180&lt;-6,$BR180&lt;70),"-",COUNTIFS(BD$4:BD$200,"&lt;&gt;-",$D$4:$D$200,"&lt;&gt;是",$E$4:$E$200,"&lt;&gt;封闭期",$H$4:$H$200,"&gt;10",$BN$4:$BN$200,"&gt;-6",$BR$4:$BR$200,"&gt;=70",$K$4:$K$200,"&lt;=30",$C$4:$C$200,"&lt;20190630",BD$4:BD$200,"&gt;="&amp;BD180)&amp;"/"&amp;COUNTIFS(BD$4:BD$200,"&lt;&gt;-",$D$4:$D$200,"&lt;&gt;是",$E$4:$E$200,"&lt;&gt;封闭期",$H$4:$H$200,"&gt;10",$BN$4:$BN$200,"&gt;-6",$BR$4:$BR$200,"&gt;=70",$C$4:$C$200,"&lt;20190630",$K$4:$K$200,"&lt;=30"))</f>
        <v>35/39</v>
      </c>
      <c r="BH180" s="33">
        <f>IF(OR($C180&gt;20190630,$K180&gt;30,BD180="-",$D180="是",$E180="封闭期",$H180&lt;10,$BN180&lt;-6,$BR180&lt;70),"-",COUNTIFS(BD$4:BD$200,"&lt;&gt;-",$D$4:$D$200,"&lt;&gt;是",$E$4:$E$200,"&lt;&gt;封闭期",$H$4:$H$200,"&gt;10",$BN$4:$BN$200,"&gt;-6",$BR$4:$BR$200,"&gt;=70",$K$4:$K$200,"&lt;=30",$C$4:$C$200,"&lt;20190630",BD$4:BD$200,"&gt;="&amp;BD180)/COUNTIFS(BD$4:BD$200,"&lt;&gt;-",$D$4:$D$200,"&lt;&gt;是",$E$4:$E$200,"&lt;&gt;封闭期",$H$4:$H$200,"&gt;10",$BN$4:$BN$200,"&gt;-6",$BR$4:$BR$200,"&gt;=70",$C$4:$C$200,"&lt;20190630",$K$4:$K$200,"&lt;=30"))</f>
        <v>0.89743589743589747</v>
      </c>
      <c r="BI180" s="21">
        <f>[1]!f_risk_maxdownside(A180,$AM$2,$L$2)</f>
        <v>-1.4824016563146976</v>
      </c>
      <c r="BJ180" s="19" t="str">
        <f>IFERROR(RANK(BI180,BI:BI)&amp;"/"&amp;COUNT(BI:BI),"-")</f>
        <v>16/197</v>
      </c>
      <c r="BK180" s="26">
        <f>IFERROR(RANK(BI180,BI:BI)/COUNT(BI:BI),"-")</f>
        <v>8.1218274111675121E-2</v>
      </c>
      <c r="BL180" s="34" t="str">
        <f>IF(OR($C180&gt;20190630,$K180&gt;30,BI180="-",$D180="是",$E180="封闭期",$H180&lt;10,$BN180&lt;-6,$BR180&lt;70),"-",COUNTIFS(BI$4:BI$200,"&lt;&gt;-",$D$4:$D$200,"&lt;&gt;是",$E$4:$E$200,"&lt;&gt;封闭期",$H$4:$H$200,"&gt;10",$BN$4:$BN$200,"&gt;-6",$BR$4:$BR$200,"&gt;=70",$K$4:$K$200,"&lt;=30",$C$4:$C$200,"&lt;20190630",BI$4:BI$200,"&gt;="&amp;BI180)&amp;"/"&amp;COUNTIFS(BI$4:BI$200,"&lt;&gt;-",$D$4:$D$200,"&lt;&gt;是",$E$4:$E$200,"&lt;&gt;封闭期",$H$4:$H$200,"&gt;10",$BN$4:$BN$200,"&gt;-6",$BR$4:$BR$200,"&gt;=70",$C$4:$C$200,"&lt;20190630",$K$4:$K$200,"&lt;=30"))</f>
        <v>3/39</v>
      </c>
      <c r="BM180" s="33">
        <f>IF(OR($C180&gt;20190630,$K180&gt;30,BI180="-",$D180="是",$E180="封闭期",$H180&lt;10,$BN180&lt;-6,$BR180&lt;70),"-",COUNTIFS(BI$4:BI$200,"&lt;&gt;-",$D$4:$D$200,"&lt;&gt;是",$E$4:$E$200,"&lt;&gt;封闭期",$H$4:$H$200,"&gt;10",$BN$4:$BN$200,"&gt;-6",$BR$4:$BR$200,"&gt;=70",$K$4:$K$200,"&lt;=30",$C$4:$C$200,"&lt;20190630",BI$4:BI$200,"&gt;="&amp;BI180)/COUNTIFS(BI$4:BI$200,"&lt;&gt;-",$D$4:$D$200,"&lt;&gt;是",$E$4:$E$200,"&lt;&gt;封闭期",$H$4:$H$200,"&gt;10",$BN$4:$BN$200,"&gt;-6",$BR$4:$BR$200,"&gt;=70",$C$4:$C$200,"&lt;20190630",$K$4:$K$200,"&lt;=30"))</f>
        <v>7.6923076923076927E-2</v>
      </c>
      <c r="BN180" s="21">
        <f>[1]!f_risk_maxdownside(A180,$AM$2,$E$1)</f>
        <v>-1.4824016563146976</v>
      </c>
      <c r="BO180" s="14">
        <f>IF(C180&lt;20190930,[1]!f_return_2y(A180,"0","20210930"),"-")</f>
        <v>7.1097915720949274</v>
      </c>
      <c r="BP180" s="12" t="str">
        <f>IFERROR(RANK(BO180,BO:BO)&amp;"/"&amp;COUNT(BO:BO),"-")</f>
        <v>169/197</v>
      </c>
      <c r="BQ180" s="25">
        <f>IFERROR(RANK(BO180,BO:BO)/COUNT(BO:BO),"-")</f>
        <v>0.85786802030456855</v>
      </c>
      <c r="BR180" s="12">
        <f>IF(C180&lt;20190930,[1]!f_absolute_profitmonthper(A180,"20190930","20210930"),"-")</f>
        <v>75</v>
      </c>
      <c r="BS180" s="12" t="str">
        <f>IFERROR(RANK(BR180,BR:BR)&amp;"/"&amp;COUNT(BR:BR),"-")</f>
        <v>26/198</v>
      </c>
      <c r="BT180" s="25">
        <f>IFERROR(RANK(BR180,BR:BR)/COUNT(BR:BR),"-")</f>
        <v>0.13131313131313133</v>
      </c>
      <c r="BV180" s="12">
        <f>X180-3/M180</f>
        <v>10.564523170526272</v>
      </c>
      <c r="BW180" s="76">
        <f>IFERROR(RANK(BV180,BV:BV)/COUNT(BV:BV),"-")</f>
        <v>1.5228426395939087E-2</v>
      </c>
      <c r="BX180" s="76">
        <f>IFERROR(RANK(L180,L:L)/COUNT(L:L),"-")</f>
        <v>0.6262626262626263</v>
      </c>
      <c r="BY180" s="12">
        <f>AY180-3/AN180</f>
        <v>-2.1359297360044356</v>
      </c>
      <c r="BZ180" s="76">
        <f>IFERROR(RANK(BY180,BY:BY)/COUNT(BY:BY),"-")</f>
        <v>0.98984771573604058</v>
      </c>
      <c r="CA180" s="76">
        <f>IFERROR(RANK(AM180,AM:AM)/COUNT(AM:AM),"-")</f>
        <v>0.89898989898989901</v>
      </c>
      <c r="CB180" s="2"/>
      <c r="CC180" s="77">
        <f>AV180+BF180+BZ180+CA180</f>
        <v>2.8685330461980207</v>
      </c>
      <c r="CD180" s="77">
        <f>BW180+BX180+AE180+U180</f>
        <v>0.65671947905450456</v>
      </c>
      <c r="CE180" s="77">
        <f>CC180+CD180</f>
        <v>3.5252525252525251</v>
      </c>
    </row>
    <row r="181" spans="1:83" s="17" customFormat="1" x14ac:dyDescent="0.35">
      <c r="A181" s="15" t="s">
        <v>157</v>
      </c>
      <c r="B181" s="15" t="s">
        <v>158</v>
      </c>
      <c r="C181" s="16">
        <v>20130911</v>
      </c>
      <c r="D181" s="16" t="str">
        <f>[1]!f_info_regulopenfundornot(A181)</f>
        <v>否</v>
      </c>
      <c r="E181" s="16" t="str">
        <f>[1]!f_dq_status(A181,$E$1)</f>
        <v>暂停大额申购|开放赎回</v>
      </c>
      <c r="F181" s="17" t="str">
        <f>[1]!f_info_fundmanager(A181)</f>
        <v>马泽宇</v>
      </c>
      <c r="G181" s="16">
        <v>20210917</v>
      </c>
      <c r="H181" s="18">
        <f>[1]!f_netasset_total(A181,$E$1,100000000)</f>
        <v>20.7924894047</v>
      </c>
      <c r="I181" s="18">
        <f>[1]!f_prt_convertiblebondtonav(A181,$E$1)</f>
        <v>0</v>
      </c>
      <c r="J181" s="18">
        <f>[1]!f_prt_stocktonav(A181,$E$1)+0.5*I181</f>
        <v>0</v>
      </c>
      <c r="K181" s="19">
        <v>42.211588180567048</v>
      </c>
      <c r="L181" s="19">
        <f>[1]!f_return($A181,"1",L$2,$E$1)</f>
        <v>3.758479748457666</v>
      </c>
      <c r="M181" s="19">
        <f>[1]!f_risk_stdevyearly($A181,L$2,$E$1,1,1)</f>
        <v>0.49615935028988695</v>
      </c>
      <c r="N181" s="19">
        <f>IFERROR(L181/M181,"-")</f>
        <v>7.5751464650655675</v>
      </c>
      <c r="O181" s="19" t="str">
        <f>IFERROR(RANK(N181,N:N)&amp;"/"&amp;COUNT(N:N),"-")</f>
        <v>6/197</v>
      </c>
      <c r="P181" s="26">
        <f>IF(O181="-","-",RANK(N181,N:N)/COUNT(N:N))</f>
        <v>3.0456852791878174E-2</v>
      </c>
      <c r="Q181" s="56">
        <v>0.77157360406091369</v>
      </c>
      <c r="R181" s="33" t="str">
        <f>IF(OR($C181&gt;20190630,$K181&gt;30,N181="-",$D181="是",$E181="封闭期",$H181&lt;10,$BN181&lt;-6,$BR181&lt;70),"-",COUNTIFS(N$4:N$200,"&lt;&gt;-",$D$4:$D$200,"&lt;&gt;是",$E$4:$E$200,"&lt;&gt;封闭期",$H$4:$H$200,"&gt;10",$BN$4:$BN$200,"&gt;-6",$BR$4:$BR$200,"&gt;=70",$K$4:$K$200,"&lt;=30",$C$4:$C$200,"&lt;20190630",N$4:N$200,"&gt;="&amp;N181)/COUNTIFS(N$4:N$200,"&lt;&gt;-",$D$4:$D$200,"&lt;&gt;是",$E$4:$E$200,"&lt;&gt;封闭期",$H$4:$H$200,"&gt;10",$BN$4:$BN$200,"&gt;-6",$BR$4:$BR$200,"&gt;=70",$C$4:$C$200,"&lt;20190630",$K$4:$K$200,"&lt;=30"))</f>
        <v>-</v>
      </c>
      <c r="S181" s="19">
        <f>IFERROR((L181-3)/M181,"-")</f>
        <v>1.5287019140413562</v>
      </c>
      <c r="T181" s="19" t="str">
        <f>IFERROR(RANK(S181,S:S)&amp;"/"&amp;COUNT(S:S),"-")</f>
        <v>31/197</v>
      </c>
      <c r="U181" s="26">
        <f>IFERROR(RANK(S181,S:S)/COUNT(S:S),"-")</f>
        <v>0.15736040609137056</v>
      </c>
      <c r="V181" s="34" t="str">
        <f>IF(OR($C181&gt;20190630,$K181&gt;30,S181="-",$D181="是",$E181="封闭期",$H181&lt;10,$BN181&lt;-6,$BR181&lt;70),"-",COUNTIFS(S$4:S$200,"&lt;&gt;-",$D$4:$D$200,"&lt;&gt;是",$E$4:$E$200,"&lt;&gt;封闭期",$H$4:$H$200,"&gt;10",$BN$4:$BN$200,"&gt;-6",$BR$4:$BR$200,"&gt;=70",$K$4:$K$200,"&lt;=30",$C$4:$C$200,"&lt;20190630",S$4:S$200,"&gt;="&amp;S181)&amp;"/"&amp;COUNTIFS(S$4:S$200,"&lt;&gt;-",$D$4:$D$200,"&lt;&gt;是",$E$4:$E$200,"&lt;&gt;封闭期",$H$4:$H$200,"&gt;10",$BN$4:$BN$200,"&gt;-6",$BR$4:$BR$200,"&gt;=70",$C$4:$C$200,"&lt;20190630",$K$4:$K$200,"&lt;=30"))</f>
        <v>-</v>
      </c>
      <c r="W181" s="33" t="str">
        <f>IF(OR($C181&gt;20190630,$K181&gt;30,S181="-",$D181="是",$E181="封闭期",$H181&lt;10,$BN181&lt;-6,$BR181&lt;70),"-",COUNTIFS(S$4:S$200,"&lt;&gt;-",$D$4:$D$200,"&lt;&gt;是",$E$4:$E$200,"&lt;&gt;封闭期",$H$4:$H$200,"&gt;10",$BN$4:$BN$200,"&gt;-6",$BR$4:$BR$200,"&gt;=70",$K$4:$K$200,"&lt;=30",$C$4:$C$200,"&lt;20190630",S$4:S$200,"&gt;="&amp;S181)/COUNTIFS(S$4:S$200,"&lt;&gt;-",$D$4:$D$200,"&lt;&gt;是",$E$4:$E$200,"&lt;&gt;封闭期",$H$4:$H$200,"&gt;10",$BN$4:$BN$200,"&gt;-6",$BR$4:$BR$200,"&gt;=70",$C$4:$C$200,"&lt;20190630",$K$4:$K$200,"&lt;=30"))</f>
        <v>-</v>
      </c>
      <c r="X181" s="19">
        <f>[1]!f_risk_calmar(A181,$L$2,$E$1)</f>
        <v>8.7230898161930437</v>
      </c>
      <c r="Y181" s="19" t="str">
        <f>IFERROR(RANK(X181,X:X)&amp;"/"&amp;COUNT(X:X),"-")</f>
        <v>11/197</v>
      </c>
      <c r="Z181" s="26">
        <f>IFERROR(RANK(X181,X:X)/COUNT(X:X),"-")</f>
        <v>5.5837563451776651E-2</v>
      </c>
      <c r="AA181" s="34" t="str">
        <f>IF(OR($C181&gt;20190630,$K181&gt;30,X181="-",$D181="是",$E181="封闭期",$H181&lt;10,$BN181&lt;-6,$BR181&lt;70),"-",COUNTIFS(X$4:X$200,"&lt;&gt;-",$D$4:$D$200,"&lt;&gt;是",$E$4:$E$200,"&lt;&gt;封闭期",$H$4:$H$200,"&gt;10",$BN$4:$BN$200,"&gt;-6",$BR$4:$BR$200,"&gt;=70",$K$4:$K$200,"&lt;=30",$C$4:$C$200,"&lt;20190630",X$4:X$200,"&gt;="&amp;X181)&amp;"/"&amp;COUNTIFS(X$4:X$200,"&lt;&gt;-",$D$4:$D$200,"&lt;&gt;是",$E$4:$E$200,"&lt;&gt;封闭期",$H$4:$H$200,"&gt;10",$BN$4:$BN$200,"&gt;-6",$BR$4:$BR$200,"&gt;=70",$C$4:$C$200,"&lt;20190630",$K$4:$K$200,"&lt;=30"))</f>
        <v>-</v>
      </c>
      <c r="AB181" s="33" t="str">
        <f>IF(OR($C181&gt;20190630,$K181&gt;30,X181="-",$D181="是",$E181="封闭期",$H181&lt;10,$BN181&lt;-6,$BR181&lt;70),"-",COUNTIFS(X$4:X$200,"&lt;&gt;-",$D$4:$D$200,"&lt;&gt;是",$E$4:$E$200,"&lt;&gt;封闭期",$H$4:$H$200,"&gt;10",$BN$4:$BN$200,"&gt;-6",$BR$4:$BR$200,"&gt;=70",$K$4:$K$200,"&lt;=30",$C$4:$C$200,"&lt;20190630",X$4:X$200,"&gt;="&amp;X181)/COUNTIFS(X$4:X$200,"&lt;&gt;-",$D$4:$D$200,"&lt;&gt;是",$E$4:$E$200,"&lt;&gt;封闭期",$H$4:$H$200,"&gt;10",$BN$4:$BN$200,"&gt;-6",$BR$4:$BR$200,"&gt;=70",$C$4:$C$200,"&lt;20190630",$K$4:$K$200,"&lt;=30"))</f>
        <v>-</v>
      </c>
      <c r="AC181" s="20">
        <v>1</v>
      </c>
      <c r="AD181" s="19" t="str">
        <f>IFERROR(RANK(AC181,AC:AC)&amp;"/"&amp;COUNT(AC:AC),"-")</f>
        <v>1/197</v>
      </c>
      <c r="AE181" s="26">
        <f>IFERROR(RANK(AC181,AC:AC)/COUNT(AC:AC),"-")</f>
        <v>5.076142131979695E-3</v>
      </c>
      <c r="AF181" s="34" t="str">
        <f>IF(OR($C181&gt;20190630,$K181&gt;30,AC181="-",$D181="是",$E181="封闭期",$H181&lt;10,$BN181&lt;-6,$BR181&lt;70),"-",COUNTIFS(AC$4:AC$200,"&lt;&gt;-",$D$4:$D$200,"&lt;&gt;是",$E$4:$E$200,"&lt;&gt;封闭期",$H$4:$H$200,"&gt;10",$BN$4:$BN$200,"&gt;-6",$BR$4:$BR$200,"&gt;=70",$K$4:$K$200,"&lt;=30",$C$4:$C$200,"&lt;20190630",AC$4:AC$200,"&gt;="&amp;AC181)&amp;"/"&amp;COUNTIFS(AC$4:AC$200,"&lt;&gt;-",$D$4:$D$200,"&lt;&gt;是",$E$4:$E$200,"&lt;&gt;封闭期",$H$4:$H$200,"&gt;10",$BN$4:$BN$200,"&gt;-6",$BR$4:$BR$200,"&gt;=70",$C$4:$C$200,"&lt;20190630",$K$4:$K$200,"&lt;=30"))</f>
        <v>-</v>
      </c>
      <c r="AG181" s="33" t="str">
        <f>IF(OR($C181&gt;20190630,$K181&gt;30,AC181="-",$D181="是",$E181="封闭期",$H181&lt;10,$BN181&lt;-6,$BR181&lt;70),"-",COUNTIFS(AC$4:AC$200,"&lt;&gt;-",$D$4:$D$200,"&lt;&gt;是",$E$4:$E$200,"&lt;&gt;封闭期",$H$4:$H$200,"&gt;10",$BN$4:$BN$200,"&gt;-6",$BR$4:$BR$200,"&gt;=70",$K$4:$K$200,"&lt;=30",$C$4:$C$200,"&lt;20190630",AC$4:AC$200,"&gt;="&amp;AC181)/COUNTIFS(AC$4:AC$200,"&lt;&gt;-",$D$4:$D$200,"&lt;&gt;是",$E$4:$E$200,"&lt;&gt;封闭期",$H$4:$H$200,"&gt;10",$BN$4:$BN$200,"&gt;-6",$BR$4:$BR$200,"&gt;=70",$C$4:$C$200,"&lt;20190630",$K$4:$K$200,"&lt;=30"))</f>
        <v>-</v>
      </c>
      <c r="AH181" s="21">
        <f>[1]!f_risk_maxdownside(A181,$L$2,$E$1)</f>
        <v>-0.43086564825695589</v>
      </c>
      <c r="AI181" s="19" t="str">
        <f>IFERROR(RANK(AH181,AH:AH)&amp;"/"&amp;COUNT(AH:AH),"-")</f>
        <v>6/197</v>
      </c>
      <c r="AJ181" s="26">
        <f>IFERROR(RANK(AH181,AH:AH)/COUNT(AH:AH),"-")</f>
        <v>3.0456852791878174E-2</v>
      </c>
      <c r="AK181" s="34" t="str">
        <f>IF(OR($C181&gt;20190630,$K181&gt;30,AH181="-",$D181="是",$E181="封闭期",$H181&lt;10,$BN181&lt;-6,$BR181&lt;70),"-",COUNTIFS(AH$4:AH$200,"&lt;&gt;-",$D$4:$D$200,"&lt;&gt;是",$E$4:$E$200,"&lt;&gt;封闭期",$H$4:$H$200,"&gt;10",$BN$4:$BN$200,"&gt;-6",$BR$4:$BR$200,"&gt;=70",$K$4:$K$200,"&lt;=30",$C$4:$C$200,"&lt;20190630",AH$4:AH$200,"&gt;="&amp;AH181)&amp;"/"&amp;COUNTIFS(AH$4:AH$200,"&lt;&gt;-",$D$4:$D$200,"&lt;&gt;是",$E$4:$E$200,"&lt;&gt;封闭期",$H$4:$H$200,"&gt;10",$BN$4:$BN$200,"&gt;-6",$BR$4:$BR$200,"&gt;=70",$C$4:$C$200,"&lt;20190630",$K$4:$K$200,"&lt;=30"))</f>
        <v>-</v>
      </c>
      <c r="AL181" s="33" t="str">
        <f>IF(OR($C181&gt;20190630,$K181&gt;30,AH181="-",$D181="是",$E181="封闭期",$H181&lt;10,$BN181&lt;-6,$BR181&lt;70),"-",COUNTIFS(AH$4:AH$200,"&lt;&gt;-",$D$4:$D$200,"&lt;&gt;是",$E$4:$E$200,"&lt;&gt;封闭期",$H$4:$H$200,"&gt;10",$BN$4:$BN$200,"&gt;-6",$BR$4:$BR$200,"&gt;=70",$K$4:$K$200,"&lt;=30",$C$4:$C$200,"&lt;20190630",AH$4:AH$200,"&gt;="&amp;AH181)/COUNTIFS(AH$4:AH$200,"&lt;&gt;-",$D$4:$D$200,"&lt;&gt;是",$E$4:$E$200,"&lt;&gt;封闭期",$H$4:$H$200,"&gt;10",$BN$4:$BN$200,"&gt;-6",$BR$4:$BR$200,"&gt;=70",$C$4:$C$200,"&lt;20190630",$K$4:$K$200,"&lt;=30"))</f>
        <v>-</v>
      </c>
      <c r="AM181" s="19">
        <f>[1]!f_return($A181,"1",AM$2,$L$2)</f>
        <v>2.354724517545459</v>
      </c>
      <c r="AN181" s="19">
        <f>[1]!f_risk_stdevyearly($A181,AM$2,$L$2,1,1)</f>
        <v>1.82931633574879</v>
      </c>
      <c r="AO181" s="19">
        <f>IFERROR(AM181/AN181,"-")</f>
        <v>1.2872155960831153</v>
      </c>
      <c r="AP181" s="19" t="str">
        <f>IFERROR(RANK(AO181,AO:AO)&amp;"/"&amp;COUNT(AO:AO),"-")</f>
        <v>137/197</v>
      </c>
      <c r="AQ181" s="26">
        <f>IF(AP181="-","-",RANK(AO181,AO:AO)/COUNT(AO:AO))</f>
        <v>0.69543147208121825</v>
      </c>
      <c r="AR181" s="57">
        <v>0.90355329949238583</v>
      </c>
      <c r="AS181" s="33" t="str">
        <f>IF(OR($C181&gt;20190630,$K181&gt;30,AO181="-",$D181="是",$E181="封闭期",$H181&lt;10,$BN181&lt;-6,$BR181&lt;70),"-",COUNTIFS(AO$4:AO$200,"&lt;&gt;-",$D$4:$D$200,"&lt;&gt;是",$E$4:$E$200,"&lt;&gt;封闭期",$H$4:$H$200,"&gt;10",$BN$4:$BN$200,"&gt;-6",$BR$4:$BR$200,"&gt;=70",$K$4:$K$200,"&lt;=30",$C$4:$C$200,"&lt;20190630",AO$4:AO$200,"&gt;="&amp;AO181)/COUNTIFS(AO$4:AO$200,"&lt;&gt;-",$D$4:$D$200,"&lt;&gt;是",$E$4:$E$200,"&lt;&gt;封闭期",$H$4:$H$200,"&gt;10",$BN$4:$BN$200,"&gt;-6",$BR$4:$BR$200,"&gt;=70",$C$4:$C$200,"&lt;20190630",$K$4:$K$200,"&lt;=30"))</f>
        <v>-</v>
      </c>
      <c r="AT181" s="19">
        <f>IFERROR((AM181-3)/AN181,"-")</f>
        <v>-0.35274133283810194</v>
      </c>
      <c r="AU181" s="19" t="str">
        <f>IFERROR(RANK(AT181,AT:AT)&amp;"/"&amp;COUNT(AT:AT),"-")</f>
        <v>180/197</v>
      </c>
      <c r="AV181" s="26">
        <f>IFERROR(RANK(AT181,AT:AT)/COUNT(AT:AT),"-")</f>
        <v>0.91370558375634514</v>
      </c>
      <c r="AW181" s="34" t="str">
        <f>IF(OR($C181&gt;20190630,$K181&gt;30,AT181="-",$D181="是",$E181="封闭期",$H181&lt;10,$BN181&lt;-6,$BR181&lt;70),"-",COUNTIFS(AT$4:AT$200,"&lt;&gt;-",$D$4:$D$200,"&lt;&gt;是",$E$4:$E$200,"&lt;&gt;封闭期",$H$4:$H$200,"&gt;10",$BN$4:$BN$200,"&gt;-6",$BR$4:$BR$200,"&gt;=70",$K$4:$K$200,"&lt;=30",$C$4:$C$200,"&lt;20190630",AT$4:AT$200,"&gt;="&amp;AT181)&amp;"/"&amp;COUNTIFS(AT$4:AT$200,"&lt;&gt;-",$D$4:$D$200,"&lt;&gt;是",$E$4:$E$200,"&lt;&gt;封闭期",$H$4:$H$200,"&gt;10",$BN$4:$BN$200,"&gt;-6",$BR$4:$BR$200,"&gt;=70",$C$4:$C$200,"&lt;20190630",$K$4:$K$200,"&lt;=30"))</f>
        <v>-</v>
      </c>
      <c r="AX181" s="33" t="str">
        <f>IF(OR($C181&gt;20190630,$K181&gt;30,AT181="-",$D181="是",$E181="封闭期",$H181&lt;10,$BN181&lt;-6,$BR181&lt;70),"-",COUNTIFS(AT$4:AT$200,"&lt;&gt;-",$D$4:$D$200,"&lt;&gt;是",$E$4:$E$200,"&lt;&gt;封闭期",$H$4:$H$200,"&gt;10",$BN$4:$BN$200,"&gt;-6",$BR$4:$BR$200,"&gt;=70",$K$4:$K$200,"&lt;=30",$C$4:$C$200,"&lt;20190630",AT$4:AT$200,"&gt;="&amp;AT181)/COUNTIFS(AT$4:AT$200,"&lt;&gt;-",$D$4:$D$200,"&lt;&gt;是",$E$4:$E$200,"&lt;&gt;封闭期",$H$4:$H$200,"&gt;10",$BN$4:$BN$200,"&gt;-6",$BR$4:$BR$200,"&gt;=70",$C$4:$C$200,"&lt;20190630",$K$4:$K$200,"&lt;=30"))</f>
        <v>-</v>
      </c>
      <c r="AY181" s="19">
        <f>[1]!f_risk_calmar(A181,$AM$2,$L$2)</f>
        <v>0.59531093628042342</v>
      </c>
      <c r="AZ181" s="19" t="str">
        <f>IFERROR(RANK(AY181,AY:AY)&amp;"/"&amp;COUNT(AY:AY),"-")</f>
        <v>185/197</v>
      </c>
      <c r="BA181" s="26">
        <f>IFERROR(RANK(AY181,AY:AY)/COUNT(AY:AY),"-")</f>
        <v>0.93908629441624369</v>
      </c>
      <c r="BB181" s="34" t="str">
        <f>IF(OR($C181&gt;20190630,$K181&gt;30,AY181="-",$D181="是",$E181="封闭期",$H181&lt;10,$BN181&lt;-6,$BR181&lt;70),"-",COUNTIFS(AY$4:AY$200,"&lt;&gt;-",$D$4:$D$200,"&lt;&gt;是",$E$4:$E$200,"&lt;&gt;封闭期",$H$4:$H$200,"&gt;10",$BN$4:$BN$200,"&gt;-6",$BR$4:$BR$200,"&gt;=70",$K$4:$K$200,"&lt;=30",$C$4:$C$200,"&lt;20190630",AY$4:AY$200,"&gt;="&amp;AY181)&amp;"/"&amp;COUNTIFS(AY$4:AY$200,"&lt;&gt;-",$D$4:$D$200,"&lt;&gt;是",$E$4:$E$200,"&lt;&gt;封闭期",$H$4:$H$200,"&gt;10",$BN$4:$BN$200,"&gt;-6",$BR$4:$BR$200,"&gt;=70",$C$4:$C$200,"&lt;20190630",$K$4:$K$200,"&lt;=30"))</f>
        <v>-</v>
      </c>
      <c r="BC181" s="33" t="str">
        <f>IF(OR($C181&gt;20190630,$K181&gt;30,AY181="-",$D181="是",$E181="封闭期",$H181&lt;10,$BN181&lt;-6,$BR181&lt;70),"-",COUNTIFS(AY$4:AY$200,"&lt;&gt;-",$D$4:$D$200,"&lt;&gt;是",$E$4:$E$200,"&lt;&gt;封闭期",$H$4:$H$200,"&gt;10",$BN$4:$BN$200,"&gt;-6",$BR$4:$BR$200,"&gt;=70",$K$4:$K$200,"&lt;=30",$C$4:$C$200,"&lt;20190630",AY$4:AY$200,"&gt;="&amp;AY181)/COUNTIFS(AY$4:AY$200,"&lt;&gt;-",$D$4:$D$200,"&lt;&gt;是",$E$4:$E$200,"&lt;&gt;封闭期",$H$4:$H$200,"&gt;10",$BN$4:$BN$200,"&gt;-6",$BR$4:$BR$200,"&gt;=70",$C$4:$C$200,"&lt;20190630",$K$4:$K$200,"&lt;=30"))</f>
        <v>-</v>
      </c>
      <c r="BD181" s="20">
        <v>0.77500000000000002</v>
      </c>
      <c r="BE181" s="19" t="str">
        <f>IFERROR(RANK(BD181,BD:BD)&amp;"/"&amp;COUNT(BD:BD),"-")</f>
        <v>181/197</v>
      </c>
      <c r="BF181" s="26">
        <f>IFERROR(RANK(BD181,BD:BD)/COUNT(BD:BD),"-")</f>
        <v>0.91878172588832485</v>
      </c>
      <c r="BG181" s="34" t="str">
        <f>IF(OR($C181&gt;20190630,$K181&gt;30,BD181="-",$D181="是",$E181="封闭期",$H181&lt;10,$BN181&lt;-6,$BR181&lt;70),"-",COUNTIFS(BD$4:BD$200,"&lt;&gt;-",$D$4:$D$200,"&lt;&gt;是",$E$4:$E$200,"&lt;&gt;封闭期",$H$4:$H$200,"&gt;10",$BN$4:$BN$200,"&gt;-6",$BR$4:$BR$200,"&gt;=70",$K$4:$K$200,"&lt;=30",$C$4:$C$200,"&lt;20190630",BD$4:BD$200,"&gt;="&amp;BD181)&amp;"/"&amp;COUNTIFS(BD$4:BD$200,"&lt;&gt;-",$D$4:$D$200,"&lt;&gt;是",$E$4:$E$200,"&lt;&gt;封闭期",$H$4:$H$200,"&gt;10",$BN$4:$BN$200,"&gt;-6",$BR$4:$BR$200,"&gt;=70",$C$4:$C$200,"&lt;20190630",$K$4:$K$200,"&lt;=30"))</f>
        <v>-</v>
      </c>
      <c r="BH181" s="33" t="str">
        <f>IF(OR($C181&gt;20190630,$K181&gt;30,BD181="-",$D181="是",$E181="封闭期",$H181&lt;10,$BN181&lt;-6,$BR181&lt;70),"-",COUNTIFS(BD$4:BD$200,"&lt;&gt;-",$D$4:$D$200,"&lt;&gt;是",$E$4:$E$200,"&lt;&gt;封闭期",$H$4:$H$200,"&gt;10",$BN$4:$BN$200,"&gt;-6",$BR$4:$BR$200,"&gt;=70",$K$4:$K$200,"&lt;=30",$C$4:$C$200,"&lt;20190630",BD$4:BD$200,"&gt;="&amp;BD181)/COUNTIFS(BD$4:BD$200,"&lt;&gt;-",$D$4:$D$200,"&lt;&gt;是",$E$4:$E$200,"&lt;&gt;封闭期",$H$4:$H$200,"&gt;10",$BN$4:$BN$200,"&gt;-6",$BR$4:$BR$200,"&gt;=70",$C$4:$C$200,"&lt;20190630",$K$4:$K$200,"&lt;=30"))</f>
        <v>-</v>
      </c>
      <c r="BI181" s="21">
        <f>[1]!f_risk_maxdownside(A181,$AM$2,$L$2)</f>
        <v>-3.9554531490015448</v>
      </c>
      <c r="BJ181" s="19" t="str">
        <f>IFERROR(RANK(BI181,BI:BI)&amp;"/"&amp;COUNT(BI:BI),"-")</f>
        <v>128/197</v>
      </c>
      <c r="BK181" s="26">
        <f>IFERROR(RANK(BI181,BI:BI)/COUNT(BI:BI),"-")</f>
        <v>0.64974619289340096</v>
      </c>
      <c r="BL181" s="34" t="str">
        <f>IF(OR($C181&gt;20190630,$K181&gt;30,BI181="-",$D181="是",$E181="封闭期",$H181&lt;10,$BN181&lt;-6,$BR181&lt;70),"-",COUNTIFS(BI$4:BI$200,"&lt;&gt;-",$D$4:$D$200,"&lt;&gt;是",$E$4:$E$200,"&lt;&gt;封闭期",$H$4:$H$200,"&gt;10",$BN$4:$BN$200,"&gt;-6",$BR$4:$BR$200,"&gt;=70",$K$4:$K$200,"&lt;=30",$C$4:$C$200,"&lt;20190630",BI$4:BI$200,"&gt;="&amp;BI181)&amp;"/"&amp;COUNTIFS(BI$4:BI$200,"&lt;&gt;-",$D$4:$D$200,"&lt;&gt;是",$E$4:$E$200,"&lt;&gt;封闭期",$H$4:$H$200,"&gt;10",$BN$4:$BN$200,"&gt;-6",$BR$4:$BR$200,"&gt;=70",$C$4:$C$200,"&lt;20190630",$K$4:$K$200,"&lt;=30"))</f>
        <v>-</v>
      </c>
      <c r="BM181" s="33" t="str">
        <f>IF(OR($C181&gt;20190630,$K181&gt;30,BI181="-",$D181="是",$E181="封闭期",$H181&lt;10,$BN181&lt;-6,$BR181&lt;70),"-",COUNTIFS(BI$4:BI$200,"&lt;&gt;-",$D$4:$D$200,"&lt;&gt;是",$E$4:$E$200,"&lt;&gt;封闭期",$H$4:$H$200,"&gt;10",$BN$4:$BN$200,"&gt;-6",$BR$4:$BR$200,"&gt;=70",$K$4:$K$200,"&lt;=30",$C$4:$C$200,"&lt;20190630",BI$4:BI$200,"&gt;="&amp;BI181)/COUNTIFS(BI$4:BI$200,"&lt;&gt;-",$D$4:$D$200,"&lt;&gt;是",$E$4:$E$200,"&lt;&gt;封闭期",$H$4:$H$200,"&gt;10",$BN$4:$BN$200,"&gt;-6",$BR$4:$BR$200,"&gt;=70",$C$4:$C$200,"&lt;20190630",$K$4:$K$200,"&lt;=30"))</f>
        <v>-</v>
      </c>
      <c r="BN181" s="21">
        <f>[1]!f_risk_maxdownside(A181,$AM$2,$E$1)</f>
        <v>-3.9554531490015448</v>
      </c>
      <c r="BO181" s="21">
        <f>IF(C181&lt;20190930,[1]!f_return_2y(A181,"0","20210930"),"-")</f>
        <v>6.2344314960010365</v>
      </c>
      <c r="BP181" s="19" t="str">
        <f>IFERROR(RANK(BO181,BO:BO)&amp;"/"&amp;COUNT(BO:BO),"-")</f>
        <v>177/197</v>
      </c>
      <c r="BQ181" s="25">
        <f>IFERROR(RANK(BO181,BO:BO)/COUNT(BO:BO),"-")</f>
        <v>0.89847715736040612</v>
      </c>
      <c r="BR181" s="19">
        <f>IF(C181&lt;20190930,[1]!f_absolute_profitmonthper(A181,"20190930","20210930"),"-")</f>
        <v>70.833333333333343</v>
      </c>
      <c r="BS181" s="19" t="str">
        <f>IFERROR(RANK(BR181,BR:BR)&amp;"/"&amp;COUNT(BR:BR),"-")</f>
        <v>55/198</v>
      </c>
      <c r="BT181" s="25">
        <f>IFERROR(RANK(BR181,BR:BR)/COUNT(BR:BR),"-")</f>
        <v>0.27777777777777779</v>
      </c>
      <c r="BV181" s="12">
        <f>X181-3/M181</f>
        <v>2.6766452651688324</v>
      </c>
      <c r="BW181" s="76">
        <f>IFERROR(RANK(BV181,BV:BV)/COUNT(BV:BV),"-")</f>
        <v>0.24873096446700507</v>
      </c>
      <c r="BX181" s="76">
        <f>IFERROR(RANK(L181,L:L)/COUNT(L:L),"-")</f>
        <v>0.77272727272727271</v>
      </c>
      <c r="BY181" s="12">
        <f>AY181-3/AN181</f>
        <v>-1.0446459926407938</v>
      </c>
      <c r="BZ181" s="76">
        <f>IFERROR(RANK(BY181,BY:BY)/COUNT(BY:BY),"-")</f>
        <v>0.949238578680203</v>
      </c>
      <c r="CA181" s="76">
        <f>IFERROR(RANK(AM181,AM:AM)/COUNT(AM:AM),"-")</f>
        <v>0.90404040404040409</v>
      </c>
      <c r="CB181" s="2"/>
      <c r="CC181" s="77">
        <f>AV181+BF181+BZ181+CA181</f>
        <v>3.685766292365277</v>
      </c>
      <c r="CD181" s="77">
        <f>BW181+BX181+AE181+U181</f>
        <v>1.1838947854176278</v>
      </c>
      <c r="CE181" s="77">
        <f>CC181+CD181</f>
        <v>4.8696610777829044</v>
      </c>
    </row>
    <row r="182" spans="1:83" s="17" customFormat="1" hidden="1" x14ac:dyDescent="0.35">
      <c r="A182" s="15" t="s">
        <v>299</v>
      </c>
      <c r="B182" s="15" t="s">
        <v>300</v>
      </c>
      <c r="C182" s="16">
        <v>20161118</v>
      </c>
      <c r="D182" s="16" t="str">
        <f>[1]!f_info_regulopenfundornot(A182)</f>
        <v>否</v>
      </c>
      <c r="E182" s="16" t="str">
        <f>[1]!f_dq_status(A182,$E$1)</f>
        <v>暂停大额申购|开放赎回</v>
      </c>
      <c r="F182" s="17" t="str">
        <f>[1]!f_info_fundmanager(A182)</f>
        <v>郎振东,邱世磊</v>
      </c>
      <c r="G182" s="16">
        <v>20210409</v>
      </c>
      <c r="H182" s="18">
        <f>[1]!f_netasset_total(A182,$E$1,100000000)</f>
        <v>7.7857879761</v>
      </c>
      <c r="I182" s="18">
        <f>[1]!f_prt_convertiblebondtonav(A182,$E$1)</f>
        <v>0.48041853308677673</v>
      </c>
      <c r="J182" s="18">
        <f>[1]!f_prt_stocktonav(A182,$E$1)+0.5*I182</f>
        <v>7.9752170294523239</v>
      </c>
      <c r="K182" s="19">
        <v>31.03590808557313</v>
      </c>
      <c r="L182" s="19">
        <f>[1]!f_return($A182,"1",L$2,$E$1)</f>
        <v>2.8997205755918687</v>
      </c>
      <c r="M182" s="19">
        <f>[1]!f_risk_stdevyearly($A182,L$2,$E$1,1,1)</f>
        <v>1.504789289384066</v>
      </c>
      <c r="N182" s="19">
        <f>IFERROR(L182/M182,"-")</f>
        <v>1.9269944277572377</v>
      </c>
      <c r="O182" s="19" t="str">
        <f>IFERROR(RANK(N182,N:N)&amp;"/"&amp;COUNT(N:N),"-")</f>
        <v>54/197</v>
      </c>
      <c r="P182" s="26">
        <f>IF(O182="-","-",RANK(N182,N:N)/COUNT(N:N))</f>
        <v>0.27411167512690354</v>
      </c>
      <c r="Q182" s="56">
        <v>0.8324873096446701</v>
      </c>
      <c r="R182" s="33" t="str">
        <f>IF(OR($C182&gt;20190630,$K182&gt;30,N182="-",$D182="是",$E182="封闭期",$H182&lt;10,$BN182&lt;-6,$BR182&lt;70),"-",COUNTIFS(N$4:N$200,"&lt;&gt;-",$D$4:$D$200,"&lt;&gt;是",$E$4:$E$200,"&lt;&gt;封闭期",$H$4:$H$200,"&gt;10",$BN$4:$BN$200,"&gt;-6",$BR$4:$BR$200,"&gt;=70",$K$4:$K$200,"&lt;=30",$C$4:$C$200,"&lt;20190630",N$4:N$200,"&gt;="&amp;N182)/COUNTIFS(N$4:N$200,"&lt;&gt;-",$D$4:$D$200,"&lt;&gt;是",$E$4:$E$200,"&lt;&gt;封闭期",$H$4:$H$200,"&gt;10",$BN$4:$BN$200,"&gt;-6",$BR$4:$BR$200,"&gt;=70",$C$4:$C$200,"&lt;20190630",$K$4:$K$200,"&lt;=30"))</f>
        <v>-</v>
      </c>
      <c r="S182" s="19">
        <f>IFERROR((L182-3)/M182,"-")</f>
        <v>-6.6640176877639304E-2</v>
      </c>
      <c r="T182" s="19" t="str">
        <f>IFERROR(RANK(S182,S:S)&amp;"/"&amp;COUNT(S:S),"-")</f>
        <v>165/197</v>
      </c>
      <c r="U182" s="26">
        <f>IFERROR(RANK(S182,S:S)/COUNT(S:S),"-")</f>
        <v>0.8375634517766497</v>
      </c>
      <c r="V182" s="34" t="str">
        <f>IF(OR($C182&gt;20190630,$K182&gt;30,S182="-",$D182="是",$E182="封闭期",$H182&lt;10,$BN182&lt;-6,$BR182&lt;70),"-",COUNTIFS(S$4:S$200,"&lt;&gt;-",$D$4:$D$200,"&lt;&gt;是",$E$4:$E$200,"&lt;&gt;封闭期",$H$4:$H$200,"&gt;10",$BN$4:$BN$200,"&gt;-6",$BR$4:$BR$200,"&gt;=70",$K$4:$K$200,"&lt;=30",$C$4:$C$200,"&lt;20190630",S$4:S$200,"&gt;="&amp;S182)&amp;"/"&amp;COUNTIFS(S$4:S$200,"&lt;&gt;-",$D$4:$D$200,"&lt;&gt;是",$E$4:$E$200,"&lt;&gt;封闭期",$H$4:$H$200,"&gt;10",$BN$4:$BN$200,"&gt;-6",$BR$4:$BR$200,"&gt;=70",$C$4:$C$200,"&lt;20190630",$K$4:$K$200,"&lt;=30"))</f>
        <v>-</v>
      </c>
      <c r="W182" s="33" t="str">
        <f>IF(OR($C182&gt;20190630,$K182&gt;30,S182="-",$D182="是",$E182="封闭期",$H182&lt;10,$BN182&lt;-6,$BR182&lt;70),"-",COUNTIFS(S$4:S$200,"&lt;&gt;-",$D$4:$D$200,"&lt;&gt;是",$E$4:$E$200,"&lt;&gt;封闭期",$H$4:$H$200,"&gt;10",$BN$4:$BN$200,"&gt;-6",$BR$4:$BR$200,"&gt;=70",$K$4:$K$200,"&lt;=30",$C$4:$C$200,"&lt;20190630",S$4:S$200,"&gt;="&amp;S182)/COUNTIFS(S$4:S$200,"&lt;&gt;-",$D$4:$D$200,"&lt;&gt;是",$E$4:$E$200,"&lt;&gt;封闭期",$H$4:$H$200,"&gt;10",$BN$4:$BN$200,"&gt;-6",$BR$4:$BR$200,"&gt;=70",$C$4:$C$200,"&lt;20190630",$K$4:$K$200,"&lt;=30"))</f>
        <v>-</v>
      </c>
      <c r="X182" s="19">
        <f>[1]!f_risk_calmar(A182,$L$2,$E$1)</f>
        <v>1.7835007564041918</v>
      </c>
      <c r="Y182" s="19" t="str">
        <f>IFERROR(RANK(X182,X:X)&amp;"/"&amp;COUNT(X:X),"-")</f>
        <v>109/197</v>
      </c>
      <c r="Z182" s="26">
        <f>IFERROR(RANK(X182,X:X)/COUNT(X:X),"-")</f>
        <v>0.5532994923857868</v>
      </c>
      <c r="AA182" s="34" t="str">
        <f>IF(OR($C182&gt;20190630,$K182&gt;30,X182="-",$D182="是",$E182="封闭期",$H182&lt;10,$BN182&lt;-6,$BR182&lt;70),"-",COUNTIFS(X$4:X$200,"&lt;&gt;-",$D$4:$D$200,"&lt;&gt;是",$E$4:$E$200,"&lt;&gt;封闭期",$H$4:$H$200,"&gt;10",$BN$4:$BN$200,"&gt;-6",$BR$4:$BR$200,"&gt;=70",$K$4:$K$200,"&lt;=30",$C$4:$C$200,"&lt;20190630",X$4:X$200,"&gt;="&amp;X182)&amp;"/"&amp;COUNTIFS(X$4:X$200,"&lt;&gt;-",$D$4:$D$200,"&lt;&gt;是",$E$4:$E$200,"&lt;&gt;封闭期",$H$4:$H$200,"&gt;10",$BN$4:$BN$200,"&gt;-6",$BR$4:$BR$200,"&gt;=70",$C$4:$C$200,"&lt;20190630",$K$4:$K$200,"&lt;=30"))</f>
        <v>-</v>
      </c>
      <c r="AB182" s="33" t="str">
        <f>IF(OR($C182&gt;20190630,$K182&gt;30,X182="-",$D182="是",$E182="封闭期",$H182&lt;10,$BN182&lt;-6,$BR182&lt;70),"-",COUNTIFS(X$4:X$200,"&lt;&gt;-",$D$4:$D$200,"&lt;&gt;是",$E$4:$E$200,"&lt;&gt;封闭期",$H$4:$H$200,"&gt;10",$BN$4:$BN$200,"&gt;-6",$BR$4:$BR$200,"&gt;=70",$K$4:$K$200,"&lt;=30",$C$4:$C$200,"&lt;20190630",X$4:X$200,"&gt;="&amp;X182)/COUNTIFS(X$4:X$200,"&lt;&gt;-",$D$4:$D$200,"&lt;&gt;是",$E$4:$E$200,"&lt;&gt;封闭期",$H$4:$H$200,"&gt;10",$BN$4:$BN$200,"&gt;-6",$BR$4:$BR$200,"&gt;=70",$C$4:$C$200,"&lt;20190630",$K$4:$K$200,"&lt;=30"))</f>
        <v>-</v>
      </c>
      <c r="AC182" s="20">
        <v>1</v>
      </c>
      <c r="AD182" s="19" t="str">
        <f>IFERROR(RANK(AC182,AC:AC)&amp;"/"&amp;COUNT(AC:AC),"-")</f>
        <v>1/197</v>
      </c>
      <c r="AE182" s="26">
        <f>IFERROR(RANK(AC182,AC:AC)/COUNT(AC:AC),"-")</f>
        <v>5.076142131979695E-3</v>
      </c>
      <c r="AF182" s="34" t="str">
        <f>IF(OR($C182&gt;20190630,$K182&gt;30,AC182="-",$D182="是",$E182="封闭期",$H182&lt;10,$BN182&lt;-6,$BR182&lt;70),"-",COUNTIFS(AC$4:AC$200,"&lt;&gt;-",$D$4:$D$200,"&lt;&gt;是",$E$4:$E$200,"&lt;&gt;封闭期",$H$4:$H$200,"&gt;10",$BN$4:$BN$200,"&gt;-6",$BR$4:$BR$200,"&gt;=70",$K$4:$K$200,"&lt;=30",$C$4:$C$200,"&lt;20190630",AC$4:AC$200,"&gt;="&amp;AC182)&amp;"/"&amp;COUNTIFS(AC$4:AC$200,"&lt;&gt;-",$D$4:$D$200,"&lt;&gt;是",$E$4:$E$200,"&lt;&gt;封闭期",$H$4:$H$200,"&gt;10",$BN$4:$BN$200,"&gt;-6",$BR$4:$BR$200,"&gt;=70",$C$4:$C$200,"&lt;20190630",$K$4:$K$200,"&lt;=30"))</f>
        <v>-</v>
      </c>
      <c r="AG182" s="33" t="str">
        <f>IF(OR($C182&gt;20190630,$K182&gt;30,AC182="-",$D182="是",$E182="封闭期",$H182&lt;10,$BN182&lt;-6,$BR182&lt;70),"-",COUNTIFS(AC$4:AC$200,"&lt;&gt;-",$D$4:$D$200,"&lt;&gt;是",$E$4:$E$200,"&lt;&gt;封闭期",$H$4:$H$200,"&gt;10",$BN$4:$BN$200,"&gt;-6",$BR$4:$BR$200,"&gt;=70",$K$4:$K$200,"&lt;=30",$C$4:$C$200,"&lt;20190630",AC$4:AC$200,"&gt;="&amp;AC182)/COUNTIFS(AC$4:AC$200,"&lt;&gt;-",$D$4:$D$200,"&lt;&gt;是",$E$4:$E$200,"&lt;&gt;封闭期",$H$4:$H$200,"&gt;10",$BN$4:$BN$200,"&gt;-6",$BR$4:$BR$200,"&gt;=70",$C$4:$C$200,"&lt;20190630",$K$4:$K$200,"&lt;=30"))</f>
        <v>-</v>
      </c>
      <c r="AH182" s="21">
        <f>[1]!f_risk_maxdownside(A182,$L$2,$E$1)</f>
        <v>-1.6258588986741702</v>
      </c>
      <c r="AI182" s="19" t="str">
        <f>IFERROR(RANK(AH182,AH:AH)&amp;"/"&amp;COUNT(AH:AH),"-")</f>
        <v>47/197</v>
      </c>
      <c r="AJ182" s="26">
        <f>IFERROR(RANK(AH182,AH:AH)/COUNT(AH:AH),"-")</f>
        <v>0.23857868020304568</v>
      </c>
      <c r="AK182" s="34" t="str">
        <f>IF(OR($C182&gt;20190630,$K182&gt;30,AH182="-",$D182="是",$E182="封闭期",$H182&lt;10,$BN182&lt;-6,$BR182&lt;70),"-",COUNTIFS(AH$4:AH$200,"&lt;&gt;-",$D$4:$D$200,"&lt;&gt;是",$E$4:$E$200,"&lt;&gt;封闭期",$H$4:$H$200,"&gt;10",$BN$4:$BN$200,"&gt;-6",$BR$4:$BR$200,"&gt;=70",$K$4:$K$200,"&lt;=30",$C$4:$C$200,"&lt;20190630",AH$4:AH$200,"&gt;="&amp;AH182)&amp;"/"&amp;COUNTIFS(AH$4:AH$200,"&lt;&gt;-",$D$4:$D$200,"&lt;&gt;是",$E$4:$E$200,"&lt;&gt;封闭期",$H$4:$H$200,"&gt;10",$BN$4:$BN$200,"&gt;-6",$BR$4:$BR$200,"&gt;=70",$C$4:$C$200,"&lt;20190630",$K$4:$K$200,"&lt;=30"))</f>
        <v>-</v>
      </c>
      <c r="AL182" s="33" t="str">
        <f>IF(OR($C182&gt;20190630,$K182&gt;30,AH182="-",$D182="是",$E182="封闭期",$H182&lt;10,$BN182&lt;-6,$BR182&lt;70),"-",COUNTIFS(AH$4:AH$200,"&lt;&gt;-",$D$4:$D$200,"&lt;&gt;是",$E$4:$E$200,"&lt;&gt;封闭期",$H$4:$H$200,"&gt;10",$BN$4:$BN$200,"&gt;-6",$BR$4:$BR$200,"&gt;=70",$K$4:$K$200,"&lt;=30",$C$4:$C$200,"&lt;20190630",AH$4:AH$200,"&gt;="&amp;AH182)/COUNTIFS(AH$4:AH$200,"&lt;&gt;-",$D$4:$D$200,"&lt;&gt;是",$E$4:$E$200,"&lt;&gt;封闭期",$H$4:$H$200,"&gt;10",$BN$4:$BN$200,"&gt;-6",$BR$4:$BR$200,"&gt;=70",$C$4:$C$200,"&lt;20190630",$K$4:$K$200,"&lt;=30"))</f>
        <v>-</v>
      </c>
      <c r="AM182" s="19">
        <f>[1]!f_return($A182,"1",AM$2,$L$2)</f>
        <v>2.3370508436705739</v>
      </c>
      <c r="AN182" s="19">
        <f>[1]!f_risk_stdevyearly($A182,AM$2,$L$2,1,1)</f>
        <v>1.0722108812578441</v>
      </c>
      <c r="AO182" s="19">
        <f>IFERROR(AM182/AN182,"-")</f>
        <v>2.1796559655586654</v>
      </c>
      <c r="AP182" s="19" t="str">
        <f>IFERROR(RANK(AO182,AO:AO)&amp;"/"&amp;COUNT(AO:AO),"-")</f>
        <v>35/197</v>
      </c>
      <c r="AQ182" s="26">
        <f>IF(AP182="-","-",RANK(AO182,AO:AO)/COUNT(AO:AO))</f>
        <v>0.17766497461928935</v>
      </c>
      <c r="AR182" s="57">
        <v>0.90862944162436543</v>
      </c>
      <c r="AS182" s="33" t="str">
        <f>IF(OR($C182&gt;20190630,$K182&gt;30,AO182="-",$D182="是",$E182="封闭期",$H182&lt;10,$BN182&lt;-6,$BR182&lt;70),"-",COUNTIFS(AO$4:AO$200,"&lt;&gt;-",$D$4:$D$200,"&lt;&gt;是",$E$4:$E$200,"&lt;&gt;封闭期",$H$4:$H$200,"&gt;10",$BN$4:$BN$200,"&gt;-6",$BR$4:$BR$200,"&gt;=70",$K$4:$K$200,"&lt;=30",$C$4:$C$200,"&lt;20190630",AO$4:AO$200,"&gt;="&amp;AO182)/COUNTIFS(AO$4:AO$200,"&lt;&gt;-",$D$4:$D$200,"&lt;&gt;是",$E$4:$E$200,"&lt;&gt;封闭期",$H$4:$H$200,"&gt;10",$BN$4:$BN$200,"&gt;-6",$BR$4:$BR$200,"&gt;=70",$C$4:$C$200,"&lt;20190630",$K$4:$K$200,"&lt;=30"))</f>
        <v>-</v>
      </c>
      <c r="AT182" s="19">
        <f>IFERROR((AM182-3)/AN182,"-")</f>
        <v>-0.61830108975549636</v>
      </c>
      <c r="AU182" s="19" t="str">
        <f>IFERROR(RANK(AT182,AT:AT)&amp;"/"&amp;COUNT(AT:AT),"-")</f>
        <v>188/197</v>
      </c>
      <c r="AV182" s="26">
        <f>IFERROR(RANK(AT182,AT:AT)/COUNT(AT:AT),"-")</f>
        <v>0.95431472081218272</v>
      </c>
      <c r="AW182" s="34" t="str">
        <f>IF(OR($C182&gt;20190630,$K182&gt;30,AT182="-",$D182="是",$E182="封闭期",$H182&lt;10,$BN182&lt;-6,$BR182&lt;70),"-",COUNTIFS(AT$4:AT$200,"&lt;&gt;-",$D$4:$D$200,"&lt;&gt;是",$E$4:$E$200,"&lt;&gt;封闭期",$H$4:$H$200,"&gt;10",$BN$4:$BN$200,"&gt;-6",$BR$4:$BR$200,"&gt;=70",$K$4:$K$200,"&lt;=30",$C$4:$C$200,"&lt;20190630",AT$4:AT$200,"&gt;="&amp;AT182)&amp;"/"&amp;COUNTIFS(AT$4:AT$200,"&lt;&gt;-",$D$4:$D$200,"&lt;&gt;是",$E$4:$E$200,"&lt;&gt;封闭期",$H$4:$H$200,"&gt;10",$BN$4:$BN$200,"&gt;-6",$BR$4:$BR$200,"&gt;=70",$C$4:$C$200,"&lt;20190630",$K$4:$K$200,"&lt;=30"))</f>
        <v>-</v>
      </c>
      <c r="AX182" s="33" t="str">
        <f>IF(OR($C182&gt;20190630,$K182&gt;30,AT182="-",$D182="是",$E182="封闭期",$H182&lt;10,$BN182&lt;-6,$BR182&lt;70),"-",COUNTIFS(AT$4:AT$200,"&lt;&gt;-",$D$4:$D$200,"&lt;&gt;是",$E$4:$E$200,"&lt;&gt;封闭期",$H$4:$H$200,"&gt;10",$BN$4:$BN$200,"&gt;-6",$BR$4:$BR$200,"&gt;=70",$K$4:$K$200,"&lt;=30",$C$4:$C$200,"&lt;20190630",AT$4:AT$200,"&gt;="&amp;AT182)/COUNTIFS(AT$4:AT$200,"&lt;&gt;-",$D$4:$D$200,"&lt;&gt;是",$E$4:$E$200,"&lt;&gt;封闭期",$H$4:$H$200,"&gt;10",$BN$4:$BN$200,"&gt;-6",$BR$4:$BR$200,"&gt;=70",$C$4:$C$200,"&lt;20190630",$K$4:$K$200,"&lt;=30"))</f>
        <v>-</v>
      </c>
      <c r="AY182" s="19">
        <f>[1]!f_risk_calmar(A182,$AM$2,$L$2)</f>
        <v>1.0139723063711423</v>
      </c>
      <c r="AZ182" s="19" t="str">
        <f>IFERROR(RANK(AY182,AY:AY)&amp;"/"&amp;COUNT(AY:AY),"-")</f>
        <v>170/197</v>
      </c>
      <c r="BA182" s="26">
        <f>IFERROR(RANK(AY182,AY:AY)/COUNT(AY:AY),"-")</f>
        <v>0.86294416243654826</v>
      </c>
      <c r="BB182" s="34" t="str">
        <f>IF(OR($C182&gt;20190630,$K182&gt;30,AY182="-",$D182="是",$E182="封闭期",$H182&lt;10,$BN182&lt;-6,$BR182&lt;70),"-",COUNTIFS(AY$4:AY$200,"&lt;&gt;-",$D$4:$D$200,"&lt;&gt;是",$E$4:$E$200,"&lt;&gt;封闭期",$H$4:$H$200,"&gt;10",$BN$4:$BN$200,"&gt;-6",$BR$4:$BR$200,"&gt;=70",$K$4:$K$200,"&lt;=30",$C$4:$C$200,"&lt;20190630",AY$4:AY$200,"&gt;="&amp;AY182)&amp;"/"&amp;COUNTIFS(AY$4:AY$200,"&lt;&gt;-",$D$4:$D$200,"&lt;&gt;是",$E$4:$E$200,"&lt;&gt;封闭期",$H$4:$H$200,"&gt;10",$BN$4:$BN$200,"&gt;-6",$BR$4:$BR$200,"&gt;=70",$C$4:$C$200,"&lt;20190630",$K$4:$K$200,"&lt;=30"))</f>
        <v>-</v>
      </c>
      <c r="BC182" s="33" t="str">
        <f>IF(OR($C182&gt;20190630,$K182&gt;30,AY182="-",$D182="是",$E182="封闭期",$H182&lt;10,$BN182&lt;-6,$BR182&lt;70),"-",COUNTIFS(AY$4:AY$200,"&lt;&gt;-",$D$4:$D$200,"&lt;&gt;是",$E$4:$E$200,"&lt;&gt;封闭期",$H$4:$H$200,"&gt;10",$BN$4:$BN$200,"&gt;-6",$BR$4:$BR$200,"&gt;=70",$K$4:$K$200,"&lt;=30",$C$4:$C$200,"&lt;20190630",AY$4:AY$200,"&gt;="&amp;AY182)/COUNTIFS(AY$4:AY$200,"&lt;&gt;-",$D$4:$D$200,"&lt;&gt;是",$E$4:$E$200,"&lt;&gt;封闭期",$H$4:$H$200,"&gt;10",$BN$4:$BN$200,"&gt;-6",$BR$4:$BR$200,"&gt;=70",$C$4:$C$200,"&lt;20190630",$K$4:$K$200,"&lt;=30"))</f>
        <v>-</v>
      </c>
      <c r="BD182" s="20">
        <v>0.85</v>
      </c>
      <c r="BE182" s="19" t="str">
        <f>IFERROR(RANK(BD182,BD:BD)&amp;"/"&amp;COUNT(BD:BD),"-")</f>
        <v>171/197</v>
      </c>
      <c r="BF182" s="26">
        <f>IFERROR(RANK(BD182,BD:BD)/COUNT(BD:BD),"-")</f>
        <v>0.86802030456852797</v>
      </c>
      <c r="BG182" s="34" t="str">
        <f>IF(OR($C182&gt;20190630,$K182&gt;30,BD182="-",$D182="是",$E182="封闭期",$H182&lt;10,$BN182&lt;-6,$BR182&lt;70),"-",COUNTIFS(BD$4:BD$200,"&lt;&gt;-",$D$4:$D$200,"&lt;&gt;是",$E$4:$E$200,"&lt;&gt;封闭期",$H$4:$H$200,"&gt;10",$BN$4:$BN$200,"&gt;-6",$BR$4:$BR$200,"&gt;=70",$K$4:$K$200,"&lt;=30",$C$4:$C$200,"&lt;20190630",BD$4:BD$200,"&gt;="&amp;BD182)&amp;"/"&amp;COUNTIFS(BD$4:BD$200,"&lt;&gt;-",$D$4:$D$200,"&lt;&gt;是",$E$4:$E$200,"&lt;&gt;封闭期",$H$4:$H$200,"&gt;10",$BN$4:$BN$200,"&gt;-6",$BR$4:$BR$200,"&gt;=70",$C$4:$C$200,"&lt;20190630",$K$4:$K$200,"&lt;=30"))</f>
        <v>-</v>
      </c>
      <c r="BH182" s="33" t="str">
        <f>IF(OR($C182&gt;20190630,$K182&gt;30,BD182="-",$D182="是",$E182="封闭期",$H182&lt;10,$BN182&lt;-6,$BR182&lt;70),"-",COUNTIFS(BD$4:BD$200,"&lt;&gt;-",$D$4:$D$200,"&lt;&gt;是",$E$4:$E$200,"&lt;&gt;封闭期",$H$4:$H$200,"&gt;10",$BN$4:$BN$200,"&gt;-6",$BR$4:$BR$200,"&gt;=70",$K$4:$K$200,"&lt;=30",$C$4:$C$200,"&lt;20190630",BD$4:BD$200,"&gt;="&amp;BD182)/COUNTIFS(BD$4:BD$200,"&lt;&gt;-",$D$4:$D$200,"&lt;&gt;是",$E$4:$E$200,"&lt;&gt;封闭期",$H$4:$H$200,"&gt;10",$BN$4:$BN$200,"&gt;-6",$BR$4:$BR$200,"&gt;=70",$C$4:$C$200,"&lt;20190630",$K$4:$K$200,"&lt;=30"))</f>
        <v>-</v>
      </c>
      <c r="BI182" s="21">
        <f>[1]!f_risk_maxdownside(A182,$AM$2,$L$2)</f>
        <v>-2.3048468177938064</v>
      </c>
      <c r="BJ182" s="19" t="str">
        <f>IFERROR(RANK(BI182,BI:BI)&amp;"/"&amp;COUNT(BI:BI),"-")</f>
        <v>52/197</v>
      </c>
      <c r="BK182" s="26">
        <f>IFERROR(RANK(BI182,BI:BI)/COUNT(BI:BI),"-")</f>
        <v>0.26395939086294418</v>
      </c>
      <c r="BL182" s="34" t="str">
        <f>IF(OR($C182&gt;20190630,$K182&gt;30,BI182="-",$D182="是",$E182="封闭期",$H182&lt;10,$BN182&lt;-6,$BR182&lt;70),"-",COUNTIFS(BI$4:BI$200,"&lt;&gt;-",$D$4:$D$200,"&lt;&gt;是",$E$4:$E$200,"&lt;&gt;封闭期",$H$4:$H$200,"&gt;10",$BN$4:$BN$200,"&gt;-6",$BR$4:$BR$200,"&gt;=70",$K$4:$K$200,"&lt;=30",$C$4:$C$200,"&lt;20190630",BI$4:BI$200,"&gt;="&amp;BI182)&amp;"/"&amp;COUNTIFS(BI$4:BI$200,"&lt;&gt;-",$D$4:$D$200,"&lt;&gt;是",$E$4:$E$200,"&lt;&gt;封闭期",$H$4:$H$200,"&gt;10",$BN$4:$BN$200,"&gt;-6",$BR$4:$BR$200,"&gt;=70",$C$4:$C$200,"&lt;20190630",$K$4:$K$200,"&lt;=30"))</f>
        <v>-</v>
      </c>
      <c r="BM182" s="33" t="str">
        <f>IF(OR($C182&gt;20190630,$K182&gt;30,BI182="-",$D182="是",$E182="封闭期",$H182&lt;10,$BN182&lt;-6,$BR182&lt;70),"-",COUNTIFS(BI$4:BI$200,"&lt;&gt;-",$D$4:$D$200,"&lt;&gt;是",$E$4:$E$200,"&lt;&gt;封闭期",$H$4:$H$200,"&gt;10",$BN$4:$BN$200,"&gt;-6",$BR$4:$BR$200,"&gt;=70",$K$4:$K$200,"&lt;=30",$C$4:$C$200,"&lt;20190630",BI$4:BI$200,"&gt;="&amp;BI182)/COUNTIFS(BI$4:BI$200,"&lt;&gt;-",$D$4:$D$200,"&lt;&gt;是",$E$4:$E$200,"&lt;&gt;封闭期",$H$4:$H$200,"&gt;10",$BN$4:$BN$200,"&gt;-6",$BR$4:$BR$200,"&gt;=70",$C$4:$C$200,"&lt;20190630",$K$4:$K$200,"&lt;=30"))</f>
        <v>-</v>
      </c>
      <c r="BN182" s="21">
        <f>[1]!f_risk_maxdownside(A182,$AM$2,$E$1)</f>
        <v>-2.3048468177938064</v>
      </c>
      <c r="BO182" s="21">
        <f>IF(C182&lt;20190930,[1]!f_return_2y(A182,"0","20210930"),"-")</f>
        <v>5.2865257489246504</v>
      </c>
      <c r="BP182" s="19" t="str">
        <f>IFERROR(RANK(BO182,BO:BO)&amp;"/"&amp;COUNT(BO:BO),"-")</f>
        <v>184/197</v>
      </c>
      <c r="BQ182" s="25">
        <f>IFERROR(RANK(BO182,BO:BO)/COUNT(BO:BO),"-")</f>
        <v>0.93401015228426398</v>
      </c>
      <c r="BR182" s="19">
        <f>IF(C182&lt;20190930,[1]!f_absolute_profitmonthper(A182,"20190930","20210930"),"-")</f>
        <v>75</v>
      </c>
      <c r="BS182" s="19" t="str">
        <f>IFERROR(RANK(BR182,BR:BR)&amp;"/"&amp;COUNT(BR:BR),"-")</f>
        <v>26/198</v>
      </c>
      <c r="BT182" s="25">
        <f>IFERROR(RANK(BR182,BR:BR)/COUNT(BR:BR),"-")</f>
        <v>0.13131313131313133</v>
      </c>
      <c r="BV182" s="12">
        <f>X182-3/M182</f>
        <v>-0.21013384823068537</v>
      </c>
      <c r="BW182" s="76">
        <f>IFERROR(RANK(BV182,BV:BV)/COUNT(BV:BV),"-")</f>
        <v>0.8883248730964467</v>
      </c>
      <c r="BX182" s="76">
        <f>IFERROR(RANK(L182,L:L)/COUNT(L:L),"-")</f>
        <v>0.83333333333333337</v>
      </c>
      <c r="BY182" s="12">
        <f>AY182-3/AN182</f>
        <v>-1.7839847489430196</v>
      </c>
      <c r="BZ182" s="76">
        <f>IFERROR(RANK(BY182,BY:BY)/COUNT(BY:BY),"-")</f>
        <v>0.98477157360406087</v>
      </c>
      <c r="CA182" s="76">
        <f>IFERROR(RANK(AM182,AM:AM)/COUNT(AM:AM),"-")</f>
        <v>0.90909090909090906</v>
      </c>
      <c r="CB182" s="2"/>
      <c r="CC182" s="77">
        <f>AV182+BF182+BZ182+CA182</f>
        <v>3.7161975080756808</v>
      </c>
      <c r="CD182" s="77">
        <f>BW182+BX182+AE182+U182</f>
        <v>2.5642978003384096</v>
      </c>
      <c r="CE182" s="77">
        <f>CC182+CD182</f>
        <v>6.2804953084140909</v>
      </c>
    </row>
    <row r="183" spans="1:83" s="17" customFormat="1" hidden="1" x14ac:dyDescent="0.35">
      <c r="A183" s="15" t="s">
        <v>209</v>
      </c>
      <c r="B183" s="15" t="s">
        <v>210</v>
      </c>
      <c r="C183" s="16">
        <v>20151116</v>
      </c>
      <c r="D183" s="16" t="str">
        <f>[1]!f_info_regulopenfundornot(A183)</f>
        <v>否</v>
      </c>
      <c r="E183" s="16" t="str">
        <f>[1]!f_dq_status(A183,$E$1)</f>
        <v>开放申购|开放赎回</v>
      </c>
      <c r="F183" s="17" t="str">
        <f>[1]!f_info_fundmanager(A183)</f>
        <v>冯彬</v>
      </c>
      <c r="G183" s="16">
        <v>20191011</v>
      </c>
      <c r="H183" s="18">
        <f>[1]!f_netasset_total(A183,$E$1,100000000)</f>
        <v>1.4423064793</v>
      </c>
      <c r="I183" s="18">
        <f>[1]!f_prt_convertiblebondtonav(A183,$E$1)</f>
        <v>4.5952134132385254</v>
      </c>
      <c r="J183" s="18">
        <f>[1]!f_prt_stocktonav(A183,$E$1)+0.5*I183</f>
        <v>12.3161461353302</v>
      </c>
      <c r="K183" s="19">
        <v>21.0718043884475</v>
      </c>
      <c r="L183" s="19">
        <f>[1]!f_return($A183,"1",L$2,$E$1)</f>
        <v>1.2216868311571094</v>
      </c>
      <c r="M183" s="19">
        <f>[1]!f_risk_stdevyearly($A183,L$2,$E$1,1,1)</f>
        <v>1.7897693366501839</v>
      </c>
      <c r="N183" s="19">
        <f>IFERROR(L183/M183,"-")</f>
        <v>0.6825945702275108</v>
      </c>
      <c r="O183" s="19" t="str">
        <f>IFERROR(RANK(N183,N:N)&amp;"/"&amp;COUNT(N:N),"-")</f>
        <v>165/197</v>
      </c>
      <c r="P183" s="26">
        <f>IF(O183="-","-",RANK(N183,N:N)/COUNT(N:N))</f>
        <v>0.8375634517766497</v>
      </c>
      <c r="Q183" s="56">
        <v>0.92893401015228427</v>
      </c>
      <c r="R183" s="33" t="str">
        <f>IF(OR($C183&gt;20190630,$K183&gt;30,N183="-",$D183="是",$E183="封闭期",$H183&lt;10,$BN183&lt;-6,$BR183&lt;70),"-",COUNTIFS(N$4:N$200,"&lt;&gt;-",$D$4:$D$200,"&lt;&gt;是",$E$4:$E$200,"&lt;&gt;封闭期",$H$4:$H$200,"&gt;10",$BN$4:$BN$200,"&gt;-6",$BR$4:$BR$200,"&gt;=70",$K$4:$K$200,"&lt;=30",$C$4:$C$200,"&lt;20190630",N$4:N$200,"&gt;="&amp;N183)/COUNTIFS(N$4:N$200,"&lt;&gt;-",$D$4:$D$200,"&lt;&gt;是",$E$4:$E$200,"&lt;&gt;封闭期",$H$4:$H$200,"&gt;10",$BN$4:$BN$200,"&gt;-6",$BR$4:$BR$200,"&gt;=70",$C$4:$C$200,"&lt;20190630",$K$4:$K$200,"&lt;=30"))</f>
        <v>-</v>
      </c>
      <c r="S183" s="19">
        <f>IFERROR((L183-3)/M183,"-")</f>
        <v>-0.99359908141641584</v>
      </c>
      <c r="T183" s="19" t="str">
        <f>IFERROR(RANK(S183,S:S)&amp;"/"&amp;COUNT(S:S),"-")</f>
        <v>189/197</v>
      </c>
      <c r="U183" s="26">
        <f>IFERROR(RANK(S183,S:S)/COUNT(S:S),"-")</f>
        <v>0.95939086294416243</v>
      </c>
      <c r="V183" s="34" t="str">
        <f>IF(OR($C183&gt;20190630,$K183&gt;30,S183="-",$D183="是",$E183="封闭期",$H183&lt;10,$BN183&lt;-6,$BR183&lt;70),"-",COUNTIFS(S$4:S$200,"&lt;&gt;-",$D$4:$D$200,"&lt;&gt;是",$E$4:$E$200,"&lt;&gt;封闭期",$H$4:$H$200,"&gt;10",$BN$4:$BN$200,"&gt;-6",$BR$4:$BR$200,"&gt;=70",$K$4:$K$200,"&lt;=30",$C$4:$C$200,"&lt;20190630",S$4:S$200,"&gt;="&amp;S183)&amp;"/"&amp;COUNTIFS(S$4:S$200,"&lt;&gt;-",$D$4:$D$200,"&lt;&gt;是",$E$4:$E$200,"&lt;&gt;封闭期",$H$4:$H$200,"&gt;10",$BN$4:$BN$200,"&gt;-6",$BR$4:$BR$200,"&gt;=70",$C$4:$C$200,"&lt;20190630",$K$4:$K$200,"&lt;=30"))</f>
        <v>-</v>
      </c>
      <c r="W183" s="33" t="str">
        <f>IF(OR($C183&gt;20190630,$K183&gt;30,S183="-",$D183="是",$E183="封闭期",$H183&lt;10,$BN183&lt;-6,$BR183&lt;70),"-",COUNTIFS(S$4:S$200,"&lt;&gt;-",$D$4:$D$200,"&lt;&gt;是",$E$4:$E$200,"&lt;&gt;封闭期",$H$4:$H$200,"&gt;10",$BN$4:$BN$200,"&gt;-6",$BR$4:$BR$200,"&gt;=70",$K$4:$K$200,"&lt;=30",$C$4:$C$200,"&lt;20190630",S$4:S$200,"&gt;="&amp;S183)/COUNTIFS(S$4:S$200,"&lt;&gt;-",$D$4:$D$200,"&lt;&gt;是",$E$4:$E$200,"&lt;&gt;封闭期",$H$4:$H$200,"&gt;10",$BN$4:$BN$200,"&gt;-6",$BR$4:$BR$200,"&gt;=70",$C$4:$C$200,"&lt;20190630",$K$4:$K$200,"&lt;=30"))</f>
        <v>-</v>
      </c>
      <c r="X183" s="19">
        <f>[1]!f_risk_calmar(A183,$L$2,$E$1)</f>
        <v>0.94797302585588716</v>
      </c>
      <c r="Y183" s="19" t="str">
        <f>IFERROR(RANK(X183,X:X)&amp;"/"&amp;COUNT(X:X),"-")</f>
        <v>163/197</v>
      </c>
      <c r="Z183" s="26">
        <f>IFERROR(RANK(X183,X:X)/COUNT(X:X),"-")</f>
        <v>0.82741116751269039</v>
      </c>
      <c r="AA183" s="34" t="str">
        <f>IF(OR($C183&gt;20190630,$K183&gt;30,X183="-",$D183="是",$E183="封闭期",$H183&lt;10,$BN183&lt;-6,$BR183&lt;70),"-",COUNTIFS(X$4:X$200,"&lt;&gt;-",$D$4:$D$200,"&lt;&gt;是",$E$4:$E$200,"&lt;&gt;封闭期",$H$4:$H$200,"&gt;10",$BN$4:$BN$200,"&gt;-6",$BR$4:$BR$200,"&gt;=70",$K$4:$K$200,"&lt;=30",$C$4:$C$200,"&lt;20190630",X$4:X$200,"&gt;="&amp;X183)&amp;"/"&amp;COUNTIFS(X$4:X$200,"&lt;&gt;-",$D$4:$D$200,"&lt;&gt;是",$E$4:$E$200,"&lt;&gt;封闭期",$H$4:$H$200,"&gt;10",$BN$4:$BN$200,"&gt;-6",$BR$4:$BR$200,"&gt;=70",$C$4:$C$200,"&lt;20190630",$K$4:$K$200,"&lt;=30"))</f>
        <v>-</v>
      </c>
      <c r="AB183" s="33" t="str">
        <f>IF(OR($C183&gt;20190630,$K183&gt;30,X183="-",$D183="是",$E183="封闭期",$H183&lt;10,$BN183&lt;-6,$BR183&lt;70),"-",COUNTIFS(X$4:X$200,"&lt;&gt;-",$D$4:$D$200,"&lt;&gt;是",$E$4:$E$200,"&lt;&gt;封闭期",$H$4:$H$200,"&gt;10",$BN$4:$BN$200,"&gt;-6",$BR$4:$BR$200,"&gt;=70",$K$4:$K$200,"&lt;=30",$C$4:$C$200,"&lt;20190630",X$4:X$200,"&gt;="&amp;X183)/COUNTIFS(X$4:X$200,"&lt;&gt;-",$D$4:$D$200,"&lt;&gt;是",$E$4:$E$200,"&lt;&gt;封闭期",$H$4:$H$200,"&gt;10",$BN$4:$BN$200,"&gt;-6",$BR$4:$BR$200,"&gt;=70",$C$4:$C$200,"&lt;20190630",$K$4:$K$200,"&lt;=30"))</f>
        <v>-</v>
      </c>
      <c r="AC183" s="20">
        <v>0.74789915966386555</v>
      </c>
      <c r="AD183" s="19" t="str">
        <f>IFERROR(RANK(AC183,AC:AC)&amp;"/"&amp;COUNT(AC:AC),"-")</f>
        <v>158/197</v>
      </c>
      <c r="AE183" s="26">
        <f>IFERROR(RANK(AC183,AC:AC)/COUNT(AC:AC),"-")</f>
        <v>0.80203045685279184</v>
      </c>
      <c r="AF183" s="34" t="str">
        <f>IF(OR($C183&gt;20190630,$K183&gt;30,AC183="-",$D183="是",$E183="封闭期",$H183&lt;10,$BN183&lt;-6,$BR183&lt;70),"-",COUNTIFS(AC$4:AC$200,"&lt;&gt;-",$D$4:$D$200,"&lt;&gt;是",$E$4:$E$200,"&lt;&gt;封闭期",$H$4:$H$200,"&gt;10",$BN$4:$BN$200,"&gt;-6",$BR$4:$BR$200,"&gt;=70",$K$4:$K$200,"&lt;=30",$C$4:$C$200,"&lt;20190630",AC$4:AC$200,"&gt;="&amp;AC183)&amp;"/"&amp;COUNTIFS(AC$4:AC$200,"&lt;&gt;-",$D$4:$D$200,"&lt;&gt;是",$E$4:$E$200,"&lt;&gt;封闭期",$H$4:$H$200,"&gt;10",$BN$4:$BN$200,"&gt;-6",$BR$4:$BR$200,"&gt;=70",$C$4:$C$200,"&lt;20190630",$K$4:$K$200,"&lt;=30"))</f>
        <v>-</v>
      </c>
      <c r="AG183" s="33" t="str">
        <f>IF(OR($C183&gt;20190630,$K183&gt;30,AC183="-",$D183="是",$E183="封闭期",$H183&lt;10,$BN183&lt;-6,$BR183&lt;70),"-",COUNTIFS(AC$4:AC$200,"&lt;&gt;-",$D$4:$D$200,"&lt;&gt;是",$E$4:$E$200,"&lt;&gt;封闭期",$H$4:$H$200,"&gt;10",$BN$4:$BN$200,"&gt;-6",$BR$4:$BR$200,"&gt;=70",$K$4:$K$200,"&lt;=30",$C$4:$C$200,"&lt;20190630",AC$4:AC$200,"&gt;="&amp;AC183)/COUNTIFS(AC$4:AC$200,"&lt;&gt;-",$D$4:$D$200,"&lt;&gt;是",$E$4:$E$200,"&lt;&gt;封闭期",$H$4:$H$200,"&gt;10",$BN$4:$BN$200,"&gt;-6",$BR$4:$BR$200,"&gt;=70",$C$4:$C$200,"&lt;20190630",$K$4:$K$200,"&lt;=30"))</f>
        <v>-</v>
      </c>
      <c r="AH183" s="21">
        <f>[1]!f_risk_maxdownside(A183,$L$2,$E$1)</f>
        <v>-1.2887358583374215</v>
      </c>
      <c r="AI183" s="19" t="str">
        <f>IFERROR(RANK(AH183,AH:AH)&amp;"/"&amp;COUNT(AH:AH),"-")</f>
        <v>33/197</v>
      </c>
      <c r="AJ183" s="26">
        <f>IFERROR(RANK(AH183,AH:AH)/COUNT(AH:AH),"-")</f>
        <v>0.16751269035532995</v>
      </c>
      <c r="AK183" s="34" t="str">
        <f>IF(OR($C183&gt;20190630,$K183&gt;30,AH183="-",$D183="是",$E183="封闭期",$H183&lt;10,$BN183&lt;-6,$BR183&lt;70),"-",COUNTIFS(AH$4:AH$200,"&lt;&gt;-",$D$4:$D$200,"&lt;&gt;是",$E$4:$E$200,"&lt;&gt;封闭期",$H$4:$H$200,"&gt;10",$BN$4:$BN$200,"&gt;-6",$BR$4:$BR$200,"&gt;=70",$K$4:$K$200,"&lt;=30",$C$4:$C$200,"&lt;20190630",AH$4:AH$200,"&gt;="&amp;AH183)&amp;"/"&amp;COUNTIFS(AH$4:AH$200,"&lt;&gt;-",$D$4:$D$200,"&lt;&gt;是",$E$4:$E$200,"&lt;&gt;封闭期",$H$4:$H$200,"&gt;10",$BN$4:$BN$200,"&gt;-6",$BR$4:$BR$200,"&gt;=70",$C$4:$C$200,"&lt;20190630",$K$4:$K$200,"&lt;=30"))</f>
        <v>-</v>
      </c>
      <c r="AL183" s="33" t="str">
        <f>IF(OR($C183&gt;20190630,$K183&gt;30,AH183="-",$D183="是",$E183="封闭期",$H183&lt;10,$BN183&lt;-6,$BR183&lt;70),"-",COUNTIFS(AH$4:AH$200,"&lt;&gt;-",$D$4:$D$200,"&lt;&gt;是",$E$4:$E$200,"&lt;&gt;封闭期",$H$4:$H$200,"&gt;10",$BN$4:$BN$200,"&gt;-6",$BR$4:$BR$200,"&gt;=70",$K$4:$K$200,"&lt;=30",$C$4:$C$200,"&lt;20190630",AH$4:AH$200,"&gt;="&amp;AH183)/COUNTIFS(AH$4:AH$200,"&lt;&gt;-",$D$4:$D$200,"&lt;&gt;是",$E$4:$E$200,"&lt;&gt;封闭期",$H$4:$H$200,"&gt;10",$BN$4:$BN$200,"&gt;-6",$BR$4:$BR$200,"&gt;=70",$C$4:$C$200,"&lt;20190630",$K$4:$K$200,"&lt;=30"))</f>
        <v>-</v>
      </c>
      <c r="AM183" s="19">
        <f>[1]!f_return($A183,"1",AM$2,$L$2)</f>
        <v>2.3022420885317141</v>
      </c>
      <c r="AN183" s="19">
        <f>[1]!f_risk_stdevyearly($A183,AM$2,$L$2,1,1)</f>
        <v>1.1459798269590196</v>
      </c>
      <c r="AO183" s="19">
        <f>IFERROR(AM183/AN183,"-")</f>
        <v>2.0089726139778223</v>
      </c>
      <c r="AP183" s="19" t="str">
        <f>IFERROR(RANK(AO183,AO:AO)&amp;"/"&amp;COUNT(AO:AO),"-")</f>
        <v>45/197</v>
      </c>
      <c r="AQ183" s="26">
        <f>IF(AP183="-","-",RANK(AO183,AO:AO)/COUNT(AO:AO))</f>
        <v>0.22842639593908629</v>
      </c>
      <c r="AR183" s="57">
        <v>0.91370558375634514</v>
      </c>
      <c r="AS183" s="33" t="str">
        <f>IF(OR($C183&gt;20190630,$K183&gt;30,AO183="-",$D183="是",$E183="封闭期",$H183&lt;10,$BN183&lt;-6,$BR183&lt;70),"-",COUNTIFS(AO$4:AO$200,"&lt;&gt;-",$D$4:$D$200,"&lt;&gt;是",$E$4:$E$200,"&lt;&gt;封闭期",$H$4:$H$200,"&gt;10",$BN$4:$BN$200,"&gt;-6",$BR$4:$BR$200,"&gt;=70",$K$4:$K$200,"&lt;=30",$C$4:$C$200,"&lt;20190630",AO$4:AO$200,"&gt;="&amp;AO183)/COUNTIFS(AO$4:AO$200,"&lt;&gt;-",$D$4:$D$200,"&lt;&gt;是",$E$4:$E$200,"&lt;&gt;封闭期",$H$4:$H$200,"&gt;10",$BN$4:$BN$200,"&gt;-6",$BR$4:$BR$200,"&gt;=70",$C$4:$C$200,"&lt;20190630",$K$4:$K$200,"&lt;=30"))</f>
        <v>-</v>
      </c>
      <c r="AT183" s="19">
        <f>IFERROR((AM183-3)/AN183,"-")</f>
        <v>-0.60887451511241819</v>
      </c>
      <c r="AU183" s="19" t="str">
        <f>IFERROR(RANK(AT183,AT:AT)&amp;"/"&amp;COUNT(AT:AT),"-")</f>
        <v>187/197</v>
      </c>
      <c r="AV183" s="26">
        <f>IFERROR(RANK(AT183,AT:AT)/COUNT(AT:AT),"-")</f>
        <v>0.949238578680203</v>
      </c>
      <c r="AW183" s="34" t="str">
        <f>IF(OR($C183&gt;20190630,$K183&gt;30,AT183="-",$D183="是",$E183="封闭期",$H183&lt;10,$BN183&lt;-6,$BR183&lt;70),"-",COUNTIFS(AT$4:AT$200,"&lt;&gt;-",$D$4:$D$200,"&lt;&gt;是",$E$4:$E$200,"&lt;&gt;封闭期",$H$4:$H$200,"&gt;10",$BN$4:$BN$200,"&gt;-6",$BR$4:$BR$200,"&gt;=70",$K$4:$K$200,"&lt;=30",$C$4:$C$200,"&lt;20190630",AT$4:AT$200,"&gt;="&amp;AT183)&amp;"/"&amp;COUNTIFS(AT$4:AT$200,"&lt;&gt;-",$D$4:$D$200,"&lt;&gt;是",$E$4:$E$200,"&lt;&gt;封闭期",$H$4:$H$200,"&gt;10",$BN$4:$BN$200,"&gt;-6",$BR$4:$BR$200,"&gt;=70",$C$4:$C$200,"&lt;20190630",$K$4:$K$200,"&lt;=30"))</f>
        <v>-</v>
      </c>
      <c r="AX183" s="33" t="str">
        <f>IF(OR($C183&gt;20190630,$K183&gt;30,AT183="-",$D183="是",$E183="封闭期",$H183&lt;10,$BN183&lt;-6,$BR183&lt;70),"-",COUNTIFS(AT$4:AT$200,"&lt;&gt;-",$D$4:$D$200,"&lt;&gt;是",$E$4:$E$200,"&lt;&gt;封闭期",$H$4:$H$200,"&gt;10",$BN$4:$BN$200,"&gt;-6",$BR$4:$BR$200,"&gt;=70",$K$4:$K$200,"&lt;=30",$C$4:$C$200,"&lt;20190630",AT$4:AT$200,"&gt;="&amp;AT183)/COUNTIFS(AT$4:AT$200,"&lt;&gt;-",$D$4:$D$200,"&lt;&gt;是",$E$4:$E$200,"&lt;&gt;封闭期",$H$4:$H$200,"&gt;10",$BN$4:$BN$200,"&gt;-6",$BR$4:$BR$200,"&gt;=70",$C$4:$C$200,"&lt;20190630",$K$4:$K$200,"&lt;=30"))</f>
        <v>-</v>
      </c>
      <c r="AY183" s="19">
        <f>[1]!f_risk_calmar(A183,$AM$2,$L$2)</f>
        <v>1.8765160105212608</v>
      </c>
      <c r="AZ183" s="19" t="str">
        <f>IFERROR(RANK(AY183,AY:AY)&amp;"/"&amp;COUNT(AY:AY),"-")</f>
        <v>124/197</v>
      </c>
      <c r="BA183" s="26">
        <f>IFERROR(RANK(AY183,AY:AY)/COUNT(AY:AY),"-")</f>
        <v>0.62944162436548223</v>
      </c>
      <c r="BB183" s="34" t="str">
        <f>IF(OR($C183&gt;20190630,$K183&gt;30,AY183="-",$D183="是",$E183="封闭期",$H183&lt;10,$BN183&lt;-6,$BR183&lt;70),"-",COUNTIFS(AY$4:AY$200,"&lt;&gt;-",$D$4:$D$200,"&lt;&gt;是",$E$4:$E$200,"&lt;&gt;封闭期",$H$4:$H$200,"&gt;10",$BN$4:$BN$200,"&gt;-6",$BR$4:$BR$200,"&gt;=70",$K$4:$K$200,"&lt;=30",$C$4:$C$200,"&lt;20190630",AY$4:AY$200,"&gt;="&amp;AY183)&amp;"/"&amp;COUNTIFS(AY$4:AY$200,"&lt;&gt;-",$D$4:$D$200,"&lt;&gt;是",$E$4:$E$200,"&lt;&gt;封闭期",$H$4:$H$200,"&gt;10",$BN$4:$BN$200,"&gt;-6",$BR$4:$BR$200,"&gt;=70",$C$4:$C$200,"&lt;20190630",$K$4:$K$200,"&lt;=30"))</f>
        <v>-</v>
      </c>
      <c r="BC183" s="33" t="str">
        <f>IF(OR($C183&gt;20190630,$K183&gt;30,AY183="-",$D183="是",$E183="封闭期",$H183&lt;10,$BN183&lt;-6,$BR183&lt;70),"-",COUNTIFS(AY$4:AY$200,"&lt;&gt;-",$D$4:$D$200,"&lt;&gt;是",$E$4:$E$200,"&lt;&gt;封闭期",$H$4:$H$200,"&gt;10",$BN$4:$BN$200,"&gt;-6",$BR$4:$BR$200,"&gt;=70",$K$4:$K$200,"&lt;=30",$C$4:$C$200,"&lt;20190630",AY$4:AY$200,"&gt;="&amp;AY183)/COUNTIFS(AY$4:AY$200,"&lt;&gt;-",$D$4:$D$200,"&lt;&gt;是",$E$4:$E$200,"&lt;&gt;封闭期",$H$4:$H$200,"&gt;10",$BN$4:$BN$200,"&gt;-6",$BR$4:$BR$200,"&gt;=70",$C$4:$C$200,"&lt;20190630",$K$4:$K$200,"&lt;=30"))</f>
        <v>-</v>
      </c>
      <c r="BD183" s="20">
        <v>1</v>
      </c>
      <c r="BE183" s="19" t="str">
        <f>IFERROR(RANK(BD183,BD:BD)&amp;"/"&amp;COUNT(BD:BD),"-")</f>
        <v>1/197</v>
      </c>
      <c r="BF183" s="26">
        <f>IFERROR(RANK(BD183,BD:BD)/COUNT(BD:BD),"-")</f>
        <v>5.076142131979695E-3</v>
      </c>
      <c r="BG183" s="34" t="str">
        <f>IF(OR($C183&gt;20190630,$K183&gt;30,BD183="-",$D183="是",$E183="封闭期",$H183&lt;10,$BN183&lt;-6,$BR183&lt;70),"-",COUNTIFS(BD$4:BD$200,"&lt;&gt;-",$D$4:$D$200,"&lt;&gt;是",$E$4:$E$200,"&lt;&gt;封闭期",$H$4:$H$200,"&gt;10",$BN$4:$BN$200,"&gt;-6",$BR$4:$BR$200,"&gt;=70",$K$4:$K$200,"&lt;=30",$C$4:$C$200,"&lt;20190630",BD$4:BD$200,"&gt;="&amp;BD183)&amp;"/"&amp;COUNTIFS(BD$4:BD$200,"&lt;&gt;-",$D$4:$D$200,"&lt;&gt;是",$E$4:$E$200,"&lt;&gt;封闭期",$H$4:$H$200,"&gt;10",$BN$4:$BN$200,"&gt;-6",$BR$4:$BR$200,"&gt;=70",$C$4:$C$200,"&lt;20190630",$K$4:$K$200,"&lt;=30"))</f>
        <v>-</v>
      </c>
      <c r="BH183" s="33" t="str">
        <f>IF(OR($C183&gt;20190630,$K183&gt;30,BD183="-",$D183="是",$E183="封闭期",$H183&lt;10,$BN183&lt;-6,$BR183&lt;70),"-",COUNTIFS(BD$4:BD$200,"&lt;&gt;-",$D$4:$D$200,"&lt;&gt;是",$E$4:$E$200,"&lt;&gt;封闭期",$H$4:$H$200,"&gt;10",$BN$4:$BN$200,"&gt;-6",$BR$4:$BR$200,"&gt;=70",$K$4:$K$200,"&lt;=30",$C$4:$C$200,"&lt;20190630",BD$4:BD$200,"&gt;="&amp;BD183)/COUNTIFS(BD$4:BD$200,"&lt;&gt;-",$D$4:$D$200,"&lt;&gt;是",$E$4:$E$200,"&lt;&gt;封闭期",$H$4:$H$200,"&gt;10",$BN$4:$BN$200,"&gt;-6",$BR$4:$BR$200,"&gt;=70",$C$4:$C$200,"&lt;20190630",$K$4:$K$200,"&lt;=30"))</f>
        <v>-</v>
      </c>
      <c r="BI183" s="21">
        <f>[1]!f_risk_maxdownside(A183,$AM$2,$L$2)</f>
        <v>-1.2268704746580843</v>
      </c>
      <c r="BJ183" s="19" t="str">
        <f>IFERROR(RANK(BI183,BI:BI)&amp;"/"&amp;COUNT(BI:BI),"-")</f>
        <v>11/197</v>
      </c>
      <c r="BK183" s="26">
        <f>IFERROR(RANK(BI183,BI:BI)/COUNT(BI:BI),"-")</f>
        <v>5.5837563451776651E-2</v>
      </c>
      <c r="BL183" s="34" t="str">
        <f>IF(OR($C183&gt;20190630,$K183&gt;30,BI183="-",$D183="是",$E183="封闭期",$H183&lt;10,$BN183&lt;-6,$BR183&lt;70),"-",COUNTIFS(BI$4:BI$200,"&lt;&gt;-",$D$4:$D$200,"&lt;&gt;是",$E$4:$E$200,"&lt;&gt;封闭期",$H$4:$H$200,"&gt;10",$BN$4:$BN$200,"&gt;-6",$BR$4:$BR$200,"&gt;=70",$K$4:$K$200,"&lt;=30",$C$4:$C$200,"&lt;20190630",BI$4:BI$200,"&gt;="&amp;BI183)&amp;"/"&amp;COUNTIFS(BI$4:BI$200,"&lt;&gt;-",$D$4:$D$200,"&lt;&gt;是",$E$4:$E$200,"&lt;&gt;封闭期",$H$4:$H$200,"&gt;10",$BN$4:$BN$200,"&gt;-6",$BR$4:$BR$200,"&gt;=70",$C$4:$C$200,"&lt;20190630",$K$4:$K$200,"&lt;=30"))</f>
        <v>-</v>
      </c>
      <c r="BM183" s="33" t="str">
        <f>IF(OR($C183&gt;20190630,$K183&gt;30,BI183="-",$D183="是",$E183="封闭期",$H183&lt;10,$BN183&lt;-6,$BR183&lt;70),"-",COUNTIFS(BI$4:BI$200,"&lt;&gt;-",$D$4:$D$200,"&lt;&gt;是",$E$4:$E$200,"&lt;&gt;封闭期",$H$4:$H$200,"&gt;10",$BN$4:$BN$200,"&gt;-6",$BR$4:$BR$200,"&gt;=70",$K$4:$K$200,"&lt;=30",$C$4:$C$200,"&lt;20190630",BI$4:BI$200,"&gt;="&amp;BI183)/COUNTIFS(BI$4:BI$200,"&lt;&gt;-",$D$4:$D$200,"&lt;&gt;是",$E$4:$E$200,"&lt;&gt;封闭期",$H$4:$H$200,"&gt;10",$BN$4:$BN$200,"&gt;-6",$BR$4:$BR$200,"&gt;=70",$C$4:$C$200,"&lt;20190630",$K$4:$K$200,"&lt;=30"))</f>
        <v>-</v>
      </c>
      <c r="BN183" s="21">
        <f>[1]!f_risk_maxdownside(A183,$AM$2,$E$1)</f>
        <v>-1.2887358583374215</v>
      </c>
      <c r="BO183" s="21">
        <f>IF(C183&lt;20190930,[1]!f_return_2y(A183,"0","20210930"),"-")</f>
        <v>3.5472460838807383</v>
      </c>
      <c r="BP183" s="19" t="str">
        <f>IFERROR(RANK(BO183,BO:BO)&amp;"/"&amp;COUNT(BO:BO),"-")</f>
        <v>191/197</v>
      </c>
      <c r="BQ183" s="25">
        <f>IFERROR(RANK(BO183,BO:BO)/COUNT(BO:BO),"-")</f>
        <v>0.96954314720812185</v>
      </c>
      <c r="BR183" s="19">
        <f>IF(C183&lt;20190930,[1]!f_absolute_profitmonthper(A183,"20190930","20210930"),"-")</f>
        <v>70.833333333333343</v>
      </c>
      <c r="BS183" s="19" t="str">
        <f>IFERROR(RANK(BR183,BR:BR)&amp;"/"&amp;COUNT(BR:BR),"-")</f>
        <v>55/198</v>
      </c>
      <c r="BT183" s="25">
        <f>IFERROR(RANK(BR183,BR:BR)/COUNT(BR:BR),"-")</f>
        <v>0.27777777777777779</v>
      </c>
      <c r="BV183" s="12">
        <f>X183-3/M183</f>
        <v>-0.72822062578803948</v>
      </c>
      <c r="BW183" s="76">
        <f>IFERROR(RANK(BV183,BV:BV)/COUNT(BV:BV),"-")</f>
        <v>0.949238578680203</v>
      </c>
      <c r="BX183" s="76">
        <f>IFERROR(RANK(L183,L:L)/COUNT(L:L),"-")</f>
        <v>0.92929292929292928</v>
      </c>
      <c r="BY183" s="12">
        <f>AY183-3/AN183</f>
        <v>-0.74133111856897971</v>
      </c>
      <c r="BZ183" s="76">
        <f>IFERROR(RANK(BY183,BY:BY)/COUNT(BY:BY),"-")</f>
        <v>0.91370558375634514</v>
      </c>
      <c r="CA183" s="76">
        <f>IFERROR(RANK(AM183,AM:AM)/COUNT(AM:AM),"-")</f>
        <v>0.91414141414141414</v>
      </c>
      <c r="CB183" s="2"/>
      <c r="CC183" s="77">
        <f>AV183+BF183+BZ183+CA183</f>
        <v>2.7821617187099417</v>
      </c>
      <c r="CD183" s="77">
        <f>BW183+BX183+AE183+U183</f>
        <v>3.6399528277700863</v>
      </c>
      <c r="CE183" s="77">
        <f>CC183+CD183</f>
        <v>6.422114546480028</v>
      </c>
    </row>
    <row r="184" spans="1:83" s="17" customFormat="1" hidden="1" x14ac:dyDescent="0.35">
      <c r="A184" s="15" t="s">
        <v>383</v>
      </c>
      <c r="B184" s="15" t="s">
        <v>384</v>
      </c>
      <c r="C184" s="16">
        <v>20181113</v>
      </c>
      <c r="D184" s="16" t="str">
        <f>[1]!f_info_regulopenfundornot(A184)</f>
        <v>否</v>
      </c>
      <c r="E184" s="16" t="str">
        <f>[1]!f_dq_status(A184,$E$1)</f>
        <v>暂停大额申购|开放赎回</v>
      </c>
      <c r="F184" s="17" t="str">
        <f>[1]!f_info_fundmanager(A184)</f>
        <v>张丽华</v>
      </c>
      <c r="G184" s="16">
        <v>20181113</v>
      </c>
      <c r="H184" s="18">
        <f>[1]!f_netasset_total(A184,$E$1,100000000)</f>
        <v>2.3021077760000002</v>
      </c>
      <c r="I184" s="18">
        <f>[1]!f_prt_convertiblebondtonav(A184,$E$1)</f>
        <v>23.5299072265625</v>
      </c>
      <c r="J184" s="18">
        <f>[1]!f_prt_stocktonav(A184,$E$1)+0.5*I184</f>
        <v>21.246494293212891</v>
      </c>
      <c r="K184" s="19">
        <v>17.315479499079721</v>
      </c>
      <c r="L184" s="19">
        <f>[1]!f_return($A184,"1",L$2,$E$1)</f>
        <v>5.4589265955625743</v>
      </c>
      <c r="M184" s="19">
        <f>[1]!f_risk_stdevyearly($A184,L$2,$E$1,1,1)</f>
        <v>5.7402098123070759</v>
      </c>
      <c r="N184" s="19">
        <f>IFERROR(L184/M184,"-")</f>
        <v>0.95099774643403678</v>
      </c>
      <c r="O184" s="19" t="str">
        <f>IFERROR(RANK(N184,N:N)&amp;"/"&amp;COUNT(N:N),"-")</f>
        <v>143/197</v>
      </c>
      <c r="P184" s="26">
        <f>IF(O184="-","-",RANK(N184,N:N)/COUNT(N:N))</f>
        <v>0.7258883248730964</v>
      </c>
      <c r="Q184" s="56">
        <v>0.52791878172588835</v>
      </c>
      <c r="R184" s="33" t="str">
        <f>IF(OR($C184&gt;20190630,$K184&gt;30,N184="-",$D184="是",$E184="封闭期",$H184&lt;10,$BN184&lt;-6,$BR184&lt;70),"-",COUNTIFS(N$4:N$200,"&lt;&gt;-",$D$4:$D$200,"&lt;&gt;是",$E$4:$E$200,"&lt;&gt;封闭期",$H$4:$H$200,"&gt;10",$BN$4:$BN$200,"&gt;-6",$BR$4:$BR$200,"&gt;=70",$K$4:$K$200,"&lt;=30",$C$4:$C$200,"&lt;20190630",N$4:N$200,"&gt;="&amp;N184)/COUNTIFS(N$4:N$200,"&lt;&gt;-",$D$4:$D$200,"&lt;&gt;是",$E$4:$E$200,"&lt;&gt;封闭期",$H$4:$H$200,"&gt;10",$BN$4:$BN$200,"&gt;-6",$BR$4:$BR$200,"&gt;=70",$C$4:$C$200,"&lt;20190630",$K$4:$K$200,"&lt;=30"))</f>
        <v>-</v>
      </c>
      <c r="S184" s="19">
        <f>IFERROR((L184-3)/M184,"-")</f>
        <v>0.42836876629328208</v>
      </c>
      <c r="T184" s="19" t="str">
        <f>IFERROR(RANK(S184,S:S)&amp;"/"&amp;COUNT(S:S),"-")</f>
        <v>127/197</v>
      </c>
      <c r="U184" s="26">
        <f>IFERROR(RANK(S184,S:S)/COUNT(S:S),"-")</f>
        <v>0.64467005076142136</v>
      </c>
      <c r="V184" s="34" t="str">
        <f>IF(OR($C184&gt;20190630,$K184&gt;30,S184="-",$D184="是",$E184="封闭期",$H184&lt;10,$BN184&lt;-6,$BR184&lt;70),"-",COUNTIFS(S$4:S$200,"&lt;&gt;-",$D$4:$D$200,"&lt;&gt;是",$E$4:$E$200,"&lt;&gt;封闭期",$H$4:$H$200,"&gt;10",$BN$4:$BN$200,"&gt;-6",$BR$4:$BR$200,"&gt;=70",$K$4:$K$200,"&lt;=30",$C$4:$C$200,"&lt;20190630",S$4:S$200,"&gt;="&amp;S184)&amp;"/"&amp;COUNTIFS(S$4:S$200,"&lt;&gt;-",$D$4:$D$200,"&lt;&gt;是",$E$4:$E$200,"&lt;&gt;封闭期",$H$4:$H$200,"&gt;10",$BN$4:$BN$200,"&gt;-6",$BR$4:$BR$200,"&gt;=70",$C$4:$C$200,"&lt;20190630",$K$4:$K$200,"&lt;=30"))</f>
        <v>-</v>
      </c>
      <c r="W184" s="33" t="str">
        <f>IF(OR($C184&gt;20190630,$K184&gt;30,S184="-",$D184="是",$E184="封闭期",$H184&lt;10,$BN184&lt;-6,$BR184&lt;70),"-",COUNTIFS(S$4:S$200,"&lt;&gt;-",$D$4:$D$200,"&lt;&gt;是",$E$4:$E$200,"&lt;&gt;封闭期",$H$4:$H$200,"&gt;10",$BN$4:$BN$200,"&gt;-6",$BR$4:$BR$200,"&gt;=70",$K$4:$K$200,"&lt;=30",$C$4:$C$200,"&lt;20190630",S$4:S$200,"&gt;="&amp;S184)/COUNTIFS(S$4:S$200,"&lt;&gt;-",$D$4:$D$200,"&lt;&gt;是",$E$4:$E$200,"&lt;&gt;封闭期",$H$4:$H$200,"&gt;10",$BN$4:$BN$200,"&gt;-6",$BR$4:$BR$200,"&gt;=70",$C$4:$C$200,"&lt;20190630",$K$4:$K$200,"&lt;=30"))</f>
        <v>-</v>
      </c>
      <c r="X184" s="19">
        <f>[1]!f_risk_calmar(A184,$L$2,$E$1)</f>
        <v>1.1202455591925826</v>
      </c>
      <c r="Y184" s="19" t="str">
        <f>IFERROR(RANK(X184,X:X)&amp;"/"&amp;COUNT(X:X),"-")</f>
        <v>151/197</v>
      </c>
      <c r="Z184" s="26">
        <f>IFERROR(RANK(X184,X:X)/COUNT(X:X),"-")</f>
        <v>0.76649746192893398</v>
      </c>
      <c r="AA184" s="34" t="str">
        <f>IF(OR($C184&gt;20190630,$K184&gt;30,X184="-",$D184="是",$E184="封闭期",$H184&lt;10,$BN184&lt;-6,$BR184&lt;70),"-",COUNTIFS(X$4:X$200,"&lt;&gt;-",$D$4:$D$200,"&lt;&gt;是",$E$4:$E$200,"&lt;&gt;封闭期",$H$4:$H$200,"&gt;10",$BN$4:$BN$200,"&gt;-6",$BR$4:$BR$200,"&gt;=70",$K$4:$K$200,"&lt;=30",$C$4:$C$200,"&lt;20190630",X$4:X$200,"&gt;="&amp;X184)&amp;"/"&amp;COUNTIFS(X$4:X$200,"&lt;&gt;-",$D$4:$D$200,"&lt;&gt;是",$E$4:$E$200,"&lt;&gt;封闭期",$H$4:$H$200,"&gt;10",$BN$4:$BN$200,"&gt;-6",$BR$4:$BR$200,"&gt;=70",$C$4:$C$200,"&lt;20190630",$K$4:$K$200,"&lt;=30"))</f>
        <v>-</v>
      </c>
      <c r="AB184" s="33" t="str">
        <f>IF(OR($C184&gt;20190630,$K184&gt;30,X184="-",$D184="是",$E184="封闭期",$H184&lt;10,$BN184&lt;-6,$BR184&lt;70),"-",COUNTIFS(X$4:X$200,"&lt;&gt;-",$D$4:$D$200,"&lt;&gt;是",$E$4:$E$200,"&lt;&gt;封闭期",$H$4:$H$200,"&gt;10",$BN$4:$BN$200,"&gt;-6",$BR$4:$BR$200,"&gt;=70",$K$4:$K$200,"&lt;=30",$C$4:$C$200,"&lt;20190630",X$4:X$200,"&gt;="&amp;X184)/COUNTIFS(X$4:X$200,"&lt;&gt;-",$D$4:$D$200,"&lt;&gt;是",$E$4:$E$200,"&lt;&gt;封闭期",$H$4:$H$200,"&gt;10",$BN$4:$BN$200,"&gt;-6",$BR$4:$BR$200,"&gt;=70",$C$4:$C$200,"&lt;20190630",$K$4:$K$200,"&lt;=30"))</f>
        <v>-</v>
      </c>
      <c r="AC184" s="20">
        <v>0.73949579831932777</v>
      </c>
      <c r="AD184" s="19" t="str">
        <f>IFERROR(RANK(AC184,AC:AC)&amp;"/"&amp;COUNT(AC:AC),"-")</f>
        <v>161/197</v>
      </c>
      <c r="AE184" s="26">
        <f>IFERROR(RANK(AC184,AC:AC)/COUNT(AC:AC),"-")</f>
        <v>0.81725888324873097</v>
      </c>
      <c r="AF184" s="34" t="str">
        <f>IF(OR($C184&gt;20190630,$K184&gt;30,AC184="-",$D184="是",$E184="封闭期",$H184&lt;10,$BN184&lt;-6,$BR184&lt;70),"-",COUNTIFS(AC$4:AC$200,"&lt;&gt;-",$D$4:$D$200,"&lt;&gt;是",$E$4:$E$200,"&lt;&gt;封闭期",$H$4:$H$200,"&gt;10",$BN$4:$BN$200,"&gt;-6",$BR$4:$BR$200,"&gt;=70",$K$4:$K$200,"&lt;=30",$C$4:$C$200,"&lt;20190630",AC$4:AC$200,"&gt;="&amp;AC184)&amp;"/"&amp;COUNTIFS(AC$4:AC$200,"&lt;&gt;-",$D$4:$D$200,"&lt;&gt;是",$E$4:$E$200,"&lt;&gt;封闭期",$H$4:$H$200,"&gt;10",$BN$4:$BN$200,"&gt;-6",$BR$4:$BR$200,"&gt;=70",$C$4:$C$200,"&lt;20190630",$K$4:$K$200,"&lt;=30"))</f>
        <v>-</v>
      </c>
      <c r="AG184" s="33" t="str">
        <f>IF(OR($C184&gt;20190630,$K184&gt;30,AC184="-",$D184="是",$E184="封闭期",$H184&lt;10,$BN184&lt;-6,$BR184&lt;70),"-",COUNTIFS(AC$4:AC$200,"&lt;&gt;-",$D$4:$D$200,"&lt;&gt;是",$E$4:$E$200,"&lt;&gt;封闭期",$H$4:$H$200,"&gt;10",$BN$4:$BN$200,"&gt;-6",$BR$4:$BR$200,"&gt;=70",$K$4:$K$200,"&lt;=30",$C$4:$C$200,"&lt;20190630",AC$4:AC$200,"&gt;="&amp;AC184)/COUNTIFS(AC$4:AC$200,"&lt;&gt;-",$D$4:$D$200,"&lt;&gt;是",$E$4:$E$200,"&lt;&gt;封闭期",$H$4:$H$200,"&gt;10",$BN$4:$BN$200,"&gt;-6",$BR$4:$BR$200,"&gt;=70",$C$4:$C$200,"&lt;20190630",$K$4:$K$200,"&lt;=30"))</f>
        <v>-</v>
      </c>
      <c r="AH184" s="21">
        <f>[1]!f_risk_maxdownside(A184,$L$2,$E$1)</f>
        <v>-4.8729732073181324</v>
      </c>
      <c r="AI184" s="19" t="str">
        <f>IFERROR(RANK(AH184,AH:AH)&amp;"/"&amp;COUNT(AH:AH),"-")</f>
        <v>154/197</v>
      </c>
      <c r="AJ184" s="26">
        <f>IFERROR(RANK(AH184,AH:AH)/COUNT(AH:AH),"-")</f>
        <v>0.78172588832487311</v>
      </c>
      <c r="AK184" s="34" t="str">
        <f>IF(OR($C184&gt;20190630,$K184&gt;30,AH184="-",$D184="是",$E184="封闭期",$H184&lt;10,$BN184&lt;-6,$BR184&lt;70),"-",COUNTIFS(AH$4:AH$200,"&lt;&gt;-",$D$4:$D$200,"&lt;&gt;是",$E$4:$E$200,"&lt;&gt;封闭期",$H$4:$H$200,"&gt;10",$BN$4:$BN$200,"&gt;-6",$BR$4:$BR$200,"&gt;=70",$K$4:$K$200,"&lt;=30",$C$4:$C$200,"&lt;20190630",AH$4:AH$200,"&gt;="&amp;AH184)&amp;"/"&amp;COUNTIFS(AH$4:AH$200,"&lt;&gt;-",$D$4:$D$200,"&lt;&gt;是",$E$4:$E$200,"&lt;&gt;封闭期",$H$4:$H$200,"&gt;10",$BN$4:$BN$200,"&gt;-6",$BR$4:$BR$200,"&gt;=70",$C$4:$C$200,"&lt;20190630",$K$4:$K$200,"&lt;=30"))</f>
        <v>-</v>
      </c>
      <c r="AL184" s="33" t="str">
        <f>IF(OR($C184&gt;20190630,$K184&gt;30,AH184="-",$D184="是",$E184="封闭期",$H184&lt;10,$BN184&lt;-6,$BR184&lt;70),"-",COUNTIFS(AH$4:AH$200,"&lt;&gt;-",$D$4:$D$200,"&lt;&gt;是",$E$4:$E$200,"&lt;&gt;封闭期",$H$4:$H$200,"&gt;10",$BN$4:$BN$200,"&gt;-6",$BR$4:$BR$200,"&gt;=70",$K$4:$K$200,"&lt;=30",$C$4:$C$200,"&lt;20190630",AH$4:AH$200,"&gt;="&amp;AH184)/COUNTIFS(AH$4:AH$200,"&lt;&gt;-",$D$4:$D$200,"&lt;&gt;是",$E$4:$E$200,"&lt;&gt;封闭期",$H$4:$H$200,"&gt;10",$BN$4:$BN$200,"&gt;-6",$BR$4:$BR$200,"&gt;=70",$C$4:$C$200,"&lt;20190630",$K$4:$K$200,"&lt;=30"))</f>
        <v>-</v>
      </c>
      <c r="AM184" s="19">
        <f>[1]!f_return($A184,"1",AM$2,$L$2)</f>
        <v>2.283384146080647</v>
      </c>
      <c r="AN184" s="19">
        <f>[1]!f_risk_stdevyearly($A184,AM$2,$L$2,1,1)</f>
        <v>9.621205492817996</v>
      </c>
      <c r="AO184" s="19">
        <f>IFERROR(AM184/AN184,"-")</f>
        <v>0.23732827947445251</v>
      </c>
      <c r="AP184" s="19" t="str">
        <f>IFERROR(RANK(AO184,AO:AO)&amp;"/"&amp;COUNT(AO:AO),"-")</f>
        <v>191/197</v>
      </c>
      <c r="AQ184" s="26">
        <f>IF(AP184="-","-",RANK(AO184,AO:AO)/COUNT(AO:AO))</f>
        <v>0.96954314720812185</v>
      </c>
      <c r="AR184" s="57">
        <v>0.91878172588832485</v>
      </c>
      <c r="AS184" s="33" t="str">
        <f>IF(OR($C184&gt;20190630,$K184&gt;30,AO184="-",$D184="是",$E184="封闭期",$H184&lt;10,$BN184&lt;-6,$BR184&lt;70),"-",COUNTIFS(AO$4:AO$200,"&lt;&gt;-",$D$4:$D$200,"&lt;&gt;是",$E$4:$E$200,"&lt;&gt;封闭期",$H$4:$H$200,"&gt;10",$BN$4:$BN$200,"&gt;-6",$BR$4:$BR$200,"&gt;=70",$K$4:$K$200,"&lt;=30",$C$4:$C$200,"&lt;20190630",AO$4:AO$200,"&gt;="&amp;AO184)/COUNTIFS(AO$4:AO$200,"&lt;&gt;-",$D$4:$D$200,"&lt;&gt;是",$E$4:$E$200,"&lt;&gt;封闭期",$H$4:$H$200,"&gt;10",$BN$4:$BN$200,"&gt;-6",$BR$4:$BR$200,"&gt;=70",$C$4:$C$200,"&lt;20190630",$K$4:$K$200,"&lt;=30"))</f>
        <v>-</v>
      </c>
      <c r="AT184" s="19">
        <f>IFERROR((AM184-3)/AN184,"-")</f>
        <v>-7.4482958965411336E-2</v>
      </c>
      <c r="AU184" s="19" t="str">
        <f>IFERROR(RANK(AT184,AT:AT)&amp;"/"&amp;COUNT(AT:AT),"-")</f>
        <v>170/197</v>
      </c>
      <c r="AV184" s="26">
        <f>IFERROR(RANK(AT184,AT:AT)/COUNT(AT:AT),"-")</f>
        <v>0.86294416243654826</v>
      </c>
      <c r="AW184" s="34" t="str">
        <f>IF(OR($C184&gt;20190630,$K184&gt;30,AT184="-",$D184="是",$E184="封闭期",$H184&lt;10,$BN184&lt;-6,$BR184&lt;70),"-",COUNTIFS(AT$4:AT$200,"&lt;&gt;-",$D$4:$D$200,"&lt;&gt;是",$E$4:$E$200,"&lt;&gt;封闭期",$H$4:$H$200,"&gt;10",$BN$4:$BN$200,"&gt;-6",$BR$4:$BR$200,"&gt;=70",$K$4:$K$200,"&lt;=30",$C$4:$C$200,"&lt;20190630",AT$4:AT$200,"&gt;="&amp;AT184)&amp;"/"&amp;COUNTIFS(AT$4:AT$200,"&lt;&gt;-",$D$4:$D$200,"&lt;&gt;是",$E$4:$E$200,"&lt;&gt;封闭期",$H$4:$H$200,"&gt;10",$BN$4:$BN$200,"&gt;-6",$BR$4:$BR$200,"&gt;=70",$C$4:$C$200,"&lt;20190630",$K$4:$K$200,"&lt;=30"))</f>
        <v>-</v>
      </c>
      <c r="AX184" s="33" t="str">
        <f>IF(OR($C184&gt;20190630,$K184&gt;30,AT184="-",$D184="是",$E184="封闭期",$H184&lt;10,$BN184&lt;-6,$BR184&lt;70),"-",COUNTIFS(AT$4:AT$200,"&lt;&gt;-",$D$4:$D$200,"&lt;&gt;是",$E$4:$E$200,"&lt;&gt;封闭期",$H$4:$H$200,"&gt;10",$BN$4:$BN$200,"&gt;-6",$BR$4:$BR$200,"&gt;=70",$K$4:$K$200,"&lt;=30",$C$4:$C$200,"&lt;20190630",AT$4:AT$200,"&gt;="&amp;AT184)/COUNTIFS(AT$4:AT$200,"&lt;&gt;-",$D$4:$D$200,"&lt;&gt;是",$E$4:$E$200,"&lt;&gt;封闭期",$H$4:$H$200,"&gt;10",$BN$4:$BN$200,"&gt;-6",$BR$4:$BR$200,"&gt;=70",$C$4:$C$200,"&lt;20190630",$K$4:$K$200,"&lt;=30"))</f>
        <v>-</v>
      </c>
      <c r="AY184" s="19">
        <f>[1]!f_risk_calmar(A184,$AM$2,$L$2)</f>
        <v>0.35234979495554758</v>
      </c>
      <c r="AZ184" s="19" t="str">
        <f>IFERROR(RANK(AY184,AY:AY)&amp;"/"&amp;COUNT(AY:AY),"-")</f>
        <v>189/197</v>
      </c>
      <c r="BA184" s="26">
        <f>IFERROR(RANK(AY184,AY:AY)/COUNT(AY:AY),"-")</f>
        <v>0.95939086294416243</v>
      </c>
      <c r="BB184" s="34" t="str">
        <f>IF(OR($C184&gt;20190630,$K184&gt;30,AY184="-",$D184="是",$E184="封闭期",$H184&lt;10,$BN184&lt;-6,$BR184&lt;70),"-",COUNTIFS(AY$4:AY$200,"&lt;&gt;-",$D$4:$D$200,"&lt;&gt;是",$E$4:$E$200,"&lt;&gt;封闭期",$H$4:$H$200,"&gt;10",$BN$4:$BN$200,"&gt;-6",$BR$4:$BR$200,"&gt;=70",$K$4:$K$200,"&lt;=30",$C$4:$C$200,"&lt;20190630",AY$4:AY$200,"&gt;="&amp;AY184)&amp;"/"&amp;COUNTIFS(AY$4:AY$200,"&lt;&gt;-",$D$4:$D$200,"&lt;&gt;是",$E$4:$E$200,"&lt;&gt;封闭期",$H$4:$H$200,"&gt;10",$BN$4:$BN$200,"&gt;-6",$BR$4:$BR$200,"&gt;=70",$C$4:$C$200,"&lt;20190630",$K$4:$K$200,"&lt;=30"))</f>
        <v>-</v>
      </c>
      <c r="BC184" s="33" t="str">
        <f>IF(OR($C184&gt;20190630,$K184&gt;30,AY184="-",$D184="是",$E184="封闭期",$H184&lt;10,$BN184&lt;-6,$BR184&lt;70),"-",COUNTIFS(AY$4:AY$200,"&lt;&gt;-",$D$4:$D$200,"&lt;&gt;是",$E$4:$E$200,"&lt;&gt;封闭期",$H$4:$H$200,"&gt;10",$BN$4:$BN$200,"&gt;-6",$BR$4:$BR$200,"&gt;=70",$K$4:$K$200,"&lt;=30",$C$4:$C$200,"&lt;20190630",AY$4:AY$200,"&gt;="&amp;AY184)/COUNTIFS(AY$4:AY$200,"&lt;&gt;-",$D$4:$D$200,"&lt;&gt;是",$E$4:$E$200,"&lt;&gt;封闭期",$H$4:$H$200,"&gt;10",$BN$4:$BN$200,"&gt;-6",$BR$4:$BR$200,"&gt;=70",$C$4:$C$200,"&lt;20190630",$K$4:$K$200,"&lt;=30"))</f>
        <v>-</v>
      </c>
      <c r="BD184" s="20">
        <v>0.65</v>
      </c>
      <c r="BE184" s="19" t="str">
        <f>IFERROR(RANK(BD184,BD:BD)&amp;"/"&amp;COUNT(BD:BD),"-")</f>
        <v>190/197</v>
      </c>
      <c r="BF184" s="26">
        <f>IFERROR(RANK(BD184,BD:BD)/COUNT(BD:BD),"-")</f>
        <v>0.96446700507614214</v>
      </c>
      <c r="BG184" s="34" t="str">
        <f>IF(OR($C184&gt;20190630,$K184&gt;30,BD184="-",$D184="是",$E184="封闭期",$H184&lt;10,$BN184&lt;-6,$BR184&lt;70),"-",COUNTIFS(BD$4:BD$200,"&lt;&gt;-",$D$4:$D$200,"&lt;&gt;是",$E$4:$E$200,"&lt;&gt;封闭期",$H$4:$H$200,"&gt;10",$BN$4:$BN$200,"&gt;-6",$BR$4:$BR$200,"&gt;=70",$K$4:$K$200,"&lt;=30",$C$4:$C$200,"&lt;20190630",BD$4:BD$200,"&gt;="&amp;BD184)&amp;"/"&amp;COUNTIFS(BD$4:BD$200,"&lt;&gt;-",$D$4:$D$200,"&lt;&gt;是",$E$4:$E$200,"&lt;&gt;封闭期",$H$4:$H$200,"&gt;10",$BN$4:$BN$200,"&gt;-6",$BR$4:$BR$200,"&gt;=70",$C$4:$C$200,"&lt;20190630",$K$4:$K$200,"&lt;=30"))</f>
        <v>-</v>
      </c>
      <c r="BH184" s="33" t="str">
        <f>IF(OR($C184&gt;20190630,$K184&gt;30,BD184="-",$D184="是",$E184="封闭期",$H184&lt;10,$BN184&lt;-6,$BR184&lt;70),"-",COUNTIFS(BD$4:BD$200,"&lt;&gt;-",$D$4:$D$200,"&lt;&gt;是",$E$4:$E$200,"&lt;&gt;封闭期",$H$4:$H$200,"&gt;10",$BN$4:$BN$200,"&gt;-6",$BR$4:$BR$200,"&gt;=70",$K$4:$K$200,"&lt;=30",$C$4:$C$200,"&lt;20190630",BD$4:BD$200,"&gt;="&amp;BD184)/COUNTIFS(BD$4:BD$200,"&lt;&gt;-",$D$4:$D$200,"&lt;&gt;是",$E$4:$E$200,"&lt;&gt;封闭期",$H$4:$H$200,"&gt;10",$BN$4:$BN$200,"&gt;-6",$BR$4:$BR$200,"&gt;=70",$C$4:$C$200,"&lt;20190630",$K$4:$K$200,"&lt;=30"))</f>
        <v>-</v>
      </c>
      <c r="BI184" s="21">
        <f>[1]!f_risk_maxdownside(A184,$AM$2,$L$2)</f>
        <v>-6.4804469273743113</v>
      </c>
      <c r="BJ184" s="19" t="str">
        <f>IFERROR(RANK(BI184,BI:BI)&amp;"/"&amp;COUNT(BI:BI),"-")</f>
        <v>175/197</v>
      </c>
      <c r="BK184" s="26">
        <f>IFERROR(RANK(BI184,BI:BI)/COUNT(BI:BI),"-")</f>
        <v>0.8883248730964467</v>
      </c>
      <c r="BL184" s="34" t="str">
        <f>IF(OR($C184&gt;20190630,$K184&gt;30,BI184="-",$D184="是",$E184="封闭期",$H184&lt;10,$BN184&lt;-6,$BR184&lt;70),"-",COUNTIFS(BI$4:BI$200,"&lt;&gt;-",$D$4:$D$200,"&lt;&gt;是",$E$4:$E$200,"&lt;&gt;封闭期",$H$4:$H$200,"&gt;10",$BN$4:$BN$200,"&gt;-6",$BR$4:$BR$200,"&gt;=70",$K$4:$K$200,"&lt;=30",$C$4:$C$200,"&lt;20190630",BI$4:BI$200,"&gt;="&amp;BI184)&amp;"/"&amp;COUNTIFS(BI$4:BI$200,"&lt;&gt;-",$D$4:$D$200,"&lt;&gt;是",$E$4:$E$200,"&lt;&gt;封闭期",$H$4:$H$200,"&gt;10",$BN$4:$BN$200,"&gt;-6",$BR$4:$BR$200,"&gt;=70",$C$4:$C$200,"&lt;20190630",$K$4:$K$200,"&lt;=30"))</f>
        <v>-</v>
      </c>
      <c r="BM184" s="33" t="str">
        <f>IF(OR($C184&gt;20190630,$K184&gt;30,BI184="-",$D184="是",$E184="封闭期",$H184&lt;10,$BN184&lt;-6,$BR184&lt;70),"-",COUNTIFS(BI$4:BI$200,"&lt;&gt;-",$D$4:$D$200,"&lt;&gt;是",$E$4:$E$200,"&lt;&gt;封闭期",$H$4:$H$200,"&gt;10",$BN$4:$BN$200,"&gt;-6",$BR$4:$BR$200,"&gt;=70",$K$4:$K$200,"&lt;=30",$C$4:$C$200,"&lt;20190630",BI$4:BI$200,"&gt;="&amp;BI184)/COUNTIFS(BI$4:BI$200,"&lt;&gt;-",$D$4:$D$200,"&lt;&gt;是",$E$4:$E$200,"&lt;&gt;封闭期",$H$4:$H$200,"&gt;10",$BN$4:$BN$200,"&gt;-6",$BR$4:$BR$200,"&gt;=70",$C$4:$C$200,"&lt;20190630",$K$4:$K$200,"&lt;=30"))</f>
        <v>-</v>
      </c>
      <c r="BN184" s="21">
        <f>[1]!f_risk_maxdownside(A184,$AM$2,$E$1)</f>
        <v>-6.4804469273743113</v>
      </c>
      <c r="BO184" s="21">
        <f>IF(C184&lt;20190930,[1]!f_return_2y(A184,"0","20210930"),"-")</f>
        <v>7.9066265060241028</v>
      </c>
      <c r="BP184" s="19" t="str">
        <f>IFERROR(RANK(BO184,BO:BO)&amp;"/"&amp;COUNT(BO:BO),"-")</f>
        <v>165/197</v>
      </c>
      <c r="BQ184" s="25">
        <f>IFERROR(RANK(BO184,BO:BO)/COUNT(BO:BO),"-")</f>
        <v>0.8375634517766497</v>
      </c>
      <c r="BR184" s="19">
        <f>IF(C184&lt;20190930,[1]!f_absolute_profitmonthper(A184,"20190930","20210930"),"-")</f>
        <v>54.166666666666664</v>
      </c>
      <c r="BS184" s="19" t="str">
        <f>IFERROR(RANK(BR184,BR:BR)&amp;"/"&amp;COUNT(BR:BR),"-")</f>
        <v>184/198</v>
      </c>
      <c r="BT184" s="25">
        <f>IFERROR(RANK(BR184,BR:BR)/COUNT(BR:BR),"-")</f>
        <v>0.92929292929292928</v>
      </c>
      <c r="BV184" s="12">
        <f>X184-3/M184</f>
        <v>0.59761657905182797</v>
      </c>
      <c r="BW184" s="76">
        <f>IFERROR(RANK(BV184,BV:BV)/COUNT(BV:BV),"-")</f>
        <v>0.71573604060913709</v>
      </c>
      <c r="BX184" s="76">
        <f>IFERROR(RANK(L184,L:L)/COUNT(L:L),"-")</f>
        <v>0.53030303030303028</v>
      </c>
      <c r="BY184" s="12">
        <f>AY184-3/AN184</f>
        <v>4.0538556515683721E-2</v>
      </c>
      <c r="BZ184" s="76">
        <f>IFERROR(RANK(BY184,BY:BY)/COUNT(BY:BY),"-")</f>
        <v>0.84263959390862941</v>
      </c>
      <c r="CA184" s="76">
        <f>IFERROR(RANK(AM184,AM:AM)/COUNT(AM:AM),"-")</f>
        <v>0.91919191919191923</v>
      </c>
      <c r="CB184" s="2"/>
      <c r="CC184" s="77">
        <f>AV184+BF184+BZ184+CA184</f>
        <v>3.5892426806132391</v>
      </c>
      <c r="CD184" s="77">
        <f>BW184+BX184+AE184+U184</f>
        <v>2.7079680049223196</v>
      </c>
      <c r="CE184" s="77">
        <f>CC184+CD184</f>
        <v>6.2972106855355587</v>
      </c>
    </row>
    <row r="185" spans="1:83" s="17" customFormat="1" hidden="1" x14ac:dyDescent="0.35">
      <c r="A185" s="15" t="s">
        <v>317</v>
      </c>
      <c r="B185" s="15" t="s">
        <v>318</v>
      </c>
      <c r="C185" s="16">
        <v>20170120</v>
      </c>
      <c r="D185" s="16" t="str">
        <f>[1]!f_info_regulopenfundornot(A185)</f>
        <v>否</v>
      </c>
      <c r="E185" s="16" t="str">
        <f>[1]!f_dq_status(A185,$E$1)</f>
        <v>开放申购|开放赎回</v>
      </c>
      <c r="F185" s="17" t="str">
        <f>[1]!f_info_fundmanager(A185)</f>
        <v>刘志辉</v>
      </c>
      <c r="G185" s="16">
        <v>20170206</v>
      </c>
      <c r="H185" s="18">
        <f>[1]!f_netasset_total(A185,$E$1,100000000)</f>
        <v>1.3126429309000001</v>
      </c>
      <c r="I185" s="18">
        <f>[1]!f_prt_convertiblebondtonav(A185,$E$1)</f>
        <v>9.7052850723266602</v>
      </c>
      <c r="J185" s="18">
        <f>[1]!f_prt_stocktonav(A185,$E$1)+0.5*I185</f>
        <v>20.083783626556396</v>
      </c>
      <c r="K185" s="19">
        <v>38.459049914958101</v>
      </c>
      <c r="L185" s="19">
        <f>[1]!f_return($A185,"1",L$2,$E$1)</f>
        <v>10.618226004758169</v>
      </c>
      <c r="M185" s="19">
        <f>[1]!f_risk_stdevyearly($A185,L$2,$E$1,1,1)</f>
        <v>5.2541785819299243</v>
      </c>
      <c r="N185" s="19">
        <f>IFERROR(L185/M185,"-")</f>
        <v>2.0209107549705636</v>
      </c>
      <c r="O185" s="19" t="str">
        <f>IFERROR(RANK(N185,N:N)&amp;"/"&amp;COUNT(N:N),"-")</f>
        <v>47/197</v>
      </c>
      <c r="P185" s="26">
        <f>IF(O185="-","-",RANK(N185,N:N)/COUNT(N:N))</f>
        <v>0.23857868020304568</v>
      </c>
      <c r="Q185" s="56">
        <v>0.13705583756345177</v>
      </c>
      <c r="R185" s="33" t="str">
        <f>IF(OR($C185&gt;20190630,$K185&gt;30,N185="-",$D185="是",$E185="封闭期",$H185&lt;10,$BN185&lt;-6,$BR185&lt;70),"-",COUNTIFS(N$4:N$200,"&lt;&gt;-",$D$4:$D$200,"&lt;&gt;是",$E$4:$E$200,"&lt;&gt;封闭期",$H$4:$H$200,"&gt;10",$BN$4:$BN$200,"&gt;-6",$BR$4:$BR$200,"&gt;=70",$K$4:$K$200,"&lt;=30",$C$4:$C$200,"&lt;20190630",N$4:N$200,"&gt;="&amp;N185)/COUNTIFS(N$4:N$200,"&lt;&gt;-",$D$4:$D$200,"&lt;&gt;是",$E$4:$E$200,"&lt;&gt;封闭期",$H$4:$H$200,"&gt;10",$BN$4:$BN$200,"&gt;-6",$BR$4:$BR$200,"&gt;=70",$C$4:$C$200,"&lt;20190630",$K$4:$K$200,"&lt;=30"))</f>
        <v>-</v>
      </c>
      <c r="S185" s="19">
        <f>IFERROR((L185-3)/M185,"-")</f>
        <v>1.4499366334746659</v>
      </c>
      <c r="T185" s="19" t="str">
        <f>IFERROR(RANK(S185,S:S)&amp;"/"&amp;COUNT(S:S),"-")</f>
        <v>32/197</v>
      </c>
      <c r="U185" s="26">
        <f>IFERROR(RANK(S185,S:S)/COUNT(S:S),"-")</f>
        <v>0.16243654822335024</v>
      </c>
      <c r="V185" s="34" t="str">
        <f>IF(OR($C185&gt;20190630,$K185&gt;30,S185="-",$D185="是",$E185="封闭期",$H185&lt;10,$BN185&lt;-6,$BR185&lt;70),"-",COUNTIFS(S$4:S$200,"&lt;&gt;-",$D$4:$D$200,"&lt;&gt;是",$E$4:$E$200,"&lt;&gt;封闭期",$H$4:$H$200,"&gt;10",$BN$4:$BN$200,"&gt;-6",$BR$4:$BR$200,"&gt;=70",$K$4:$K$200,"&lt;=30",$C$4:$C$200,"&lt;20190630",S$4:S$200,"&gt;="&amp;S185)&amp;"/"&amp;COUNTIFS(S$4:S$200,"&lt;&gt;-",$D$4:$D$200,"&lt;&gt;是",$E$4:$E$200,"&lt;&gt;封闭期",$H$4:$H$200,"&gt;10",$BN$4:$BN$200,"&gt;-6",$BR$4:$BR$200,"&gt;=70",$C$4:$C$200,"&lt;20190630",$K$4:$K$200,"&lt;=30"))</f>
        <v>-</v>
      </c>
      <c r="W185" s="33" t="str">
        <f>IF(OR($C185&gt;20190630,$K185&gt;30,S185="-",$D185="是",$E185="封闭期",$H185&lt;10,$BN185&lt;-6,$BR185&lt;70),"-",COUNTIFS(S$4:S$200,"&lt;&gt;-",$D$4:$D$200,"&lt;&gt;是",$E$4:$E$200,"&lt;&gt;封闭期",$H$4:$H$200,"&gt;10",$BN$4:$BN$200,"&gt;-6",$BR$4:$BR$200,"&gt;=70",$K$4:$K$200,"&lt;=30",$C$4:$C$200,"&lt;20190630",S$4:S$200,"&gt;="&amp;S185)/COUNTIFS(S$4:S$200,"&lt;&gt;-",$D$4:$D$200,"&lt;&gt;是",$E$4:$E$200,"&lt;&gt;封闭期",$H$4:$H$200,"&gt;10",$BN$4:$BN$200,"&gt;-6",$BR$4:$BR$200,"&gt;=70",$C$4:$C$200,"&lt;20190630",$K$4:$K$200,"&lt;=30"))</f>
        <v>-</v>
      </c>
      <c r="X185" s="19">
        <f>[1]!f_risk_calmar(A185,$L$2,$E$1)</f>
        <v>2.9947635206324645</v>
      </c>
      <c r="Y185" s="19" t="str">
        <f>IFERROR(RANK(X185,X:X)&amp;"/"&amp;COUNT(X:X),"-")</f>
        <v>62/197</v>
      </c>
      <c r="Z185" s="26">
        <f>IFERROR(RANK(X185,X:X)/COUNT(X:X),"-")</f>
        <v>0.31472081218274112</v>
      </c>
      <c r="AA185" s="34" t="str">
        <f>IF(OR($C185&gt;20190630,$K185&gt;30,X185="-",$D185="是",$E185="封闭期",$H185&lt;10,$BN185&lt;-6,$BR185&lt;70),"-",COUNTIFS(X$4:X$200,"&lt;&gt;-",$D$4:$D$200,"&lt;&gt;是",$E$4:$E$200,"&lt;&gt;封闭期",$H$4:$H$200,"&gt;10",$BN$4:$BN$200,"&gt;-6",$BR$4:$BR$200,"&gt;=70",$K$4:$K$200,"&lt;=30",$C$4:$C$200,"&lt;20190630",X$4:X$200,"&gt;="&amp;X185)&amp;"/"&amp;COUNTIFS(X$4:X$200,"&lt;&gt;-",$D$4:$D$200,"&lt;&gt;是",$E$4:$E$200,"&lt;&gt;封闭期",$H$4:$H$200,"&gt;10",$BN$4:$BN$200,"&gt;-6",$BR$4:$BR$200,"&gt;=70",$C$4:$C$200,"&lt;20190630",$K$4:$K$200,"&lt;=30"))</f>
        <v>-</v>
      </c>
      <c r="AB185" s="33" t="str">
        <f>IF(OR($C185&gt;20190630,$K185&gt;30,X185="-",$D185="是",$E185="封闭期",$H185&lt;10,$BN185&lt;-6,$BR185&lt;70),"-",COUNTIFS(X$4:X$200,"&lt;&gt;-",$D$4:$D$200,"&lt;&gt;是",$E$4:$E$200,"&lt;&gt;封闭期",$H$4:$H$200,"&gt;10",$BN$4:$BN$200,"&gt;-6",$BR$4:$BR$200,"&gt;=70",$K$4:$K$200,"&lt;=30",$C$4:$C$200,"&lt;20190630",X$4:X$200,"&gt;="&amp;X185)/COUNTIFS(X$4:X$200,"&lt;&gt;-",$D$4:$D$200,"&lt;&gt;是",$E$4:$E$200,"&lt;&gt;封闭期",$H$4:$H$200,"&gt;10",$BN$4:$BN$200,"&gt;-6",$BR$4:$BR$200,"&gt;=70",$C$4:$C$200,"&lt;20190630",$K$4:$K$200,"&lt;=30"))</f>
        <v>-</v>
      </c>
      <c r="AC185" s="20">
        <v>1</v>
      </c>
      <c r="AD185" s="19" t="str">
        <f>IFERROR(RANK(AC185,AC:AC)&amp;"/"&amp;COUNT(AC:AC),"-")</f>
        <v>1/197</v>
      </c>
      <c r="AE185" s="26">
        <f>IFERROR(RANK(AC185,AC:AC)/COUNT(AC:AC),"-")</f>
        <v>5.076142131979695E-3</v>
      </c>
      <c r="AF185" s="34" t="str">
        <f>IF(OR($C185&gt;20190630,$K185&gt;30,AC185="-",$D185="是",$E185="封闭期",$H185&lt;10,$BN185&lt;-6,$BR185&lt;70),"-",COUNTIFS(AC$4:AC$200,"&lt;&gt;-",$D$4:$D$200,"&lt;&gt;是",$E$4:$E$200,"&lt;&gt;封闭期",$H$4:$H$200,"&gt;10",$BN$4:$BN$200,"&gt;-6",$BR$4:$BR$200,"&gt;=70",$K$4:$K$200,"&lt;=30",$C$4:$C$200,"&lt;20190630",AC$4:AC$200,"&gt;="&amp;AC185)&amp;"/"&amp;COUNTIFS(AC$4:AC$200,"&lt;&gt;-",$D$4:$D$200,"&lt;&gt;是",$E$4:$E$200,"&lt;&gt;封闭期",$H$4:$H$200,"&gt;10",$BN$4:$BN$200,"&gt;-6",$BR$4:$BR$200,"&gt;=70",$C$4:$C$200,"&lt;20190630",$K$4:$K$200,"&lt;=30"))</f>
        <v>-</v>
      </c>
      <c r="AG185" s="33" t="str">
        <f>IF(OR($C185&gt;20190630,$K185&gt;30,AC185="-",$D185="是",$E185="封闭期",$H185&lt;10,$BN185&lt;-6,$BR185&lt;70),"-",COUNTIFS(AC$4:AC$200,"&lt;&gt;-",$D$4:$D$200,"&lt;&gt;是",$E$4:$E$200,"&lt;&gt;封闭期",$H$4:$H$200,"&gt;10",$BN$4:$BN$200,"&gt;-6",$BR$4:$BR$200,"&gt;=70",$K$4:$K$200,"&lt;=30",$C$4:$C$200,"&lt;20190630",AC$4:AC$200,"&gt;="&amp;AC185)/COUNTIFS(AC$4:AC$200,"&lt;&gt;-",$D$4:$D$200,"&lt;&gt;是",$E$4:$E$200,"&lt;&gt;封闭期",$H$4:$H$200,"&gt;10",$BN$4:$BN$200,"&gt;-6",$BR$4:$BR$200,"&gt;=70",$C$4:$C$200,"&lt;20190630",$K$4:$K$200,"&lt;=30"))</f>
        <v>-</v>
      </c>
      <c r="AH185" s="21">
        <f>[1]!f_risk_maxdownside(A185,$L$2,$E$1)</f>
        <v>-3.5455974842767231</v>
      </c>
      <c r="AI185" s="19" t="str">
        <f>IFERROR(RANK(AH185,AH:AH)&amp;"/"&amp;COUNT(AH:AH),"-")</f>
        <v>114/197</v>
      </c>
      <c r="AJ185" s="26">
        <f>IFERROR(RANK(AH185,AH:AH)/COUNT(AH:AH),"-")</f>
        <v>0.57868020304568524</v>
      </c>
      <c r="AK185" s="34" t="str">
        <f>IF(OR($C185&gt;20190630,$K185&gt;30,AH185="-",$D185="是",$E185="封闭期",$H185&lt;10,$BN185&lt;-6,$BR185&lt;70),"-",COUNTIFS(AH$4:AH$200,"&lt;&gt;-",$D$4:$D$200,"&lt;&gt;是",$E$4:$E$200,"&lt;&gt;封闭期",$H$4:$H$200,"&gt;10",$BN$4:$BN$200,"&gt;-6",$BR$4:$BR$200,"&gt;=70",$K$4:$K$200,"&lt;=30",$C$4:$C$200,"&lt;20190630",AH$4:AH$200,"&gt;="&amp;AH185)&amp;"/"&amp;COUNTIFS(AH$4:AH$200,"&lt;&gt;-",$D$4:$D$200,"&lt;&gt;是",$E$4:$E$200,"&lt;&gt;封闭期",$H$4:$H$200,"&gt;10",$BN$4:$BN$200,"&gt;-6",$BR$4:$BR$200,"&gt;=70",$C$4:$C$200,"&lt;20190630",$K$4:$K$200,"&lt;=30"))</f>
        <v>-</v>
      </c>
      <c r="AL185" s="33" t="str">
        <f>IF(OR($C185&gt;20190630,$K185&gt;30,AH185="-",$D185="是",$E185="封闭期",$H185&lt;10,$BN185&lt;-6,$BR185&lt;70),"-",COUNTIFS(AH$4:AH$200,"&lt;&gt;-",$D$4:$D$200,"&lt;&gt;是",$E$4:$E$200,"&lt;&gt;封闭期",$H$4:$H$200,"&gt;10",$BN$4:$BN$200,"&gt;-6",$BR$4:$BR$200,"&gt;=70",$K$4:$K$200,"&lt;=30",$C$4:$C$200,"&lt;20190630",AH$4:AH$200,"&gt;="&amp;AH185)/COUNTIFS(AH$4:AH$200,"&lt;&gt;-",$D$4:$D$200,"&lt;&gt;是",$E$4:$E$200,"&lt;&gt;封闭期",$H$4:$H$200,"&gt;10",$BN$4:$BN$200,"&gt;-6",$BR$4:$BR$200,"&gt;=70",$C$4:$C$200,"&lt;20190630",$K$4:$K$200,"&lt;=30"))</f>
        <v>-</v>
      </c>
      <c r="AM185" s="19">
        <f>[1]!f_return($A185,"1",AM$2,$L$2)</f>
        <v>2.2687267538602063</v>
      </c>
      <c r="AN185" s="19">
        <f>[1]!f_risk_stdevyearly($A185,AM$2,$L$2,1,1)</f>
        <v>2.1267412478617529</v>
      </c>
      <c r="AO185" s="19">
        <f>IFERROR(AM185/AN185,"-")</f>
        <v>1.0667620032014742</v>
      </c>
      <c r="AP185" s="19" t="str">
        <f>IFERROR(RANK(AO185,AO:AO)&amp;"/"&amp;COUNT(AO:AO),"-")</f>
        <v>155/197</v>
      </c>
      <c r="AQ185" s="26">
        <f>IF(AP185="-","-",RANK(AO185,AO:AO)/COUNT(AO:AO))</f>
        <v>0.78680203045685282</v>
      </c>
      <c r="AR185" s="57">
        <v>0.92385786802030456</v>
      </c>
      <c r="AS185" s="33" t="str">
        <f>IF(OR($C185&gt;20190630,$K185&gt;30,AO185="-",$D185="是",$E185="封闭期",$H185&lt;10,$BN185&lt;-6,$BR185&lt;70),"-",COUNTIFS(AO$4:AO$200,"&lt;&gt;-",$D$4:$D$200,"&lt;&gt;是",$E$4:$E$200,"&lt;&gt;封闭期",$H$4:$H$200,"&gt;10",$BN$4:$BN$200,"&gt;-6",$BR$4:$BR$200,"&gt;=70",$K$4:$K$200,"&lt;=30",$C$4:$C$200,"&lt;20190630",AO$4:AO$200,"&gt;="&amp;AO185)/COUNTIFS(AO$4:AO$200,"&lt;&gt;-",$D$4:$D$200,"&lt;&gt;是",$E$4:$E$200,"&lt;&gt;封闭期",$H$4:$H$200,"&gt;10",$BN$4:$BN$200,"&gt;-6",$BR$4:$BR$200,"&gt;=70",$C$4:$C$200,"&lt;20190630",$K$4:$K$200,"&lt;=30"))</f>
        <v>-</v>
      </c>
      <c r="AT185" s="19">
        <f>IFERROR((AM185-3)/AN185,"-")</f>
        <v>-0.34384683462316973</v>
      </c>
      <c r="AU185" s="19" t="str">
        <f>IFERROR(RANK(AT185,AT:AT)&amp;"/"&amp;COUNT(AT:AT),"-")</f>
        <v>179/197</v>
      </c>
      <c r="AV185" s="26">
        <f>IFERROR(RANK(AT185,AT:AT)/COUNT(AT:AT),"-")</f>
        <v>0.90862944162436543</v>
      </c>
      <c r="AW185" s="34" t="str">
        <f>IF(OR($C185&gt;20190630,$K185&gt;30,AT185="-",$D185="是",$E185="封闭期",$H185&lt;10,$BN185&lt;-6,$BR185&lt;70),"-",COUNTIFS(AT$4:AT$200,"&lt;&gt;-",$D$4:$D$200,"&lt;&gt;是",$E$4:$E$200,"&lt;&gt;封闭期",$H$4:$H$200,"&gt;10",$BN$4:$BN$200,"&gt;-6",$BR$4:$BR$200,"&gt;=70",$K$4:$K$200,"&lt;=30",$C$4:$C$200,"&lt;20190630",AT$4:AT$200,"&gt;="&amp;AT185)&amp;"/"&amp;COUNTIFS(AT$4:AT$200,"&lt;&gt;-",$D$4:$D$200,"&lt;&gt;是",$E$4:$E$200,"&lt;&gt;封闭期",$H$4:$H$200,"&gt;10",$BN$4:$BN$200,"&gt;-6",$BR$4:$BR$200,"&gt;=70",$C$4:$C$200,"&lt;20190630",$K$4:$K$200,"&lt;=30"))</f>
        <v>-</v>
      </c>
      <c r="AX185" s="33" t="str">
        <f>IF(OR($C185&gt;20190630,$K185&gt;30,AT185="-",$D185="是",$E185="封闭期",$H185&lt;10,$BN185&lt;-6,$BR185&lt;70),"-",COUNTIFS(AT$4:AT$200,"&lt;&gt;-",$D$4:$D$200,"&lt;&gt;是",$E$4:$E$200,"&lt;&gt;封闭期",$H$4:$H$200,"&gt;10",$BN$4:$BN$200,"&gt;-6",$BR$4:$BR$200,"&gt;=70",$K$4:$K$200,"&lt;=30",$C$4:$C$200,"&lt;20190630",AT$4:AT$200,"&gt;="&amp;AT185)/COUNTIFS(AT$4:AT$200,"&lt;&gt;-",$D$4:$D$200,"&lt;&gt;是",$E$4:$E$200,"&lt;&gt;封闭期",$H$4:$H$200,"&gt;10",$BN$4:$BN$200,"&gt;-6",$BR$4:$BR$200,"&gt;=70",$C$4:$C$200,"&lt;20190630",$K$4:$K$200,"&lt;=30"))</f>
        <v>-</v>
      </c>
      <c r="AY185" s="19">
        <f>[1]!f_risk_calmar(A185,$AM$2,$L$2)</f>
        <v>1.0789375207914842</v>
      </c>
      <c r="AZ185" s="19" t="str">
        <f>IFERROR(RANK(AY185,AY:AY)&amp;"/"&amp;COUNT(AY:AY),"-")</f>
        <v>165/197</v>
      </c>
      <c r="BA185" s="26">
        <f>IFERROR(RANK(AY185,AY:AY)/COUNT(AY:AY),"-")</f>
        <v>0.8375634517766497</v>
      </c>
      <c r="BB185" s="34" t="str">
        <f>IF(OR($C185&gt;20190630,$K185&gt;30,AY185="-",$D185="是",$E185="封闭期",$H185&lt;10,$BN185&lt;-6,$BR185&lt;70),"-",COUNTIFS(AY$4:AY$200,"&lt;&gt;-",$D$4:$D$200,"&lt;&gt;是",$E$4:$E$200,"&lt;&gt;封闭期",$H$4:$H$200,"&gt;10",$BN$4:$BN$200,"&gt;-6",$BR$4:$BR$200,"&gt;=70",$K$4:$K$200,"&lt;=30",$C$4:$C$200,"&lt;20190630",AY$4:AY$200,"&gt;="&amp;AY185)&amp;"/"&amp;COUNTIFS(AY$4:AY$200,"&lt;&gt;-",$D$4:$D$200,"&lt;&gt;是",$E$4:$E$200,"&lt;&gt;封闭期",$H$4:$H$200,"&gt;10",$BN$4:$BN$200,"&gt;-6",$BR$4:$BR$200,"&gt;=70",$C$4:$C$200,"&lt;20190630",$K$4:$K$200,"&lt;=30"))</f>
        <v>-</v>
      </c>
      <c r="BC185" s="33" t="str">
        <f>IF(OR($C185&gt;20190630,$K185&gt;30,AY185="-",$D185="是",$E185="封闭期",$H185&lt;10,$BN185&lt;-6,$BR185&lt;70),"-",COUNTIFS(AY$4:AY$200,"&lt;&gt;-",$D$4:$D$200,"&lt;&gt;是",$E$4:$E$200,"&lt;&gt;封闭期",$H$4:$H$200,"&gt;10",$BN$4:$BN$200,"&gt;-6",$BR$4:$BR$200,"&gt;=70",$K$4:$K$200,"&lt;=30",$C$4:$C$200,"&lt;20190630",AY$4:AY$200,"&gt;="&amp;AY185)/COUNTIFS(AY$4:AY$200,"&lt;&gt;-",$D$4:$D$200,"&lt;&gt;是",$E$4:$E$200,"&lt;&gt;封闭期",$H$4:$H$200,"&gt;10",$BN$4:$BN$200,"&gt;-6",$BR$4:$BR$200,"&gt;=70",$C$4:$C$200,"&lt;20190630",$K$4:$K$200,"&lt;=30"))</f>
        <v>-</v>
      </c>
      <c r="BD185" s="20">
        <v>0.98333333333333328</v>
      </c>
      <c r="BE185" s="19" t="str">
        <f>IFERROR(RANK(BD185,BD:BD)&amp;"/"&amp;COUNT(BD:BD),"-")</f>
        <v>147/197</v>
      </c>
      <c r="BF185" s="26">
        <f>IFERROR(RANK(BD185,BD:BD)/COUNT(BD:BD),"-")</f>
        <v>0.74619289340101524</v>
      </c>
      <c r="BG185" s="34" t="str">
        <f>IF(OR($C185&gt;20190630,$K185&gt;30,BD185="-",$D185="是",$E185="封闭期",$H185&lt;10,$BN185&lt;-6,$BR185&lt;70),"-",COUNTIFS(BD$4:BD$200,"&lt;&gt;-",$D$4:$D$200,"&lt;&gt;是",$E$4:$E$200,"&lt;&gt;封闭期",$H$4:$H$200,"&gt;10",$BN$4:$BN$200,"&gt;-6",$BR$4:$BR$200,"&gt;=70",$K$4:$K$200,"&lt;=30",$C$4:$C$200,"&lt;20190630",BD$4:BD$200,"&gt;="&amp;BD185)&amp;"/"&amp;COUNTIFS(BD$4:BD$200,"&lt;&gt;-",$D$4:$D$200,"&lt;&gt;是",$E$4:$E$200,"&lt;&gt;封闭期",$H$4:$H$200,"&gt;10",$BN$4:$BN$200,"&gt;-6",$BR$4:$BR$200,"&gt;=70",$C$4:$C$200,"&lt;20190630",$K$4:$K$200,"&lt;=30"))</f>
        <v>-</v>
      </c>
      <c r="BH185" s="33" t="str">
        <f>IF(OR($C185&gt;20190630,$K185&gt;30,BD185="-",$D185="是",$E185="封闭期",$H185&lt;10,$BN185&lt;-6,$BR185&lt;70),"-",COUNTIFS(BD$4:BD$200,"&lt;&gt;-",$D$4:$D$200,"&lt;&gt;是",$E$4:$E$200,"&lt;&gt;封闭期",$H$4:$H$200,"&gt;10",$BN$4:$BN$200,"&gt;-6",$BR$4:$BR$200,"&gt;=70",$K$4:$K$200,"&lt;=30",$C$4:$C$200,"&lt;20190630",BD$4:BD$200,"&gt;="&amp;BD185)/COUNTIFS(BD$4:BD$200,"&lt;&gt;-",$D$4:$D$200,"&lt;&gt;是",$E$4:$E$200,"&lt;&gt;封闭期",$H$4:$H$200,"&gt;10",$BN$4:$BN$200,"&gt;-6",$BR$4:$BR$200,"&gt;=70",$C$4:$C$200,"&lt;20190630",$K$4:$K$200,"&lt;=30"))</f>
        <v>-</v>
      </c>
      <c r="BI185" s="21">
        <f>[1]!f_risk_maxdownside(A185,$AM$2,$L$2)</f>
        <v>-2.1027415491083485</v>
      </c>
      <c r="BJ185" s="19" t="str">
        <f>IFERROR(RANK(BI185,BI:BI)&amp;"/"&amp;COUNT(BI:BI),"-")</f>
        <v>39/197</v>
      </c>
      <c r="BK185" s="26">
        <f>IFERROR(RANK(BI185,BI:BI)/COUNT(BI:BI),"-")</f>
        <v>0.19796954314720813</v>
      </c>
      <c r="BL185" s="34" t="str">
        <f>IF(OR($C185&gt;20190630,$K185&gt;30,BI185="-",$D185="是",$E185="封闭期",$H185&lt;10,$BN185&lt;-6,$BR185&lt;70),"-",COUNTIFS(BI$4:BI$200,"&lt;&gt;-",$D$4:$D$200,"&lt;&gt;是",$E$4:$E$200,"&lt;&gt;封闭期",$H$4:$H$200,"&gt;10",$BN$4:$BN$200,"&gt;-6",$BR$4:$BR$200,"&gt;=70",$K$4:$K$200,"&lt;=30",$C$4:$C$200,"&lt;20190630",BI$4:BI$200,"&gt;="&amp;BI185)&amp;"/"&amp;COUNTIFS(BI$4:BI$200,"&lt;&gt;-",$D$4:$D$200,"&lt;&gt;是",$E$4:$E$200,"&lt;&gt;封闭期",$H$4:$H$200,"&gt;10",$BN$4:$BN$200,"&gt;-6",$BR$4:$BR$200,"&gt;=70",$C$4:$C$200,"&lt;20190630",$K$4:$K$200,"&lt;=30"))</f>
        <v>-</v>
      </c>
      <c r="BM185" s="33" t="str">
        <f>IF(OR($C185&gt;20190630,$K185&gt;30,BI185="-",$D185="是",$E185="封闭期",$H185&lt;10,$BN185&lt;-6,$BR185&lt;70),"-",COUNTIFS(BI$4:BI$200,"&lt;&gt;-",$D$4:$D$200,"&lt;&gt;是",$E$4:$E$200,"&lt;&gt;封闭期",$H$4:$H$200,"&gt;10",$BN$4:$BN$200,"&gt;-6",$BR$4:$BR$200,"&gt;=70",$K$4:$K$200,"&lt;=30",$C$4:$C$200,"&lt;20190630",BI$4:BI$200,"&gt;="&amp;BI185)/COUNTIFS(BI$4:BI$200,"&lt;&gt;-",$D$4:$D$200,"&lt;&gt;是",$E$4:$E$200,"&lt;&gt;封闭期",$H$4:$H$200,"&gt;10",$BN$4:$BN$200,"&gt;-6",$BR$4:$BR$200,"&gt;=70",$C$4:$C$200,"&lt;20190630",$K$4:$K$200,"&lt;=30"))</f>
        <v>-</v>
      </c>
      <c r="BN185" s="21">
        <f>[1]!f_risk_maxdownside(A185,$AM$2,$E$1)</f>
        <v>-3.5455974842767231</v>
      </c>
      <c r="BO185" s="21">
        <f>IF(C185&lt;20190930,[1]!f_return_2y(A185,"0","20210930"),"-")</f>
        <v>13.243814954474409</v>
      </c>
      <c r="BP185" s="19" t="str">
        <f>IFERROR(RANK(BO185,BO:BO)&amp;"/"&amp;COUNT(BO:BO),"-")</f>
        <v>102/197</v>
      </c>
      <c r="BQ185" s="25">
        <f>IFERROR(RANK(BO185,BO:BO)/COUNT(BO:BO),"-")</f>
        <v>0.51776649746192893</v>
      </c>
      <c r="BR185" s="19">
        <f>IF(C185&lt;20190930,[1]!f_absolute_profitmonthper(A185,"20190930","20210930"),"-")</f>
        <v>75</v>
      </c>
      <c r="BS185" s="19" t="str">
        <f>IFERROR(RANK(BR185,BR:BR)&amp;"/"&amp;COUNT(BR:BR),"-")</f>
        <v>26/198</v>
      </c>
      <c r="BT185" s="25">
        <f>IFERROR(RANK(BR185,BR:BR)/COUNT(BR:BR),"-")</f>
        <v>0.13131313131313133</v>
      </c>
      <c r="BV185" s="12">
        <f>X185-3/M185</f>
        <v>2.4237893991365667</v>
      </c>
      <c r="BW185" s="76">
        <f>IFERROR(RANK(BV185,BV:BV)/COUNT(BV:BV),"-")</f>
        <v>0.28426395939086296</v>
      </c>
      <c r="BX185" s="76">
        <f>IFERROR(RANK(L185,L:L)/COUNT(L:L),"-")</f>
        <v>0.14141414141414141</v>
      </c>
      <c r="BY185" s="12">
        <f>AY185-3/AN185</f>
        <v>-0.33167131703315955</v>
      </c>
      <c r="BZ185" s="76">
        <f>IFERROR(RANK(BY185,BY:BY)/COUNT(BY:BY),"-")</f>
        <v>0.8883248730964467</v>
      </c>
      <c r="CA185" s="76">
        <f>IFERROR(RANK(AM185,AM:AM)/COUNT(AM:AM),"-")</f>
        <v>0.9242424242424242</v>
      </c>
      <c r="CB185" s="2"/>
      <c r="CC185" s="77">
        <f>AV185+BF185+BZ185+CA185</f>
        <v>3.4673896323642515</v>
      </c>
      <c r="CD185" s="77">
        <f>BW185+BX185+AE185+U185</f>
        <v>0.59319079116033424</v>
      </c>
      <c r="CE185" s="77">
        <f>CC185+CD185</f>
        <v>4.0605804235245859</v>
      </c>
    </row>
    <row r="186" spans="1:83" s="17" customFormat="1" hidden="1" x14ac:dyDescent="0.35">
      <c r="A186" s="15" t="s">
        <v>391</v>
      </c>
      <c r="B186" s="15" t="s">
        <v>392</v>
      </c>
      <c r="C186" s="16">
        <v>20190326</v>
      </c>
      <c r="D186" s="16" t="str">
        <f>[1]!f_info_regulopenfundornot(A186)</f>
        <v>否</v>
      </c>
      <c r="E186" s="16" t="str">
        <f>[1]!f_dq_status(A186,$E$1)</f>
        <v>开放申购|开放赎回</v>
      </c>
      <c r="F186" s="17" t="str">
        <f>[1]!f_info_fundmanager(A186)</f>
        <v>牛兴华</v>
      </c>
      <c r="G186" s="16">
        <v>20190326</v>
      </c>
      <c r="H186" s="18">
        <f>[1]!f_netasset_total(A186,$E$1,100000000)</f>
        <v>0.1414950401</v>
      </c>
      <c r="I186" s="18">
        <f>[1]!f_prt_convertiblebondtonav(A186,$E$1)</f>
        <v>2.6948902606964111</v>
      </c>
      <c r="J186" s="18">
        <f>[1]!f_prt_stocktonav(A186,$E$1)+0.5*I186</f>
        <v>8.4560390710830688</v>
      </c>
      <c r="K186" s="19">
        <v>0</v>
      </c>
      <c r="L186" s="19">
        <f>[1]!f_return($A186,"1",L$2,$E$1)</f>
        <v>9.667460291571107</v>
      </c>
      <c r="M186" s="19">
        <f>[1]!f_risk_stdevyearly($A186,L$2,$E$1,1,1)</f>
        <v>6.0327393899454407</v>
      </c>
      <c r="N186" s="19">
        <f>IFERROR(L186/M186,"-")</f>
        <v>1.6024992406739018</v>
      </c>
      <c r="O186" s="19" t="str">
        <f>IFERROR(RANK(N186,N:N)&amp;"/"&amp;COUNT(N:N),"-")</f>
        <v>80/197</v>
      </c>
      <c r="P186" s="26">
        <f>IF(O186="-","-",RANK(N186,N:N)/COUNT(N:N))</f>
        <v>0.40609137055837563</v>
      </c>
      <c r="Q186" s="56">
        <v>0.18274111675126903</v>
      </c>
      <c r="R186" s="33" t="str">
        <f>IF(OR($C186&gt;20190630,$K186&gt;30,N186="-",$D186="是",$E186="封闭期",$H186&lt;10,$BN186&lt;-6,$BR186&lt;70),"-",COUNTIFS(N$4:N$200,"&lt;&gt;-",$D$4:$D$200,"&lt;&gt;是",$E$4:$E$200,"&lt;&gt;封闭期",$H$4:$H$200,"&gt;10",$BN$4:$BN$200,"&gt;-6",$BR$4:$BR$200,"&gt;=70",$K$4:$K$200,"&lt;=30",$C$4:$C$200,"&lt;20190630",N$4:N$200,"&gt;="&amp;N186)/COUNTIFS(N$4:N$200,"&lt;&gt;-",$D$4:$D$200,"&lt;&gt;是",$E$4:$E$200,"&lt;&gt;封闭期",$H$4:$H$200,"&gt;10",$BN$4:$BN$200,"&gt;-6",$BR$4:$BR$200,"&gt;=70",$C$4:$C$200,"&lt;20190630",$K$4:$K$200,"&lt;=30"))</f>
        <v>-</v>
      </c>
      <c r="S186" s="19">
        <f>IFERROR((L186-3)/M186,"-")</f>
        <v>1.1052127169099222</v>
      </c>
      <c r="T186" s="19" t="str">
        <f>IFERROR(RANK(S186,S:S)&amp;"/"&amp;COUNT(S:S),"-")</f>
        <v>67/197</v>
      </c>
      <c r="U186" s="26">
        <f>IFERROR(RANK(S186,S:S)/COUNT(S:S),"-")</f>
        <v>0.34010152284263961</v>
      </c>
      <c r="V186" s="34" t="str">
        <f>IF(OR($C186&gt;20190630,$K186&gt;30,S186="-",$D186="是",$E186="封闭期",$H186&lt;10,$BN186&lt;-6,$BR186&lt;70),"-",COUNTIFS(S$4:S$200,"&lt;&gt;-",$D$4:$D$200,"&lt;&gt;是",$E$4:$E$200,"&lt;&gt;封闭期",$H$4:$H$200,"&gt;10",$BN$4:$BN$200,"&gt;-6",$BR$4:$BR$200,"&gt;=70",$K$4:$K$200,"&lt;=30",$C$4:$C$200,"&lt;20190630",S$4:S$200,"&gt;="&amp;S186)&amp;"/"&amp;COUNTIFS(S$4:S$200,"&lt;&gt;-",$D$4:$D$200,"&lt;&gt;是",$E$4:$E$200,"&lt;&gt;封闭期",$H$4:$H$200,"&gt;10",$BN$4:$BN$200,"&gt;-6",$BR$4:$BR$200,"&gt;=70",$C$4:$C$200,"&lt;20190630",$K$4:$K$200,"&lt;=30"))</f>
        <v>-</v>
      </c>
      <c r="W186" s="33" t="str">
        <f>IF(OR($C186&gt;20190630,$K186&gt;30,S186="-",$D186="是",$E186="封闭期",$H186&lt;10,$BN186&lt;-6,$BR186&lt;70),"-",COUNTIFS(S$4:S$200,"&lt;&gt;-",$D$4:$D$200,"&lt;&gt;是",$E$4:$E$200,"&lt;&gt;封闭期",$H$4:$H$200,"&gt;10",$BN$4:$BN$200,"&gt;-6",$BR$4:$BR$200,"&gt;=70",$K$4:$K$200,"&lt;=30",$C$4:$C$200,"&lt;20190630",S$4:S$200,"&gt;="&amp;S186)/COUNTIFS(S$4:S$200,"&lt;&gt;-",$D$4:$D$200,"&lt;&gt;是",$E$4:$E$200,"&lt;&gt;封闭期",$H$4:$H$200,"&gt;10",$BN$4:$BN$200,"&gt;-6",$BR$4:$BR$200,"&gt;=70",$C$4:$C$200,"&lt;20190630",$K$4:$K$200,"&lt;=30"))</f>
        <v>-</v>
      </c>
      <c r="X186" s="19">
        <f>[1]!f_risk_calmar(A186,$L$2,$E$1)</f>
        <v>1.6785243755445109</v>
      </c>
      <c r="Y186" s="19" t="str">
        <f>IFERROR(RANK(X186,X:X)&amp;"/"&amp;COUNT(X:X),"-")</f>
        <v>118/197</v>
      </c>
      <c r="Z186" s="26">
        <f>IFERROR(RANK(X186,X:X)/COUNT(X:X),"-")</f>
        <v>0.59898477157360408</v>
      </c>
      <c r="AA186" s="34" t="str">
        <f>IF(OR($C186&gt;20190630,$K186&gt;30,X186="-",$D186="是",$E186="封闭期",$H186&lt;10,$BN186&lt;-6,$BR186&lt;70),"-",COUNTIFS(X$4:X$200,"&lt;&gt;-",$D$4:$D$200,"&lt;&gt;是",$E$4:$E$200,"&lt;&gt;封闭期",$H$4:$H$200,"&gt;10",$BN$4:$BN$200,"&gt;-6",$BR$4:$BR$200,"&gt;=70",$K$4:$K$200,"&lt;=30",$C$4:$C$200,"&lt;20190630",X$4:X$200,"&gt;="&amp;X186)&amp;"/"&amp;COUNTIFS(X$4:X$200,"&lt;&gt;-",$D$4:$D$200,"&lt;&gt;是",$E$4:$E$200,"&lt;&gt;封闭期",$H$4:$H$200,"&gt;10",$BN$4:$BN$200,"&gt;-6",$BR$4:$BR$200,"&gt;=70",$C$4:$C$200,"&lt;20190630",$K$4:$K$200,"&lt;=30"))</f>
        <v>-</v>
      </c>
      <c r="AB186" s="33" t="str">
        <f>IF(OR($C186&gt;20190630,$K186&gt;30,X186="-",$D186="是",$E186="封闭期",$H186&lt;10,$BN186&lt;-6,$BR186&lt;70),"-",COUNTIFS(X$4:X$200,"&lt;&gt;-",$D$4:$D$200,"&lt;&gt;是",$E$4:$E$200,"&lt;&gt;封闭期",$H$4:$H$200,"&gt;10",$BN$4:$BN$200,"&gt;-6",$BR$4:$BR$200,"&gt;=70",$K$4:$K$200,"&lt;=30",$C$4:$C$200,"&lt;20190630",X$4:X$200,"&gt;="&amp;X186)/COUNTIFS(X$4:X$200,"&lt;&gt;-",$D$4:$D$200,"&lt;&gt;是",$E$4:$E$200,"&lt;&gt;封闭期",$H$4:$H$200,"&gt;10",$BN$4:$BN$200,"&gt;-6",$BR$4:$BR$200,"&gt;=70",$C$4:$C$200,"&lt;20190630",$K$4:$K$200,"&lt;=30"))</f>
        <v>-</v>
      </c>
      <c r="AC186" s="20">
        <v>0.99159663865546221</v>
      </c>
      <c r="AD186" s="19" t="str">
        <f>IFERROR(RANK(AC186,AC:AC)&amp;"/"&amp;COUNT(AC:AC),"-")</f>
        <v>91/197</v>
      </c>
      <c r="AE186" s="26">
        <f>IFERROR(RANK(AC186,AC:AC)/COUNT(AC:AC),"-")</f>
        <v>0.46192893401015228</v>
      </c>
      <c r="AF186" s="34" t="str">
        <f>IF(OR($C186&gt;20190630,$K186&gt;30,AC186="-",$D186="是",$E186="封闭期",$H186&lt;10,$BN186&lt;-6,$BR186&lt;70),"-",COUNTIFS(AC$4:AC$200,"&lt;&gt;-",$D$4:$D$200,"&lt;&gt;是",$E$4:$E$200,"&lt;&gt;封闭期",$H$4:$H$200,"&gt;10",$BN$4:$BN$200,"&gt;-6",$BR$4:$BR$200,"&gt;=70",$K$4:$K$200,"&lt;=30",$C$4:$C$200,"&lt;20190630",AC$4:AC$200,"&gt;="&amp;AC186)&amp;"/"&amp;COUNTIFS(AC$4:AC$200,"&lt;&gt;-",$D$4:$D$200,"&lt;&gt;是",$E$4:$E$200,"&lt;&gt;封闭期",$H$4:$H$200,"&gt;10",$BN$4:$BN$200,"&gt;-6",$BR$4:$BR$200,"&gt;=70",$C$4:$C$200,"&lt;20190630",$K$4:$K$200,"&lt;=30"))</f>
        <v>-</v>
      </c>
      <c r="AG186" s="33" t="str">
        <f>IF(OR($C186&gt;20190630,$K186&gt;30,AC186="-",$D186="是",$E186="封闭期",$H186&lt;10,$BN186&lt;-6,$BR186&lt;70),"-",COUNTIFS(AC$4:AC$200,"&lt;&gt;-",$D$4:$D$200,"&lt;&gt;是",$E$4:$E$200,"&lt;&gt;封闭期",$H$4:$H$200,"&gt;10",$BN$4:$BN$200,"&gt;-6",$BR$4:$BR$200,"&gt;=70",$K$4:$K$200,"&lt;=30",$C$4:$C$200,"&lt;20190630",AC$4:AC$200,"&gt;="&amp;AC186)/COUNTIFS(AC$4:AC$200,"&lt;&gt;-",$D$4:$D$200,"&lt;&gt;是",$E$4:$E$200,"&lt;&gt;封闭期",$H$4:$H$200,"&gt;10",$BN$4:$BN$200,"&gt;-6",$BR$4:$BR$200,"&gt;=70",$C$4:$C$200,"&lt;20190630",$K$4:$K$200,"&lt;=30"))</f>
        <v>-</v>
      </c>
      <c r="AH186" s="21">
        <f>[1]!f_risk_maxdownside(A186,$L$2,$E$1)</f>
        <v>-5.759499493973685</v>
      </c>
      <c r="AI186" s="19" t="str">
        <f>IFERROR(RANK(AH186,AH:AH)&amp;"/"&amp;COUNT(AH:AH),"-")</f>
        <v>172/197</v>
      </c>
      <c r="AJ186" s="26">
        <f>IFERROR(RANK(AH186,AH:AH)/COUNT(AH:AH),"-")</f>
        <v>0.87309644670050757</v>
      </c>
      <c r="AK186" s="34" t="str">
        <f>IF(OR($C186&gt;20190630,$K186&gt;30,AH186="-",$D186="是",$E186="封闭期",$H186&lt;10,$BN186&lt;-6,$BR186&lt;70),"-",COUNTIFS(AH$4:AH$200,"&lt;&gt;-",$D$4:$D$200,"&lt;&gt;是",$E$4:$E$200,"&lt;&gt;封闭期",$H$4:$H$200,"&gt;10",$BN$4:$BN$200,"&gt;-6",$BR$4:$BR$200,"&gt;=70",$K$4:$K$200,"&lt;=30",$C$4:$C$200,"&lt;20190630",AH$4:AH$200,"&gt;="&amp;AH186)&amp;"/"&amp;COUNTIFS(AH$4:AH$200,"&lt;&gt;-",$D$4:$D$200,"&lt;&gt;是",$E$4:$E$200,"&lt;&gt;封闭期",$H$4:$H$200,"&gt;10",$BN$4:$BN$200,"&gt;-6",$BR$4:$BR$200,"&gt;=70",$C$4:$C$200,"&lt;20190630",$K$4:$K$200,"&lt;=30"))</f>
        <v>-</v>
      </c>
      <c r="AL186" s="33" t="str">
        <f>IF(OR($C186&gt;20190630,$K186&gt;30,AH186="-",$D186="是",$E186="封闭期",$H186&lt;10,$BN186&lt;-6,$BR186&lt;70),"-",COUNTIFS(AH$4:AH$200,"&lt;&gt;-",$D$4:$D$200,"&lt;&gt;是",$E$4:$E$200,"&lt;&gt;封闭期",$H$4:$H$200,"&gt;10",$BN$4:$BN$200,"&gt;-6",$BR$4:$BR$200,"&gt;=70",$K$4:$K$200,"&lt;=30",$C$4:$C$200,"&lt;20190630",AH$4:AH$200,"&gt;="&amp;AH186)/COUNTIFS(AH$4:AH$200,"&lt;&gt;-",$D$4:$D$200,"&lt;&gt;是",$E$4:$E$200,"&lt;&gt;封闭期",$H$4:$H$200,"&gt;10",$BN$4:$BN$200,"&gt;-6",$BR$4:$BR$200,"&gt;=70",$C$4:$C$200,"&lt;20190630",$K$4:$K$200,"&lt;=30"))</f>
        <v>-</v>
      </c>
      <c r="AM186" s="19">
        <f>[1]!f_return($A186,"1",AM$2,$L$2)</f>
        <v>2.2565561786378474</v>
      </c>
      <c r="AN186" s="19">
        <f>[1]!f_risk_stdevyearly($A186,AM$2,$L$2,1,1)</f>
        <v>2.7772180526926085</v>
      </c>
      <c r="AO186" s="19">
        <f>IFERROR(AM186/AN186,"-")</f>
        <v>0.81252394872272937</v>
      </c>
      <c r="AP186" s="19" t="str">
        <f>IFERROR(RANK(AO186,AO:AO)&amp;"/"&amp;COUNT(AO:AO),"-")</f>
        <v>175/197</v>
      </c>
      <c r="AQ186" s="26">
        <f>IF(AP186="-","-",RANK(AO186,AO:AO)/COUNT(AO:AO))</f>
        <v>0.8883248730964467</v>
      </c>
      <c r="AR186" s="57">
        <v>0.92893401015228427</v>
      </c>
      <c r="AS186" s="33" t="str">
        <f>IF(OR($C186&gt;20190630,$K186&gt;30,AO186="-",$D186="是",$E186="封闭期",$H186&lt;10,$BN186&lt;-6,$BR186&lt;70),"-",COUNTIFS(AO$4:AO$200,"&lt;&gt;-",$D$4:$D$200,"&lt;&gt;是",$E$4:$E$200,"&lt;&gt;封闭期",$H$4:$H$200,"&gt;10",$BN$4:$BN$200,"&gt;-6",$BR$4:$BR$200,"&gt;=70",$K$4:$K$200,"&lt;=30",$C$4:$C$200,"&lt;20190630",AO$4:AO$200,"&gt;="&amp;AO186)/COUNTIFS(AO$4:AO$200,"&lt;&gt;-",$D$4:$D$200,"&lt;&gt;是",$E$4:$E$200,"&lt;&gt;封闭期",$H$4:$H$200,"&gt;10",$BN$4:$BN$200,"&gt;-6",$BR$4:$BR$200,"&gt;=70",$C$4:$C$200,"&lt;20190630",$K$4:$K$200,"&lt;=30"))</f>
        <v>-</v>
      </c>
      <c r="AT186" s="19">
        <f>IFERROR((AM186-3)/AN186,"-")</f>
        <v>-0.2676937162501008</v>
      </c>
      <c r="AU186" s="19" t="str">
        <f>IFERROR(RANK(AT186,AT:AT)&amp;"/"&amp;COUNT(AT:AT),"-")</f>
        <v>176/197</v>
      </c>
      <c r="AV186" s="26">
        <f>IFERROR(RANK(AT186,AT:AT)/COUNT(AT:AT),"-")</f>
        <v>0.89340101522842641</v>
      </c>
      <c r="AW186" s="34" t="str">
        <f>IF(OR($C186&gt;20190630,$K186&gt;30,AT186="-",$D186="是",$E186="封闭期",$H186&lt;10,$BN186&lt;-6,$BR186&lt;70),"-",COUNTIFS(AT$4:AT$200,"&lt;&gt;-",$D$4:$D$200,"&lt;&gt;是",$E$4:$E$200,"&lt;&gt;封闭期",$H$4:$H$200,"&gt;10",$BN$4:$BN$200,"&gt;-6",$BR$4:$BR$200,"&gt;=70",$K$4:$K$200,"&lt;=30",$C$4:$C$200,"&lt;20190630",AT$4:AT$200,"&gt;="&amp;AT186)&amp;"/"&amp;COUNTIFS(AT$4:AT$200,"&lt;&gt;-",$D$4:$D$200,"&lt;&gt;是",$E$4:$E$200,"&lt;&gt;封闭期",$H$4:$H$200,"&gt;10",$BN$4:$BN$200,"&gt;-6",$BR$4:$BR$200,"&gt;=70",$C$4:$C$200,"&lt;20190630",$K$4:$K$200,"&lt;=30"))</f>
        <v>-</v>
      </c>
      <c r="AX186" s="33" t="str">
        <f>IF(OR($C186&gt;20190630,$K186&gt;30,AT186="-",$D186="是",$E186="封闭期",$H186&lt;10,$BN186&lt;-6,$BR186&lt;70),"-",COUNTIFS(AT$4:AT$200,"&lt;&gt;-",$D$4:$D$200,"&lt;&gt;是",$E$4:$E$200,"&lt;&gt;封闭期",$H$4:$H$200,"&gt;10",$BN$4:$BN$200,"&gt;-6",$BR$4:$BR$200,"&gt;=70",$K$4:$K$200,"&lt;=30",$C$4:$C$200,"&lt;20190630",AT$4:AT$200,"&gt;="&amp;AT186)/COUNTIFS(AT$4:AT$200,"&lt;&gt;-",$D$4:$D$200,"&lt;&gt;是",$E$4:$E$200,"&lt;&gt;封闭期",$H$4:$H$200,"&gt;10",$BN$4:$BN$200,"&gt;-6",$BR$4:$BR$200,"&gt;=70",$C$4:$C$200,"&lt;20190630",$K$4:$K$200,"&lt;=30"))</f>
        <v>-</v>
      </c>
      <c r="AY186" s="19">
        <f>[1]!f_risk_calmar(A186,$AM$2,$L$2)</f>
        <v>0.72866504468089011</v>
      </c>
      <c r="AZ186" s="19" t="str">
        <f>IFERROR(RANK(AY186,AY:AY)&amp;"/"&amp;COUNT(AY:AY),"-")</f>
        <v>180/197</v>
      </c>
      <c r="BA186" s="26">
        <f>IFERROR(RANK(AY186,AY:AY)/COUNT(AY:AY),"-")</f>
        <v>0.91370558375634514</v>
      </c>
      <c r="BB186" s="34" t="str">
        <f>IF(OR($C186&gt;20190630,$K186&gt;30,AY186="-",$D186="是",$E186="封闭期",$H186&lt;10,$BN186&lt;-6,$BR186&lt;70),"-",COUNTIFS(AY$4:AY$200,"&lt;&gt;-",$D$4:$D$200,"&lt;&gt;是",$E$4:$E$200,"&lt;&gt;封闭期",$H$4:$H$200,"&gt;10",$BN$4:$BN$200,"&gt;-6",$BR$4:$BR$200,"&gt;=70",$K$4:$K$200,"&lt;=30",$C$4:$C$200,"&lt;20190630",AY$4:AY$200,"&gt;="&amp;AY186)&amp;"/"&amp;COUNTIFS(AY$4:AY$200,"&lt;&gt;-",$D$4:$D$200,"&lt;&gt;是",$E$4:$E$200,"&lt;&gt;封闭期",$H$4:$H$200,"&gt;10",$BN$4:$BN$200,"&gt;-6",$BR$4:$BR$200,"&gt;=70",$C$4:$C$200,"&lt;20190630",$K$4:$K$200,"&lt;=30"))</f>
        <v>-</v>
      </c>
      <c r="BC186" s="33" t="str">
        <f>IF(OR($C186&gt;20190630,$K186&gt;30,AY186="-",$D186="是",$E186="封闭期",$H186&lt;10,$BN186&lt;-6,$BR186&lt;70),"-",COUNTIFS(AY$4:AY$200,"&lt;&gt;-",$D$4:$D$200,"&lt;&gt;是",$E$4:$E$200,"&lt;&gt;封闭期",$H$4:$H$200,"&gt;10",$BN$4:$BN$200,"&gt;-6",$BR$4:$BR$200,"&gt;=70",$K$4:$K$200,"&lt;=30",$C$4:$C$200,"&lt;20190630",AY$4:AY$200,"&gt;="&amp;AY186)/COUNTIFS(AY$4:AY$200,"&lt;&gt;-",$D$4:$D$200,"&lt;&gt;是",$E$4:$E$200,"&lt;&gt;封闭期",$H$4:$H$200,"&gt;10",$BN$4:$BN$200,"&gt;-6",$BR$4:$BR$200,"&gt;=70",$C$4:$C$200,"&lt;20190630",$K$4:$K$200,"&lt;=30"))</f>
        <v>-</v>
      </c>
      <c r="BD186" s="20">
        <v>1</v>
      </c>
      <c r="BE186" s="19" t="str">
        <f>IFERROR(RANK(BD186,BD:BD)&amp;"/"&amp;COUNT(BD:BD),"-")</f>
        <v>1/197</v>
      </c>
      <c r="BF186" s="26">
        <f>IFERROR(RANK(BD186,BD:BD)/COUNT(BD:BD),"-")</f>
        <v>5.076142131979695E-3</v>
      </c>
      <c r="BG186" s="34" t="str">
        <f>IF(OR($C186&gt;20190630,$K186&gt;30,BD186="-",$D186="是",$E186="封闭期",$H186&lt;10,$BN186&lt;-6,$BR186&lt;70),"-",COUNTIFS(BD$4:BD$200,"&lt;&gt;-",$D$4:$D$200,"&lt;&gt;是",$E$4:$E$200,"&lt;&gt;封闭期",$H$4:$H$200,"&gt;10",$BN$4:$BN$200,"&gt;-6",$BR$4:$BR$200,"&gt;=70",$K$4:$K$200,"&lt;=30",$C$4:$C$200,"&lt;20190630",BD$4:BD$200,"&gt;="&amp;BD186)&amp;"/"&amp;COUNTIFS(BD$4:BD$200,"&lt;&gt;-",$D$4:$D$200,"&lt;&gt;是",$E$4:$E$200,"&lt;&gt;封闭期",$H$4:$H$200,"&gt;10",$BN$4:$BN$200,"&gt;-6",$BR$4:$BR$200,"&gt;=70",$C$4:$C$200,"&lt;20190630",$K$4:$K$200,"&lt;=30"))</f>
        <v>-</v>
      </c>
      <c r="BH186" s="33" t="str">
        <f>IF(OR($C186&gt;20190630,$K186&gt;30,BD186="-",$D186="是",$E186="封闭期",$H186&lt;10,$BN186&lt;-6,$BR186&lt;70),"-",COUNTIFS(BD$4:BD$200,"&lt;&gt;-",$D$4:$D$200,"&lt;&gt;是",$E$4:$E$200,"&lt;&gt;封闭期",$H$4:$H$200,"&gt;10",$BN$4:$BN$200,"&gt;-6",$BR$4:$BR$200,"&gt;=70",$K$4:$K$200,"&lt;=30",$C$4:$C$200,"&lt;20190630",BD$4:BD$200,"&gt;="&amp;BD186)/COUNTIFS(BD$4:BD$200,"&lt;&gt;-",$D$4:$D$200,"&lt;&gt;是",$E$4:$E$200,"&lt;&gt;封闭期",$H$4:$H$200,"&gt;10",$BN$4:$BN$200,"&gt;-6",$BR$4:$BR$200,"&gt;=70",$C$4:$C$200,"&lt;20190630",$K$4:$K$200,"&lt;=30"))</f>
        <v>-</v>
      </c>
      <c r="BI186" s="21">
        <f>[1]!f_risk_maxdownside(A186,$AM$2,$L$2)</f>
        <v>-3.0968360498561838</v>
      </c>
      <c r="BJ186" s="19" t="str">
        <f>IFERROR(RANK(BI186,BI:BI)&amp;"/"&amp;COUNT(BI:BI),"-")</f>
        <v>92/197</v>
      </c>
      <c r="BK186" s="26">
        <f>IFERROR(RANK(BI186,BI:BI)/COUNT(BI:BI),"-")</f>
        <v>0.46700507614213199</v>
      </c>
      <c r="BL186" s="34" t="str">
        <f>IF(OR($C186&gt;20190630,$K186&gt;30,BI186="-",$D186="是",$E186="封闭期",$H186&lt;10,$BN186&lt;-6,$BR186&lt;70),"-",COUNTIFS(BI$4:BI$200,"&lt;&gt;-",$D$4:$D$200,"&lt;&gt;是",$E$4:$E$200,"&lt;&gt;封闭期",$H$4:$H$200,"&gt;10",$BN$4:$BN$200,"&gt;-6",$BR$4:$BR$200,"&gt;=70",$K$4:$K$200,"&lt;=30",$C$4:$C$200,"&lt;20190630",BI$4:BI$200,"&gt;="&amp;BI186)&amp;"/"&amp;COUNTIFS(BI$4:BI$200,"&lt;&gt;-",$D$4:$D$200,"&lt;&gt;是",$E$4:$E$200,"&lt;&gt;封闭期",$H$4:$H$200,"&gt;10",$BN$4:$BN$200,"&gt;-6",$BR$4:$BR$200,"&gt;=70",$C$4:$C$200,"&lt;20190630",$K$4:$K$200,"&lt;=30"))</f>
        <v>-</v>
      </c>
      <c r="BM186" s="33" t="str">
        <f>IF(OR($C186&gt;20190630,$K186&gt;30,BI186="-",$D186="是",$E186="封闭期",$H186&lt;10,$BN186&lt;-6,$BR186&lt;70),"-",COUNTIFS(BI$4:BI$200,"&lt;&gt;-",$D$4:$D$200,"&lt;&gt;是",$E$4:$E$200,"&lt;&gt;封闭期",$H$4:$H$200,"&gt;10",$BN$4:$BN$200,"&gt;-6",$BR$4:$BR$200,"&gt;=70",$K$4:$K$200,"&lt;=30",$C$4:$C$200,"&lt;20190630",BI$4:BI$200,"&gt;="&amp;BI186)/COUNTIFS(BI$4:BI$200,"&lt;&gt;-",$D$4:$D$200,"&lt;&gt;是",$E$4:$E$200,"&lt;&gt;封闭期",$H$4:$H$200,"&gt;10",$BN$4:$BN$200,"&gt;-6",$BR$4:$BR$200,"&gt;=70",$C$4:$C$200,"&lt;20190630",$K$4:$K$200,"&lt;=30"))</f>
        <v>-</v>
      </c>
      <c r="BN186" s="21">
        <f>[1]!f_risk_maxdownside(A186,$AM$2,$E$1)</f>
        <v>-5.759499493973685</v>
      </c>
      <c r="BO186" s="21">
        <f>IF(C186&lt;20190930,[1]!f_return_2y(A186,"0","20210930"),"-")</f>
        <v>12.389886743429033</v>
      </c>
      <c r="BP186" s="19" t="str">
        <f>IFERROR(RANK(BO186,BO:BO)&amp;"/"&amp;COUNT(BO:BO),"-")</f>
        <v>110/197</v>
      </c>
      <c r="BQ186" s="25">
        <f>IFERROR(RANK(BO186,BO:BO)/COUNT(BO:BO),"-")</f>
        <v>0.55837563451776651</v>
      </c>
      <c r="BR186" s="19">
        <f>IF(C186&lt;20190930,[1]!f_absolute_profitmonthper(A186,"20190930","20210930"),"-")</f>
        <v>66.666666666666657</v>
      </c>
      <c r="BS186" s="19" t="str">
        <f>IFERROR(RANK(BR186,BR:BR)&amp;"/"&amp;COUNT(BR:BR),"-")</f>
        <v>115/198</v>
      </c>
      <c r="BT186" s="25">
        <f>IFERROR(RANK(BR186,BR:BR)/COUNT(BR:BR),"-")</f>
        <v>0.58080808080808077</v>
      </c>
      <c r="BV186" s="12">
        <f>X186-3/M186</f>
        <v>1.1812378517805313</v>
      </c>
      <c r="BW186" s="76">
        <f>IFERROR(RANK(BV186,BV:BV)/COUNT(BV:BV),"-")</f>
        <v>0.5532994923857868</v>
      </c>
      <c r="BX186" s="76">
        <f>IFERROR(RANK(L186,L:L)/COUNT(L:L),"-")</f>
        <v>0.18686868686868688</v>
      </c>
      <c r="BY186" s="12">
        <f>AY186-3/AN186</f>
        <v>-0.35155262029194001</v>
      </c>
      <c r="BZ186" s="76">
        <f>IFERROR(RANK(BY186,BY:BY)/COUNT(BY:BY),"-")</f>
        <v>0.89340101522842641</v>
      </c>
      <c r="CA186" s="76">
        <f>IFERROR(RANK(AM186,AM:AM)/COUNT(AM:AM),"-")</f>
        <v>0.92929292929292928</v>
      </c>
      <c r="CB186" s="2"/>
      <c r="CC186" s="77">
        <f>AV186+BF186+BZ186+CA186</f>
        <v>2.7211711018817617</v>
      </c>
      <c r="CD186" s="77">
        <f>BW186+BX186+AE186+U186</f>
        <v>1.5421986361072655</v>
      </c>
      <c r="CE186" s="77">
        <f>CC186+CD186</f>
        <v>4.2633697379890272</v>
      </c>
    </row>
    <row r="187" spans="1:83" s="17" customFormat="1" x14ac:dyDescent="0.35">
      <c r="A187" s="15" t="s">
        <v>373</v>
      </c>
      <c r="B187" s="15" t="s">
        <v>374</v>
      </c>
      <c r="C187" s="16">
        <v>20180719</v>
      </c>
      <c r="D187" s="16" t="str">
        <f>[1]!f_info_regulopenfundornot(A187)</f>
        <v>是</v>
      </c>
      <c r="E187" s="16" t="str">
        <f>[1]!f_dq_status(A187,$E$1)</f>
        <v>暂停申购|暂停赎回</v>
      </c>
      <c r="F187" s="17" t="str">
        <f>[1]!f_info_fundmanager(A187)</f>
        <v>朱浩然</v>
      </c>
      <c r="G187" s="16">
        <v>20180719</v>
      </c>
      <c r="H187" s="18">
        <f>[1]!f_netasset_total(A187,$E$1,100000000)</f>
        <v>21.408652636599999</v>
      </c>
      <c r="I187" s="18">
        <f>[1]!f_prt_convertiblebondtonav(A187,$E$1)</f>
        <v>0</v>
      </c>
      <c r="J187" s="18">
        <f>[1]!f_prt_stocktonav(A187,$E$1)+0.5*I187</f>
        <v>0</v>
      </c>
      <c r="K187" s="19">
        <v>26.876282677235281</v>
      </c>
      <c r="L187" s="19">
        <f>[1]!f_return($A187,"1",L$2,$E$1)</f>
        <v>7.4353206914807179</v>
      </c>
      <c r="M187" s="19">
        <f>[1]!f_risk_stdevyearly($A187,L$2,$E$1,1,1)</f>
        <v>1.1265546320472226</v>
      </c>
      <c r="N187" s="19">
        <f>IFERROR(L187/M187,"-")</f>
        <v>6.6000533662259588</v>
      </c>
      <c r="O187" s="19" t="str">
        <f>IFERROR(RANK(N187,N:N)&amp;"/"&amp;COUNT(N:N),"-")</f>
        <v>10/197</v>
      </c>
      <c r="P187" s="26">
        <f>IF(O187="-","-",RANK(N187,N:N)/COUNT(N:N))</f>
        <v>5.0761421319796954E-2</v>
      </c>
      <c r="Q187" s="56">
        <v>0.30964467005076141</v>
      </c>
      <c r="R187" s="33" t="str">
        <f>IF(OR($C187&gt;20190630,$K187&gt;30,N187="-",$D187="是",$E187="封闭期",$H187&lt;10,$BN187&lt;-6,$BR187&lt;70),"-",COUNTIFS(N$4:N$200,"&lt;&gt;-",$D$4:$D$200,"&lt;&gt;是",$E$4:$E$200,"&lt;&gt;封闭期",$H$4:$H$200,"&gt;10",$BN$4:$BN$200,"&gt;-6",$BR$4:$BR$200,"&gt;=70",$K$4:$K$200,"&lt;=30",$C$4:$C$200,"&lt;20190630",N$4:N$200,"&gt;="&amp;N187)/COUNTIFS(N$4:N$200,"&lt;&gt;-",$D$4:$D$200,"&lt;&gt;是",$E$4:$E$200,"&lt;&gt;封闭期",$H$4:$H$200,"&gt;10",$BN$4:$BN$200,"&gt;-6",$BR$4:$BR$200,"&gt;=70",$C$4:$C$200,"&lt;20190630",$K$4:$K$200,"&lt;=30"))</f>
        <v>-</v>
      </c>
      <c r="S187" s="19">
        <f>IFERROR((L187-3)/M187,"-")</f>
        <v>3.9370666679703459</v>
      </c>
      <c r="T187" s="19" t="str">
        <f>IFERROR(RANK(S187,S:S)&amp;"/"&amp;COUNT(S:S),"-")</f>
        <v>1/197</v>
      </c>
      <c r="U187" s="26">
        <f>IFERROR(RANK(S187,S:S)/COUNT(S:S),"-")</f>
        <v>5.076142131979695E-3</v>
      </c>
      <c r="V187" s="34" t="str">
        <f>IF(OR($C187&gt;20190630,$K187&gt;30,S187="-",$D187="是",$E187="封闭期",$H187&lt;10,$BN187&lt;-6,$BR187&lt;70),"-",COUNTIFS(S$4:S$200,"&lt;&gt;-",$D$4:$D$200,"&lt;&gt;是",$E$4:$E$200,"&lt;&gt;封闭期",$H$4:$H$200,"&gt;10",$BN$4:$BN$200,"&gt;-6",$BR$4:$BR$200,"&gt;=70",$K$4:$K$200,"&lt;=30",$C$4:$C$200,"&lt;20190630",S$4:S$200,"&gt;="&amp;S187)&amp;"/"&amp;COUNTIFS(S$4:S$200,"&lt;&gt;-",$D$4:$D$200,"&lt;&gt;是",$E$4:$E$200,"&lt;&gt;封闭期",$H$4:$H$200,"&gt;10",$BN$4:$BN$200,"&gt;-6",$BR$4:$BR$200,"&gt;=70",$C$4:$C$200,"&lt;20190630",$K$4:$K$200,"&lt;=30"))</f>
        <v>-</v>
      </c>
      <c r="W187" s="33" t="str">
        <f>IF(OR($C187&gt;20190630,$K187&gt;30,S187="-",$D187="是",$E187="封闭期",$H187&lt;10,$BN187&lt;-6,$BR187&lt;70),"-",COUNTIFS(S$4:S$200,"&lt;&gt;-",$D$4:$D$200,"&lt;&gt;是",$E$4:$E$200,"&lt;&gt;封闭期",$H$4:$H$200,"&gt;10",$BN$4:$BN$200,"&gt;-6",$BR$4:$BR$200,"&gt;=70",$K$4:$K$200,"&lt;=30",$C$4:$C$200,"&lt;20190630",S$4:S$200,"&gt;="&amp;S187)/COUNTIFS(S$4:S$200,"&lt;&gt;-",$D$4:$D$200,"&lt;&gt;是",$E$4:$E$200,"&lt;&gt;封闭期",$H$4:$H$200,"&gt;10",$BN$4:$BN$200,"&gt;-6",$BR$4:$BR$200,"&gt;=70",$C$4:$C$200,"&lt;20190630",$K$4:$K$200,"&lt;=30"))</f>
        <v>-</v>
      </c>
      <c r="X187" s="19">
        <f>[1]!f_risk_calmar(A187,$L$2,$E$1)</f>
        <v>8.9975290282547977</v>
      </c>
      <c r="Y187" s="19" t="str">
        <f>IFERROR(RANK(X187,X:X)&amp;"/"&amp;COUNT(X:X),"-")</f>
        <v>9/197</v>
      </c>
      <c r="Z187" s="26">
        <f>IFERROR(RANK(X187,X:X)/COUNT(X:X),"-")</f>
        <v>4.5685279187817257E-2</v>
      </c>
      <c r="AA187" s="34" t="str">
        <f>IF(OR($C187&gt;20190630,$K187&gt;30,X187="-",$D187="是",$E187="封闭期",$H187&lt;10,$BN187&lt;-6,$BR187&lt;70),"-",COUNTIFS(X$4:X$200,"&lt;&gt;-",$D$4:$D$200,"&lt;&gt;是",$E$4:$E$200,"&lt;&gt;封闭期",$H$4:$H$200,"&gt;10",$BN$4:$BN$200,"&gt;-6",$BR$4:$BR$200,"&gt;=70",$K$4:$K$200,"&lt;=30",$C$4:$C$200,"&lt;20190630",X$4:X$200,"&gt;="&amp;X187)&amp;"/"&amp;COUNTIFS(X$4:X$200,"&lt;&gt;-",$D$4:$D$200,"&lt;&gt;是",$E$4:$E$200,"&lt;&gt;封闭期",$H$4:$H$200,"&gt;10",$BN$4:$BN$200,"&gt;-6",$BR$4:$BR$200,"&gt;=70",$C$4:$C$200,"&lt;20190630",$K$4:$K$200,"&lt;=30"))</f>
        <v>-</v>
      </c>
      <c r="AB187" s="33" t="str">
        <f>IF(OR($C187&gt;20190630,$K187&gt;30,X187="-",$D187="是",$E187="封闭期",$H187&lt;10,$BN187&lt;-6,$BR187&lt;70),"-",COUNTIFS(X$4:X$200,"&lt;&gt;-",$D$4:$D$200,"&lt;&gt;是",$E$4:$E$200,"&lt;&gt;封闭期",$H$4:$H$200,"&gt;10",$BN$4:$BN$200,"&gt;-6",$BR$4:$BR$200,"&gt;=70",$K$4:$K$200,"&lt;=30",$C$4:$C$200,"&lt;20190630",X$4:X$200,"&gt;="&amp;X187)/COUNTIFS(X$4:X$200,"&lt;&gt;-",$D$4:$D$200,"&lt;&gt;是",$E$4:$E$200,"&lt;&gt;封闭期",$H$4:$H$200,"&gt;10",$BN$4:$BN$200,"&gt;-6",$BR$4:$BR$200,"&gt;=70",$C$4:$C$200,"&lt;20190630",$K$4:$K$200,"&lt;=30"))</f>
        <v>-</v>
      </c>
      <c r="AC187" s="20">
        <v>1</v>
      </c>
      <c r="AD187" s="19" t="str">
        <f>IFERROR(RANK(AC187,AC:AC)&amp;"/"&amp;COUNT(AC:AC),"-")</f>
        <v>1/197</v>
      </c>
      <c r="AE187" s="26">
        <f>IFERROR(RANK(AC187,AC:AC)/COUNT(AC:AC),"-")</f>
        <v>5.076142131979695E-3</v>
      </c>
      <c r="AF187" s="34" t="str">
        <f>IF(OR($C187&gt;20190630,$K187&gt;30,AC187="-",$D187="是",$E187="封闭期",$H187&lt;10,$BN187&lt;-6,$BR187&lt;70),"-",COUNTIFS(AC$4:AC$200,"&lt;&gt;-",$D$4:$D$200,"&lt;&gt;是",$E$4:$E$200,"&lt;&gt;封闭期",$H$4:$H$200,"&gt;10",$BN$4:$BN$200,"&gt;-6",$BR$4:$BR$200,"&gt;=70",$K$4:$K$200,"&lt;=30",$C$4:$C$200,"&lt;20190630",AC$4:AC$200,"&gt;="&amp;AC187)&amp;"/"&amp;COUNTIFS(AC$4:AC$200,"&lt;&gt;-",$D$4:$D$200,"&lt;&gt;是",$E$4:$E$200,"&lt;&gt;封闭期",$H$4:$H$200,"&gt;10",$BN$4:$BN$200,"&gt;-6",$BR$4:$BR$200,"&gt;=70",$C$4:$C$200,"&lt;20190630",$K$4:$K$200,"&lt;=30"))</f>
        <v>-</v>
      </c>
      <c r="AG187" s="33" t="str">
        <f>IF(OR($C187&gt;20190630,$K187&gt;30,AC187="-",$D187="是",$E187="封闭期",$H187&lt;10,$BN187&lt;-6,$BR187&lt;70),"-",COUNTIFS(AC$4:AC$200,"&lt;&gt;-",$D$4:$D$200,"&lt;&gt;是",$E$4:$E$200,"&lt;&gt;封闭期",$H$4:$H$200,"&gt;10",$BN$4:$BN$200,"&gt;-6",$BR$4:$BR$200,"&gt;=70",$K$4:$K$200,"&lt;=30",$C$4:$C$200,"&lt;20190630",AC$4:AC$200,"&gt;="&amp;AC187)/COUNTIFS(AC$4:AC$200,"&lt;&gt;-",$D$4:$D$200,"&lt;&gt;是",$E$4:$E$200,"&lt;&gt;封闭期",$H$4:$H$200,"&gt;10",$BN$4:$BN$200,"&gt;-6",$BR$4:$BR$200,"&gt;=70",$C$4:$C$200,"&lt;20190630",$K$4:$K$200,"&lt;=30"))</f>
        <v>-</v>
      </c>
      <c r="AH187" s="21">
        <f>[1]!f_risk_maxdownside(A187,$L$2,$E$1)</f>
        <v>-0.82637362637360756</v>
      </c>
      <c r="AI187" s="19" t="str">
        <f>IFERROR(RANK(AH187,AH:AH)&amp;"/"&amp;COUNT(AH:AH),"-")</f>
        <v>17/197</v>
      </c>
      <c r="AJ187" s="26">
        <f>IFERROR(RANK(AH187,AH:AH)/COUNT(AH:AH),"-")</f>
        <v>8.6294416243654817E-2</v>
      </c>
      <c r="AK187" s="34" t="str">
        <f>IF(OR($C187&gt;20190630,$K187&gt;30,AH187="-",$D187="是",$E187="封闭期",$H187&lt;10,$BN187&lt;-6,$BR187&lt;70),"-",COUNTIFS(AH$4:AH$200,"&lt;&gt;-",$D$4:$D$200,"&lt;&gt;是",$E$4:$E$200,"&lt;&gt;封闭期",$H$4:$H$200,"&gt;10",$BN$4:$BN$200,"&gt;-6",$BR$4:$BR$200,"&gt;=70",$K$4:$K$200,"&lt;=30",$C$4:$C$200,"&lt;20190630",AH$4:AH$200,"&gt;="&amp;AH187)&amp;"/"&amp;COUNTIFS(AH$4:AH$200,"&lt;&gt;-",$D$4:$D$200,"&lt;&gt;是",$E$4:$E$200,"&lt;&gt;封闭期",$H$4:$H$200,"&gt;10",$BN$4:$BN$200,"&gt;-6",$BR$4:$BR$200,"&gt;=70",$C$4:$C$200,"&lt;20190630",$K$4:$K$200,"&lt;=30"))</f>
        <v>-</v>
      </c>
      <c r="AL187" s="33" t="str">
        <f>IF(OR($C187&gt;20190630,$K187&gt;30,AH187="-",$D187="是",$E187="封闭期",$H187&lt;10,$BN187&lt;-6,$BR187&lt;70),"-",COUNTIFS(AH$4:AH$200,"&lt;&gt;-",$D$4:$D$200,"&lt;&gt;是",$E$4:$E$200,"&lt;&gt;封闭期",$H$4:$H$200,"&gt;10",$BN$4:$BN$200,"&gt;-6",$BR$4:$BR$200,"&gt;=70",$K$4:$K$200,"&lt;=30",$C$4:$C$200,"&lt;20190630",AH$4:AH$200,"&gt;="&amp;AH187)/COUNTIFS(AH$4:AH$200,"&lt;&gt;-",$D$4:$D$200,"&lt;&gt;是",$E$4:$E$200,"&lt;&gt;封闭期",$H$4:$H$200,"&gt;10",$BN$4:$BN$200,"&gt;-6",$BR$4:$BR$200,"&gt;=70",$C$4:$C$200,"&lt;20190630",$K$4:$K$200,"&lt;=30"))</f>
        <v>-</v>
      </c>
      <c r="AM187" s="19">
        <f>[1]!f_return($A187,"1",AM$2,$L$2)</f>
        <v>2.2366582645462874</v>
      </c>
      <c r="AN187" s="19">
        <f>[1]!f_risk_stdevyearly($A187,AM$2,$L$2,1,1)</f>
        <v>1.3293837657232153</v>
      </c>
      <c r="AO187" s="19">
        <f>IFERROR(AM187/AN187,"-")</f>
        <v>1.6824774923661672</v>
      </c>
      <c r="AP187" s="19" t="str">
        <f>IFERROR(RANK(AO187,AO:AO)&amp;"/"&amp;COUNT(AO:AO),"-")</f>
        <v>89/197</v>
      </c>
      <c r="AQ187" s="26">
        <f>IF(AP187="-","-",RANK(AO187,AO:AO)/COUNT(AO:AO))</f>
        <v>0.45177664974619292</v>
      </c>
      <c r="AR187" s="57">
        <v>0.93401015228426398</v>
      </c>
      <c r="AS187" s="33" t="str">
        <f>IF(OR($C187&gt;20190630,$K187&gt;30,AO187="-",$D187="是",$E187="封闭期",$H187&lt;10,$BN187&lt;-6,$BR187&lt;70),"-",COUNTIFS(AO$4:AO$200,"&lt;&gt;-",$D$4:$D$200,"&lt;&gt;是",$E$4:$E$200,"&lt;&gt;封闭期",$H$4:$H$200,"&gt;10",$BN$4:$BN$200,"&gt;-6",$BR$4:$BR$200,"&gt;=70",$K$4:$K$200,"&lt;=30",$C$4:$C$200,"&lt;20190630",AO$4:AO$200,"&gt;="&amp;AO187)/COUNTIFS(AO$4:AO$200,"&lt;&gt;-",$D$4:$D$200,"&lt;&gt;是",$E$4:$E$200,"&lt;&gt;封闭期",$H$4:$H$200,"&gt;10",$BN$4:$BN$200,"&gt;-6",$BR$4:$BR$200,"&gt;=70",$C$4:$C$200,"&lt;20190630",$K$4:$K$200,"&lt;=30"))</f>
        <v>-</v>
      </c>
      <c r="AT187" s="19">
        <f>IFERROR((AM187-3)/AN187,"-")</f>
        <v>-0.57420720422175253</v>
      </c>
      <c r="AU187" s="19" t="str">
        <f>IFERROR(RANK(AT187,AT:AT)&amp;"/"&amp;COUNT(AT:AT),"-")</f>
        <v>186/197</v>
      </c>
      <c r="AV187" s="26">
        <f>IFERROR(RANK(AT187,AT:AT)/COUNT(AT:AT),"-")</f>
        <v>0.9441624365482234</v>
      </c>
      <c r="AW187" s="34" t="str">
        <f>IF(OR($C187&gt;20190630,$K187&gt;30,AT187="-",$D187="是",$E187="封闭期",$H187&lt;10,$BN187&lt;-6,$BR187&lt;70),"-",COUNTIFS(AT$4:AT$200,"&lt;&gt;-",$D$4:$D$200,"&lt;&gt;是",$E$4:$E$200,"&lt;&gt;封闭期",$H$4:$H$200,"&gt;10",$BN$4:$BN$200,"&gt;-6",$BR$4:$BR$200,"&gt;=70",$K$4:$K$200,"&lt;=30",$C$4:$C$200,"&lt;20190630",AT$4:AT$200,"&gt;="&amp;AT187)&amp;"/"&amp;COUNTIFS(AT$4:AT$200,"&lt;&gt;-",$D$4:$D$200,"&lt;&gt;是",$E$4:$E$200,"&lt;&gt;封闭期",$H$4:$H$200,"&gt;10",$BN$4:$BN$200,"&gt;-6",$BR$4:$BR$200,"&gt;=70",$C$4:$C$200,"&lt;20190630",$K$4:$K$200,"&lt;=30"))</f>
        <v>-</v>
      </c>
      <c r="AX187" s="33" t="str">
        <f>IF(OR($C187&gt;20190630,$K187&gt;30,AT187="-",$D187="是",$E187="封闭期",$H187&lt;10,$BN187&lt;-6,$BR187&lt;70),"-",COUNTIFS(AT$4:AT$200,"&lt;&gt;-",$D$4:$D$200,"&lt;&gt;是",$E$4:$E$200,"&lt;&gt;封闭期",$H$4:$H$200,"&gt;10",$BN$4:$BN$200,"&gt;-6",$BR$4:$BR$200,"&gt;=70",$K$4:$K$200,"&lt;=30",$C$4:$C$200,"&lt;20190630",AT$4:AT$200,"&gt;="&amp;AT187)/COUNTIFS(AT$4:AT$200,"&lt;&gt;-",$D$4:$D$200,"&lt;&gt;是",$E$4:$E$200,"&lt;&gt;封闭期",$H$4:$H$200,"&gt;10",$BN$4:$BN$200,"&gt;-6",$BR$4:$BR$200,"&gt;=70",$C$4:$C$200,"&lt;20190630",$K$4:$K$200,"&lt;=30"))</f>
        <v>-</v>
      </c>
      <c r="AY187" s="19">
        <f>[1]!f_risk_calmar(A187,$AM$2,$L$2)</f>
        <v>0.87100010968635955</v>
      </c>
      <c r="AZ187" s="19" t="str">
        <f>IFERROR(RANK(AY187,AY:AY)&amp;"/"&amp;COUNT(AY:AY),"-")</f>
        <v>174/197</v>
      </c>
      <c r="BA187" s="26">
        <f>IFERROR(RANK(AY187,AY:AY)/COUNT(AY:AY),"-")</f>
        <v>0.88324873096446699</v>
      </c>
      <c r="BB187" s="34" t="str">
        <f>IF(OR($C187&gt;20190630,$K187&gt;30,AY187="-",$D187="是",$E187="封闭期",$H187&lt;10,$BN187&lt;-6,$BR187&lt;70),"-",COUNTIFS(AY$4:AY$200,"&lt;&gt;-",$D$4:$D$200,"&lt;&gt;是",$E$4:$E$200,"&lt;&gt;封闭期",$H$4:$H$200,"&gt;10",$BN$4:$BN$200,"&gt;-6",$BR$4:$BR$200,"&gt;=70",$K$4:$K$200,"&lt;=30",$C$4:$C$200,"&lt;20190630",AY$4:AY$200,"&gt;="&amp;AY187)&amp;"/"&amp;COUNTIFS(AY$4:AY$200,"&lt;&gt;-",$D$4:$D$200,"&lt;&gt;是",$E$4:$E$200,"&lt;&gt;封闭期",$H$4:$H$200,"&gt;10",$BN$4:$BN$200,"&gt;-6",$BR$4:$BR$200,"&gt;=70",$C$4:$C$200,"&lt;20190630",$K$4:$K$200,"&lt;=30"))</f>
        <v>-</v>
      </c>
      <c r="BC187" s="33" t="str">
        <f>IF(OR($C187&gt;20190630,$K187&gt;30,AY187="-",$D187="是",$E187="封闭期",$H187&lt;10,$BN187&lt;-6,$BR187&lt;70),"-",COUNTIFS(AY$4:AY$200,"&lt;&gt;-",$D$4:$D$200,"&lt;&gt;是",$E$4:$E$200,"&lt;&gt;封闭期",$H$4:$H$200,"&gt;10",$BN$4:$BN$200,"&gt;-6",$BR$4:$BR$200,"&gt;=70",$K$4:$K$200,"&lt;=30",$C$4:$C$200,"&lt;20190630",AY$4:AY$200,"&gt;="&amp;AY187)/COUNTIFS(AY$4:AY$200,"&lt;&gt;-",$D$4:$D$200,"&lt;&gt;是",$E$4:$E$200,"&lt;&gt;封闭期",$H$4:$H$200,"&gt;10",$BN$4:$BN$200,"&gt;-6",$BR$4:$BR$200,"&gt;=70",$C$4:$C$200,"&lt;20190630",$K$4:$K$200,"&lt;=30"))</f>
        <v>-</v>
      </c>
      <c r="BD187" s="20">
        <v>0.76666666666666672</v>
      </c>
      <c r="BE187" s="19" t="str">
        <f>IFERROR(RANK(BD187,BD:BD)&amp;"/"&amp;COUNT(BD:BD),"-")</f>
        <v>184/197</v>
      </c>
      <c r="BF187" s="26">
        <f>IFERROR(RANK(BD187,BD:BD)/COUNT(BD:BD),"-")</f>
        <v>0.93401015228426398</v>
      </c>
      <c r="BG187" s="34" t="str">
        <f>IF(OR($C187&gt;20190630,$K187&gt;30,BD187="-",$D187="是",$E187="封闭期",$H187&lt;10,$BN187&lt;-6,$BR187&lt;70),"-",COUNTIFS(BD$4:BD$200,"&lt;&gt;-",$D$4:$D$200,"&lt;&gt;是",$E$4:$E$200,"&lt;&gt;封闭期",$H$4:$H$200,"&gt;10",$BN$4:$BN$200,"&gt;-6",$BR$4:$BR$200,"&gt;=70",$K$4:$K$200,"&lt;=30",$C$4:$C$200,"&lt;20190630",BD$4:BD$200,"&gt;="&amp;BD187)&amp;"/"&amp;COUNTIFS(BD$4:BD$200,"&lt;&gt;-",$D$4:$D$200,"&lt;&gt;是",$E$4:$E$200,"&lt;&gt;封闭期",$H$4:$H$200,"&gt;10",$BN$4:$BN$200,"&gt;-6",$BR$4:$BR$200,"&gt;=70",$C$4:$C$200,"&lt;20190630",$K$4:$K$200,"&lt;=30"))</f>
        <v>-</v>
      </c>
      <c r="BH187" s="33" t="str">
        <f>IF(OR($C187&gt;20190630,$K187&gt;30,BD187="-",$D187="是",$E187="封闭期",$H187&lt;10,$BN187&lt;-6,$BR187&lt;70),"-",COUNTIFS(BD$4:BD$200,"&lt;&gt;-",$D$4:$D$200,"&lt;&gt;是",$E$4:$E$200,"&lt;&gt;封闭期",$H$4:$H$200,"&gt;10",$BN$4:$BN$200,"&gt;-6",$BR$4:$BR$200,"&gt;=70",$K$4:$K$200,"&lt;=30",$C$4:$C$200,"&lt;20190630",BD$4:BD$200,"&gt;="&amp;BD187)/COUNTIFS(BD$4:BD$200,"&lt;&gt;-",$D$4:$D$200,"&lt;&gt;是",$E$4:$E$200,"&lt;&gt;封闭期",$H$4:$H$200,"&gt;10",$BN$4:$BN$200,"&gt;-6",$BR$4:$BR$200,"&gt;=70",$C$4:$C$200,"&lt;20190630",$K$4:$K$200,"&lt;=30"))</f>
        <v>-</v>
      </c>
      <c r="BI187" s="21">
        <f>[1]!f_risk_maxdownside(A187,$AM$2,$L$2)</f>
        <v>-2.5679196129512438</v>
      </c>
      <c r="BJ187" s="19" t="str">
        <f>IFERROR(RANK(BI187,BI:BI)&amp;"/"&amp;COUNT(BI:BI),"-")</f>
        <v>66/197</v>
      </c>
      <c r="BK187" s="26">
        <f>IFERROR(RANK(BI187,BI:BI)/COUNT(BI:BI),"-")</f>
        <v>0.3350253807106599</v>
      </c>
      <c r="BL187" s="34" t="str">
        <f>IF(OR($C187&gt;20190630,$K187&gt;30,BI187="-",$D187="是",$E187="封闭期",$H187&lt;10,$BN187&lt;-6,$BR187&lt;70),"-",COUNTIFS(BI$4:BI$200,"&lt;&gt;-",$D$4:$D$200,"&lt;&gt;是",$E$4:$E$200,"&lt;&gt;封闭期",$H$4:$H$200,"&gt;10",$BN$4:$BN$200,"&gt;-6",$BR$4:$BR$200,"&gt;=70",$K$4:$K$200,"&lt;=30",$C$4:$C$200,"&lt;20190630",BI$4:BI$200,"&gt;="&amp;BI187)&amp;"/"&amp;COUNTIFS(BI$4:BI$200,"&lt;&gt;-",$D$4:$D$200,"&lt;&gt;是",$E$4:$E$200,"&lt;&gt;封闭期",$H$4:$H$200,"&gt;10",$BN$4:$BN$200,"&gt;-6",$BR$4:$BR$200,"&gt;=70",$C$4:$C$200,"&lt;20190630",$K$4:$K$200,"&lt;=30"))</f>
        <v>-</v>
      </c>
      <c r="BM187" s="33" t="str">
        <f>IF(OR($C187&gt;20190630,$K187&gt;30,BI187="-",$D187="是",$E187="封闭期",$H187&lt;10,$BN187&lt;-6,$BR187&lt;70),"-",COUNTIFS(BI$4:BI$200,"&lt;&gt;-",$D$4:$D$200,"&lt;&gt;是",$E$4:$E$200,"&lt;&gt;封闭期",$H$4:$H$200,"&gt;10",$BN$4:$BN$200,"&gt;-6",$BR$4:$BR$200,"&gt;=70",$K$4:$K$200,"&lt;=30",$C$4:$C$200,"&lt;20190630",BI$4:BI$200,"&gt;="&amp;BI187)/COUNTIFS(BI$4:BI$200,"&lt;&gt;-",$D$4:$D$200,"&lt;&gt;是",$E$4:$E$200,"&lt;&gt;封闭期",$H$4:$H$200,"&gt;10",$BN$4:$BN$200,"&gt;-6",$BR$4:$BR$200,"&gt;=70",$C$4:$C$200,"&lt;20190630",$K$4:$K$200,"&lt;=30"))</f>
        <v>-</v>
      </c>
      <c r="BN187" s="21">
        <f>[1]!f_risk_maxdownside(A187,$AM$2,$E$1)</f>
        <v>-2.5679196129512438</v>
      </c>
      <c r="BO187" s="21">
        <f>IF(C187&lt;20190930,[1]!f_return_2y(A187,"0","20210930"),"-")</f>
        <v>9.7772156824593957</v>
      </c>
      <c r="BP187" s="19" t="str">
        <f>IFERROR(RANK(BO187,BO:BO)&amp;"/"&amp;COUNT(BO:BO),"-")</f>
        <v>148/197</v>
      </c>
      <c r="BQ187" s="25">
        <f>IFERROR(RANK(BO187,BO:BO)/COUNT(BO:BO),"-")</f>
        <v>0.75126903553299496</v>
      </c>
      <c r="BR187" s="19">
        <f>IF(C187&lt;20190930,[1]!f_absolute_profitmonthper(A187,"20190930","20210930"),"-")</f>
        <v>66.666666666666657</v>
      </c>
      <c r="BS187" s="19" t="str">
        <f>IFERROR(RANK(BR187,BR:BR)&amp;"/"&amp;COUNT(BR:BR),"-")</f>
        <v>115/198</v>
      </c>
      <c r="BT187" s="25">
        <f>IFERROR(RANK(BR187,BR:BR)/COUNT(BR:BR),"-")</f>
        <v>0.58080808080808077</v>
      </c>
      <c r="BV187" s="12">
        <f>X187-3/M187</f>
        <v>6.3345423299991852</v>
      </c>
      <c r="BW187" s="76">
        <f>IFERROR(RANK(BV187,BV:BV)/COUNT(BV:BV),"-")</f>
        <v>4.060913705583756E-2</v>
      </c>
      <c r="BX187" s="76">
        <f>IFERROR(RANK(L187,L:L)/COUNT(L:L),"-")</f>
        <v>0.31313131313131315</v>
      </c>
      <c r="BY187" s="12">
        <f>AY187-3/AN187</f>
        <v>-1.3856845869015602</v>
      </c>
      <c r="BZ187" s="76">
        <f>IFERROR(RANK(BY187,BY:BY)/COUNT(BY:BY),"-")</f>
        <v>0.96954314720812185</v>
      </c>
      <c r="CA187" s="76">
        <f>IFERROR(RANK(AM187,AM:AM)/COUNT(AM:AM),"-")</f>
        <v>0.93434343434343436</v>
      </c>
      <c r="CB187" s="2"/>
      <c r="CC187" s="77">
        <f>AV187+BF187+BZ187+CA187</f>
        <v>3.7820591703840436</v>
      </c>
      <c r="CD187" s="77">
        <f>BW187+BX187+AE187+U187</f>
        <v>0.36389273445111014</v>
      </c>
      <c r="CE187" s="77">
        <f>CC187+CD187</f>
        <v>4.1459519048351536</v>
      </c>
    </row>
    <row r="188" spans="1:83" s="17" customFormat="1" hidden="1" x14ac:dyDescent="0.35">
      <c r="A188" s="15" t="s">
        <v>321</v>
      </c>
      <c r="B188" s="15" t="s">
        <v>322</v>
      </c>
      <c r="C188" s="16">
        <v>20170313</v>
      </c>
      <c r="D188" s="16" t="str">
        <f>[1]!f_info_regulopenfundornot(A188)</f>
        <v>否</v>
      </c>
      <c r="E188" s="16" t="str">
        <f>[1]!f_dq_status(A188,$E$1)</f>
        <v>暂停大额申购|开放赎回</v>
      </c>
      <c r="F188" s="17" t="str">
        <f>[1]!f_info_fundmanager(A188)</f>
        <v>刘明</v>
      </c>
      <c r="G188" s="16">
        <v>20181120</v>
      </c>
      <c r="H188" s="18">
        <f>[1]!f_netasset_total(A188,$E$1,100000000)</f>
        <v>8.2347418513000008</v>
      </c>
      <c r="I188" s="18">
        <f>[1]!f_prt_convertiblebondtonav(A188,$E$1)</f>
        <v>0</v>
      </c>
      <c r="J188" s="18">
        <f>[1]!f_prt_stocktonav(A188,$E$1)+0.5*I188</f>
        <v>0</v>
      </c>
      <c r="K188" s="19">
        <v>12.327648131917339</v>
      </c>
      <c r="L188" s="19">
        <f>[1]!f_return($A188,"1",L$2,$E$1)</f>
        <v>4.0928409348417238</v>
      </c>
      <c r="M188" s="19">
        <f>[1]!f_risk_stdevyearly($A188,L$2,$E$1,1,1)</f>
        <v>0.49037803008317832</v>
      </c>
      <c r="N188" s="19">
        <f>IFERROR(L188/M188,"-")</f>
        <v>8.346297516932994</v>
      </c>
      <c r="O188" s="19" t="str">
        <f>IFERROR(RANK(N188,N:N)&amp;"/"&amp;COUNT(N:N),"-")</f>
        <v>4/197</v>
      </c>
      <c r="P188" s="26">
        <f>IF(O188="-","-",RANK(N188,N:N)/COUNT(N:N))</f>
        <v>2.030456852791878E-2</v>
      </c>
      <c r="Q188" s="56">
        <v>0.7208121827411168</v>
      </c>
      <c r="R188" s="33" t="str">
        <f>IF(OR($C188&gt;20190630,$K188&gt;30,N188="-",$D188="是",$E188="封闭期",$H188&lt;10,$BN188&lt;-6,$BR188&lt;70),"-",COUNTIFS(N$4:N$200,"&lt;&gt;-",$D$4:$D$200,"&lt;&gt;是",$E$4:$E$200,"&lt;&gt;封闭期",$H$4:$H$200,"&gt;10",$BN$4:$BN$200,"&gt;-6",$BR$4:$BR$200,"&gt;=70",$K$4:$K$200,"&lt;=30",$C$4:$C$200,"&lt;20190630",N$4:N$200,"&gt;="&amp;N188)/COUNTIFS(N$4:N$200,"&lt;&gt;-",$D$4:$D$200,"&lt;&gt;是",$E$4:$E$200,"&lt;&gt;封闭期",$H$4:$H$200,"&gt;10",$BN$4:$BN$200,"&gt;-6",$BR$4:$BR$200,"&gt;=70",$C$4:$C$200,"&lt;20190630",$K$4:$K$200,"&lt;=30"))</f>
        <v>-</v>
      </c>
      <c r="S188" s="19">
        <f>IFERROR((L188-3)/M188,"-")</f>
        <v>2.2285683040415885</v>
      </c>
      <c r="T188" s="19" t="str">
        <f>IFERROR(RANK(S188,S:S)&amp;"/"&amp;COUNT(S:S),"-")</f>
        <v>8/197</v>
      </c>
      <c r="U188" s="26">
        <f>IFERROR(RANK(S188,S:S)/COUNT(S:S),"-")</f>
        <v>4.060913705583756E-2</v>
      </c>
      <c r="V188" s="34" t="str">
        <f>IF(OR($C188&gt;20190630,$K188&gt;30,S188="-",$D188="是",$E188="封闭期",$H188&lt;10,$BN188&lt;-6,$BR188&lt;70),"-",COUNTIFS(S$4:S$200,"&lt;&gt;-",$D$4:$D$200,"&lt;&gt;是",$E$4:$E$200,"&lt;&gt;封闭期",$H$4:$H$200,"&gt;10",$BN$4:$BN$200,"&gt;-6",$BR$4:$BR$200,"&gt;=70",$K$4:$K$200,"&lt;=30",$C$4:$C$200,"&lt;20190630",S$4:S$200,"&gt;="&amp;S188)&amp;"/"&amp;COUNTIFS(S$4:S$200,"&lt;&gt;-",$D$4:$D$200,"&lt;&gt;是",$E$4:$E$200,"&lt;&gt;封闭期",$H$4:$H$200,"&gt;10",$BN$4:$BN$200,"&gt;-6",$BR$4:$BR$200,"&gt;=70",$C$4:$C$200,"&lt;20190630",$K$4:$K$200,"&lt;=30"))</f>
        <v>-</v>
      </c>
      <c r="W188" s="33" t="str">
        <f>IF(OR($C188&gt;20190630,$K188&gt;30,S188="-",$D188="是",$E188="封闭期",$H188&lt;10,$BN188&lt;-6,$BR188&lt;70),"-",COUNTIFS(S$4:S$200,"&lt;&gt;-",$D$4:$D$200,"&lt;&gt;是",$E$4:$E$200,"&lt;&gt;封闭期",$H$4:$H$200,"&gt;10",$BN$4:$BN$200,"&gt;-6",$BR$4:$BR$200,"&gt;=70",$K$4:$K$200,"&lt;=30",$C$4:$C$200,"&lt;20190630",S$4:S$200,"&gt;="&amp;S188)/COUNTIFS(S$4:S$200,"&lt;&gt;-",$D$4:$D$200,"&lt;&gt;是",$E$4:$E$200,"&lt;&gt;封闭期",$H$4:$H$200,"&gt;10",$BN$4:$BN$200,"&gt;-6",$BR$4:$BR$200,"&gt;=70",$C$4:$C$200,"&lt;20190630",$K$4:$K$200,"&lt;=30"))</f>
        <v>-</v>
      </c>
      <c r="X188" s="19">
        <f>[1]!f_risk_calmar(A188,$L$2,$E$1)</f>
        <v>16.387105435270779</v>
      </c>
      <c r="Y188" s="19" t="str">
        <f>IFERROR(RANK(X188,X:X)&amp;"/"&amp;COUNT(X:X),"-")</f>
        <v>4/197</v>
      </c>
      <c r="Z188" s="26">
        <f>IFERROR(RANK(X188,X:X)/COUNT(X:X),"-")</f>
        <v>2.030456852791878E-2</v>
      </c>
      <c r="AA188" s="34" t="str">
        <f>IF(OR($C188&gt;20190630,$K188&gt;30,X188="-",$D188="是",$E188="封闭期",$H188&lt;10,$BN188&lt;-6,$BR188&lt;70),"-",COUNTIFS(X$4:X$200,"&lt;&gt;-",$D$4:$D$200,"&lt;&gt;是",$E$4:$E$200,"&lt;&gt;封闭期",$H$4:$H$200,"&gt;10",$BN$4:$BN$200,"&gt;-6",$BR$4:$BR$200,"&gt;=70",$K$4:$K$200,"&lt;=30",$C$4:$C$200,"&lt;20190630",X$4:X$200,"&gt;="&amp;X188)&amp;"/"&amp;COUNTIFS(X$4:X$200,"&lt;&gt;-",$D$4:$D$200,"&lt;&gt;是",$E$4:$E$200,"&lt;&gt;封闭期",$H$4:$H$200,"&gt;10",$BN$4:$BN$200,"&gt;-6",$BR$4:$BR$200,"&gt;=70",$C$4:$C$200,"&lt;20190630",$K$4:$K$200,"&lt;=30"))</f>
        <v>-</v>
      </c>
      <c r="AB188" s="33" t="str">
        <f>IF(OR($C188&gt;20190630,$K188&gt;30,X188="-",$D188="是",$E188="封闭期",$H188&lt;10,$BN188&lt;-6,$BR188&lt;70),"-",COUNTIFS(X$4:X$200,"&lt;&gt;-",$D$4:$D$200,"&lt;&gt;是",$E$4:$E$200,"&lt;&gt;封闭期",$H$4:$H$200,"&gt;10",$BN$4:$BN$200,"&gt;-6",$BR$4:$BR$200,"&gt;=70",$K$4:$K$200,"&lt;=30",$C$4:$C$200,"&lt;20190630",X$4:X$200,"&gt;="&amp;X188)/COUNTIFS(X$4:X$200,"&lt;&gt;-",$D$4:$D$200,"&lt;&gt;是",$E$4:$E$200,"&lt;&gt;封闭期",$H$4:$H$200,"&gt;10",$BN$4:$BN$200,"&gt;-6",$BR$4:$BR$200,"&gt;=70",$C$4:$C$200,"&lt;20190630",$K$4:$K$200,"&lt;=30"))</f>
        <v>-</v>
      </c>
      <c r="AC188" s="20">
        <v>1</v>
      </c>
      <c r="AD188" s="19" t="str">
        <f>IFERROR(RANK(AC188,AC:AC)&amp;"/"&amp;COUNT(AC:AC),"-")</f>
        <v>1/197</v>
      </c>
      <c r="AE188" s="26">
        <f>IFERROR(RANK(AC188,AC:AC)/COUNT(AC:AC),"-")</f>
        <v>5.076142131979695E-3</v>
      </c>
      <c r="AF188" s="34" t="str">
        <f>IF(OR($C188&gt;20190630,$K188&gt;30,AC188="-",$D188="是",$E188="封闭期",$H188&lt;10,$BN188&lt;-6,$BR188&lt;70),"-",COUNTIFS(AC$4:AC$200,"&lt;&gt;-",$D$4:$D$200,"&lt;&gt;是",$E$4:$E$200,"&lt;&gt;封闭期",$H$4:$H$200,"&gt;10",$BN$4:$BN$200,"&gt;-6",$BR$4:$BR$200,"&gt;=70",$K$4:$K$200,"&lt;=30",$C$4:$C$200,"&lt;20190630",AC$4:AC$200,"&gt;="&amp;AC188)&amp;"/"&amp;COUNTIFS(AC$4:AC$200,"&lt;&gt;-",$D$4:$D$200,"&lt;&gt;是",$E$4:$E$200,"&lt;&gt;封闭期",$H$4:$H$200,"&gt;10",$BN$4:$BN$200,"&gt;-6",$BR$4:$BR$200,"&gt;=70",$C$4:$C$200,"&lt;20190630",$K$4:$K$200,"&lt;=30"))</f>
        <v>-</v>
      </c>
      <c r="AG188" s="33" t="str">
        <f>IF(OR($C188&gt;20190630,$K188&gt;30,AC188="-",$D188="是",$E188="封闭期",$H188&lt;10,$BN188&lt;-6,$BR188&lt;70),"-",COUNTIFS(AC$4:AC$200,"&lt;&gt;-",$D$4:$D$200,"&lt;&gt;是",$E$4:$E$200,"&lt;&gt;封闭期",$H$4:$H$200,"&gt;10",$BN$4:$BN$200,"&gt;-6",$BR$4:$BR$200,"&gt;=70",$K$4:$K$200,"&lt;=30",$C$4:$C$200,"&lt;20190630",AC$4:AC$200,"&gt;="&amp;AC188)/COUNTIFS(AC$4:AC$200,"&lt;&gt;-",$D$4:$D$200,"&lt;&gt;是",$E$4:$E$200,"&lt;&gt;封闭期",$H$4:$H$200,"&gt;10",$BN$4:$BN$200,"&gt;-6",$BR$4:$BR$200,"&gt;=70",$C$4:$C$200,"&lt;20190630",$K$4:$K$200,"&lt;=30"))</f>
        <v>-</v>
      </c>
      <c r="AH188" s="21">
        <f>[1]!f_risk_maxdownside(A188,$L$2,$E$1)</f>
        <v>-0.24975984630162318</v>
      </c>
      <c r="AI188" s="19" t="str">
        <f>IFERROR(RANK(AH188,AH:AH)&amp;"/"&amp;COUNT(AH:AH),"-")</f>
        <v>2/197</v>
      </c>
      <c r="AJ188" s="26">
        <f>IFERROR(RANK(AH188,AH:AH)/COUNT(AH:AH),"-")</f>
        <v>1.015228426395939E-2</v>
      </c>
      <c r="AK188" s="34" t="str">
        <f>IF(OR($C188&gt;20190630,$K188&gt;30,AH188="-",$D188="是",$E188="封闭期",$H188&lt;10,$BN188&lt;-6,$BR188&lt;70),"-",COUNTIFS(AH$4:AH$200,"&lt;&gt;-",$D$4:$D$200,"&lt;&gt;是",$E$4:$E$200,"&lt;&gt;封闭期",$H$4:$H$200,"&gt;10",$BN$4:$BN$200,"&gt;-6",$BR$4:$BR$200,"&gt;=70",$K$4:$K$200,"&lt;=30",$C$4:$C$200,"&lt;20190630",AH$4:AH$200,"&gt;="&amp;AH188)&amp;"/"&amp;COUNTIFS(AH$4:AH$200,"&lt;&gt;-",$D$4:$D$200,"&lt;&gt;是",$E$4:$E$200,"&lt;&gt;封闭期",$H$4:$H$200,"&gt;10",$BN$4:$BN$200,"&gt;-6",$BR$4:$BR$200,"&gt;=70",$C$4:$C$200,"&lt;20190630",$K$4:$K$200,"&lt;=30"))</f>
        <v>-</v>
      </c>
      <c r="AL188" s="33" t="str">
        <f>IF(OR($C188&gt;20190630,$K188&gt;30,AH188="-",$D188="是",$E188="封闭期",$H188&lt;10,$BN188&lt;-6,$BR188&lt;70),"-",COUNTIFS(AH$4:AH$200,"&lt;&gt;-",$D$4:$D$200,"&lt;&gt;是",$E$4:$E$200,"&lt;&gt;封闭期",$H$4:$H$200,"&gt;10",$BN$4:$BN$200,"&gt;-6",$BR$4:$BR$200,"&gt;=70",$K$4:$K$200,"&lt;=30",$C$4:$C$200,"&lt;20190630",AH$4:AH$200,"&gt;="&amp;AH188)/COUNTIFS(AH$4:AH$200,"&lt;&gt;-",$D$4:$D$200,"&lt;&gt;是",$E$4:$E$200,"&lt;&gt;封闭期",$H$4:$H$200,"&gt;10",$BN$4:$BN$200,"&gt;-6",$BR$4:$BR$200,"&gt;=70",$C$4:$C$200,"&lt;20190630",$K$4:$K$200,"&lt;=30"))</f>
        <v>-</v>
      </c>
      <c r="AM188" s="19">
        <f>[1]!f_return($A188,"1",AM$2,$L$2)</f>
        <v>2.1525243486953949</v>
      </c>
      <c r="AN188" s="19">
        <f>[1]!f_risk_stdevyearly($A188,AM$2,$L$2,1,1)</f>
        <v>1.5126342590455621</v>
      </c>
      <c r="AO188" s="19">
        <f>IFERROR(AM188/AN188,"-")</f>
        <v>1.4230302770304759</v>
      </c>
      <c r="AP188" s="19" t="str">
        <f>IFERROR(RANK(AO188,AO:AO)&amp;"/"&amp;COUNT(AO:AO),"-")</f>
        <v>115/197</v>
      </c>
      <c r="AQ188" s="26">
        <f>IF(AP188="-","-",RANK(AO188,AO:AO)/COUNT(AO:AO))</f>
        <v>0.58375634517766495</v>
      </c>
      <c r="AR188" s="57">
        <v>0.93908629441624369</v>
      </c>
      <c r="AS188" s="33" t="str">
        <f>IF(OR($C188&gt;20190630,$K188&gt;30,AO188="-",$D188="是",$E188="封闭期",$H188&lt;10,$BN188&lt;-6,$BR188&lt;70),"-",COUNTIFS(AO$4:AO$200,"&lt;&gt;-",$D$4:$D$200,"&lt;&gt;是",$E$4:$E$200,"&lt;&gt;封闭期",$H$4:$H$200,"&gt;10",$BN$4:$BN$200,"&gt;-6",$BR$4:$BR$200,"&gt;=70",$K$4:$K$200,"&lt;=30",$C$4:$C$200,"&lt;20190630",AO$4:AO$200,"&gt;="&amp;AO188)/COUNTIFS(AO$4:AO$200,"&lt;&gt;-",$D$4:$D$200,"&lt;&gt;是",$E$4:$E$200,"&lt;&gt;封闭期",$H$4:$H$200,"&gt;10",$BN$4:$BN$200,"&gt;-6",$BR$4:$BR$200,"&gt;=70",$C$4:$C$200,"&lt;20190630",$K$4:$K$200,"&lt;=30"))</f>
        <v>-</v>
      </c>
      <c r="AT188" s="19">
        <f>IFERROR((AM188-3)/AN188,"-")</f>
        <v>-0.56026474756650224</v>
      </c>
      <c r="AU188" s="19" t="str">
        <f>IFERROR(RANK(AT188,AT:AT)&amp;"/"&amp;COUNT(AT:AT),"-")</f>
        <v>184/197</v>
      </c>
      <c r="AV188" s="26">
        <f>IFERROR(RANK(AT188,AT:AT)/COUNT(AT:AT),"-")</f>
        <v>0.93401015228426398</v>
      </c>
      <c r="AW188" s="34" t="str">
        <f>IF(OR($C188&gt;20190630,$K188&gt;30,AT188="-",$D188="是",$E188="封闭期",$H188&lt;10,$BN188&lt;-6,$BR188&lt;70),"-",COUNTIFS(AT$4:AT$200,"&lt;&gt;-",$D$4:$D$200,"&lt;&gt;是",$E$4:$E$200,"&lt;&gt;封闭期",$H$4:$H$200,"&gt;10",$BN$4:$BN$200,"&gt;-6",$BR$4:$BR$200,"&gt;=70",$K$4:$K$200,"&lt;=30",$C$4:$C$200,"&lt;20190630",AT$4:AT$200,"&gt;="&amp;AT188)&amp;"/"&amp;COUNTIFS(AT$4:AT$200,"&lt;&gt;-",$D$4:$D$200,"&lt;&gt;是",$E$4:$E$200,"&lt;&gt;封闭期",$H$4:$H$200,"&gt;10",$BN$4:$BN$200,"&gt;-6",$BR$4:$BR$200,"&gt;=70",$C$4:$C$200,"&lt;20190630",$K$4:$K$200,"&lt;=30"))</f>
        <v>-</v>
      </c>
      <c r="AX188" s="33" t="str">
        <f>IF(OR($C188&gt;20190630,$K188&gt;30,AT188="-",$D188="是",$E188="封闭期",$H188&lt;10,$BN188&lt;-6,$BR188&lt;70),"-",COUNTIFS(AT$4:AT$200,"&lt;&gt;-",$D$4:$D$200,"&lt;&gt;是",$E$4:$E$200,"&lt;&gt;封闭期",$H$4:$H$200,"&gt;10",$BN$4:$BN$200,"&gt;-6",$BR$4:$BR$200,"&gt;=70",$K$4:$K$200,"&lt;=30",$C$4:$C$200,"&lt;20190630",AT$4:AT$200,"&gt;="&amp;AT188)/COUNTIFS(AT$4:AT$200,"&lt;&gt;-",$D$4:$D$200,"&lt;&gt;是",$E$4:$E$200,"&lt;&gt;封闭期",$H$4:$H$200,"&gt;10",$BN$4:$BN$200,"&gt;-6",$BR$4:$BR$200,"&gt;=70",$C$4:$C$200,"&lt;20190630",$K$4:$K$200,"&lt;=30"))</f>
        <v>-</v>
      </c>
      <c r="AY188" s="19">
        <f>[1]!f_risk_calmar(A188,$AM$2,$L$2)</f>
        <v>0.78114366364380705</v>
      </c>
      <c r="AZ188" s="19" t="str">
        <f>IFERROR(RANK(AY188,AY:AY)&amp;"/"&amp;COUNT(AY:AY),"-")</f>
        <v>177/197</v>
      </c>
      <c r="BA188" s="26">
        <f>IFERROR(RANK(AY188,AY:AY)/COUNT(AY:AY),"-")</f>
        <v>0.89847715736040612</v>
      </c>
      <c r="BB188" s="34" t="str">
        <f>IF(OR($C188&gt;20190630,$K188&gt;30,AY188="-",$D188="是",$E188="封闭期",$H188&lt;10,$BN188&lt;-6,$BR188&lt;70),"-",COUNTIFS(AY$4:AY$200,"&lt;&gt;-",$D$4:$D$200,"&lt;&gt;是",$E$4:$E$200,"&lt;&gt;封闭期",$H$4:$H$200,"&gt;10",$BN$4:$BN$200,"&gt;-6",$BR$4:$BR$200,"&gt;=70",$K$4:$K$200,"&lt;=30",$C$4:$C$200,"&lt;20190630",AY$4:AY$200,"&gt;="&amp;AY188)&amp;"/"&amp;COUNTIFS(AY$4:AY$200,"&lt;&gt;-",$D$4:$D$200,"&lt;&gt;是",$E$4:$E$200,"&lt;&gt;封闭期",$H$4:$H$200,"&gt;10",$BN$4:$BN$200,"&gt;-6",$BR$4:$BR$200,"&gt;=70",$C$4:$C$200,"&lt;20190630",$K$4:$K$200,"&lt;=30"))</f>
        <v>-</v>
      </c>
      <c r="BC188" s="33" t="str">
        <f>IF(OR($C188&gt;20190630,$K188&gt;30,AY188="-",$D188="是",$E188="封闭期",$H188&lt;10,$BN188&lt;-6,$BR188&lt;70),"-",COUNTIFS(AY$4:AY$200,"&lt;&gt;-",$D$4:$D$200,"&lt;&gt;是",$E$4:$E$200,"&lt;&gt;封闭期",$H$4:$H$200,"&gt;10",$BN$4:$BN$200,"&gt;-6",$BR$4:$BR$200,"&gt;=70",$K$4:$K$200,"&lt;=30",$C$4:$C$200,"&lt;20190630",AY$4:AY$200,"&gt;="&amp;AY188)/COUNTIFS(AY$4:AY$200,"&lt;&gt;-",$D$4:$D$200,"&lt;&gt;是",$E$4:$E$200,"&lt;&gt;封闭期",$H$4:$H$200,"&gt;10",$BN$4:$BN$200,"&gt;-6",$BR$4:$BR$200,"&gt;=70",$C$4:$C$200,"&lt;20190630",$K$4:$K$200,"&lt;=30"))</f>
        <v>-</v>
      </c>
      <c r="BD188" s="20">
        <v>0.76666666666666672</v>
      </c>
      <c r="BE188" s="19" t="str">
        <f>IFERROR(RANK(BD188,BD:BD)&amp;"/"&amp;COUNT(BD:BD),"-")</f>
        <v>184/197</v>
      </c>
      <c r="BF188" s="26">
        <f>IFERROR(RANK(BD188,BD:BD)/COUNT(BD:BD),"-")</f>
        <v>0.93401015228426398</v>
      </c>
      <c r="BG188" s="34" t="str">
        <f>IF(OR($C188&gt;20190630,$K188&gt;30,BD188="-",$D188="是",$E188="封闭期",$H188&lt;10,$BN188&lt;-6,$BR188&lt;70),"-",COUNTIFS(BD$4:BD$200,"&lt;&gt;-",$D$4:$D$200,"&lt;&gt;是",$E$4:$E$200,"&lt;&gt;封闭期",$H$4:$H$200,"&gt;10",$BN$4:$BN$200,"&gt;-6",$BR$4:$BR$200,"&gt;=70",$K$4:$K$200,"&lt;=30",$C$4:$C$200,"&lt;20190630",BD$4:BD$200,"&gt;="&amp;BD188)&amp;"/"&amp;COUNTIFS(BD$4:BD$200,"&lt;&gt;-",$D$4:$D$200,"&lt;&gt;是",$E$4:$E$200,"&lt;&gt;封闭期",$H$4:$H$200,"&gt;10",$BN$4:$BN$200,"&gt;-6",$BR$4:$BR$200,"&gt;=70",$C$4:$C$200,"&lt;20190630",$K$4:$K$200,"&lt;=30"))</f>
        <v>-</v>
      </c>
      <c r="BH188" s="33" t="str">
        <f>IF(OR($C188&gt;20190630,$K188&gt;30,BD188="-",$D188="是",$E188="封闭期",$H188&lt;10,$BN188&lt;-6,$BR188&lt;70),"-",COUNTIFS(BD$4:BD$200,"&lt;&gt;-",$D$4:$D$200,"&lt;&gt;是",$E$4:$E$200,"&lt;&gt;封闭期",$H$4:$H$200,"&gt;10",$BN$4:$BN$200,"&gt;-6",$BR$4:$BR$200,"&gt;=70",$K$4:$K$200,"&lt;=30",$C$4:$C$200,"&lt;20190630",BD$4:BD$200,"&gt;="&amp;BD188)/COUNTIFS(BD$4:BD$200,"&lt;&gt;-",$D$4:$D$200,"&lt;&gt;是",$E$4:$E$200,"&lt;&gt;封闭期",$H$4:$H$200,"&gt;10",$BN$4:$BN$200,"&gt;-6",$BR$4:$BR$200,"&gt;=70",$C$4:$C$200,"&lt;20190630",$K$4:$K$200,"&lt;=30"))</f>
        <v>-</v>
      </c>
      <c r="BI188" s="21">
        <f>[1]!f_risk_maxdownside(A188,$AM$2,$L$2)</f>
        <v>-2.7556062333713331</v>
      </c>
      <c r="BJ188" s="19" t="str">
        <f>IFERROR(RANK(BI188,BI:BI)&amp;"/"&amp;COUNT(BI:BI),"-")</f>
        <v>76/197</v>
      </c>
      <c r="BK188" s="26">
        <f>IFERROR(RANK(BI188,BI:BI)/COUNT(BI:BI),"-")</f>
        <v>0.38578680203045684</v>
      </c>
      <c r="BL188" s="34" t="str">
        <f>IF(OR($C188&gt;20190630,$K188&gt;30,BI188="-",$D188="是",$E188="封闭期",$H188&lt;10,$BN188&lt;-6,$BR188&lt;70),"-",COUNTIFS(BI$4:BI$200,"&lt;&gt;-",$D$4:$D$200,"&lt;&gt;是",$E$4:$E$200,"&lt;&gt;封闭期",$H$4:$H$200,"&gt;10",$BN$4:$BN$200,"&gt;-6",$BR$4:$BR$200,"&gt;=70",$K$4:$K$200,"&lt;=30",$C$4:$C$200,"&lt;20190630",BI$4:BI$200,"&gt;="&amp;BI188)&amp;"/"&amp;COUNTIFS(BI$4:BI$200,"&lt;&gt;-",$D$4:$D$200,"&lt;&gt;是",$E$4:$E$200,"&lt;&gt;封闭期",$H$4:$H$200,"&gt;10",$BN$4:$BN$200,"&gt;-6",$BR$4:$BR$200,"&gt;=70",$C$4:$C$200,"&lt;20190630",$K$4:$K$200,"&lt;=30"))</f>
        <v>-</v>
      </c>
      <c r="BM188" s="33" t="str">
        <f>IF(OR($C188&gt;20190630,$K188&gt;30,BI188="-",$D188="是",$E188="封闭期",$H188&lt;10,$BN188&lt;-6,$BR188&lt;70),"-",COUNTIFS(BI$4:BI$200,"&lt;&gt;-",$D$4:$D$200,"&lt;&gt;是",$E$4:$E$200,"&lt;&gt;封闭期",$H$4:$H$200,"&gt;10",$BN$4:$BN$200,"&gt;-6",$BR$4:$BR$200,"&gt;=70",$K$4:$K$200,"&lt;=30",$C$4:$C$200,"&lt;20190630",BI$4:BI$200,"&gt;="&amp;BI188)/COUNTIFS(BI$4:BI$200,"&lt;&gt;-",$D$4:$D$200,"&lt;&gt;是",$E$4:$E$200,"&lt;&gt;封闭期",$H$4:$H$200,"&gt;10",$BN$4:$BN$200,"&gt;-6",$BR$4:$BR$200,"&gt;=70",$C$4:$C$200,"&lt;20190630",$K$4:$K$200,"&lt;=30"))</f>
        <v>-</v>
      </c>
      <c r="BN188" s="21">
        <f>[1]!f_risk_maxdownside(A188,$AM$2,$E$1)</f>
        <v>-2.7556062333713331</v>
      </c>
      <c r="BO188" s="21">
        <f>IF(C188&lt;20190930,[1]!f_return_2y(A188,"0","20210930"),"-")</f>
        <v>6.3272462127595279</v>
      </c>
      <c r="BP188" s="19" t="str">
        <f>IFERROR(RANK(BO188,BO:BO)&amp;"/"&amp;COUNT(BO:BO),"-")</f>
        <v>176/197</v>
      </c>
      <c r="BQ188" s="25">
        <f>IFERROR(RANK(BO188,BO:BO)/COUNT(BO:BO),"-")</f>
        <v>0.89340101522842641</v>
      </c>
      <c r="BR188" s="19">
        <f>IF(C188&lt;20190930,[1]!f_absolute_profitmonthper(A188,"20190930","20210930"),"-")</f>
        <v>79.166666666666657</v>
      </c>
      <c r="BS188" s="19" t="str">
        <f>IFERROR(RANK(BR188,BR:BR)&amp;"/"&amp;COUNT(BR:BR),"-")</f>
        <v>16/198</v>
      </c>
      <c r="BT188" s="25">
        <f>IFERROR(RANK(BR188,BR:BR)/COUNT(BR:BR),"-")</f>
        <v>8.0808080808080815E-2</v>
      </c>
      <c r="BV188" s="12">
        <f>X188-3/M188</f>
        <v>10.269376222379375</v>
      </c>
      <c r="BW188" s="76">
        <f>IFERROR(RANK(BV188,BV:BV)/COUNT(BV:BV),"-")</f>
        <v>2.030456852791878E-2</v>
      </c>
      <c r="BX188" s="76">
        <f>IFERROR(RANK(L188,L:L)/COUNT(L:L),"-")</f>
        <v>0.72222222222222221</v>
      </c>
      <c r="BY188" s="12">
        <f>AY188-3/AN188</f>
        <v>-1.2021513609531711</v>
      </c>
      <c r="BZ188" s="76">
        <f>IFERROR(RANK(BY188,BY:BY)/COUNT(BY:BY),"-")</f>
        <v>0.95939086294416243</v>
      </c>
      <c r="CA188" s="76">
        <f>IFERROR(RANK(AM188,AM:AM)/COUNT(AM:AM),"-")</f>
        <v>0.93939393939393945</v>
      </c>
      <c r="CB188" s="2"/>
      <c r="CC188" s="77">
        <f>AV188+BF188+BZ188+CA188</f>
        <v>3.76680510690663</v>
      </c>
      <c r="CD188" s="77">
        <f>BW188+BX188+AE188+U188</f>
        <v>0.78821206993795823</v>
      </c>
      <c r="CE188" s="77">
        <f>CC188+CD188</f>
        <v>4.5550171768445882</v>
      </c>
    </row>
    <row r="189" spans="1:83" s="17" customFormat="1" hidden="1" x14ac:dyDescent="0.35">
      <c r="A189" s="15" t="s">
        <v>405</v>
      </c>
      <c r="B189" s="15" t="s">
        <v>406</v>
      </c>
      <c r="C189" s="16">
        <v>20190925</v>
      </c>
      <c r="D189" s="16" t="str">
        <f>[1]!f_info_regulopenfundornot(A189)</f>
        <v>否</v>
      </c>
      <c r="E189" s="16" t="str">
        <f>[1]!f_dq_status(A189,$E$1)</f>
        <v>开放申购|开放赎回</v>
      </c>
      <c r="F189" s="17" t="str">
        <f>[1]!f_info_fundmanager(A189)</f>
        <v>周晨,杜浩然,杨坤</v>
      </c>
      <c r="G189" s="16">
        <v>20200618</v>
      </c>
      <c r="H189" s="18">
        <f>[1]!f_netasset_total(A189,$E$1,100000000)</f>
        <v>1.3975399891999998</v>
      </c>
      <c r="I189" s="18">
        <f>[1]!f_prt_convertiblebondtonav(A189,$E$1)</f>
        <v>23.292051315307617</v>
      </c>
      <c r="J189" s="18">
        <f>[1]!f_prt_stocktonav(A189,$E$1)+0.5*I189</f>
        <v>29.063855171203613</v>
      </c>
      <c r="K189" s="19">
        <v>21.587217706213739</v>
      </c>
      <c r="L189" s="19">
        <f>[1]!f_return($A189,"1",L$2,$E$1)</f>
        <v>7.1226620699236021</v>
      </c>
      <c r="M189" s="19">
        <f>[1]!f_risk_stdevyearly($A189,L$2,$E$1,1,1)</f>
        <v>6.3246555438031438</v>
      </c>
      <c r="N189" s="19">
        <f>IFERROR(L189/M189,"-")</f>
        <v>1.1261739110681435</v>
      </c>
      <c r="O189" s="19" t="str">
        <f>IFERROR(RANK(N189,N:N)&amp;"/"&amp;COUNT(N:N),"-")</f>
        <v>130/197</v>
      </c>
      <c r="P189" s="26">
        <f>IF(O189="-","-",RANK(N189,N:N)/COUNT(N:N))</f>
        <v>0.65989847715736039</v>
      </c>
      <c r="Q189" s="56">
        <v>0.35532994923857869</v>
      </c>
      <c r="R189" s="33" t="str">
        <f>IF(OR($C189&gt;20190630,$K189&gt;30,N189="-",$D189="是",$E189="封闭期",$H189&lt;10,$BN189&lt;-6,$BR189&lt;70),"-",COUNTIFS(N$4:N$200,"&lt;&gt;-",$D$4:$D$200,"&lt;&gt;是",$E$4:$E$200,"&lt;&gt;封闭期",$H$4:$H$200,"&gt;10",$BN$4:$BN$200,"&gt;-6",$BR$4:$BR$200,"&gt;=70",$K$4:$K$200,"&lt;=30",$C$4:$C$200,"&lt;20190630",N$4:N$200,"&gt;="&amp;N189)/COUNTIFS(N$4:N$200,"&lt;&gt;-",$D$4:$D$200,"&lt;&gt;是",$E$4:$E$200,"&lt;&gt;封闭期",$H$4:$H$200,"&gt;10",$BN$4:$BN$200,"&gt;-6",$BR$4:$BR$200,"&gt;=70",$C$4:$C$200,"&lt;20190630",$K$4:$K$200,"&lt;=30"))</f>
        <v>-</v>
      </c>
      <c r="S189" s="19">
        <f>IFERROR((L189-3)/M189,"-")</f>
        <v>0.65183977868375131</v>
      </c>
      <c r="T189" s="19" t="str">
        <f>IFERROR(RANK(S189,S:S)&amp;"/"&amp;COUNT(S:S),"-")</f>
        <v>110/197</v>
      </c>
      <c r="U189" s="26">
        <f>IFERROR(RANK(S189,S:S)/COUNT(S:S),"-")</f>
        <v>0.55837563451776651</v>
      </c>
      <c r="V189" s="34" t="str">
        <f>IF(OR($C189&gt;20190630,$K189&gt;30,S189="-",$D189="是",$E189="封闭期",$H189&lt;10,$BN189&lt;-6,$BR189&lt;70),"-",COUNTIFS(S$4:S$200,"&lt;&gt;-",$D$4:$D$200,"&lt;&gt;是",$E$4:$E$200,"&lt;&gt;封闭期",$H$4:$H$200,"&gt;10",$BN$4:$BN$200,"&gt;-6",$BR$4:$BR$200,"&gt;=70",$K$4:$K$200,"&lt;=30",$C$4:$C$200,"&lt;20190630",S$4:S$200,"&gt;="&amp;S189)&amp;"/"&amp;COUNTIFS(S$4:S$200,"&lt;&gt;-",$D$4:$D$200,"&lt;&gt;是",$E$4:$E$200,"&lt;&gt;封闭期",$H$4:$H$200,"&gt;10",$BN$4:$BN$200,"&gt;-6",$BR$4:$BR$200,"&gt;=70",$C$4:$C$200,"&lt;20190630",$K$4:$K$200,"&lt;=30"))</f>
        <v>-</v>
      </c>
      <c r="W189" s="33" t="str">
        <f>IF(OR($C189&gt;20190630,$K189&gt;30,S189="-",$D189="是",$E189="封闭期",$H189&lt;10,$BN189&lt;-6,$BR189&lt;70),"-",COUNTIFS(S$4:S$200,"&lt;&gt;-",$D$4:$D$200,"&lt;&gt;是",$E$4:$E$200,"&lt;&gt;封闭期",$H$4:$H$200,"&gt;10",$BN$4:$BN$200,"&gt;-6",$BR$4:$BR$200,"&gt;=70",$K$4:$K$200,"&lt;=30",$C$4:$C$200,"&lt;20190630",S$4:S$200,"&gt;="&amp;S189)/COUNTIFS(S$4:S$200,"&lt;&gt;-",$D$4:$D$200,"&lt;&gt;是",$E$4:$E$200,"&lt;&gt;封闭期",$H$4:$H$200,"&gt;10",$BN$4:$BN$200,"&gt;-6",$BR$4:$BR$200,"&gt;=70",$C$4:$C$200,"&lt;20190630",$K$4:$K$200,"&lt;=30"))</f>
        <v>-</v>
      </c>
      <c r="X189" s="19">
        <f>[1]!f_risk_calmar(A189,$L$2,$E$1)</f>
        <v>1.7012653501440507</v>
      </c>
      <c r="Y189" s="19" t="str">
        <f>IFERROR(RANK(X189,X:X)&amp;"/"&amp;COUNT(X:X),"-")</f>
        <v>117/197</v>
      </c>
      <c r="Z189" s="26">
        <f>IFERROR(RANK(X189,X:X)/COUNT(X:X),"-")</f>
        <v>0.59390862944162437</v>
      </c>
      <c r="AA189" s="34" t="str">
        <f>IF(OR($C189&gt;20190630,$K189&gt;30,X189="-",$D189="是",$E189="封闭期",$H189&lt;10,$BN189&lt;-6,$BR189&lt;70),"-",COUNTIFS(X$4:X$200,"&lt;&gt;-",$D$4:$D$200,"&lt;&gt;是",$E$4:$E$200,"&lt;&gt;封闭期",$H$4:$H$200,"&gt;10",$BN$4:$BN$200,"&gt;-6",$BR$4:$BR$200,"&gt;=70",$K$4:$K$200,"&lt;=30",$C$4:$C$200,"&lt;20190630",X$4:X$200,"&gt;="&amp;X189)&amp;"/"&amp;COUNTIFS(X$4:X$200,"&lt;&gt;-",$D$4:$D$200,"&lt;&gt;是",$E$4:$E$200,"&lt;&gt;封闭期",$H$4:$H$200,"&gt;10",$BN$4:$BN$200,"&gt;-6",$BR$4:$BR$200,"&gt;=70",$C$4:$C$200,"&lt;20190630",$K$4:$K$200,"&lt;=30"))</f>
        <v>-</v>
      </c>
      <c r="AB189" s="33" t="str">
        <f>IF(OR($C189&gt;20190630,$K189&gt;30,X189="-",$D189="是",$E189="封闭期",$H189&lt;10,$BN189&lt;-6,$BR189&lt;70),"-",COUNTIFS(X$4:X$200,"&lt;&gt;-",$D$4:$D$200,"&lt;&gt;是",$E$4:$E$200,"&lt;&gt;封闭期",$H$4:$H$200,"&gt;10",$BN$4:$BN$200,"&gt;-6",$BR$4:$BR$200,"&gt;=70",$K$4:$K$200,"&lt;=30",$C$4:$C$200,"&lt;20190630",X$4:X$200,"&gt;="&amp;X189)/COUNTIFS(X$4:X$200,"&lt;&gt;-",$D$4:$D$200,"&lt;&gt;是",$E$4:$E$200,"&lt;&gt;封闭期",$H$4:$H$200,"&gt;10",$BN$4:$BN$200,"&gt;-6",$BR$4:$BR$200,"&gt;=70",$C$4:$C$200,"&lt;20190630",$K$4:$K$200,"&lt;=30"))</f>
        <v>-</v>
      </c>
      <c r="AC189" s="20">
        <v>0.8571428571428571</v>
      </c>
      <c r="AD189" s="19" t="str">
        <f>IFERROR(RANK(AC189,AC:AC)&amp;"/"&amp;COUNT(AC:AC),"-")</f>
        <v>137/197</v>
      </c>
      <c r="AE189" s="26">
        <f>IFERROR(RANK(AC189,AC:AC)/COUNT(AC:AC),"-")</f>
        <v>0.69543147208121825</v>
      </c>
      <c r="AF189" s="34" t="str">
        <f>IF(OR($C189&gt;20190630,$K189&gt;30,AC189="-",$D189="是",$E189="封闭期",$H189&lt;10,$BN189&lt;-6,$BR189&lt;70),"-",COUNTIFS(AC$4:AC$200,"&lt;&gt;-",$D$4:$D$200,"&lt;&gt;是",$E$4:$E$200,"&lt;&gt;封闭期",$H$4:$H$200,"&gt;10",$BN$4:$BN$200,"&gt;-6",$BR$4:$BR$200,"&gt;=70",$K$4:$K$200,"&lt;=30",$C$4:$C$200,"&lt;20190630",AC$4:AC$200,"&gt;="&amp;AC189)&amp;"/"&amp;COUNTIFS(AC$4:AC$200,"&lt;&gt;-",$D$4:$D$200,"&lt;&gt;是",$E$4:$E$200,"&lt;&gt;封闭期",$H$4:$H$200,"&gt;10",$BN$4:$BN$200,"&gt;-6",$BR$4:$BR$200,"&gt;=70",$C$4:$C$200,"&lt;20190630",$K$4:$K$200,"&lt;=30"))</f>
        <v>-</v>
      </c>
      <c r="AG189" s="33" t="str">
        <f>IF(OR($C189&gt;20190630,$K189&gt;30,AC189="-",$D189="是",$E189="封闭期",$H189&lt;10,$BN189&lt;-6,$BR189&lt;70),"-",COUNTIFS(AC$4:AC$200,"&lt;&gt;-",$D$4:$D$200,"&lt;&gt;是",$E$4:$E$200,"&lt;&gt;封闭期",$H$4:$H$200,"&gt;10",$BN$4:$BN$200,"&gt;-6",$BR$4:$BR$200,"&gt;=70",$K$4:$K$200,"&lt;=30",$C$4:$C$200,"&lt;20190630",AC$4:AC$200,"&gt;="&amp;AC189)/COUNTIFS(AC$4:AC$200,"&lt;&gt;-",$D$4:$D$200,"&lt;&gt;是",$E$4:$E$200,"&lt;&gt;封闭期",$H$4:$H$200,"&gt;10",$BN$4:$BN$200,"&gt;-6",$BR$4:$BR$200,"&gt;=70",$C$4:$C$200,"&lt;20190630",$K$4:$K$200,"&lt;=30"))</f>
        <v>-</v>
      </c>
      <c r="AH189" s="21">
        <f>[1]!f_risk_maxdownside(A189,$L$2,$E$1)</f>
        <v>-4.1866849691146104</v>
      </c>
      <c r="AI189" s="19" t="str">
        <f>IFERROR(RANK(AH189,AH:AH)&amp;"/"&amp;COUNT(AH:AH),"-")</f>
        <v>130/197</v>
      </c>
      <c r="AJ189" s="26">
        <f>IFERROR(RANK(AH189,AH:AH)/COUNT(AH:AH),"-")</f>
        <v>0.65989847715736039</v>
      </c>
      <c r="AK189" s="34" t="str">
        <f>IF(OR($C189&gt;20190630,$K189&gt;30,AH189="-",$D189="是",$E189="封闭期",$H189&lt;10,$BN189&lt;-6,$BR189&lt;70),"-",COUNTIFS(AH$4:AH$200,"&lt;&gt;-",$D$4:$D$200,"&lt;&gt;是",$E$4:$E$200,"&lt;&gt;封闭期",$H$4:$H$200,"&gt;10",$BN$4:$BN$200,"&gt;-6",$BR$4:$BR$200,"&gt;=70",$K$4:$K$200,"&lt;=30",$C$4:$C$200,"&lt;20190630",AH$4:AH$200,"&gt;="&amp;AH189)&amp;"/"&amp;COUNTIFS(AH$4:AH$200,"&lt;&gt;-",$D$4:$D$200,"&lt;&gt;是",$E$4:$E$200,"&lt;&gt;封闭期",$H$4:$H$200,"&gt;10",$BN$4:$BN$200,"&gt;-6",$BR$4:$BR$200,"&gt;=70",$C$4:$C$200,"&lt;20190630",$K$4:$K$200,"&lt;=30"))</f>
        <v>-</v>
      </c>
      <c r="AL189" s="33" t="str">
        <f>IF(OR($C189&gt;20190630,$K189&gt;30,AH189="-",$D189="是",$E189="封闭期",$H189&lt;10,$BN189&lt;-6,$BR189&lt;70),"-",COUNTIFS(AH$4:AH$200,"&lt;&gt;-",$D$4:$D$200,"&lt;&gt;是",$E$4:$E$200,"&lt;&gt;封闭期",$H$4:$H$200,"&gt;10",$BN$4:$BN$200,"&gt;-6",$BR$4:$BR$200,"&gt;=70",$K$4:$K$200,"&lt;=30",$C$4:$C$200,"&lt;20190630",AH$4:AH$200,"&gt;="&amp;AH189)/COUNTIFS(AH$4:AH$200,"&lt;&gt;-",$D$4:$D$200,"&lt;&gt;是",$E$4:$E$200,"&lt;&gt;封闭期",$H$4:$H$200,"&gt;10",$BN$4:$BN$200,"&gt;-6",$BR$4:$BR$200,"&gt;=70",$C$4:$C$200,"&lt;20190630",$K$4:$K$200,"&lt;=30"))</f>
        <v>-</v>
      </c>
      <c r="AM189" s="19">
        <f>[1]!f_return($A189,"1",AM$2,$L$2)</f>
        <v>2.0970962546434935</v>
      </c>
      <c r="AN189" s="19">
        <f>[1]!f_risk_stdevyearly($A189,AM$2,$L$2,1,1)</f>
        <v>2.6505073626266245</v>
      </c>
      <c r="AO189" s="19">
        <f>IFERROR(AM189/AN189,"-")</f>
        <v>0.7912055949036465</v>
      </c>
      <c r="AP189" s="19" t="str">
        <f>IFERROR(RANK(AO189,AO:AO)&amp;"/"&amp;COUNT(AO:AO),"-")</f>
        <v>176/197</v>
      </c>
      <c r="AQ189" s="26">
        <f>IF(AP189="-","-",RANK(AO189,AO:AO)/COUNT(AO:AO))</f>
        <v>0.89340101522842641</v>
      </c>
      <c r="AR189" s="57">
        <v>0.9441624365482234</v>
      </c>
      <c r="AS189" s="33" t="str">
        <f>IF(OR($C189&gt;20190630,$K189&gt;30,AO189="-",$D189="是",$E189="封闭期",$H189&lt;10,$BN189&lt;-6,$BR189&lt;70),"-",COUNTIFS(AO$4:AO$200,"&lt;&gt;-",$D$4:$D$200,"&lt;&gt;是",$E$4:$E$200,"&lt;&gt;封闭期",$H$4:$H$200,"&gt;10",$BN$4:$BN$200,"&gt;-6",$BR$4:$BR$200,"&gt;=70",$K$4:$K$200,"&lt;=30",$C$4:$C$200,"&lt;20190630",AO$4:AO$200,"&gt;="&amp;AO189)/COUNTIFS(AO$4:AO$200,"&lt;&gt;-",$D$4:$D$200,"&lt;&gt;是",$E$4:$E$200,"&lt;&gt;封闭期",$H$4:$H$200,"&gt;10",$BN$4:$BN$200,"&gt;-6",$BR$4:$BR$200,"&gt;=70",$C$4:$C$200,"&lt;20190630",$K$4:$K$200,"&lt;=30"))</f>
        <v>-</v>
      </c>
      <c r="AT189" s="19">
        <f>IFERROR((AM189-3)/AN189,"-")</f>
        <v>-0.34065317383677762</v>
      </c>
      <c r="AU189" s="19" t="str">
        <f>IFERROR(RANK(AT189,AT:AT)&amp;"/"&amp;COUNT(AT:AT),"-")</f>
        <v>178/197</v>
      </c>
      <c r="AV189" s="26">
        <f>IFERROR(RANK(AT189,AT:AT)/COUNT(AT:AT),"-")</f>
        <v>0.90355329949238583</v>
      </c>
      <c r="AW189" s="34" t="str">
        <f>IF(OR($C189&gt;20190630,$K189&gt;30,AT189="-",$D189="是",$E189="封闭期",$H189&lt;10,$BN189&lt;-6,$BR189&lt;70),"-",COUNTIFS(AT$4:AT$200,"&lt;&gt;-",$D$4:$D$200,"&lt;&gt;是",$E$4:$E$200,"&lt;&gt;封闭期",$H$4:$H$200,"&gt;10",$BN$4:$BN$200,"&gt;-6",$BR$4:$BR$200,"&gt;=70",$K$4:$K$200,"&lt;=30",$C$4:$C$200,"&lt;20190630",AT$4:AT$200,"&gt;="&amp;AT189)&amp;"/"&amp;COUNTIFS(AT$4:AT$200,"&lt;&gt;-",$D$4:$D$200,"&lt;&gt;是",$E$4:$E$200,"&lt;&gt;封闭期",$H$4:$H$200,"&gt;10",$BN$4:$BN$200,"&gt;-6",$BR$4:$BR$200,"&gt;=70",$C$4:$C$200,"&lt;20190630",$K$4:$K$200,"&lt;=30"))</f>
        <v>-</v>
      </c>
      <c r="AX189" s="33" t="str">
        <f>IF(OR($C189&gt;20190630,$K189&gt;30,AT189="-",$D189="是",$E189="封闭期",$H189&lt;10,$BN189&lt;-6,$BR189&lt;70),"-",COUNTIFS(AT$4:AT$200,"&lt;&gt;-",$D$4:$D$200,"&lt;&gt;是",$E$4:$E$200,"&lt;&gt;封闭期",$H$4:$H$200,"&gt;10",$BN$4:$BN$200,"&gt;-6",$BR$4:$BR$200,"&gt;=70",$K$4:$K$200,"&lt;=30",$C$4:$C$200,"&lt;20190630",AT$4:AT$200,"&gt;="&amp;AT189)/COUNTIFS(AT$4:AT$200,"&lt;&gt;-",$D$4:$D$200,"&lt;&gt;是",$E$4:$E$200,"&lt;&gt;封闭期",$H$4:$H$200,"&gt;10",$BN$4:$BN$200,"&gt;-6",$BR$4:$BR$200,"&gt;=70",$C$4:$C$200,"&lt;20190630",$K$4:$K$200,"&lt;=30"))</f>
        <v>-</v>
      </c>
      <c r="AY189" s="19">
        <f>[1]!f_risk_calmar(A189,$AM$2,$L$2)</f>
        <v>1.1054552463444616</v>
      </c>
      <c r="AZ189" s="19" t="str">
        <f>IFERROR(RANK(AY189,AY:AY)&amp;"/"&amp;COUNT(AY:AY),"-")</f>
        <v>160/197</v>
      </c>
      <c r="BA189" s="26">
        <f>IFERROR(RANK(AY189,AY:AY)/COUNT(AY:AY),"-")</f>
        <v>0.81218274111675126</v>
      </c>
      <c r="BB189" s="34" t="str">
        <f>IF(OR($C189&gt;20190630,$K189&gt;30,AY189="-",$D189="是",$E189="封闭期",$H189&lt;10,$BN189&lt;-6,$BR189&lt;70),"-",COUNTIFS(AY$4:AY$200,"&lt;&gt;-",$D$4:$D$200,"&lt;&gt;是",$E$4:$E$200,"&lt;&gt;封闭期",$H$4:$H$200,"&gt;10",$BN$4:$BN$200,"&gt;-6",$BR$4:$BR$200,"&gt;=70",$K$4:$K$200,"&lt;=30",$C$4:$C$200,"&lt;20190630",AY$4:AY$200,"&gt;="&amp;AY189)&amp;"/"&amp;COUNTIFS(AY$4:AY$200,"&lt;&gt;-",$D$4:$D$200,"&lt;&gt;是",$E$4:$E$200,"&lt;&gt;封闭期",$H$4:$H$200,"&gt;10",$BN$4:$BN$200,"&gt;-6",$BR$4:$BR$200,"&gt;=70",$C$4:$C$200,"&lt;20190630",$K$4:$K$200,"&lt;=30"))</f>
        <v>-</v>
      </c>
      <c r="BC189" s="33" t="str">
        <f>IF(OR($C189&gt;20190630,$K189&gt;30,AY189="-",$D189="是",$E189="封闭期",$H189&lt;10,$BN189&lt;-6,$BR189&lt;70),"-",COUNTIFS(AY$4:AY$200,"&lt;&gt;-",$D$4:$D$200,"&lt;&gt;是",$E$4:$E$200,"&lt;&gt;封闭期",$H$4:$H$200,"&gt;10",$BN$4:$BN$200,"&gt;-6",$BR$4:$BR$200,"&gt;=70",$K$4:$K$200,"&lt;=30",$C$4:$C$200,"&lt;20190630",AY$4:AY$200,"&gt;="&amp;AY189)/COUNTIFS(AY$4:AY$200,"&lt;&gt;-",$D$4:$D$200,"&lt;&gt;是",$E$4:$E$200,"&lt;&gt;封闭期",$H$4:$H$200,"&gt;10",$BN$4:$BN$200,"&gt;-6",$BR$4:$BR$200,"&gt;=70",$C$4:$C$200,"&lt;20190630",$K$4:$K$200,"&lt;=30"))</f>
        <v>-</v>
      </c>
      <c r="BD189" s="20">
        <v>1</v>
      </c>
      <c r="BE189" s="19" t="str">
        <f>IFERROR(RANK(BD189,BD:BD)&amp;"/"&amp;COUNT(BD:BD),"-")</f>
        <v>1/197</v>
      </c>
      <c r="BF189" s="26">
        <f>IFERROR(RANK(BD189,BD:BD)/COUNT(BD:BD),"-")</f>
        <v>5.076142131979695E-3</v>
      </c>
      <c r="BG189" s="34" t="str">
        <f>IF(OR($C189&gt;20190630,$K189&gt;30,BD189="-",$D189="是",$E189="封闭期",$H189&lt;10,$BN189&lt;-6,$BR189&lt;70),"-",COUNTIFS(BD$4:BD$200,"&lt;&gt;-",$D$4:$D$200,"&lt;&gt;是",$E$4:$E$200,"&lt;&gt;封闭期",$H$4:$H$200,"&gt;10",$BN$4:$BN$200,"&gt;-6",$BR$4:$BR$200,"&gt;=70",$K$4:$K$200,"&lt;=30",$C$4:$C$200,"&lt;20190630",BD$4:BD$200,"&gt;="&amp;BD189)&amp;"/"&amp;COUNTIFS(BD$4:BD$200,"&lt;&gt;-",$D$4:$D$200,"&lt;&gt;是",$E$4:$E$200,"&lt;&gt;封闭期",$H$4:$H$200,"&gt;10",$BN$4:$BN$200,"&gt;-6",$BR$4:$BR$200,"&gt;=70",$C$4:$C$200,"&lt;20190630",$K$4:$K$200,"&lt;=30"))</f>
        <v>-</v>
      </c>
      <c r="BH189" s="33" t="str">
        <f>IF(OR($C189&gt;20190630,$K189&gt;30,BD189="-",$D189="是",$E189="封闭期",$H189&lt;10,$BN189&lt;-6,$BR189&lt;70),"-",COUNTIFS(BD$4:BD$200,"&lt;&gt;-",$D$4:$D$200,"&lt;&gt;是",$E$4:$E$200,"&lt;&gt;封闭期",$H$4:$H$200,"&gt;10",$BN$4:$BN$200,"&gt;-6",$BR$4:$BR$200,"&gt;=70",$K$4:$K$200,"&lt;=30",$C$4:$C$200,"&lt;20190630",BD$4:BD$200,"&gt;="&amp;BD189)/COUNTIFS(BD$4:BD$200,"&lt;&gt;-",$D$4:$D$200,"&lt;&gt;是",$E$4:$E$200,"&lt;&gt;封闭期",$H$4:$H$200,"&gt;10",$BN$4:$BN$200,"&gt;-6",$BR$4:$BR$200,"&gt;=70",$C$4:$C$200,"&lt;20190630",$K$4:$K$200,"&lt;=30"))</f>
        <v>-</v>
      </c>
      <c r="BI189" s="21">
        <f>[1]!f_risk_maxdownside(A189,$AM$2,$L$2)</f>
        <v>-1.8970431065194249</v>
      </c>
      <c r="BJ189" s="19" t="str">
        <f>IFERROR(RANK(BI189,BI:BI)&amp;"/"&amp;COUNT(BI:BI),"-")</f>
        <v>32/197</v>
      </c>
      <c r="BK189" s="26">
        <f>IFERROR(RANK(BI189,BI:BI)/COUNT(BI:BI),"-")</f>
        <v>0.16243654822335024</v>
      </c>
      <c r="BL189" s="34" t="str">
        <f>IF(OR($C189&gt;20190630,$K189&gt;30,BI189="-",$D189="是",$E189="封闭期",$H189&lt;10,$BN189&lt;-6,$BR189&lt;70),"-",COUNTIFS(BI$4:BI$200,"&lt;&gt;-",$D$4:$D$200,"&lt;&gt;是",$E$4:$E$200,"&lt;&gt;封闭期",$H$4:$H$200,"&gt;10",$BN$4:$BN$200,"&gt;-6",$BR$4:$BR$200,"&gt;=70",$K$4:$K$200,"&lt;=30",$C$4:$C$200,"&lt;20190630",BI$4:BI$200,"&gt;="&amp;BI189)&amp;"/"&amp;COUNTIFS(BI$4:BI$200,"&lt;&gt;-",$D$4:$D$200,"&lt;&gt;是",$E$4:$E$200,"&lt;&gt;封闭期",$H$4:$H$200,"&gt;10",$BN$4:$BN$200,"&gt;-6",$BR$4:$BR$200,"&gt;=70",$C$4:$C$200,"&lt;20190630",$K$4:$K$200,"&lt;=30"))</f>
        <v>-</v>
      </c>
      <c r="BM189" s="33" t="str">
        <f>IF(OR($C189&gt;20190630,$K189&gt;30,BI189="-",$D189="是",$E189="封闭期",$H189&lt;10,$BN189&lt;-6,$BR189&lt;70),"-",COUNTIFS(BI$4:BI$200,"&lt;&gt;-",$D$4:$D$200,"&lt;&gt;是",$E$4:$E$200,"&lt;&gt;封闭期",$H$4:$H$200,"&gt;10",$BN$4:$BN$200,"&gt;-6",$BR$4:$BR$200,"&gt;=70",$K$4:$K$200,"&lt;=30",$C$4:$C$200,"&lt;20190630",BI$4:BI$200,"&gt;="&amp;BI189)/COUNTIFS(BI$4:BI$200,"&lt;&gt;-",$D$4:$D$200,"&lt;&gt;是",$E$4:$E$200,"&lt;&gt;封闭期",$H$4:$H$200,"&gt;10",$BN$4:$BN$200,"&gt;-6",$BR$4:$BR$200,"&gt;=70",$C$4:$C$200,"&lt;20190630",$K$4:$K$200,"&lt;=30"))</f>
        <v>-</v>
      </c>
      <c r="BN189" s="21">
        <f>[1]!f_risk_maxdownside(A189,$AM$2,$E$1)</f>
        <v>-4.1866849691146104</v>
      </c>
      <c r="BO189" s="21">
        <f>IF(C189&lt;20190930,[1]!f_return_2y(A189,"0","20210930"),"-")</f>
        <v>9.3735794163105801</v>
      </c>
      <c r="BP189" s="19" t="str">
        <f>IFERROR(RANK(BO189,BO:BO)&amp;"/"&amp;COUNT(BO:BO),"-")</f>
        <v>151/197</v>
      </c>
      <c r="BQ189" s="25">
        <f>IFERROR(RANK(BO189,BO:BO)/COUNT(BO:BO),"-")</f>
        <v>0.76649746192893398</v>
      </c>
      <c r="BR189" s="19">
        <f>IF(C189&lt;20190930,[1]!f_absolute_profitmonthper(A189,"20190930","20210930"),"-")</f>
        <v>75</v>
      </c>
      <c r="BS189" s="19" t="str">
        <f>IFERROR(RANK(BR189,BR:BR)&amp;"/"&amp;COUNT(BR:BR),"-")</f>
        <v>26/198</v>
      </c>
      <c r="BT189" s="25">
        <f>IFERROR(RANK(BR189,BR:BR)/COUNT(BR:BR),"-")</f>
        <v>0.13131313131313133</v>
      </c>
      <c r="BV189" s="12">
        <f>X189-3/M189</f>
        <v>1.2269312177596585</v>
      </c>
      <c r="BW189" s="76">
        <f>IFERROR(RANK(BV189,BV:BV)/COUNT(BV:BV),"-")</f>
        <v>0.53807106598984766</v>
      </c>
      <c r="BX189" s="76">
        <f>IFERROR(RANK(L189,L:L)/COUNT(L:L),"-")</f>
        <v>0.35858585858585856</v>
      </c>
      <c r="BY189" s="12">
        <f>AY189-3/AN189</f>
        <v>-2.6403522395962664E-2</v>
      </c>
      <c r="BZ189" s="76">
        <f>IFERROR(RANK(BY189,BY:BY)/COUNT(BY:BY),"-")</f>
        <v>0.84771573604060912</v>
      </c>
      <c r="CA189" s="76">
        <f>IFERROR(RANK(AM189,AM:AM)/COUNT(AM:AM),"-")</f>
        <v>0.94444444444444442</v>
      </c>
      <c r="CB189" s="2"/>
      <c r="CC189" s="77">
        <f>AV189+BF189+BZ189+CA189</f>
        <v>2.7007896221094194</v>
      </c>
      <c r="CD189" s="77">
        <f>BW189+BX189+AE189+U189</f>
        <v>2.1504640311746912</v>
      </c>
      <c r="CE189" s="77">
        <f>CC189+CD189</f>
        <v>4.8512536532841111</v>
      </c>
    </row>
    <row r="190" spans="1:83" s="17" customFormat="1" hidden="1" x14ac:dyDescent="0.35">
      <c r="A190" s="15" t="s">
        <v>363</v>
      </c>
      <c r="B190" s="15" t="s">
        <v>364</v>
      </c>
      <c r="C190" s="16">
        <v>20180207</v>
      </c>
      <c r="D190" s="16" t="str">
        <f>[1]!f_info_regulopenfundornot(A190)</f>
        <v>否</v>
      </c>
      <c r="E190" s="16" t="str">
        <f>[1]!f_dq_status(A190,$E$1)</f>
        <v>开放申购|开放赎回</v>
      </c>
      <c r="F190" s="17" t="str">
        <f>[1]!f_info_fundmanager(A190)</f>
        <v>王丹</v>
      </c>
      <c r="G190" s="16">
        <v>20190812</v>
      </c>
      <c r="H190" s="18">
        <f>[1]!f_netasset_total(A190,$E$1,100000000)</f>
        <v>9.3765923348999998</v>
      </c>
      <c r="I190" s="18">
        <f>[1]!f_prt_convertiblebondtonav(A190,$E$1)</f>
        <v>0</v>
      </c>
      <c r="J190" s="18">
        <f>[1]!f_prt_stocktonav(A190,$E$1)+0.5*I190</f>
        <v>0</v>
      </c>
      <c r="K190" s="19">
        <v>0</v>
      </c>
      <c r="L190" s="19">
        <f>[1]!f_return($A190,"1",L$2,$E$1)</f>
        <v>-4.0096846899825618</v>
      </c>
      <c r="M190" s="19">
        <f>[1]!f_risk_stdevyearly($A190,L$2,$E$1,1,1)</f>
        <v>5.7695086704314402</v>
      </c>
      <c r="N190" s="19">
        <f>IFERROR(L190/M190,"-")</f>
        <v>-0.69497853613290783</v>
      </c>
      <c r="O190" s="19" t="str">
        <f>IFERROR(RANK(N190,N:N)&amp;"/"&amp;COUNT(N:N),"-")</f>
        <v>195/197</v>
      </c>
      <c r="P190" s="26">
        <f>IF(O190="-","-",RANK(N190,N:N)/COUNT(N:N))</f>
        <v>0.98984771573604058</v>
      </c>
      <c r="Q190" s="56">
        <v>0.99492385786802029</v>
      </c>
      <c r="R190" s="33" t="str">
        <f>IF(OR($C190&gt;20190630,$K190&gt;30,N190="-",$D190="是",$E190="封闭期",$H190&lt;10,$BN190&lt;-6,$BR190&lt;70),"-",COUNTIFS(N$4:N$200,"&lt;&gt;-",$D$4:$D$200,"&lt;&gt;是",$E$4:$E$200,"&lt;&gt;封闭期",$H$4:$H$200,"&gt;10",$BN$4:$BN$200,"&gt;-6",$BR$4:$BR$200,"&gt;=70",$K$4:$K$200,"&lt;=30",$C$4:$C$200,"&lt;20190630",N$4:N$200,"&gt;="&amp;N190)/COUNTIFS(N$4:N$200,"&lt;&gt;-",$D$4:$D$200,"&lt;&gt;是",$E$4:$E$200,"&lt;&gt;封闭期",$H$4:$H$200,"&gt;10",$BN$4:$BN$200,"&gt;-6",$BR$4:$BR$200,"&gt;=70",$C$4:$C$200,"&lt;20190630",$K$4:$K$200,"&lt;=30"))</f>
        <v>-</v>
      </c>
      <c r="S190" s="19">
        <f>IFERROR((L190-3)/M190,"-")</f>
        <v>-1.2149534891778544</v>
      </c>
      <c r="T190" s="19" t="str">
        <f>IFERROR(RANK(S190,S:S)&amp;"/"&amp;COUNT(S:S),"-")</f>
        <v>193/197</v>
      </c>
      <c r="U190" s="26">
        <f>IFERROR(RANK(S190,S:S)/COUNT(S:S),"-")</f>
        <v>0.97969543147208127</v>
      </c>
      <c r="V190" s="34" t="str">
        <f>IF(OR($C190&gt;20190630,$K190&gt;30,S190="-",$D190="是",$E190="封闭期",$H190&lt;10,$BN190&lt;-6,$BR190&lt;70),"-",COUNTIFS(S$4:S$200,"&lt;&gt;-",$D$4:$D$200,"&lt;&gt;是",$E$4:$E$200,"&lt;&gt;封闭期",$H$4:$H$200,"&gt;10",$BN$4:$BN$200,"&gt;-6",$BR$4:$BR$200,"&gt;=70",$K$4:$K$200,"&lt;=30",$C$4:$C$200,"&lt;20190630",S$4:S$200,"&gt;="&amp;S190)&amp;"/"&amp;COUNTIFS(S$4:S$200,"&lt;&gt;-",$D$4:$D$200,"&lt;&gt;是",$E$4:$E$200,"&lt;&gt;封闭期",$H$4:$H$200,"&gt;10",$BN$4:$BN$200,"&gt;-6",$BR$4:$BR$200,"&gt;=70",$C$4:$C$200,"&lt;20190630",$K$4:$K$200,"&lt;=30"))</f>
        <v>-</v>
      </c>
      <c r="W190" s="33" t="str">
        <f>IF(OR($C190&gt;20190630,$K190&gt;30,S190="-",$D190="是",$E190="封闭期",$H190&lt;10,$BN190&lt;-6,$BR190&lt;70),"-",COUNTIFS(S$4:S$200,"&lt;&gt;-",$D$4:$D$200,"&lt;&gt;是",$E$4:$E$200,"&lt;&gt;封闭期",$H$4:$H$200,"&gt;10",$BN$4:$BN$200,"&gt;-6",$BR$4:$BR$200,"&gt;=70",$K$4:$K$200,"&lt;=30",$C$4:$C$200,"&lt;20190630",S$4:S$200,"&gt;="&amp;S190)/COUNTIFS(S$4:S$200,"&lt;&gt;-",$D$4:$D$200,"&lt;&gt;是",$E$4:$E$200,"&lt;&gt;封闭期",$H$4:$H$200,"&gt;10",$BN$4:$BN$200,"&gt;-6",$BR$4:$BR$200,"&gt;=70",$C$4:$C$200,"&lt;20190630",$K$4:$K$200,"&lt;=30"))</f>
        <v>-</v>
      </c>
      <c r="X190" s="19">
        <f>[1]!f_risk_calmar(A190,$L$2,$E$1)</f>
        <v>-0.65273345698099727</v>
      </c>
      <c r="Y190" s="19" t="str">
        <f>IFERROR(RANK(X190,X:X)&amp;"/"&amp;COUNT(X:X),"-")</f>
        <v>195/197</v>
      </c>
      <c r="Z190" s="26">
        <f>IFERROR(RANK(X190,X:X)/COUNT(X:X),"-")</f>
        <v>0.98984771573604058</v>
      </c>
      <c r="AA190" s="34" t="str">
        <f>IF(OR($C190&gt;20190630,$K190&gt;30,X190="-",$D190="是",$E190="封闭期",$H190&lt;10,$BN190&lt;-6,$BR190&lt;70),"-",COUNTIFS(X$4:X$200,"&lt;&gt;-",$D$4:$D$200,"&lt;&gt;是",$E$4:$E$200,"&lt;&gt;封闭期",$H$4:$H$200,"&gt;10",$BN$4:$BN$200,"&gt;-6",$BR$4:$BR$200,"&gt;=70",$K$4:$K$200,"&lt;=30",$C$4:$C$200,"&lt;20190630",X$4:X$200,"&gt;="&amp;X190)&amp;"/"&amp;COUNTIFS(X$4:X$200,"&lt;&gt;-",$D$4:$D$200,"&lt;&gt;是",$E$4:$E$200,"&lt;&gt;封闭期",$H$4:$H$200,"&gt;10",$BN$4:$BN$200,"&gt;-6",$BR$4:$BR$200,"&gt;=70",$C$4:$C$200,"&lt;20190630",$K$4:$K$200,"&lt;=30"))</f>
        <v>-</v>
      </c>
      <c r="AB190" s="33" t="str">
        <f>IF(OR($C190&gt;20190630,$K190&gt;30,X190="-",$D190="是",$E190="封闭期",$H190&lt;10,$BN190&lt;-6,$BR190&lt;70),"-",COUNTIFS(X$4:X$200,"&lt;&gt;-",$D$4:$D$200,"&lt;&gt;是",$E$4:$E$200,"&lt;&gt;封闭期",$H$4:$H$200,"&gt;10",$BN$4:$BN$200,"&gt;-6",$BR$4:$BR$200,"&gt;=70",$K$4:$K$200,"&lt;=30",$C$4:$C$200,"&lt;20190630",X$4:X$200,"&gt;="&amp;X190)/COUNTIFS(X$4:X$200,"&lt;&gt;-",$D$4:$D$200,"&lt;&gt;是",$E$4:$E$200,"&lt;&gt;封闭期",$H$4:$H$200,"&gt;10",$BN$4:$BN$200,"&gt;-6",$BR$4:$BR$200,"&gt;=70",$C$4:$C$200,"&lt;20190630",$K$4:$K$200,"&lt;=30"))</f>
        <v>-</v>
      </c>
      <c r="AC190" s="20">
        <v>0.1176470588235294</v>
      </c>
      <c r="AD190" s="19" t="str">
        <f>IFERROR(RANK(AC190,AC:AC)&amp;"/"&amp;COUNT(AC:AC),"-")</f>
        <v>195/197</v>
      </c>
      <c r="AE190" s="26">
        <f>IFERROR(RANK(AC190,AC:AC)/COUNT(AC:AC),"-")</f>
        <v>0.98984771573604058</v>
      </c>
      <c r="AF190" s="34" t="str">
        <f>IF(OR($C190&gt;20190630,$K190&gt;30,AC190="-",$D190="是",$E190="封闭期",$H190&lt;10,$BN190&lt;-6,$BR190&lt;70),"-",COUNTIFS(AC$4:AC$200,"&lt;&gt;-",$D$4:$D$200,"&lt;&gt;是",$E$4:$E$200,"&lt;&gt;封闭期",$H$4:$H$200,"&gt;10",$BN$4:$BN$200,"&gt;-6",$BR$4:$BR$200,"&gt;=70",$K$4:$K$200,"&lt;=30",$C$4:$C$200,"&lt;20190630",AC$4:AC$200,"&gt;="&amp;AC190)&amp;"/"&amp;COUNTIFS(AC$4:AC$200,"&lt;&gt;-",$D$4:$D$200,"&lt;&gt;是",$E$4:$E$200,"&lt;&gt;封闭期",$H$4:$H$200,"&gt;10",$BN$4:$BN$200,"&gt;-6",$BR$4:$BR$200,"&gt;=70",$C$4:$C$200,"&lt;20190630",$K$4:$K$200,"&lt;=30"))</f>
        <v>-</v>
      </c>
      <c r="AG190" s="33" t="str">
        <f>IF(OR($C190&gt;20190630,$K190&gt;30,AC190="-",$D190="是",$E190="封闭期",$H190&lt;10,$BN190&lt;-6,$BR190&lt;70),"-",COUNTIFS(AC$4:AC$200,"&lt;&gt;-",$D$4:$D$200,"&lt;&gt;是",$E$4:$E$200,"&lt;&gt;封闭期",$H$4:$H$200,"&gt;10",$BN$4:$BN$200,"&gt;-6",$BR$4:$BR$200,"&gt;=70",$K$4:$K$200,"&lt;=30",$C$4:$C$200,"&lt;20190630",AC$4:AC$200,"&gt;="&amp;AC190)/COUNTIFS(AC$4:AC$200,"&lt;&gt;-",$D$4:$D$200,"&lt;&gt;是",$E$4:$E$200,"&lt;&gt;封闭期",$H$4:$H$200,"&gt;10",$BN$4:$BN$200,"&gt;-6",$BR$4:$BR$200,"&gt;=70",$C$4:$C$200,"&lt;20190630",$K$4:$K$200,"&lt;=30"))</f>
        <v>-</v>
      </c>
      <c r="AH190" s="21">
        <f>[1]!f_risk_maxdownside(A190,$L$2,$E$1)</f>
        <v>-6.142912772585662</v>
      </c>
      <c r="AI190" s="19" t="str">
        <f>IFERROR(RANK(AH190,AH:AH)&amp;"/"&amp;COUNT(AH:AH),"-")</f>
        <v>179/197</v>
      </c>
      <c r="AJ190" s="26">
        <f>IFERROR(RANK(AH190,AH:AH)/COUNT(AH:AH),"-")</f>
        <v>0.90862944162436543</v>
      </c>
      <c r="AK190" s="34" t="str">
        <f>IF(OR($C190&gt;20190630,$K190&gt;30,AH190="-",$D190="是",$E190="封闭期",$H190&lt;10,$BN190&lt;-6,$BR190&lt;70),"-",COUNTIFS(AH$4:AH$200,"&lt;&gt;-",$D$4:$D$200,"&lt;&gt;是",$E$4:$E$200,"&lt;&gt;封闭期",$H$4:$H$200,"&gt;10",$BN$4:$BN$200,"&gt;-6",$BR$4:$BR$200,"&gt;=70",$K$4:$K$200,"&lt;=30",$C$4:$C$200,"&lt;20190630",AH$4:AH$200,"&gt;="&amp;AH190)&amp;"/"&amp;COUNTIFS(AH$4:AH$200,"&lt;&gt;-",$D$4:$D$200,"&lt;&gt;是",$E$4:$E$200,"&lt;&gt;封闭期",$H$4:$H$200,"&gt;10",$BN$4:$BN$200,"&gt;-6",$BR$4:$BR$200,"&gt;=70",$C$4:$C$200,"&lt;20190630",$K$4:$K$200,"&lt;=30"))</f>
        <v>-</v>
      </c>
      <c r="AL190" s="33" t="str">
        <f>IF(OR($C190&gt;20190630,$K190&gt;30,AH190="-",$D190="是",$E190="封闭期",$H190&lt;10,$BN190&lt;-6,$BR190&lt;70),"-",COUNTIFS(AH$4:AH$200,"&lt;&gt;-",$D$4:$D$200,"&lt;&gt;是",$E$4:$E$200,"&lt;&gt;封闭期",$H$4:$H$200,"&gt;10",$BN$4:$BN$200,"&gt;-6",$BR$4:$BR$200,"&gt;=70",$K$4:$K$200,"&lt;=30",$C$4:$C$200,"&lt;20190630",AH$4:AH$200,"&gt;="&amp;AH190)/COUNTIFS(AH$4:AH$200,"&lt;&gt;-",$D$4:$D$200,"&lt;&gt;是",$E$4:$E$200,"&lt;&gt;封闭期",$H$4:$H$200,"&gt;10",$BN$4:$BN$200,"&gt;-6",$BR$4:$BR$200,"&gt;=70",$C$4:$C$200,"&lt;20190630",$K$4:$K$200,"&lt;=30"))</f>
        <v>-</v>
      </c>
      <c r="AM190" s="19">
        <f>[1]!f_return($A190,"1",AM$2,$L$2)</f>
        <v>1.8829932934602001</v>
      </c>
      <c r="AN190" s="19">
        <f>[1]!f_risk_stdevyearly($A190,AM$2,$L$2,1,1)</f>
        <v>1.9803591568124632</v>
      </c>
      <c r="AO190" s="19">
        <f>IFERROR(AM190/AN190,"-")</f>
        <v>0.95083423983103099</v>
      </c>
      <c r="AP190" s="19" t="str">
        <f>IFERROR(RANK(AO190,AO:AO)&amp;"/"&amp;COUNT(AO:AO),"-")</f>
        <v>164/197</v>
      </c>
      <c r="AQ190" s="26">
        <f>IF(AP190="-","-",RANK(AO190,AO:AO)/COUNT(AO:AO))</f>
        <v>0.8324873096446701</v>
      </c>
      <c r="AR190" s="57">
        <v>0.949238578680203</v>
      </c>
      <c r="AS190" s="33" t="str">
        <f>IF(OR($C190&gt;20190630,$K190&gt;30,AO190="-",$D190="是",$E190="封闭期",$H190&lt;10,$BN190&lt;-6,$BR190&lt;70),"-",COUNTIFS(AO$4:AO$200,"&lt;&gt;-",$D$4:$D$200,"&lt;&gt;是",$E$4:$E$200,"&lt;&gt;封闭期",$H$4:$H$200,"&gt;10",$BN$4:$BN$200,"&gt;-6",$BR$4:$BR$200,"&gt;=70",$K$4:$K$200,"&lt;=30",$C$4:$C$200,"&lt;20190630",AO$4:AO$200,"&gt;="&amp;AO190)/COUNTIFS(AO$4:AO$200,"&lt;&gt;-",$D$4:$D$200,"&lt;&gt;是",$E$4:$E$200,"&lt;&gt;封闭期",$H$4:$H$200,"&gt;10",$BN$4:$BN$200,"&gt;-6",$BR$4:$BR$200,"&gt;=70",$C$4:$C$200,"&lt;20190630",$K$4:$K$200,"&lt;=30"))</f>
        <v>-</v>
      </c>
      <c r="AT190" s="19">
        <f>IFERROR((AM190-3)/AN190,"-")</f>
        <v>-0.56404248830182202</v>
      </c>
      <c r="AU190" s="19" t="str">
        <f>IFERROR(RANK(AT190,AT:AT)&amp;"/"&amp;COUNT(AT:AT),"-")</f>
        <v>185/197</v>
      </c>
      <c r="AV190" s="26">
        <f>IFERROR(RANK(AT190,AT:AT)/COUNT(AT:AT),"-")</f>
        <v>0.93908629441624369</v>
      </c>
      <c r="AW190" s="34" t="str">
        <f>IF(OR($C190&gt;20190630,$K190&gt;30,AT190="-",$D190="是",$E190="封闭期",$H190&lt;10,$BN190&lt;-6,$BR190&lt;70),"-",COUNTIFS(AT$4:AT$200,"&lt;&gt;-",$D$4:$D$200,"&lt;&gt;是",$E$4:$E$200,"&lt;&gt;封闭期",$H$4:$H$200,"&gt;10",$BN$4:$BN$200,"&gt;-6",$BR$4:$BR$200,"&gt;=70",$K$4:$K$200,"&lt;=30",$C$4:$C$200,"&lt;20190630",AT$4:AT$200,"&gt;="&amp;AT190)&amp;"/"&amp;COUNTIFS(AT$4:AT$200,"&lt;&gt;-",$D$4:$D$200,"&lt;&gt;是",$E$4:$E$200,"&lt;&gt;封闭期",$H$4:$H$200,"&gt;10",$BN$4:$BN$200,"&gt;-6",$BR$4:$BR$200,"&gt;=70",$C$4:$C$200,"&lt;20190630",$K$4:$K$200,"&lt;=30"))</f>
        <v>-</v>
      </c>
      <c r="AX190" s="33" t="str">
        <f>IF(OR($C190&gt;20190630,$K190&gt;30,AT190="-",$D190="是",$E190="封闭期",$H190&lt;10,$BN190&lt;-6,$BR190&lt;70),"-",COUNTIFS(AT$4:AT$200,"&lt;&gt;-",$D$4:$D$200,"&lt;&gt;是",$E$4:$E$200,"&lt;&gt;封闭期",$H$4:$H$200,"&gt;10",$BN$4:$BN$200,"&gt;-6",$BR$4:$BR$200,"&gt;=70",$K$4:$K$200,"&lt;=30",$C$4:$C$200,"&lt;20190630",AT$4:AT$200,"&gt;="&amp;AT190)/COUNTIFS(AT$4:AT$200,"&lt;&gt;-",$D$4:$D$200,"&lt;&gt;是",$E$4:$E$200,"&lt;&gt;封闭期",$H$4:$H$200,"&gt;10",$BN$4:$BN$200,"&gt;-6",$BR$4:$BR$200,"&gt;=70",$C$4:$C$200,"&lt;20190630",$K$4:$K$200,"&lt;=30"))</f>
        <v>-</v>
      </c>
      <c r="AY190" s="19">
        <f>[1]!f_risk_calmar(A190,$AM$2,$L$2)</f>
        <v>0.67425395594003901</v>
      </c>
      <c r="AZ190" s="19" t="str">
        <f>IFERROR(RANK(AY190,AY:AY)&amp;"/"&amp;COUNT(AY:AY),"-")</f>
        <v>183/197</v>
      </c>
      <c r="BA190" s="26">
        <f>IFERROR(RANK(AY190,AY:AY)/COUNT(AY:AY),"-")</f>
        <v>0.92893401015228427</v>
      </c>
      <c r="BB190" s="34" t="str">
        <f>IF(OR($C190&gt;20190630,$K190&gt;30,AY190="-",$D190="是",$E190="封闭期",$H190&lt;10,$BN190&lt;-6,$BR190&lt;70),"-",COUNTIFS(AY$4:AY$200,"&lt;&gt;-",$D$4:$D$200,"&lt;&gt;是",$E$4:$E$200,"&lt;&gt;封闭期",$H$4:$H$200,"&gt;10",$BN$4:$BN$200,"&gt;-6",$BR$4:$BR$200,"&gt;=70",$K$4:$K$200,"&lt;=30",$C$4:$C$200,"&lt;20190630",AY$4:AY$200,"&gt;="&amp;AY190)&amp;"/"&amp;COUNTIFS(AY$4:AY$200,"&lt;&gt;-",$D$4:$D$200,"&lt;&gt;是",$E$4:$E$200,"&lt;&gt;封闭期",$H$4:$H$200,"&gt;10",$BN$4:$BN$200,"&gt;-6",$BR$4:$BR$200,"&gt;=70",$C$4:$C$200,"&lt;20190630",$K$4:$K$200,"&lt;=30"))</f>
        <v>-</v>
      </c>
      <c r="BC190" s="33" t="str">
        <f>IF(OR($C190&gt;20190630,$K190&gt;30,AY190="-",$D190="是",$E190="封闭期",$H190&lt;10,$BN190&lt;-6,$BR190&lt;70),"-",COUNTIFS(AY$4:AY$200,"&lt;&gt;-",$D$4:$D$200,"&lt;&gt;是",$E$4:$E$200,"&lt;&gt;封闭期",$H$4:$H$200,"&gt;10",$BN$4:$BN$200,"&gt;-6",$BR$4:$BR$200,"&gt;=70",$K$4:$K$200,"&lt;=30",$C$4:$C$200,"&lt;20190630",AY$4:AY$200,"&gt;="&amp;AY190)/COUNTIFS(AY$4:AY$200,"&lt;&gt;-",$D$4:$D$200,"&lt;&gt;是",$E$4:$E$200,"&lt;&gt;封闭期",$H$4:$H$200,"&gt;10",$BN$4:$BN$200,"&gt;-6",$BR$4:$BR$200,"&gt;=70",$C$4:$C$200,"&lt;20190630",$K$4:$K$200,"&lt;=30"))</f>
        <v>-</v>
      </c>
      <c r="BD190" s="20">
        <v>0.73333333333333328</v>
      </c>
      <c r="BE190" s="19" t="str">
        <f>IFERROR(RANK(BD190,BD:BD)&amp;"/"&amp;COUNT(BD:BD),"-")</f>
        <v>186/197</v>
      </c>
      <c r="BF190" s="26">
        <f>IFERROR(RANK(BD190,BD:BD)/COUNT(BD:BD),"-")</f>
        <v>0.9441624365482234</v>
      </c>
      <c r="BG190" s="34" t="str">
        <f>IF(OR($C190&gt;20190630,$K190&gt;30,BD190="-",$D190="是",$E190="封闭期",$H190&lt;10,$BN190&lt;-6,$BR190&lt;70),"-",COUNTIFS(BD$4:BD$200,"&lt;&gt;-",$D$4:$D$200,"&lt;&gt;是",$E$4:$E$200,"&lt;&gt;封闭期",$H$4:$H$200,"&gt;10",$BN$4:$BN$200,"&gt;-6",$BR$4:$BR$200,"&gt;=70",$K$4:$K$200,"&lt;=30",$C$4:$C$200,"&lt;20190630",BD$4:BD$200,"&gt;="&amp;BD190)&amp;"/"&amp;COUNTIFS(BD$4:BD$200,"&lt;&gt;-",$D$4:$D$200,"&lt;&gt;是",$E$4:$E$200,"&lt;&gt;封闭期",$H$4:$H$200,"&gt;10",$BN$4:$BN$200,"&gt;-6",$BR$4:$BR$200,"&gt;=70",$C$4:$C$200,"&lt;20190630",$K$4:$K$200,"&lt;=30"))</f>
        <v>-</v>
      </c>
      <c r="BH190" s="33" t="str">
        <f>IF(OR($C190&gt;20190630,$K190&gt;30,BD190="-",$D190="是",$E190="封闭期",$H190&lt;10,$BN190&lt;-6,$BR190&lt;70),"-",COUNTIFS(BD$4:BD$200,"&lt;&gt;-",$D$4:$D$200,"&lt;&gt;是",$E$4:$E$200,"&lt;&gt;封闭期",$H$4:$H$200,"&gt;10",$BN$4:$BN$200,"&gt;-6",$BR$4:$BR$200,"&gt;=70",$K$4:$K$200,"&lt;=30",$C$4:$C$200,"&lt;20190630",BD$4:BD$200,"&gt;="&amp;BD190)/COUNTIFS(BD$4:BD$200,"&lt;&gt;-",$D$4:$D$200,"&lt;&gt;是",$E$4:$E$200,"&lt;&gt;封闭期",$H$4:$H$200,"&gt;10",$BN$4:$BN$200,"&gt;-6",$BR$4:$BR$200,"&gt;=70",$C$4:$C$200,"&lt;20190630",$K$4:$K$200,"&lt;=30"))</f>
        <v>-</v>
      </c>
      <c r="BI190" s="21">
        <f>[1]!f_risk_maxdownside(A190,$AM$2,$L$2)</f>
        <v>-2.7927063339731499</v>
      </c>
      <c r="BJ190" s="19" t="str">
        <f>IFERROR(RANK(BI190,BI:BI)&amp;"/"&amp;COUNT(BI:BI),"-")</f>
        <v>80/197</v>
      </c>
      <c r="BK190" s="26">
        <f>IFERROR(RANK(BI190,BI:BI)/COUNT(BI:BI),"-")</f>
        <v>0.40609137055837563</v>
      </c>
      <c r="BL190" s="34" t="str">
        <f>IF(OR($C190&gt;20190630,$K190&gt;30,BI190="-",$D190="是",$E190="封闭期",$H190&lt;10,$BN190&lt;-6,$BR190&lt;70),"-",COUNTIFS(BI$4:BI$200,"&lt;&gt;-",$D$4:$D$200,"&lt;&gt;是",$E$4:$E$200,"&lt;&gt;封闭期",$H$4:$H$200,"&gt;10",$BN$4:$BN$200,"&gt;-6",$BR$4:$BR$200,"&gt;=70",$K$4:$K$200,"&lt;=30",$C$4:$C$200,"&lt;20190630",BI$4:BI$200,"&gt;="&amp;BI190)&amp;"/"&amp;COUNTIFS(BI$4:BI$200,"&lt;&gt;-",$D$4:$D$200,"&lt;&gt;是",$E$4:$E$200,"&lt;&gt;封闭期",$H$4:$H$200,"&gt;10",$BN$4:$BN$200,"&gt;-6",$BR$4:$BR$200,"&gt;=70",$C$4:$C$200,"&lt;20190630",$K$4:$K$200,"&lt;=30"))</f>
        <v>-</v>
      </c>
      <c r="BM190" s="33" t="str">
        <f>IF(OR($C190&gt;20190630,$K190&gt;30,BI190="-",$D190="是",$E190="封闭期",$H190&lt;10,$BN190&lt;-6,$BR190&lt;70),"-",COUNTIFS(BI$4:BI$200,"&lt;&gt;-",$D$4:$D$200,"&lt;&gt;是",$E$4:$E$200,"&lt;&gt;封闭期",$H$4:$H$200,"&gt;10",$BN$4:$BN$200,"&gt;-6",$BR$4:$BR$200,"&gt;=70",$K$4:$K$200,"&lt;=30",$C$4:$C$200,"&lt;20190630",BI$4:BI$200,"&gt;="&amp;BI190)/COUNTIFS(BI$4:BI$200,"&lt;&gt;-",$D$4:$D$200,"&lt;&gt;是",$E$4:$E$200,"&lt;&gt;封闭期",$H$4:$H$200,"&gt;10",$BN$4:$BN$200,"&gt;-6",$BR$4:$BR$200,"&gt;=70",$C$4:$C$200,"&lt;20190630",$K$4:$K$200,"&lt;=30"))</f>
        <v>-</v>
      </c>
      <c r="BN190" s="21">
        <f>[1]!f_risk_maxdownside(A190,$AM$2,$E$1)</f>
        <v>-7.4760076775431932</v>
      </c>
      <c r="BO190" s="21">
        <f>IF(C190&lt;20190930,[1]!f_return_2y(A190,"0","20210930"),"-")</f>
        <v>-2.2231123573002125</v>
      </c>
      <c r="BP190" s="19" t="str">
        <f>IFERROR(RANK(BO190,BO:BO)&amp;"/"&amp;COUNT(BO:BO),"-")</f>
        <v>196/197</v>
      </c>
      <c r="BQ190" s="25">
        <f>IFERROR(RANK(BO190,BO:BO)/COUNT(BO:BO),"-")</f>
        <v>0.99492385786802029</v>
      </c>
      <c r="BR190" s="19">
        <f>IF(C190&lt;20190930,[1]!f_absolute_profitmonthper(A190,"20190930","20210930"),"-")</f>
        <v>54.166666666666664</v>
      </c>
      <c r="BS190" s="19" t="str">
        <f>IFERROR(RANK(BR190,BR:BR)&amp;"/"&amp;COUNT(BR:BR),"-")</f>
        <v>184/198</v>
      </c>
      <c r="BT190" s="25">
        <f>IFERROR(RANK(BR190,BR:BR)/COUNT(BR:BR),"-")</f>
        <v>0.92929292929292928</v>
      </c>
      <c r="BV190" s="12">
        <f>X190-3/M190</f>
        <v>-1.1727084100259439</v>
      </c>
      <c r="BW190" s="76">
        <f>IFERROR(RANK(BV190,BV:BV)/COUNT(BV:BV),"-")</f>
        <v>0.98477157360406087</v>
      </c>
      <c r="BX190" s="76">
        <f>IFERROR(RANK(L190,L:L)/COUNT(L:L),"-")</f>
        <v>0.99494949494949492</v>
      </c>
      <c r="BY190" s="12">
        <f>AY190-3/AN190</f>
        <v>-0.84062277219281401</v>
      </c>
      <c r="BZ190" s="76">
        <f>IFERROR(RANK(BY190,BY:BY)/COUNT(BY:BY),"-")</f>
        <v>0.92893401015228427</v>
      </c>
      <c r="CA190" s="76">
        <f>IFERROR(RANK(AM190,AM:AM)/COUNT(AM:AM),"-")</f>
        <v>0.9494949494949495</v>
      </c>
      <c r="CB190" s="2"/>
      <c r="CC190" s="77">
        <f>AV190+BF190+BZ190+CA190</f>
        <v>3.7616776906117009</v>
      </c>
      <c r="CD190" s="77">
        <f>BW190+BX190+AE190+U190</f>
        <v>3.9492642157616777</v>
      </c>
      <c r="CE190" s="77">
        <f>CC190+CD190</f>
        <v>7.7109419063733782</v>
      </c>
    </row>
    <row r="191" spans="1:83" s="17" customFormat="1" x14ac:dyDescent="0.35">
      <c r="A191" s="15" t="s">
        <v>319</v>
      </c>
      <c r="B191" s="15" t="s">
        <v>320</v>
      </c>
      <c r="C191" s="16">
        <v>20170204</v>
      </c>
      <c r="D191" s="16" t="str">
        <f>[1]!f_info_regulopenfundornot(A191)</f>
        <v>否</v>
      </c>
      <c r="E191" s="16" t="str">
        <f>[1]!f_dq_status(A191,$E$1)</f>
        <v>暂停大额申购|开放赎回</v>
      </c>
      <c r="F191" s="17" t="str">
        <f>[1]!f_info_fundmanager(A191)</f>
        <v>周帅,陈保国</v>
      </c>
      <c r="G191" s="16">
        <v>20200728</v>
      </c>
      <c r="H191" s="18">
        <f>[1]!f_netasset_total(A191,$E$1,100000000)</f>
        <v>20.163522780000001</v>
      </c>
      <c r="I191" s="18">
        <f>[1]!f_prt_convertiblebondtonav(A191,$E$1)</f>
        <v>4.4341985136270523E-2</v>
      </c>
      <c r="J191" s="18">
        <f>[1]!f_prt_stocktonav(A191,$E$1)+0.5*I191</f>
        <v>2.6261305529624224</v>
      </c>
      <c r="K191" s="19">
        <v>4.82108216211215</v>
      </c>
      <c r="L191" s="19">
        <f>[1]!f_return($A191,"1",L$2,$E$1)</f>
        <v>1.496628770496411</v>
      </c>
      <c r="M191" s="19">
        <f>[1]!f_risk_stdevyearly($A191,L$2,$E$1,1,1)</f>
        <v>1.0256118829054746</v>
      </c>
      <c r="N191" s="19">
        <f>IFERROR(L191/M191,"-")</f>
        <v>1.4592545147357148</v>
      </c>
      <c r="O191" s="19" t="str">
        <f>IFERROR(RANK(N191,N:N)&amp;"/"&amp;COUNT(N:N),"-")</f>
        <v>91/197</v>
      </c>
      <c r="P191" s="26">
        <f>IF(O191="-","-",RANK(N191,N:N)/COUNT(N:N))</f>
        <v>0.46192893401015228</v>
      </c>
      <c r="Q191" s="56">
        <v>0.90862944162436543</v>
      </c>
      <c r="R191" s="33" t="str">
        <f>IF(OR($C191&gt;20190630,$K191&gt;30,N191="-",$D191="是",$E191="封闭期",$H191&lt;10,$BN191&lt;-6,$BR191&lt;70),"-",COUNTIFS(N$4:N$200,"&lt;&gt;-",$D$4:$D$200,"&lt;&gt;是",$E$4:$E$200,"&lt;&gt;封闭期",$H$4:$H$200,"&gt;10",$BN$4:$BN$200,"&gt;-6",$BR$4:$BR$200,"&gt;=70",$K$4:$K$200,"&lt;=30",$C$4:$C$200,"&lt;20190630",N$4:N$200,"&gt;="&amp;N191)/COUNTIFS(N$4:N$200,"&lt;&gt;-",$D$4:$D$200,"&lt;&gt;是",$E$4:$E$200,"&lt;&gt;封闭期",$H$4:$H$200,"&gt;10",$BN$4:$BN$200,"&gt;-6",$BR$4:$BR$200,"&gt;=70",$C$4:$C$200,"&lt;20190630",$K$4:$K$200,"&lt;=30"))</f>
        <v>-</v>
      </c>
      <c r="S191" s="19">
        <f>IFERROR((L191-3)/M191,"-")</f>
        <v>-1.4658285990648445</v>
      </c>
      <c r="T191" s="19" t="str">
        <f>IFERROR(RANK(S191,S:S)&amp;"/"&amp;COUNT(S:S),"-")</f>
        <v>195/197</v>
      </c>
      <c r="U191" s="26">
        <f>IFERROR(RANK(S191,S:S)/COUNT(S:S),"-")</f>
        <v>0.98984771573604058</v>
      </c>
      <c r="V191" s="34" t="str">
        <f>IF(OR($C191&gt;20190630,$K191&gt;30,S191="-",$D191="是",$E191="封闭期",$H191&lt;10,$BN191&lt;-6,$BR191&lt;70),"-",COUNTIFS(S$4:S$200,"&lt;&gt;-",$D$4:$D$200,"&lt;&gt;是",$E$4:$E$200,"&lt;&gt;封闭期",$H$4:$H$200,"&gt;10",$BN$4:$BN$200,"&gt;-6",$BR$4:$BR$200,"&gt;=70",$K$4:$K$200,"&lt;=30",$C$4:$C$200,"&lt;20190630",S$4:S$200,"&gt;="&amp;S191)&amp;"/"&amp;COUNTIFS(S$4:S$200,"&lt;&gt;-",$D$4:$D$200,"&lt;&gt;是",$E$4:$E$200,"&lt;&gt;封闭期",$H$4:$H$200,"&gt;10",$BN$4:$BN$200,"&gt;-6",$BR$4:$BR$200,"&gt;=70",$C$4:$C$200,"&lt;20190630",$K$4:$K$200,"&lt;=30"))</f>
        <v>-</v>
      </c>
      <c r="W191" s="33" t="str">
        <f>IF(OR($C191&gt;20190630,$K191&gt;30,S191="-",$D191="是",$E191="封闭期",$H191&lt;10,$BN191&lt;-6,$BR191&lt;70),"-",COUNTIFS(S$4:S$200,"&lt;&gt;-",$D$4:$D$200,"&lt;&gt;是",$E$4:$E$200,"&lt;&gt;封闭期",$H$4:$H$200,"&gt;10",$BN$4:$BN$200,"&gt;-6",$BR$4:$BR$200,"&gt;=70",$K$4:$K$200,"&lt;=30",$C$4:$C$200,"&lt;20190630",S$4:S$200,"&gt;="&amp;S191)/COUNTIFS(S$4:S$200,"&lt;&gt;-",$D$4:$D$200,"&lt;&gt;是",$E$4:$E$200,"&lt;&gt;封闭期",$H$4:$H$200,"&gt;10",$BN$4:$BN$200,"&gt;-6",$BR$4:$BR$200,"&gt;=70",$C$4:$C$200,"&lt;20190630",$K$4:$K$200,"&lt;=30"))</f>
        <v>-</v>
      </c>
      <c r="X191" s="19">
        <f>[1]!f_risk_calmar(A191,$L$2,$E$1)</f>
        <v>1.6505677297474803</v>
      </c>
      <c r="Y191" s="19" t="str">
        <f>IFERROR(RANK(X191,X:X)&amp;"/"&amp;COUNT(X:X),"-")</f>
        <v>120/197</v>
      </c>
      <c r="Z191" s="26">
        <f>IFERROR(RANK(X191,X:X)/COUNT(X:X),"-")</f>
        <v>0.6091370558375635</v>
      </c>
      <c r="AA191" s="34" t="str">
        <f>IF(OR($C191&gt;20190630,$K191&gt;30,X191="-",$D191="是",$E191="封闭期",$H191&lt;10,$BN191&lt;-6,$BR191&lt;70),"-",COUNTIFS(X$4:X$200,"&lt;&gt;-",$D$4:$D$200,"&lt;&gt;是",$E$4:$E$200,"&lt;&gt;封闭期",$H$4:$H$200,"&gt;10",$BN$4:$BN$200,"&gt;-6",$BR$4:$BR$200,"&gt;=70",$K$4:$K$200,"&lt;=30",$C$4:$C$200,"&lt;20190630",X$4:X$200,"&gt;="&amp;X191)&amp;"/"&amp;COUNTIFS(X$4:X$200,"&lt;&gt;-",$D$4:$D$200,"&lt;&gt;是",$E$4:$E$200,"&lt;&gt;封闭期",$H$4:$H$200,"&gt;10",$BN$4:$BN$200,"&gt;-6",$BR$4:$BR$200,"&gt;=70",$C$4:$C$200,"&lt;20190630",$K$4:$K$200,"&lt;=30"))</f>
        <v>-</v>
      </c>
      <c r="AB191" s="33" t="str">
        <f>IF(OR($C191&gt;20190630,$K191&gt;30,X191="-",$D191="是",$E191="封闭期",$H191&lt;10,$BN191&lt;-6,$BR191&lt;70),"-",COUNTIFS(X$4:X$200,"&lt;&gt;-",$D$4:$D$200,"&lt;&gt;是",$E$4:$E$200,"&lt;&gt;封闭期",$H$4:$H$200,"&gt;10",$BN$4:$BN$200,"&gt;-6",$BR$4:$BR$200,"&gt;=70",$K$4:$K$200,"&lt;=30",$C$4:$C$200,"&lt;20190630",X$4:X$200,"&gt;="&amp;X191)/COUNTIFS(X$4:X$200,"&lt;&gt;-",$D$4:$D$200,"&lt;&gt;是",$E$4:$E$200,"&lt;&gt;封闭期",$H$4:$H$200,"&gt;10",$BN$4:$BN$200,"&gt;-6",$BR$4:$BR$200,"&gt;=70",$C$4:$C$200,"&lt;20190630",$K$4:$K$200,"&lt;=30"))</f>
        <v>-</v>
      </c>
      <c r="AC191" s="20">
        <v>0.78991596638655459</v>
      </c>
      <c r="AD191" s="19" t="str">
        <f>IFERROR(RANK(AC191,AC:AC)&amp;"/"&amp;COUNT(AC:AC),"-")</f>
        <v>151/197</v>
      </c>
      <c r="AE191" s="26">
        <f>IFERROR(RANK(AC191,AC:AC)/COUNT(AC:AC),"-")</f>
        <v>0.76649746192893398</v>
      </c>
      <c r="AF191" s="34" t="str">
        <f>IF(OR($C191&gt;20190630,$K191&gt;30,AC191="-",$D191="是",$E191="封闭期",$H191&lt;10,$BN191&lt;-6,$BR191&lt;70),"-",COUNTIFS(AC$4:AC$200,"&lt;&gt;-",$D$4:$D$200,"&lt;&gt;是",$E$4:$E$200,"&lt;&gt;封闭期",$H$4:$H$200,"&gt;10",$BN$4:$BN$200,"&gt;-6",$BR$4:$BR$200,"&gt;=70",$K$4:$K$200,"&lt;=30",$C$4:$C$200,"&lt;20190630",AC$4:AC$200,"&gt;="&amp;AC191)&amp;"/"&amp;COUNTIFS(AC$4:AC$200,"&lt;&gt;-",$D$4:$D$200,"&lt;&gt;是",$E$4:$E$200,"&lt;&gt;封闭期",$H$4:$H$200,"&gt;10",$BN$4:$BN$200,"&gt;-6",$BR$4:$BR$200,"&gt;=70",$C$4:$C$200,"&lt;20190630",$K$4:$K$200,"&lt;=30"))</f>
        <v>-</v>
      </c>
      <c r="AG191" s="33" t="str">
        <f>IF(OR($C191&gt;20190630,$K191&gt;30,AC191="-",$D191="是",$E191="封闭期",$H191&lt;10,$BN191&lt;-6,$BR191&lt;70),"-",COUNTIFS(AC$4:AC$200,"&lt;&gt;-",$D$4:$D$200,"&lt;&gt;是",$E$4:$E$200,"&lt;&gt;封闭期",$H$4:$H$200,"&gt;10",$BN$4:$BN$200,"&gt;-6",$BR$4:$BR$200,"&gt;=70",$K$4:$K$200,"&lt;=30",$C$4:$C$200,"&lt;20190630",AC$4:AC$200,"&gt;="&amp;AC191)/COUNTIFS(AC$4:AC$200,"&lt;&gt;-",$D$4:$D$200,"&lt;&gt;是",$E$4:$E$200,"&lt;&gt;封闭期",$H$4:$H$200,"&gt;10",$BN$4:$BN$200,"&gt;-6",$BR$4:$BR$200,"&gt;=70",$C$4:$C$200,"&lt;20190630",$K$4:$K$200,"&lt;=30"))</f>
        <v>-</v>
      </c>
      <c r="AH191" s="21">
        <f>[1]!f_risk_maxdownside(A191,$L$2,$E$1)</f>
        <v>-0.90673575129533135</v>
      </c>
      <c r="AI191" s="19" t="str">
        <f>IFERROR(RANK(AH191,AH:AH)&amp;"/"&amp;COUNT(AH:AH),"-")</f>
        <v>19/197</v>
      </c>
      <c r="AJ191" s="26">
        <f>IFERROR(RANK(AH191,AH:AH)/COUNT(AH:AH),"-")</f>
        <v>9.6446700507614211E-2</v>
      </c>
      <c r="AK191" s="34" t="str">
        <f>IF(OR($C191&gt;20190630,$K191&gt;30,AH191="-",$D191="是",$E191="封闭期",$H191&lt;10,$BN191&lt;-6,$BR191&lt;70),"-",COUNTIFS(AH$4:AH$200,"&lt;&gt;-",$D$4:$D$200,"&lt;&gt;是",$E$4:$E$200,"&lt;&gt;封闭期",$H$4:$H$200,"&gt;10",$BN$4:$BN$200,"&gt;-6",$BR$4:$BR$200,"&gt;=70",$K$4:$K$200,"&lt;=30",$C$4:$C$200,"&lt;20190630",AH$4:AH$200,"&gt;="&amp;AH191)&amp;"/"&amp;COUNTIFS(AH$4:AH$200,"&lt;&gt;-",$D$4:$D$200,"&lt;&gt;是",$E$4:$E$200,"&lt;&gt;封闭期",$H$4:$H$200,"&gt;10",$BN$4:$BN$200,"&gt;-6",$BR$4:$BR$200,"&gt;=70",$C$4:$C$200,"&lt;20190630",$K$4:$K$200,"&lt;=30"))</f>
        <v>-</v>
      </c>
      <c r="AL191" s="33" t="str">
        <f>IF(OR($C191&gt;20190630,$K191&gt;30,AH191="-",$D191="是",$E191="封闭期",$H191&lt;10,$BN191&lt;-6,$BR191&lt;70),"-",COUNTIFS(AH$4:AH$200,"&lt;&gt;-",$D$4:$D$200,"&lt;&gt;是",$E$4:$E$200,"&lt;&gt;封闭期",$H$4:$H$200,"&gt;10",$BN$4:$BN$200,"&gt;-6",$BR$4:$BR$200,"&gt;=70",$K$4:$K$200,"&lt;=30",$C$4:$C$200,"&lt;20190630",AH$4:AH$200,"&gt;="&amp;AH191)/COUNTIFS(AH$4:AH$200,"&lt;&gt;-",$D$4:$D$200,"&lt;&gt;是",$E$4:$E$200,"&lt;&gt;封闭期",$H$4:$H$200,"&gt;10",$BN$4:$BN$200,"&gt;-6",$BR$4:$BR$200,"&gt;=70",$C$4:$C$200,"&lt;20190630",$K$4:$K$200,"&lt;=30"))</f>
        <v>-</v>
      </c>
      <c r="AM191" s="19">
        <f>[1]!f_return($A191,"1",AM$2,$L$2)</f>
        <v>1.7185881730496844</v>
      </c>
      <c r="AN191" s="19">
        <f>[1]!f_risk_stdevyearly($A191,AM$2,$L$2,1,1)</f>
        <v>0.87275004231402009</v>
      </c>
      <c r="AO191" s="19">
        <f>IFERROR(AM191/AN191,"-")</f>
        <v>1.9691642391594719</v>
      </c>
      <c r="AP191" s="19" t="str">
        <f>IFERROR(RANK(AO191,AO:AO)&amp;"/"&amp;COUNT(AO:AO),"-")</f>
        <v>53/197</v>
      </c>
      <c r="AQ191" s="26">
        <f>IF(AP191="-","-",RANK(AO191,AO:AO)/COUNT(AO:AO))</f>
        <v>0.26903553299492383</v>
      </c>
      <c r="AR191" s="57">
        <v>0.95431472081218272</v>
      </c>
      <c r="AS191" s="33" t="str">
        <f>IF(OR($C191&gt;20190630,$K191&gt;30,AO191="-",$D191="是",$E191="封闭期",$H191&lt;10,$BN191&lt;-6,$BR191&lt;70),"-",COUNTIFS(AO$4:AO$200,"&lt;&gt;-",$D$4:$D$200,"&lt;&gt;是",$E$4:$E$200,"&lt;&gt;封闭期",$H$4:$H$200,"&gt;10",$BN$4:$BN$200,"&gt;-6",$BR$4:$BR$200,"&gt;=70",$K$4:$K$200,"&lt;=30",$C$4:$C$200,"&lt;20190630",AO$4:AO$200,"&gt;="&amp;AO191)/COUNTIFS(AO$4:AO$200,"&lt;&gt;-",$D$4:$D$200,"&lt;&gt;是",$E$4:$E$200,"&lt;&gt;封闭期",$H$4:$H$200,"&gt;10",$BN$4:$BN$200,"&gt;-6",$BR$4:$BR$200,"&gt;=70",$C$4:$C$200,"&lt;20190630",$K$4:$K$200,"&lt;=30"))</f>
        <v>-</v>
      </c>
      <c r="AT191" s="19">
        <f>IFERROR((AM191-3)/AN191,"-")</f>
        <v>-1.4682460782846423</v>
      </c>
      <c r="AU191" s="19" t="str">
        <f>IFERROR(RANK(AT191,AT:AT)&amp;"/"&amp;COUNT(AT:AT),"-")</f>
        <v>195/197</v>
      </c>
      <c r="AV191" s="26">
        <f>IFERROR(RANK(AT191,AT:AT)/COUNT(AT:AT),"-")</f>
        <v>0.98984771573604058</v>
      </c>
      <c r="AW191" s="34" t="str">
        <f>IF(OR($C191&gt;20190630,$K191&gt;30,AT191="-",$D191="是",$E191="封闭期",$H191&lt;10,$BN191&lt;-6,$BR191&lt;70),"-",COUNTIFS(AT$4:AT$200,"&lt;&gt;-",$D$4:$D$200,"&lt;&gt;是",$E$4:$E$200,"&lt;&gt;封闭期",$H$4:$H$200,"&gt;10",$BN$4:$BN$200,"&gt;-6",$BR$4:$BR$200,"&gt;=70",$K$4:$K$200,"&lt;=30",$C$4:$C$200,"&lt;20190630",AT$4:AT$200,"&gt;="&amp;AT191)&amp;"/"&amp;COUNTIFS(AT$4:AT$200,"&lt;&gt;-",$D$4:$D$200,"&lt;&gt;是",$E$4:$E$200,"&lt;&gt;封闭期",$H$4:$H$200,"&gt;10",$BN$4:$BN$200,"&gt;-6",$BR$4:$BR$200,"&gt;=70",$C$4:$C$200,"&lt;20190630",$K$4:$K$200,"&lt;=30"))</f>
        <v>-</v>
      </c>
      <c r="AX191" s="33" t="str">
        <f>IF(OR($C191&gt;20190630,$K191&gt;30,AT191="-",$D191="是",$E191="封闭期",$H191&lt;10,$BN191&lt;-6,$BR191&lt;70),"-",COUNTIFS(AT$4:AT$200,"&lt;&gt;-",$D$4:$D$200,"&lt;&gt;是",$E$4:$E$200,"&lt;&gt;封闭期",$H$4:$H$200,"&gt;10",$BN$4:$BN$200,"&gt;-6",$BR$4:$BR$200,"&gt;=70",$K$4:$K$200,"&lt;=30",$C$4:$C$200,"&lt;20190630",AT$4:AT$200,"&gt;="&amp;AT191)/COUNTIFS(AT$4:AT$200,"&lt;&gt;-",$D$4:$D$200,"&lt;&gt;是",$E$4:$E$200,"&lt;&gt;封闭期",$H$4:$H$200,"&gt;10",$BN$4:$BN$200,"&gt;-6",$BR$4:$BR$200,"&gt;=70",$C$4:$C$200,"&lt;20190630",$K$4:$K$200,"&lt;=30"))</f>
        <v>-</v>
      </c>
      <c r="AY191" s="19">
        <f>[1]!f_risk_calmar(A191,$AM$2,$L$2)</f>
        <v>1.098080241025243</v>
      </c>
      <c r="AZ191" s="19" t="str">
        <f>IFERROR(RANK(AY191,AY:AY)&amp;"/"&amp;COUNT(AY:AY),"-")</f>
        <v>162/197</v>
      </c>
      <c r="BA191" s="26">
        <f>IFERROR(RANK(AY191,AY:AY)/COUNT(AY:AY),"-")</f>
        <v>0.82233502538071068</v>
      </c>
      <c r="BB191" s="34" t="str">
        <f>IF(OR($C191&gt;20190630,$K191&gt;30,AY191="-",$D191="是",$E191="封闭期",$H191&lt;10,$BN191&lt;-6,$BR191&lt;70),"-",COUNTIFS(AY$4:AY$200,"&lt;&gt;-",$D$4:$D$200,"&lt;&gt;是",$E$4:$E$200,"&lt;&gt;封闭期",$H$4:$H$200,"&gt;10",$BN$4:$BN$200,"&gt;-6",$BR$4:$BR$200,"&gt;=70",$K$4:$K$200,"&lt;=30",$C$4:$C$200,"&lt;20190630",AY$4:AY$200,"&gt;="&amp;AY191)&amp;"/"&amp;COUNTIFS(AY$4:AY$200,"&lt;&gt;-",$D$4:$D$200,"&lt;&gt;是",$E$4:$E$200,"&lt;&gt;封闭期",$H$4:$H$200,"&gt;10",$BN$4:$BN$200,"&gt;-6",$BR$4:$BR$200,"&gt;=70",$C$4:$C$200,"&lt;20190630",$K$4:$K$200,"&lt;=30"))</f>
        <v>-</v>
      </c>
      <c r="BC191" s="33" t="str">
        <f>IF(OR($C191&gt;20190630,$K191&gt;30,AY191="-",$D191="是",$E191="封闭期",$H191&lt;10,$BN191&lt;-6,$BR191&lt;70),"-",COUNTIFS(AY$4:AY$200,"&lt;&gt;-",$D$4:$D$200,"&lt;&gt;是",$E$4:$E$200,"&lt;&gt;封闭期",$H$4:$H$200,"&gt;10",$BN$4:$BN$200,"&gt;-6",$BR$4:$BR$200,"&gt;=70",$K$4:$K$200,"&lt;=30",$C$4:$C$200,"&lt;20190630",AY$4:AY$200,"&gt;="&amp;AY191)/COUNTIFS(AY$4:AY$200,"&lt;&gt;-",$D$4:$D$200,"&lt;&gt;是",$E$4:$E$200,"&lt;&gt;封闭期",$H$4:$H$200,"&gt;10",$BN$4:$BN$200,"&gt;-6",$BR$4:$BR$200,"&gt;=70",$C$4:$C$200,"&lt;20190630",$K$4:$K$200,"&lt;=30"))</f>
        <v>-</v>
      </c>
      <c r="BD191" s="20">
        <v>0.77500000000000002</v>
      </c>
      <c r="BE191" s="19" t="str">
        <f>IFERROR(RANK(BD191,BD:BD)&amp;"/"&amp;COUNT(BD:BD),"-")</f>
        <v>181/197</v>
      </c>
      <c r="BF191" s="26">
        <f>IFERROR(RANK(BD191,BD:BD)/COUNT(BD:BD),"-")</f>
        <v>0.91878172588832485</v>
      </c>
      <c r="BG191" s="34" t="str">
        <f>IF(OR($C191&gt;20190630,$K191&gt;30,BD191="-",$D191="是",$E191="封闭期",$H191&lt;10,$BN191&lt;-6,$BR191&lt;70),"-",COUNTIFS(BD$4:BD$200,"&lt;&gt;-",$D$4:$D$200,"&lt;&gt;是",$E$4:$E$200,"&lt;&gt;封闭期",$H$4:$H$200,"&gt;10",$BN$4:$BN$200,"&gt;-6",$BR$4:$BR$200,"&gt;=70",$K$4:$K$200,"&lt;=30",$C$4:$C$200,"&lt;20190630",BD$4:BD$200,"&gt;="&amp;BD191)&amp;"/"&amp;COUNTIFS(BD$4:BD$200,"&lt;&gt;-",$D$4:$D$200,"&lt;&gt;是",$E$4:$E$200,"&lt;&gt;封闭期",$H$4:$H$200,"&gt;10",$BN$4:$BN$200,"&gt;-6",$BR$4:$BR$200,"&gt;=70",$C$4:$C$200,"&lt;20190630",$K$4:$K$200,"&lt;=30"))</f>
        <v>-</v>
      </c>
      <c r="BH191" s="33" t="str">
        <f>IF(OR($C191&gt;20190630,$K191&gt;30,BD191="-",$D191="是",$E191="封闭期",$H191&lt;10,$BN191&lt;-6,$BR191&lt;70),"-",COUNTIFS(BD$4:BD$200,"&lt;&gt;-",$D$4:$D$200,"&lt;&gt;是",$E$4:$E$200,"&lt;&gt;封闭期",$H$4:$H$200,"&gt;10",$BN$4:$BN$200,"&gt;-6",$BR$4:$BR$200,"&gt;=70",$K$4:$K$200,"&lt;=30",$C$4:$C$200,"&lt;20190630",BD$4:BD$200,"&gt;="&amp;BD191)/COUNTIFS(BD$4:BD$200,"&lt;&gt;-",$D$4:$D$200,"&lt;&gt;是",$E$4:$E$200,"&lt;&gt;封闭期",$H$4:$H$200,"&gt;10",$BN$4:$BN$200,"&gt;-6",$BR$4:$BR$200,"&gt;=70",$C$4:$C$200,"&lt;20190630",$K$4:$K$200,"&lt;=30"))</f>
        <v>-</v>
      </c>
      <c r="BI191" s="21">
        <f>[1]!f_risk_maxdownside(A191,$AM$2,$L$2)</f>
        <v>-1.5650843252084132</v>
      </c>
      <c r="BJ191" s="19" t="str">
        <f>IFERROR(RANK(BI191,BI:BI)&amp;"/"&amp;COUNT(BI:BI),"-")</f>
        <v>20/197</v>
      </c>
      <c r="BK191" s="26">
        <f>IFERROR(RANK(BI191,BI:BI)/COUNT(BI:BI),"-")</f>
        <v>0.10152284263959391</v>
      </c>
      <c r="BL191" s="34" t="str">
        <f>IF(OR($C191&gt;20190630,$K191&gt;30,BI191="-",$D191="是",$E191="封闭期",$H191&lt;10,$BN191&lt;-6,$BR191&lt;70),"-",COUNTIFS(BI$4:BI$200,"&lt;&gt;-",$D$4:$D$200,"&lt;&gt;是",$E$4:$E$200,"&lt;&gt;封闭期",$H$4:$H$200,"&gt;10",$BN$4:$BN$200,"&gt;-6",$BR$4:$BR$200,"&gt;=70",$K$4:$K$200,"&lt;=30",$C$4:$C$200,"&lt;20190630",BI$4:BI$200,"&gt;="&amp;BI191)&amp;"/"&amp;COUNTIFS(BI$4:BI$200,"&lt;&gt;-",$D$4:$D$200,"&lt;&gt;是",$E$4:$E$200,"&lt;&gt;封闭期",$H$4:$H$200,"&gt;10",$BN$4:$BN$200,"&gt;-6",$BR$4:$BR$200,"&gt;=70",$C$4:$C$200,"&lt;20190630",$K$4:$K$200,"&lt;=30"))</f>
        <v>-</v>
      </c>
      <c r="BM191" s="33" t="str">
        <f>IF(OR($C191&gt;20190630,$K191&gt;30,BI191="-",$D191="是",$E191="封闭期",$H191&lt;10,$BN191&lt;-6,$BR191&lt;70),"-",COUNTIFS(BI$4:BI$200,"&lt;&gt;-",$D$4:$D$200,"&lt;&gt;是",$E$4:$E$200,"&lt;&gt;封闭期",$H$4:$H$200,"&gt;10",$BN$4:$BN$200,"&gt;-6",$BR$4:$BR$200,"&gt;=70",$K$4:$K$200,"&lt;=30",$C$4:$C$200,"&lt;20190630",BI$4:BI$200,"&gt;="&amp;BI191)/COUNTIFS(BI$4:BI$200,"&lt;&gt;-",$D$4:$D$200,"&lt;&gt;是",$E$4:$E$200,"&lt;&gt;封闭期",$H$4:$H$200,"&gt;10",$BN$4:$BN$200,"&gt;-6",$BR$4:$BR$200,"&gt;=70",$C$4:$C$200,"&lt;20190630",$K$4:$K$200,"&lt;=30"))</f>
        <v>-</v>
      </c>
      <c r="BN191" s="21">
        <f>[1]!f_risk_maxdownside(A191,$AM$2,$E$1)</f>
        <v>-1.6442041207874674</v>
      </c>
      <c r="BO191" s="21">
        <f>IF(C191&lt;20190930,[1]!f_return_2y(A191,"0","20210930"),"-")</f>
        <v>3.2136509856798257</v>
      </c>
      <c r="BP191" s="19" t="str">
        <f>IFERROR(RANK(BO191,BO:BO)&amp;"/"&amp;COUNT(BO:BO),"-")</f>
        <v>192/197</v>
      </c>
      <c r="BQ191" s="25">
        <f>IFERROR(RANK(BO191,BO:BO)/COUNT(BO:BO),"-")</f>
        <v>0.97461928934010156</v>
      </c>
      <c r="BR191" s="19">
        <f>IF(C191&lt;20190930,[1]!f_absolute_profitmonthper(A191,"20190930","20210930"),"-")</f>
        <v>58.333333333333336</v>
      </c>
      <c r="BS191" s="19" t="str">
        <f>IFERROR(RANK(BR191,BR:BR)&amp;"/"&amp;COUNT(BR:BR),"-")</f>
        <v>165/198</v>
      </c>
      <c r="BT191" s="25">
        <f>IFERROR(RANK(BR191,BR:BR)/COUNT(BR:BR),"-")</f>
        <v>0.83333333333333337</v>
      </c>
      <c r="BV191" s="12">
        <f>X191-3/M191</f>
        <v>-1.2745153840530787</v>
      </c>
      <c r="BW191" s="76">
        <f>IFERROR(RANK(BV191,BV:BV)/COUNT(BV:BV),"-")</f>
        <v>0.98984771573604058</v>
      </c>
      <c r="BX191" s="76">
        <f>IFERROR(RANK(L191,L:L)/COUNT(L:L),"-")</f>
        <v>0.90909090909090906</v>
      </c>
      <c r="BY191" s="12">
        <f>AY191-3/AN191</f>
        <v>-2.3393300764188716</v>
      </c>
      <c r="BZ191" s="76">
        <f>IFERROR(RANK(BY191,BY:BY)/COUNT(BY:BY),"-")</f>
        <v>0.99492385786802029</v>
      </c>
      <c r="CA191" s="76">
        <f>IFERROR(RANK(AM191,AM:AM)/COUNT(AM:AM),"-")</f>
        <v>0.95454545454545459</v>
      </c>
      <c r="CB191" s="2"/>
      <c r="CC191" s="77">
        <f>AV191+BF191+BZ191+CA191</f>
        <v>3.8580987540378402</v>
      </c>
      <c r="CD191" s="77">
        <f>BW191+BX191+AE191+U191</f>
        <v>3.6552838024919243</v>
      </c>
      <c r="CE191" s="77">
        <f>CC191+CD191</f>
        <v>7.5133825565297645</v>
      </c>
    </row>
    <row r="192" spans="1:83" s="2" customFormat="1" hidden="1" x14ac:dyDescent="0.35">
      <c r="A192" s="15" t="s">
        <v>219</v>
      </c>
      <c r="B192" s="15" t="s">
        <v>220</v>
      </c>
      <c r="C192" s="16">
        <v>20160126</v>
      </c>
      <c r="D192" s="16" t="str">
        <f>[1]!f_info_regulopenfundornot(A192)</f>
        <v>否</v>
      </c>
      <c r="E192" s="16" t="str">
        <f>[1]!f_dq_status(A192,$E$1)</f>
        <v>开放申购|开放赎回</v>
      </c>
      <c r="F192" s="17" t="str">
        <f>[1]!f_info_fundmanager(A192)</f>
        <v>何江波</v>
      </c>
      <c r="G192" s="16">
        <v>20190214</v>
      </c>
      <c r="H192" s="18">
        <f>[1]!f_netasset_total(A192,$E$1,100000000)</f>
        <v>9.2456029100000003E-2</v>
      </c>
      <c r="I192" s="18">
        <f>[1]!f_prt_convertiblebondtonav(A192,$E$1)</f>
        <v>10.373947143554688</v>
      </c>
      <c r="J192" s="18">
        <f>[1]!f_prt_stocktonav(A192,$E$1)+0.5*I192</f>
        <v>8.4810042381286621</v>
      </c>
      <c r="K192" s="19">
        <v>17.45608172566433</v>
      </c>
      <c r="L192" s="19">
        <f>[1]!f_return($A192,"1",L$2,$E$1)</f>
        <v>1.2290065612999834</v>
      </c>
      <c r="M192" s="19">
        <f>[1]!f_risk_stdevyearly($A192,L$2,$E$1,1,1)</f>
        <v>0.95448285539494371</v>
      </c>
      <c r="N192" s="19">
        <f>IFERROR(L192/M192,"-")</f>
        <v>1.287615125146955</v>
      </c>
      <c r="O192" s="19" t="str">
        <f>IFERROR(RANK(N192,N:N)&amp;"/"&amp;COUNT(N:N),"-")</f>
        <v>113/197</v>
      </c>
      <c r="P192" s="26">
        <f>IF(O192="-","-",RANK(N192,N:N)/COUNT(N:N))</f>
        <v>0.57360406091370564</v>
      </c>
      <c r="Q192" s="56">
        <v>0.92385786802030456</v>
      </c>
      <c r="R192" s="33" t="str">
        <f>IF(OR($C192&gt;20190630,$K192&gt;30,N192="-",$D192="是",$E192="封闭期",$H192&lt;10,$BN192&lt;-6,$BR192&lt;70),"-",COUNTIFS(N$4:N$200,"&lt;&gt;-",$D$4:$D$200,"&lt;&gt;是",$E$4:$E$200,"&lt;&gt;封闭期",$H$4:$H$200,"&gt;10",$BN$4:$BN$200,"&gt;-6",$BR$4:$BR$200,"&gt;=70",$K$4:$K$200,"&lt;=30",$C$4:$C$200,"&lt;20190630",N$4:N$200,"&gt;="&amp;N192)/COUNTIFS(N$4:N$200,"&lt;&gt;-",$D$4:$D$200,"&lt;&gt;是",$E$4:$E$200,"&lt;&gt;封闭期",$H$4:$H$200,"&gt;10",$BN$4:$BN$200,"&gt;-6",$BR$4:$BR$200,"&gt;=70",$C$4:$C$200,"&lt;20190630",$K$4:$K$200,"&lt;=30"))</f>
        <v>-</v>
      </c>
      <c r="S192" s="19">
        <f>IFERROR((L192-3)/M192,"-")</f>
        <v>-1.8554481399953684</v>
      </c>
      <c r="T192" s="19" t="str">
        <f>IFERROR(RANK(S192,S:S)&amp;"/"&amp;COUNT(S:S),"-")</f>
        <v>196/197</v>
      </c>
      <c r="U192" s="26">
        <f>IFERROR(RANK(S192,S:S)/COUNT(S:S),"-")</f>
        <v>0.99492385786802029</v>
      </c>
      <c r="V192" s="34" t="str">
        <f>IF(OR($C192&gt;20190630,$K192&gt;30,S192="-",$D192="是",$E192="封闭期",$H192&lt;10,$BN192&lt;-6,$BR192&lt;70),"-",COUNTIFS(S$4:S$200,"&lt;&gt;-",$D$4:$D$200,"&lt;&gt;是",$E$4:$E$200,"&lt;&gt;封闭期",$H$4:$H$200,"&gt;10",$BN$4:$BN$200,"&gt;-6",$BR$4:$BR$200,"&gt;=70",$K$4:$K$200,"&lt;=30",$C$4:$C$200,"&lt;20190630",S$4:S$200,"&gt;="&amp;S192)&amp;"/"&amp;COUNTIFS(S$4:S$200,"&lt;&gt;-",$D$4:$D$200,"&lt;&gt;是",$E$4:$E$200,"&lt;&gt;封闭期",$H$4:$H$200,"&gt;10",$BN$4:$BN$200,"&gt;-6",$BR$4:$BR$200,"&gt;=70",$C$4:$C$200,"&lt;20190630",$K$4:$K$200,"&lt;=30"))</f>
        <v>-</v>
      </c>
      <c r="W192" s="33" t="str">
        <f>IF(OR($C192&gt;20190630,$K192&gt;30,S192="-",$D192="是",$E192="封闭期",$H192&lt;10,$BN192&lt;-6,$BR192&lt;70),"-",COUNTIFS(S$4:S$200,"&lt;&gt;-",$D$4:$D$200,"&lt;&gt;是",$E$4:$E$200,"&lt;&gt;封闭期",$H$4:$H$200,"&gt;10",$BN$4:$BN$200,"&gt;-6",$BR$4:$BR$200,"&gt;=70",$K$4:$K$200,"&lt;=30",$C$4:$C$200,"&lt;20190630",S$4:S$200,"&gt;="&amp;S192)/COUNTIFS(S$4:S$200,"&lt;&gt;-",$D$4:$D$200,"&lt;&gt;是",$E$4:$E$200,"&lt;&gt;封闭期",$H$4:$H$200,"&gt;10",$BN$4:$BN$200,"&gt;-6",$BR$4:$BR$200,"&gt;=70",$C$4:$C$200,"&lt;20190630",$K$4:$K$200,"&lt;=30"))</f>
        <v>-</v>
      </c>
      <c r="X192" s="19">
        <f>[1]!f_risk_calmar(A192,$L$2,$E$1)</f>
        <v>1.0200754458789851</v>
      </c>
      <c r="Y192" s="19" t="str">
        <f>IFERROR(RANK(X192,X:X)&amp;"/"&amp;COUNT(X:X),"-")</f>
        <v>157/197</v>
      </c>
      <c r="Z192" s="26">
        <f>IFERROR(RANK(X192,X:X)/COUNT(X:X),"-")</f>
        <v>0.79695431472081213</v>
      </c>
      <c r="AA192" s="34" t="str">
        <f>IF(OR($C192&gt;20190630,$K192&gt;30,X192="-",$D192="是",$E192="封闭期",$H192&lt;10,$BN192&lt;-6,$BR192&lt;70),"-",COUNTIFS(X$4:X$200,"&lt;&gt;-",$D$4:$D$200,"&lt;&gt;是",$E$4:$E$200,"&lt;&gt;封闭期",$H$4:$H$200,"&gt;10",$BN$4:$BN$200,"&gt;-6",$BR$4:$BR$200,"&gt;=70",$K$4:$K$200,"&lt;=30",$C$4:$C$200,"&lt;20190630",X$4:X$200,"&gt;="&amp;X192)&amp;"/"&amp;COUNTIFS(X$4:X$200,"&lt;&gt;-",$D$4:$D$200,"&lt;&gt;是",$E$4:$E$200,"&lt;&gt;封闭期",$H$4:$H$200,"&gt;10",$BN$4:$BN$200,"&gt;-6",$BR$4:$BR$200,"&gt;=70",$C$4:$C$200,"&lt;20190630",$K$4:$K$200,"&lt;=30"))</f>
        <v>-</v>
      </c>
      <c r="AB192" s="33" t="str">
        <f>IF(OR($C192&gt;20190630,$K192&gt;30,X192="-",$D192="是",$E192="封闭期",$H192&lt;10,$BN192&lt;-6,$BR192&lt;70),"-",COUNTIFS(X$4:X$200,"&lt;&gt;-",$D$4:$D$200,"&lt;&gt;是",$E$4:$E$200,"&lt;&gt;封闭期",$H$4:$H$200,"&gt;10",$BN$4:$BN$200,"&gt;-6",$BR$4:$BR$200,"&gt;=70",$K$4:$K$200,"&lt;=30",$C$4:$C$200,"&lt;20190630",X$4:X$200,"&gt;="&amp;X192)/COUNTIFS(X$4:X$200,"&lt;&gt;-",$D$4:$D$200,"&lt;&gt;是",$E$4:$E$200,"&lt;&gt;封闭期",$H$4:$H$200,"&gt;10",$BN$4:$BN$200,"&gt;-6",$BR$4:$BR$200,"&gt;=70",$C$4:$C$200,"&lt;20190630",$K$4:$K$200,"&lt;=30"))</f>
        <v>-</v>
      </c>
      <c r="AC192" s="20">
        <v>0.79831932773109249</v>
      </c>
      <c r="AD192" s="19" t="str">
        <f>IFERROR(RANK(AC192,AC:AC)&amp;"/"&amp;COUNT(AC:AC),"-")</f>
        <v>149/197</v>
      </c>
      <c r="AE192" s="26">
        <f>IFERROR(RANK(AC192,AC:AC)/COUNT(AC:AC),"-")</f>
        <v>0.75634517766497467</v>
      </c>
      <c r="AF192" s="34" t="str">
        <f>IF(OR($C192&gt;20190630,$K192&gt;30,AC192="-",$D192="是",$E192="封闭期",$H192&lt;10,$BN192&lt;-6,$BR192&lt;70),"-",COUNTIFS(AC$4:AC$200,"&lt;&gt;-",$D$4:$D$200,"&lt;&gt;是",$E$4:$E$200,"&lt;&gt;封闭期",$H$4:$H$200,"&gt;10",$BN$4:$BN$200,"&gt;-6",$BR$4:$BR$200,"&gt;=70",$K$4:$K$200,"&lt;=30",$C$4:$C$200,"&lt;20190630",AC$4:AC$200,"&gt;="&amp;AC192)&amp;"/"&amp;COUNTIFS(AC$4:AC$200,"&lt;&gt;-",$D$4:$D$200,"&lt;&gt;是",$E$4:$E$200,"&lt;&gt;封闭期",$H$4:$H$200,"&gt;10",$BN$4:$BN$200,"&gt;-6",$BR$4:$BR$200,"&gt;=70",$C$4:$C$200,"&lt;20190630",$K$4:$K$200,"&lt;=30"))</f>
        <v>-</v>
      </c>
      <c r="AG192" s="33" t="str">
        <f>IF(OR($C192&gt;20190630,$K192&gt;30,AC192="-",$D192="是",$E192="封闭期",$H192&lt;10,$BN192&lt;-6,$BR192&lt;70),"-",COUNTIFS(AC$4:AC$200,"&lt;&gt;-",$D$4:$D$200,"&lt;&gt;是",$E$4:$E$200,"&lt;&gt;封闭期",$H$4:$H$200,"&gt;10",$BN$4:$BN$200,"&gt;-6",$BR$4:$BR$200,"&gt;=70",$K$4:$K$200,"&lt;=30",$C$4:$C$200,"&lt;20190630",AC$4:AC$200,"&gt;="&amp;AC192)/COUNTIFS(AC$4:AC$200,"&lt;&gt;-",$D$4:$D$200,"&lt;&gt;是",$E$4:$E$200,"&lt;&gt;封闭期",$H$4:$H$200,"&gt;10",$BN$4:$BN$200,"&gt;-6",$BR$4:$BR$200,"&gt;=70",$C$4:$C$200,"&lt;20190630",$K$4:$K$200,"&lt;=30"))</f>
        <v>-</v>
      </c>
      <c r="AH192" s="21">
        <f>[1]!f_risk_maxdownside(A192,$L$2,$E$1)</f>
        <v>-1.2048192771084349</v>
      </c>
      <c r="AI192" s="19" t="str">
        <f>IFERROR(RANK(AH192,AH:AH)&amp;"/"&amp;COUNT(AH:AH),"-")</f>
        <v>30/197</v>
      </c>
      <c r="AJ192" s="26">
        <f>IFERROR(RANK(AH192,AH:AH)/COUNT(AH:AH),"-")</f>
        <v>0.15228426395939088</v>
      </c>
      <c r="AK192" s="34" t="str">
        <f>IF(OR($C192&gt;20190630,$K192&gt;30,AH192="-",$D192="是",$E192="封闭期",$H192&lt;10,$BN192&lt;-6,$BR192&lt;70),"-",COUNTIFS(AH$4:AH$200,"&lt;&gt;-",$D$4:$D$200,"&lt;&gt;是",$E$4:$E$200,"&lt;&gt;封闭期",$H$4:$H$200,"&gt;10",$BN$4:$BN$200,"&gt;-6",$BR$4:$BR$200,"&gt;=70",$K$4:$K$200,"&lt;=30",$C$4:$C$200,"&lt;20190630",AH$4:AH$200,"&gt;="&amp;AH192)&amp;"/"&amp;COUNTIFS(AH$4:AH$200,"&lt;&gt;-",$D$4:$D$200,"&lt;&gt;是",$E$4:$E$200,"&lt;&gt;封闭期",$H$4:$H$200,"&gt;10",$BN$4:$BN$200,"&gt;-6",$BR$4:$BR$200,"&gt;=70",$C$4:$C$200,"&lt;20190630",$K$4:$K$200,"&lt;=30"))</f>
        <v>-</v>
      </c>
      <c r="AL192" s="33" t="str">
        <f>IF(OR($C192&gt;20190630,$K192&gt;30,AH192="-",$D192="是",$E192="封闭期",$H192&lt;10,$BN192&lt;-6,$BR192&lt;70),"-",COUNTIFS(AH$4:AH$200,"&lt;&gt;-",$D$4:$D$200,"&lt;&gt;是",$E$4:$E$200,"&lt;&gt;封闭期",$H$4:$H$200,"&gt;10",$BN$4:$BN$200,"&gt;-6",$BR$4:$BR$200,"&gt;=70",$K$4:$K$200,"&lt;=30",$C$4:$C$200,"&lt;20190630",AH$4:AH$200,"&gt;="&amp;AH192)/COUNTIFS(AH$4:AH$200,"&lt;&gt;-",$D$4:$D$200,"&lt;&gt;是",$E$4:$E$200,"&lt;&gt;封闭期",$H$4:$H$200,"&gt;10",$BN$4:$BN$200,"&gt;-6",$BR$4:$BR$200,"&gt;=70",$C$4:$C$200,"&lt;20190630",$K$4:$K$200,"&lt;=30"))</f>
        <v>-</v>
      </c>
      <c r="AM192" s="19">
        <f>[1]!f_return($A192,"1",AM$2,$L$2)</f>
        <v>1.5108722606790748</v>
      </c>
      <c r="AN192" s="19">
        <f>[1]!f_risk_stdevyearly($A192,AM$2,$L$2,1,1)</f>
        <v>1.731815955313682</v>
      </c>
      <c r="AO192" s="19">
        <f>IFERROR(AM192/AN192,"-")</f>
        <v>0.87242079970640529</v>
      </c>
      <c r="AP192" s="19" t="str">
        <f>IFERROR(RANK(AO192,AO:AO)&amp;"/"&amp;COUNT(AO:AO),"-")</f>
        <v>172/197</v>
      </c>
      <c r="AQ192" s="26">
        <f>IF(AP192="-","-",RANK(AO192,AO:AO)/COUNT(AO:AO))</f>
        <v>0.87309644670050757</v>
      </c>
      <c r="AR192" s="57">
        <v>0.95939086294416243</v>
      </c>
      <c r="AS192" s="33" t="str">
        <f>IF(OR($C192&gt;20190630,$K192&gt;30,AO192="-",$D192="是",$E192="封闭期",$H192&lt;10,$BN192&lt;-6,$BR192&lt;70),"-",COUNTIFS(AO$4:AO$200,"&lt;&gt;-",$D$4:$D$200,"&lt;&gt;是",$E$4:$E$200,"&lt;&gt;封闭期",$H$4:$H$200,"&gt;10",$BN$4:$BN$200,"&gt;-6",$BR$4:$BR$200,"&gt;=70",$K$4:$K$200,"&lt;=30",$C$4:$C$200,"&lt;20190630",AO$4:AO$200,"&gt;="&amp;AO192)/COUNTIFS(AO$4:AO$200,"&lt;&gt;-",$D$4:$D$200,"&lt;&gt;是",$E$4:$E$200,"&lt;&gt;封闭期",$H$4:$H$200,"&gt;10",$BN$4:$BN$200,"&gt;-6",$BR$4:$BR$200,"&gt;=70",$C$4:$C$200,"&lt;20190630",$K$4:$K$200,"&lt;=30"))</f>
        <v>-</v>
      </c>
      <c r="AT192" s="19">
        <f>IFERROR((AM192-3)/AN192,"-")</f>
        <v>-0.85986489196607563</v>
      </c>
      <c r="AU192" s="19" t="str">
        <f>IFERROR(RANK(AT192,AT:AT)&amp;"/"&amp;COUNT(AT:AT),"-")</f>
        <v>194/197</v>
      </c>
      <c r="AV192" s="26">
        <f>IFERROR(RANK(AT192,AT:AT)/COUNT(AT:AT),"-")</f>
        <v>0.98477157360406087</v>
      </c>
      <c r="AW192" s="34" t="str">
        <f>IF(OR($C192&gt;20190630,$K192&gt;30,AT192="-",$D192="是",$E192="封闭期",$H192&lt;10,$BN192&lt;-6,$BR192&lt;70),"-",COUNTIFS(AT$4:AT$200,"&lt;&gt;-",$D$4:$D$200,"&lt;&gt;是",$E$4:$E$200,"&lt;&gt;封闭期",$H$4:$H$200,"&gt;10",$BN$4:$BN$200,"&gt;-6",$BR$4:$BR$200,"&gt;=70",$K$4:$K$200,"&lt;=30",$C$4:$C$200,"&lt;20190630",AT$4:AT$200,"&gt;="&amp;AT192)&amp;"/"&amp;COUNTIFS(AT$4:AT$200,"&lt;&gt;-",$D$4:$D$200,"&lt;&gt;是",$E$4:$E$200,"&lt;&gt;封闭期",$H$4:$H$200,"&gt;10",$BN$4:$BN$200,"&gt;-6",$BR$4:$BR$200,"&gt;=70",$C$4:$C$200,"&lt;20190630",$K$4:$K$200,"&lt;=30"))</f>
        <v>-</v>
      </c>
      <c r="AX192" s="33" t="str">
        <f>IF(OR($C192&gt;20190630,$K192&gt;30,AT192="-",$D192="是",$E192="封闭期",$H192&lt;10,$BN192&lt;-6,$BR192&lt;70),"-",COUNTIFS(AT$4:AT$200,"&lt;&gt;-",$D$4:$D$200,"&lt;&gt;是",$E$4:$E$200,"&lt;&gt;封闭期",$H$4:$H$200,"&gt;10",$BN$4:$BN$200,"&gt;-6",$BR$4:$BR$200,"&gt;=70",$K$4:$K$200,"&lt;=30",$C$4:$C$200,"&lt;20190630",AT$4:AT$200,"&gt;="&amp;AT192)/COUNTIFS(AT$4:AT$200,"&lt;&gt;-",$D$4:$D$200,"&lt;&gt;是",$E$4:$E$200,"&lt;&gt;封闭期",$H$4:$H$200,"&gt;10",$BN$4:$BN$200,"&gt;-6",$BR$4:$BR$200,"&gt;=70",$C$4:$C$200,"&lt;20190630",$K$4:$K$200,"&lt;=30"))</f>
        <v>-</v>
      </c>
      <c r="AY192" s="19">
        <f>[1]!f_risk_calmar(A192,$AM$2,$L$2)</f>
        <v>0.82810189144838298</v>
      </c>
      <c r="AZ192" s="19" t="str">
        <f>IFERROR(RANK(AY192,AY:AY)&amp;"/"&amp;COUNT(AY:AY),"-")</f>
        <v>176/197</v>
      </c>
      <c r="BA192" s="26">
        <f>IFERROR(RANK(AY192,AY:AY)/COUNT(AY:AY),"-")</f>
        <v>0.89340101522842641</v>
      </c>
      <c r="BB192" s="34" t="str">
        <f>IF(OR($C192&gt;20190630,$K192&gt;30,AY192="-",$D192="是",$E192="封闭期",$H192&lt;10,$BN192&lt;-6,$BR192&lt;70),"-",COUNTIFS(AY$4:AY$200,"&lt;&gt;-",$D$4:$D$200,"&lt;&gt;是",$E$4:$E$200,"&lt;&gt;封闭期",$H$4:$H$200,"&gt;10",$BN$4:$BN$200,"&gt;-6",$BR$4:$BR$200,"&gt;=70",$K$4:$K$200,"&lt;=30",$C$4:$C$200,"&lt;20190630",AY$4:AY$200,"&gt;="&amp;AY192)&amp;"/"&amp;COUNTIFS(AY$4:AY$200,"&lt;&gt;-",$D$4:$D$200,"&lt;&gt;是",$E$4:$E$200,"&lt;&gt;封闭期",$H$4:$H$200,"&gt;10",$BN$4:$BN$200,"&gt;-6",$BR$4:$BR$200,"&gt;=70",$C$4:$C$200,"&lt;20190630",$K$4:$K$200,"&lt;=30"))</f>
        <v>-</v>
      </c>
      <c r="BC192" s="33" t="str">
        <f>IF(OR($C192&gt;20190630,$K192&gt;30,AY192="-",$D192="是",$E192="封闭期",$H192&lt;10,$BN192&lt;-6,$BR192&lt;70),"-",COUNTIFS(AY$4:AY$200,"&lt;&gt;-",$D$4:$D$200,"&lt;&gt;是",$E$4:$E$200,"&lt;&gt;封闭期",$H$4:$H$200,"&gt;10",$BN$4:$BN$200,"&gt;-6",$BR$4:$BR$200,"&gt;=70",$K$4:$K$200,"&lt;=30",$C$4:$C$200,"&lt;20190630",AY$4:AY$200,"&gt;="&amp;AY192)/COUNTIFS(AY$4:AY$200,"&lt;&gt;-",$D$4:$D$200,"&lt;&gt;是",$E$4:$E$200,"&lt;&gt;封闭期",$H$4:$H$200,"&gt;10",$BN$4:$BN$200,"&gt;-6",$BR$4:$BR$200,"&gt;=70",$C$4:$C$200,"&lt;20190630",$K$4:$K$200,"&lt;=30"))</f>
        <v>-</v>
      </c>
      <c r="BD192" s="20">
        <v>0.53333333333333333</v>
      </c>
      <c r="BE192" s="19" t="str">
        <f>IFERROR(RANK(BD192,BD:BD)&amp;"/"&amp;COUNT(BD:BD),"-")</f>
        <v>192/197</v>
      </c>
      <c r="BF192" s="26">
        <f>IFERROR(RANK(BD192,BD:BD)/COUNT(BD:BD),"-")</f>
        <v>0.97461928934010156</v>
      </c>
      <c r="BG192" s="34" t="str">
        <f>IF(OR($C192&gt;20190630,$K192&gt;30,BD192="-",$D192="是",$E192="封闭期",$H192&lt;10,$BN192&lt;-6,$BR192&lt;70),"-",COUNTIFS(BD$4:BD$200,"&lt;&gt;-",$D$4:$D$200,"&lt;&gt;是",$E$4:$E$200,"&lt;&gt;封闭期",$H$4:$H$200,"&gt;10",$BN$4:$BN$200,"&gt;-6",$BR$4:$BR$200,"&gt;=70",$K$4:$K$200,"&lt;=30",$C$4:$C$200,"&lt;20190630",BD$4:BD$200,"&gt;="&amp;BD192)&amp;"/"&amp;COUNTIFS(BD$4:BD$200,"&lt;&gt;-",$D$4:$D$200,"&lt;&gt;是",$E$4:$E$200,"&lt;&gt;封闭期",$H$4:$H$200,"&gt;10",$BN$4:$BN$200,"&gt;-6",$BR$4:$BR$200,"&gt;=70",$C$4:$C$200,"&lt;20190630",$K$4:$K$200,"&lt;=30"))</f>
        <v>-</v>
      </c>
      <c r="BH192" s="33" t="str">
        <f>IF(OR($C192&gt;20190630,$K192&gt;30,BD192="-",$D192="是",$E192="封闭期",$H192&lt;10,$BN192&lt;-6,$BR192&lt;70),"-",COUNTIFS(BD$4:BD$200,"&lt;&gt;-",$D$4:$D$200,"&lt;&gt;是",$E$4:$E$200,"&lt;&gt;封闭期",$H$4:$H$200,"&gt;10",$BN$4:$BN$200,"&gt;-6",$BR$4:$BR$200,"&gt;=70",$K$4:$K$200,"&lt;=30",$C$4:$C$200,"&lt;20190630",BD$4:BD$200,"&gt;="&amp;BD192)/COUNTIFS(BD$4:BD$200,"&lt;&gt;-",$D$4:$D$200,"&lt;&gt;是",$E$4:$E$200,"&lt;&gt;封闭期",$H$4:$H$200,"&gt;10",$BN$4:$BN$200,"&gt;-6",$BR$4:$BR$200,"&gt;=70",$C$4:$C$200,"&lt;20190630",$K$4:$K$200,"&lt;=30"))</f>
        <v>-</v>
      </c>
      <c r="BI192" s="21">
        <f>[1]!f_risk_maxdownside(A192,$AM$2,$L$2)</f>
        <v>-1.8245004344048767</v>
      </c>
      <c r="BJ192" s="19" t="str">
        <f>IFERROR(RANK(BI192,BI:BI)&amp;"/"&amp;COUNT(BI:BI),"-")</f>
        <v>29/197</v>
      </c>
      <c r="BK192" s="26">
        <f>IFERROR(RANK(BI192,BI:BI)/COUNT(BI:BI),"-")</f>
        <v>0.14720812182741116</v>
      </c>
      <c r="BL192" s="34" t="str">
        <f>IF(OR($C192&gt;20190630,$K192&gt;30,BI192="-",$D192="是",$E192="封闭期",$H192&lt;10,$BN192&lt;-6,$BR192&lt;70),"-",COUNTIFS(BI$4:BI$200,"&lt;&gt;-",$D$4:$D$200,"&lt;&gt;是",$E$4:$E$200,"&lt;&gt;封闭期",$H$4:$H$200,"&gt;10",$BN$4:$BN$200,"&gt;-6",$BR$4:$BR$200,"&gt;=70",$K$4:$K$200,"&lt;=30",$C$4:$C$200,"&lt;20190630",BI$4:BI$200,"&gt;="&amp;BI192)&amp;"/"&amp;COUNTIFS(BI$4:BI$200,"&lt;&gt;-",$D$4:$D$200,"&lt;&gt;是",$E$4:$E$200,"&lt;&gt;封闭期",$H$4:$H$200,"&gt;10",$BN$4:$BN$200,"&gt;-6",$BR$4:$BR$200,"&gt;=70",$C$4:$C$200,"&lt;20190630",$K$4:$K$200,"&lt;=30"))</f>
        <v>-</v>
      </c>
      <c r="BM192" s="33" t="str">
        <f>IF(OR($C192&gt;20190630,$K192&gt;30,BI192="-",$D192="是",$E192="封闭期",$H192&lt;10,$BN192&lt;-6,$BR192&lt;70),"-",COUNTIFS(BI$4:BI$200,"&lt;&gt;-",$D$4:$D$200,"&lt;&gt;是",$E$4:$E$200,"&lt;&gt;封闭期",$H$4:$H$200,"&gt;10",$BN$4:$BN$200,"&gt;-6",$BR$4:$BR$200,"&gt;=70",$K$4:$K$200,"&lt;=30",$C$4:$C$200,"&lt;20190630",BI$4:BI$200,"&gt;="&amp;BI192)/COUNTIFS(BI$4:BI$200,"&lt;&gt;-",$D$4:$D$200,"&lt;&gt;是",$E$4:$E$200,"&lt;&gt;封闭期",$H$4:$H$200,"&gt;10",$BN$4:$BN$200,"&gt;-6",$BR$4:$BR$200,"&gt;=70",$C$4:$C$200,"&lt;20190630",$K$4:$K$200,"&lt;=30"))</f>
        <v>-</v>
      </c>
      <c r="BN192" s="21">
        <f>[1]!f_risk_maxdownside(A192,$AM$2,$E$1)</f>
        <v>-1.8245004344048767</v>
      </c>
      <c r="BO192" s="21">
        <f>IF(C192&lt;20190930,[1]!f_return_2y(A192,"0","20210930"),"-")</f>
        <v>2.7703306523681785</v>
      </c>
      <c r="BP192" s="19" t="str">
        <f>IFERROR(RANK(BO192,BO:BO)&amp;"/"&amp;COUNT(BO:BO),"-")</f>
        <v>193/197</v>
      </c>
      <c r="BQ192" s="25">
        <f>IFERROR(RANK(BO192,BO:BO)/COUNT(BO:BO),"-")</f>
        <v>0.97969543147208127</v>
      </c>
      <c r="BR192" s="19">
        <f>IF(C192&lt;20190930,[1]!f_absolute_profitmonthper(A192,"20190930","20210930"),"-")</f>
        <v>66.666666666666657</v>
      </c>
      <c r="BS192" s="19" t="str">
        <f>IFERROR(RANK(BR192,BR:BR)&amp;"/"&amp;COUNT(BR:BR),"-")</f>
        <v>115/198</v>
      </c>
      <c r="BT192" s="25">
        <f>IFERROR(RANK(BR192,BR:BR)/COUNT(BR:BR),"-")</f>
        <v>0.58080808080808077</v>
      </c>
      <c r="BU192" s="17"/>
      <c r="BV192" s="12">
        <f>X192-3/M192</f>
        <v>-2.1229878192633382</v>
      </c>
      <c r="BW192" s="76">
        <f>IFERROR(RANK(BV192,BV:BV)/COUNT(BV:BV),"-")</f>
        <v>0.99492385786802029</v>
      </c>
      <c r="BX192" s="76">
        <f>IFERROR(RANK(L192,L:L)/COUNT(L:L),"-")</f>
        <v>0.9242424242424242</v>
      </c>
      <c r="BY192" s="12">
        <f>AY192-3/AN192</f>
        <v>-0.90418380022409794</v>
      </c>
      <c r="BZ192" s="76">
        <f>IFERROR(RANK(BY192,BY:BY)/COUNT(BY:BY),"-")</f>
        <v>0.93908629441624369</v>
      </c>
      <c r="CA192" s="76">
        <f>IFERROR(RANK(AM192,AM:AM)/COUNT(AM:AM),"-")</f>
        <v>0.95959595959595956</v>
      </c>
      <c r="CC192" s="77">
        <f>AV192+BF192+BZ192+CA192</f>
        <v>3.8580731169563656</v>
      </c>
      <c r="CD192" s="77">
        <f>BW192+BX192+AE192+U192</f>
        <v>3.6704353176434394</v>
      </c>
      <c r="CE192" s="77">
        <f>CC192+CD192</f>
        <v>7.5285084345998055</v>
      </c>
    </row>
    <row r="193" spans="1:83" s="17" customFormat="1" hidden="1" x14ac:dyDescent="0.35">
      <c r="A193" s="15" t="s">
        <v>277</v>
      </c>
      <c r="B193" s="15" t="s">
        <v>278</v>
      </c>
      <c r="C193" s="16">
        <v>20160923</v>
      </c>
      <c r="D193" s="16" t="str">
        <f>[1]!f_info_regulopenfundornot(A193)</f>
        <v>否</v>
      </c>
      <c r="E193" s="16" t="str">
        <f>[1]!f_dq_status(A193,$E$1)</f>
        <v>开放申购|开放赎回</v>
      </c>
      <c r="F193" s="17" t="str">
        <f>[1]!f_info_fundmanager(A193)</f>
        <v>曾健飞</v>
      </c>
      <c r="G193" s="16">
        <v>20190809</v>
      </c>
      <c r="H193" s="18">
        <f>[1]!f_netasset_total(A193,$E$1,100000000)</f>
        <v>0.54842233279999997</v>
      </c>
      <c r="I193" s="18">
        <f>[1]!f_prt_convertiblebondtonav(A193,$E$1)</f>
        <v>1.3406821489334106</v>
      </c>
      <c r="J193" s="18">
        <f>[1]!f_prt_stocktonav(A193,$E$1)+0.5*I193</f>
        <v>18.831716120243073</v>
      </c>
      <c r="K193" s="19">
        <v>0</v>
      </c>
      <c r="L193" s="19">
        <f>[1]!f_return($A193,"1",L$2,$E$1)</f>
        <v>4.1760636021449082</v>
      </c>
      <c r="M193" s="19">
        <f>[1]!f_risk_stdevyearly($A193,L$2,$E$1,1,1)</f>
        <v>5.078910446203964</v>
      </c>
      <c r="N193" s="19">
        <f>IFERROR(L193/M193,"-")</f>
        <v>0.82223611665886842</v>
      </c>
      <c r="O193" s="19" t="str">
        <f>IFERROR(RANK(N193,N:N)&amp;"/"&amp;COUNT(N:N),"-")</f>
        <v>153/197</v>
      </c>
      <c r="P193" s="26">
        <f>IF(O193="-","-",RANK(N193,N:N)/COUNT(N:N))</f>
        <v>0.7766497461928934</v>
      </c>
      <c r="Q193" s="56">
        <v>0.70050761421319796</v>
      </c>
      <c r="R193" s="33" t="str">
        <f>IF(OR($C193&gt;20190630,$K193&gt;30,N193="-",$D193="是",$E193="封闭期",$H193&lt;10,$BN193&lt;-6,$BR193&lt;70),"-",COUNTIFS(N$4:N$200,"&lt;&gt;-",$D$4:$D$200,"&lt;&gt;是",$E$4:$E$200,"&lt;&gt;封闭期",$H$4:$H$200,"&gt;10",$BN$4:$BN$200,"&gt;-6",$BR$4:$BR$200,"&gt;=70",$K$4:$K$200,"&lt;=30",$C$4:$C$200,"&lt;20190630",N$4:N$200,"&gt;="&amp;N193)/COUNTIFS(N$4:N$200,"&lt;&gt;-",$D$4:$D$200,"&lt;&gt;是",$E$4:$E$200,"&lt;&gt;封闭期",$H$4:$H$200,"&gt;10",$BN$4:$BN$200,"&gt;-6",$BR$4:$BR$200,"&gt;=70",$C$4:$C$200,"&lt;20190630",$K$4:$K$200,"&lt;=30"))</f>
        <v>-</v>
      </c>
      <c r="S193" s="19">
        <f>IFERROR((L193-3)/M193,"-")</f>
        <v>0.23155824750245629</v>
      </c>
      <c r="T193" s="19" t="str">
        <f>IFERROR(RANK(S193,S:S)&amp;"/"&amp;COUNT(S:S),"-")</f>
        <v>149/197</v>
      </c>
      <c r="U193" s="26">
        <f>IFERROR(RANK(S193,S:S)/COUNT(S:S),"-")</f>
        <v>0.75634517766497467</v>
      </c>
      <c r="V193" s="34" t="str">
        <f>IF(OR($C193&gt;20190630,$K193&gt;30,S193="-",$D193="是",$E193="封闭期",$H193&lt;10,$BN193&lt;-6,$BR193&lt;70),"-",COUNTIFS(S$4:S$200,"&lt;&gt;-",$D$4:$D$200,"&lt;&gt;是",$E$4:$E$200,"&lt;&gt;封闭期",$H$4:$H$200,"&gt;10",$BN$4:$BN$200,"&gt;-6",$BR$4:$BR$200,"&gt;=70",$K$4:$K$200,"&lt;=30",$C$4:$C$200,"&lt;20190630",S$4:S$200,"&gt;="&amp;S193)&amp;"/"&amp;COUNTIFS(S$4:S$200,"&lt;&gt;-",$D$4:$D$200,"&lt;&gt;是",$E$4:$E$200,"&lt;&gt;封闭期",$H$4:$H$200,"&gt;10",$BN$4:$BN$200,"&gt;-6",$BR$4:$BR$200,"&gt;=70",$C$4:$C$200,"&lt;20190630",$K$4:$K$200,"&lt;=30"))</f>
        <v>-</v>
      </c>
      <c r="W193" s="33" t="str">
        <f>IF(OR($C193&gt;20190630,$K193&gt;30,S193="-",$D193="是",$E193="封闭期",$H193&lt;10,$BN193&lt;-6,$BR193&lt;70),"-",COUNTIFS(S$4:S$200,"&lt;&gt;-",$D$4:$D$200,"&lt;&gt;是",$E$4:$E$200,"&lt;&gt;封闭期",$H$4:$H$200,"&gt;10",$BN$4:$BN$200,"&gt;-6",$BR$4:$BR$200,"&gt;=70",$K$4:$K$200,"&lt;=30",$C$4:$C$200,"&lt;20190630",S$4:S$200,"&gt;="&amp;S193)/COUNTIFS(S$4:S$200,"&lt;&gt;-",$D$4:$D$200,"&lt;&gt;是",$E$4:$E$200,"&lt;&gt;封闭期",$H$4:$H$200,"&gt;10",$BN$4:$BN$200,"&gt;-6",$BR$4:$BR$200,"&gt;=70",$C$4:$C$200,"&lt;20190630",$K$4:$K$200,"&lt;=30"))</f>
        <v>-</v>
      </c>
      <c r="X193" s="19">
        <f>[1]!f_risk_calmar(A193,$L$2,$E$1)</f>
        <v>1.4803964948122361</v>
      </c>
      <c r="Y193" s="19" t="str">
        <f>IFERROR(RANK(X193,X:X)&amp;"/"&amp;COUNT(X:X),"-")</f>
        <v>129/197</v>
      </c>
      <c r="Z193" s="26">
        <f>IFERROR(RANK(X193,X:X)/COUNT(X:X),"-")</f>
        <v>0.65482233502538068</v>
      </c>
      <c r="AA193" s="34" t="str">
        <f>IF(OR($C193&gt;20190630,$K193&gt;30,X193="-",$D193="是",$E193="封闭期",$H193&lt;10,$BN193&lt;-6,$BR193&lt;70),"-",COUNTIFS(X$4:X$200,"&lt;&gt;-",$D$4:$D$200,"&lt;&gt;是",$E$4:$E$200,"&lt;&gt;封闭期",$H$4:$H$200,"&gt;10",$BN$4:$BN$200,"&gt;-6",$BR$4:$BR$200,"&gt;=70",$K$4:$K$200,"&lt;=30",$C$4:$C$200,"&lt;20190630",X$4:X$200,"&gt;="&amp;X193)&amp;"/"&amp;COUNTIFS(X$4:X$200,"&lt;&gt;-",$D$4:$D$200,"&lt;&gt;是",$E$4:$E$200,"&lt;&gt;封闭期",$H$4:$H$200,"&gt;10",$BN$4:$BN$200,"&gt;-6",$BR$4:$BR$200,"&gt;=70",$C$4:$C$200,"&lt;20190630",$K$4:$K$200,"&lt;=30"))</f>
        <v>-</v>
      </c>
      <c r="AB193" s="33" t="str">
        <f>IF(OR($C193&gt;20190630,$K193&gt;30,X193="-",$D193="是",$E193="封闭期",$H193&lt;10,$BN193&lt;-6,$BR193&lt;70),"-",COUNTIFS(X$4:X$200,"&lt;&gt;-",$D$4:$D$200,"&lt;&gt;是",$E$4:$E$200,"&lt;&gt;封闭期",$H$4:$H$200,"&gt;10",$BN$4:$BN$200,"&gt;-6",$BR$4:$BR$200,"&gt;=70",$K$4:$K$200,"&lt;=30",$C$4:$C$200,"&lt;20190630",X$4:X$200,"&gt;="&amp;X193)/COUNTIFS(X$4:X$200,"&lt;&gt;-",$D$4:$D$200,"&lt;&gt;是",$E$4:$E$200,"&lt;&gt;封闭期",$H$4:$H$200,"&gt;10",$BN$4:$BN$200,"&gt;-6",$BR$4:$BR$200,"&gt;=70",$C$4:$C$200,"&lt;20190630",$K$4:$K$200,"&lt;=30"))</f>
        <v>-</v>
      </c>
      <c r="AC193" s="20">
        <v>0.87394957983193278</v>
      </c>
      <c r="AD193" s="19" t="str">
        <f>IFERROR(RANK(AC193,AC:AC)&amp;"/"&amp;COUNT(AC:AC),"-")</f>
        <v>135/197</v>
      </c>
      <c r="AE193" s="26">
        <f>IFERROR(RANK(AC193,AC:AC)/COUNT(AC:AC),"-")</f>
        <v>0.68527918781725883</v>
      </c>
      <c r="AF193" s="34" t="str">
        <f>IF(OR($C193&gt;20190630,$K193&gt;30,AC193="-",$D193="是",$E193="封闭期",$H193&lt;10,$BN193&lt;-6,$BR193&lt;70),"-",COUNTIFS(AC$4:AC$200,"&lt;&gt;-",$D$4:$D$200,"&lt;&gt;是",$E$4:$E$200,"&lt;&gt;封闭期",$H$4:$H$200,"&gt;10",$BN$4:$BN$200,"&gt;-6",$BR$4:$BR$200,"&gt;=70",$K$4:$K$200,"&lt;=30",$C$4:$C$200,"&lt;20190630",AC$4:AC$200,"&gt;="&amp;AC193)&amp;"/"&amp;COUNTIFS(AC$4:AC$200,"&lt;&gt;-",$D$4:$D$200,"&lt;&gt;是",$E$4:$E$200,"&lt;&gt;封闭期",$H$4:$H$200,"&gt;10",$BN$4:$BN$200,"&gt;-6",$BR$4:$BR$200,"&gt;=70",$C$4:$C$200,"&lt;20190630",$K$4:$K$200,"&lt;=30"))</f>
        <v>-</v>
      </c>
      <c r="AG193" s="33" t="str">
        <f>IF(OR($C193&gt;20190630,$K193&gt;30,AC193="-",$D193="是",$E193="封闭期",$H193&lt;10,$BN193&lt;-6,$BR193&lt;70),"-",COUNTIFS(AC$4:AC$200,"&lt;&gt;-",$D$4:$D$200,"&lt;&gt;是",$E$4:$E$200,"&lt;&gt;封闭期",$H$4:$H$200,"&gt;10",$BN$4:$BN$200,"&gt;-6",$BR$4:$BR$200,"&gt;=70",$K$4:$K$200,"&lt;=30",$C$4:$C$200,"&lt;20190630",AC$4:AC$200,"&gt;="&amp;AC193)/COUNTIFS(AC$4:AC$200,"&lt;&gt;-",$D$4:$D$200,"&lt;&gt;是",$E$4:$E$200,"&lt;&gt;封闭期",$H$4:$H$200,"&gt;10",$BN$4:$BN$200,"&gt;-6",$BR$4:$BR$200,"&gt;=70",$C$4:$C$200,"&lt;20190630",$K$4:$K$200,"&lt;=30"))</f>
        <v>-</v>
      </c>
      <c r="AH193" s="21">
        <f>[1]!f_risk_maxdownside(A193,$L$2,$E$1)</f>
        <v>-2.8209088691976221</v>
      </c>
      <c r="AI193" s="19" t="str">
        <f>IFERROR(RANK(AH193,AH:AH)&amp;"/"&amp;COUNT(AH:AH),"-")</f>
        <v>87/197</v>
      </c>
      <c r="AJ193" s="26">
        <f>IFERROR(RANK(AH193,AH:AH)/COUNT(AH:AH),"-")</f>
        <v>0.44162436548223349</v>
      </c>
      <c r="AK193" s="34" t="str">
        <f>IF(OR($C193&gt;20190630,$K193&gt;30,AH193="-",$D193="是",$E193="封闭期",$H193&lt;10,$BN193&lt;-6,$BR193&lt;70),"-",COUNTIFS(AH$4:AH$200,"&lt;&gt;-",$D$4:$D$200,"&lt;&gt;是",$E$4:$E$200,"&lt;&gt;封闭期",$H$4:$H$200,"&gt;10",$BN$4:$BN$200,"&gt;-6",$BR$4:$BR$200,"&gt;=70",$K$4:$K$200,"&lt;=30",$C$4:$C$200,"&lt;20190630",AH$4:AH$200,"&gt;="&amp;AH193)&amp;"/"&amp;COUNTIFS(AH$4:AH$200,"&lt;&gt;-",$D$4:$D$200,"&lt;&gt;是",$E$4:$E$200,"&lt;&gt;封闭期",$H$4:$H$200,"&gt;10",$BN$4:$BN$200,"&gt;-6",$BR$4:$BR$200,"&gt;=70",$C$4:$C$200,"&lt;20190630",$K$4:$K$200,"&lt;=30"))</f>
        <v>-</v>
      </c>
      <c r="AL193" s="33" t="str">
        <f>IF(OR($C193&gt;20190630,$K193&gt;30,AH193="-",$D193="是",$E193="封闭期",$H193&lt;10,$BN193&lt;-6,$BR193&lt;70),"-",COUNTIFS(AH$4:AH$200,"&lt;&gt;-",$D$4:$D$200,"&lt;&gt;是",$E$4:$E$200,"&lt;&gt;封闭期",$H$4:$H$200,"&gt;10",$BN$4:$BN$200,"&gt;-6",$BR$4:$BR$200,"&gt;=70",$K$4:$K$200,"&lt;=30",$C$4:$C$200,"&lt;20190630",AH$4:AH$200,"&gt;="&amp;AH193)/COUNTIFS(AH$4:AH$200,"&lt;&gt;-",$D$4:$D$200,"&lt;&gt;是",$E$4:$E$200,"&lt;&gt;封闭期",$H$4:$H$200,"&gt;10",$BN$4:$BN$200,"&gt;-6",$BR$4:$BR$200,"&gt;=70",$C$4:$C$200,"&lt;20190630",$K$4:$K$200,"&lt;=30"))</f>
        <v>-</v>
      </c>
      <c r="AM193" s="19">
        <f>[1]!f_return($A193,"1",AM$2,$L$2)</f>
        <v>1.4600829831241446</v>
      </c>
      <c r="AN193" s="19">
        <f>[1]!f_risk_stdevyearly($A193,AM$2,$L$2,1,1)</f>
        <v>1.9228355500848737</v>
      </c>
      <c r="AO193" s="19">
        <f>IFERROR(AM193/AN193,"-")</f>
        <v>0.75933845879835993</v>
      </c>
      <c r="AP193" s="19" t="str">
        <f>IFERROR(RANK(AO193,AO:AO)&amp;"/"&amp;COUNT(AO:AO),"-")</f>
        <v>179/197</v>
      </c>
      <c r="AQ193" s="26">
        <f>IF(AP193="-","-",RANK(AO193,AO:AO)/COUNT(AO:AO))</f>
        <v>0.90862944162436543</v>
      </c>
      <c r="AR193" s="57">
        <v>0.96446700507614214</v>
      </c>
      <c r="AS193" s="33" t="str">
        <f>IF(OR($C193&gt;20190630,$K193&gt;30,AO193="-",$D193="是",$E193="封闭期",$H193&lt;10,$BN193&lt;-6,$BR193&lt;70),"-",COUNTIFS(AO$4:AO$200,"&lt;&gt;-",$D$4:$D$200,"&lt;&gt;是",$E$4:$E$200,"&lt;&gt;封闭期",$H$4:$H$200,"&gt;10",$BN$4:$BN$200,"&gt;-6",$BR$4:$BR$200,"&gt;=70",$K$4:$K$200,"&lt;=30",$C$4:$C$200,"&lt;20190630",AO$4:AO$200,"&gt;="&amp;AO193)/COUNTIFS(AO$4:AO$200,"&lt;&gt;-",$D$4:$D$200,"&lt;&gt;是",$E$4:$E$200,"&lt;&gt;封闭期",$H$4:$H$200,"&gt;10",$BN$4:$BN$200,"&gt;-6",$BR$4:$BR$200,"&gt;=70",$C$4:$C$200,"&lt;20190630",$K$4:$K$200,"&lt;=30"))</f>
        <v>-</v>
      </c>
      <c r="AT193" s="19">
        <f>IFERROR((AM193-3)/AN193,"-")</f>
        <v>-0.80085736755173031</v>
      </c>
      <c r="AU193" s="19" t="str">
        <f>IFERROR(RANK(AT193,AT:AT)&amp;"/"&amp;COUNT(AT:AT),"-")</f>
        <v>193/197</v>
      </c>
      <c r="AV193" s="26">
        <f>IFERROR(RANK(AT193,AT:AT)/COUNT(AT:AT),"-")</f>
        <v>0.97969543147208127</v>
      </c>
      <c r="AW193" s="34" t="str">
        <f>IF(OR($C193&gt;20190630,$K193&gt;30,AT193="-",$D193="是",$E193="封闭期",$H193&lt;10,$BN193&lt;-6,$BR193&lt;70),"-",COUNTIFS(AT$4:AT$200,"&lt;&gt;-",$D$4:$D$200,"&lt;&gt;是",$E$4:$E$200,"&lt;&gt;封闭期",$H$4:$H$200,"&gt;10",$BN$4:$BN$200,"&gt;-6",$BR$4:$BR$200,"&gt;=70",$K$4:$K$200,"&lt;=30",$C$4:$C$200,"&lt;20190630",AT$4:AT$200,"&gt;="&amp;AT193)&amp;"/"&amp;COUNTIFS(AT$4:AT$200,"&lt;&gt;-",$D$4:$D$200,"&lt;&gt;是",$E$4:$E$200,"&lt;&gt;封闭期",$H$4:$H$200,"&gt;10",$BN$4:$BN$200,"&gt;-6",$BR$4:$BR$200,"&gt;=70",$C$4:$C$200,"&lt;20190630",$K$4:$K$200,"&lt;=30"))</f>
        <v>-</v>
      </c>
      <c r="AX193" s="33" t="str">
        <f>IF(OR($C193&gt;20190630,$K193&gt;30,AT193="-",$D193="是",$E193="封闭期",$H193&lt;10,$BN193&lt;-6,$BR193&lt;70),"-",COUNTIFS(AT$4:AT$200,"&lt;&gt;-",$D$4:$D$200,"&lt;&gt;是",$E$4:$E$200,"&lt;&gt;封闭期",$H$4:$H$200,"&gt;10",$BN$4:$BN$200,"&gt;-6",$BR$4:$BR$200,"&gt;=70",$K$4:$K$200,"&lt;=30",$C$4:$C$200,"&lt;20190630",AT$4:AT$200,"&gt;="&amp;AT193)/COUNTIFS(AT$4:AT$200,"&lt;&gt;-",$D$4:$D$200,"&lt;&gt;是",$E$4:$E$200,"&lt;&gt;封闭期",$H$4:$H$200,"&gt;10",$BN$4:$BN$200,"&gt;-6",$BR$4:$BR$200,"&gt;=70",$C$4:$C$200,"&lt;20190630",$K$4:$K$200,"&lt;=30"))</f>
        <v>-</v>
      </c>
      <c r="AY193" s="19">
        <f>[1]!f_risk_calmar(A193,$AM$2,$L$2)</f>
        <v>0.58072965353923645</v>
      </c>
      <c r="AZ193" s="19" t="str">
        <f>IFERROR(RANK(AY193,AY:AY)&amp;"/"&amp;COUNT(AY:AY),"-")</f>
        <v>186/197</v>
      </c>
      <c r="BA193" s="26">
        <f>IFERROR(RANK(AY193,AY:AY)/COUNT(AY:AY),"-")</f>
        <v>0.9441624365482234</v>
      </c>
      <c r="BB193" s="34" t="str">
        <f>IF(OR($C193&gt;20190630,$K193&gt;30,AY193="-",$D193="是",$E193="封闭期",$H193&lt;10,$BN193&lt;-6,$BR193&lt;70),"-",COUNTIFS(AY$4:AY$200,"&lt;&gt;-",$D$4:$D$200,"&lt;&gt;是",$E$4:$E$200,"&lt;&gt;封闭期",$H$4:$H$200,"&gt;10",$BN$4:$BN$200,"&gt;-6",$BR$4:$BR$200,"&gt;=70",$K$4:$K$200,"&lt;=30",$C$4:$C$200,"&lt;20190630",AY$4:AY$200,"&gt;="&amp;AY193)&amp;"/"&amp;COUNTIFS(AY$4:AY$200,"&lt;&gt;-",$D$4:$D$200,"&lt;&gt;是",$E$4:$E$200,"&lt;&gt;封闭期",$H$4:$H$200,"&gt;10",$BN$4:$BN$200,"&gt;-6",$BR$4:$BR$200,"&gt;=70",$C$4:$C$200,"&lt;20190630",$K$4:$K$200,"&lt;=30"))</f>
        <v>-</v>
      </c>
      <c r="BC193" s="33" t="str">
        <f>IF(OR($C193&gt;20190630,$K193&gt;30,AY193="-",$D193="是",$E193="封闭期",$H193&lt;10,$BN193&lt;-6,$BR193&lt;70),"-",COUNTIFS(AY$4:AY$200,"&lt;&gt;-",$D$4:$D$200,"&lt;&gt;是",$E$4:$E$200,"&lt;&gt;封闭期",$H$4:$H$200,"&gt;10",$BN$4:$BN$200,"&gt;-6",$BR$4:$BR$200,"&gt;=70",$K$4:$K$200,"&lt;=30",$C$4:$C$200,"&lt;20190630",AY$4:AY$200,"&gt;="&amp;AY193)/COUNTIFS(AY$4:AY$200,"&lt;&gt;-",$D$4:$D$200,"&lt;&gt;是",$E$4:$E$200,"&lt;&gt;封闭期",$H$4:$H$200,"&gt;10",$BN$4:$BN$200,"&gt;-6",$BR$4:$BR$200,"&gt;=70",$C$4:$C$200,"&lt;20190630",$K$4:$K$200,"&lt;=30"))</f>
        <v>-</v>
      </c>
      <c r="BD193" s="20">
        <v>0.84166666666666667</v>
      </c>
      <c r="BE193" s="19" t="str">
        <f>IFERROR(RANK(BD193,BD:BD)&amp;"/"&amp;COUNT(BD:BD),"-")</f>
        <v>173/197</v>
      </c>
      <c r="BF193" s="26">
        <f>IFERROR(RANK(BD193,BD:BD)/COUNT(BD:BD),"-")</f>
        <v>0.87817258883248728</v>
      </c>
      <c r="BG193" s="34" t="str">
        <f>IF(OR($C193&gt;20190630,$K193&gt;30,BD193="-",$D193="是",$E193="封闭期",$H193&lt;10,$BN193&lt;-6,$BR193&lt;70),"-",COUNTIFS(BD$4:BD$200,"&lt;&gt;-",$D$4:$D$200,"&lt;&gt;是",$E$4:$E$200,"&lt;&gt;封闭期",$H$4:$H$200,"&gt;10",$BN$4:$BN$200,"&gt;-6",$BR$4:$BR$200,"&gt;=70",$K$4:$K$200,"&lt;=30",$C$4:$C$200,"&lt;20190630",BD$4:BD$200,"&gt;="&amp;BD193)&amp;"/"&amp;COUNTIFS(BD$4:BD$200,"&lt;&gt;-",$D$4:$D$200,"&lt;&gt;是",$E$4:$E$200,"&lt;&gt;封闭期",$H$4:$H$200,"&gt;10",$BN$4:$BN$200,"&gt;-6",$BR$4:$BR$200,"&gt;=70",$C$4:$C$200,"&lt;20190630",$K$4:$K$200,"&lt;=30"))</f>
        <v>-</v>
      </c>
      <c r="BH193" s="33" t="str">
        <f>IF(OR($C193&gt;20190630,$K193&gt;30,BD193="-",$D193="是",$E193="封闭期",$H193&lt;10,$BN193&lt;-6,$BR193&lt;70),"-",COUNTIFS(BD$4:BD$200,"&lt;&gt;-",$D$4:$D$200,"&lt;&gt;是",$E$4:$E$200,"&lt;&gt;封闭期",$H$4:$H$200,"&gt;10",$BN$4:$BN$200,"&gt;-6",$BR$4:$BR$200,"&gt;=70",$K$4:$K$200,"&lt;=30",$C$4:$C$200,"&lt;20190630",BD$4:BD$200,"&gt;="&amp;BD193)/COUNTIFS(BD$4:BD$200,"&lt;&gt;-",$D$4:$D$200,"&lt;&gt;是",$E$4:$E$200,"&lt;&gt;封闭期",$H$4:$H$200,"&gt;10",$BN$4:$BN$200,"&gt;-6",$BR$4:$BR$200,"&gt;=70",$C$4:$C$200,"&lt;20190630",$K$4:$K$200,"&lt;=30"))</f>
        <v>-</v>
      </c>
      <c r="BI193" s="21">
        <f>[1]!f_risk_maxdownside(A193,$AM$2,$L$2)</f>
        <v>-2.5142215043191274</v>
      </c>
      <c r="BJ193" s="19" t="str">
        <f>IFERROR(RANK(BI193,BI:BI)&amp;"/"&amp;COUNT(BI:BI),"-")</f>
        <v>62/197</v>
      </c>
      <c r="BK193" s="26">
        <f>IFERROR(RANK(BI193,BI:BI)/COUNT(BI:BI),"-")</f>
        <v>0.31472081218274112</v>
      </c>
      <c r="BL193" s="34" t="str">
        <f>IF(OR($C193&gt;20190630,$K193&gt;30,BI193="-",$D193="是",$E193="封闭期",$H193&lt;10,$BN193&lt;-6,$BR193&lt;70),"-",COUNTIFS(BI$4:BI$200,"&lt;&gt;-",$D$4:$D$200,"&lt;&gt;是",$E$4:$E$200,"&lt;&gt;封闭期",$H$4:$H$200,"&gt;10",$BN$4:$BN$200,"&gt;-6",$BR$4:$BR$200,"&gt;=70",$K$4:$K$200,"&lt;=30",$C$4:$C$200,"&lt;20190630",BI$4:BI$200,"&gt;="&amp;BI193)&amp;"/"&amp;COUNTIFS(BI$4:BI$200,"&lt;&gt;-",$D$4:$D$200,"&lt;&gt;是",$E$4:$E$200,"&lt;&gt;封闭期",$H$4:$H$200,"&gt;10",$BN$4:$BN$200,"&gt;-6",$BR$4:$BR$200,"&gt;=70",$C$4:$C$200,"&lt;20190630",$K$4:$K$200,"&lt;=30"))</f>
        <v>-</v>
      </c>
      <c r="BM193" s="33" t="str">
        <f>IF(OR($C193&gt;20190630,$K193&gt;30,BI193="-",$D193="是",$E193="封闭期",$H193&lt;10,$BN193&lt;-6,$BR193&lt;70),"-",COUNTIFS(BI$4:BI$200,"&lt;&gt;-",$D$4:$D$200,"&lt;&gt;是",$E$4:$E$200,"&lt;&gt;封闭期",$H$4:$H$200,"&gt;10",$BN$4:$BN$200,"&gt;-6",$BR$4:$BR$200,"&gt;=70",$K$4:$K$200,"&lt;=30",$C$4:$C$200,"&lt;20190630",BI$4:BI$200,"&gt;="&amp;BI193)/COUNTIFS(BI$4:BI$200,"&lt;&gt;-",$D$4:$D$200,"&lt;&gt;是",$E$4:$E$200,"&lt;&gt;封闭期",$H$4:$H$200,"&gt;10",$BN$4:$BN$200,"&gt;-6",$BR$4:$BR$200,"&gt;=70",$C$4:$C$200,"&lt;20190630",$K$4:$K$200,"&lt;=30"))</f>
        <v>-</v>
      </c>
      <c r="BN193" s="21">
        <f>[1]!f_risk_maxdownside(A193,$AM$2,$E$1)</f>
        <v>-2.8209088691976221</v>
      </c>
      <c r="BO193" s="21">
        <f>IF(C193&lt;20190930,[1]!f_return_2y(A193,"0","20210930"),"-")</f>
        <v>5.6801791988207935</v>
      </c>
      <c r="BP193" s="19" t="str">
        <f>IFERROR(RANK(BO193,BO:BO)&amp;"/"&amp;COUNT(BO:BO),"-")</f>
        <v>180/197</v>
      </c>
      <c r="BQ193" s="25">
        <f>IFERROR(RANK(BO193,BO:BO)/COUNT(BO:BO),"-")</f>
        <v>0.91370558375634514</v>
      </c>
      <c r="BR193" s="19">
        <f>IF(C193&lt;20190930,[1]!f_absolute_profitmonthper(A193,"20190930","20210930"),"-")</f>
        <v>70.833333333333343</v>
      </c>
      <c r="BS193" s="19" t="str">
        <f>IFERROR(RANK(BR193,BR:BR)&amp;"/"&amp;COUNT(BR:BR),"-")</f>
        <v>55/198</v>
      </c>
      <c r="BT193" s="25">
        <f>IFERROR(RANK(BR193,BR:BR)/COUNT(BR:BR),"-")</f>
        <v>0.27777777777777779</v>
      </c>
      <c r="BV193" s="12">
        <f>X193-3/M193</f>
        <v>0.88971862565582394</v>
      </c>
      <c r="BW193" s="76">
        <f>IFERROR(RANK(BV193,BV:BV)/COUNT(BV:BV),"-")</f>
        <v>0.63959390862944165</v>
      </c>
      <c r="BX193" s="76">
        <f>IFERROR(RANK(L193,L:L)/COUNT(L:L),"-")</f>
        <v>0.70202020202020199</v>
      </c>
      <c r="BY193" s="12">
        <f>AY193-3/AN193</f>
        <v>-0.97946617281085391</v>
      </c>
      <c r="BZ193" s="76">
        <f>IFERROR(RANK(BY193,BY:BY)/COUNT(BY:BY),"-")</f>
        <v>0.9441624365482234</v>
      </c>
      <c r="CA193" s="76">
        <f>IFERROR(RANK(AM193,AM:AM)/COUNT(AM:AM),"-")</f>
        <v>0.96464646464646464</v>
      </c>
      <c r="CB193" s="2"/>
      <c r="CC193" s="77">
        <f>AV193+BF193+BZ193+CA193</f>
        <v>3.7666769214992564</v>
      </c>
      <c r="CD193" s="77">
        <f>BW193+BX193+AE193+U193</f>
        <v>2.7832384761318769</v>
      </c>
      <c r="CE193" s="77">
        <f>CC193+CD193</f>
        <v>6.5499153976311337</v>
      </c>
    </row>
    <row r="194" spans="1:83" s="17" customFormat="1" hidden="1" x14ac:dyDescent="0.35">
      <c r="A194" s="15" t="s">
        <v>243</v>
      </c>
      <c r="B194" s="15" t="s">
        <v>244</v>
      </c>
      <c r="C194" s="16">
        <v>20160603</v>
      </c>
      <c r="D194" s="16" t="str">
        <f>[1]!f_info_regulopenfundornot(A194)</f>
        <v>否</v>
      </c>
      <c r="E194" s="16" t="str">
        <f>[1]!f_dq_status(A194,$E$1)</f>
        <v>暂停大额申购|开放赎回</v>
      </c>
      <c r="F194" s="17" t="str">
        <f>[1]!f_info_fundmanager(A194)</f>
        <v>李涛,王立芹</v>
      </c>
      <c r="G194" s="16">
        <v>20201103</v>
      </c>
      <c r="H194" s="18">
        <f>[1]!f_netasset_total(A194,$E$1,100000000)</f>
        <v>2.2528240402000002</v>
      </c>
      <c r="I194" s="18">
        <f>[1]!f_prt_convertiblebondtonav(A194,$E$1)</f>
        <v>7.8255500793457031</v>
      </c>
      <c r="J194" s="18">
        <f>[1]!f_prt_stocktonav(A194,$E$1)+0.5*I194</f>
        <v>23.493803024291992</v>
      </c>
      <c r="K194" s="19">
        <v>13.576293334158819</v>
      </c>
      <c r="L194" s="19">
        <f>[1]!f_return($A194,"1",L$2,$E$1)</f>
        <v>6.482630189033034</v>
      </c>
      <c r="M194" s="19">
        <f>[1]!f_risk_stdevyearly($A194,L$2,$E$1,1,1)</f>
        <v>5.3092210944869658</v>
      </c>
      <c r="N194" s="19">
        <f>IFERROR(L194/M194,"-")</f>
        <v>1.2210134167824584</v>
      </c>
      <c r="O194" s="19" t="str">
        <f>IFERROR(RANK(N194,N:N)&amp;"/"&amp;COUNT(N:N),"-")</f>
        <v>120/197</v>
      </c>
      <c r="P194" s="26">
        <f>IF(O194="-","-",RANK(N194,N:N)/COUNT(N:N))</f>
        <v>0.6091370558375635</v>
      </c>
      <c r="Q194" s="56">
        <v>0.41624365482233505</v>
      </c>
      <c r="R194" s="33" t="str">
        <f>IF(OR($C194&gt;20190630,$K194&gt;30,N194="-",$D194="是",$E194="封闭期",$H194&lt;10,$BN194&lt;-6,$BR194&lt;70),"-",COUNTIFS(N$4:N$200,"&lt;&gt;-",$D$4:$D$200,"&lt;&gt;是",$E$4:$E$200,"&lt;&gt;封闭期",$H$4:$H$200,"&gt;10",$BN$4:$BN$200,"&gt;-6",$BR$4:$BR$200,"&gt;=70",$K$4:$K$200,"&lt;=30",$C$4:$C$200,"&lt;20190630",N$4:N$200,"&gt;="&amp;N194)/COUNTIFS(N$4:N$200,"&lt;&gt;-",$D$4:$D$200,"&lt;&gt;是",$E$4:$E$200,"&lt;&gt;封闭期",$H$4:$H$200,"&gt;10",$BN$4:$BN$200,"&gt;-6",$BR$4:$BR$200,"&gt;=70",$C$4:$C$200,"&lt;20190630",$K$4:$K$200,"&lt;=30"))</f>
        <v>-</v>
      </c>
      <c r="S194" s="19">
        <f>IFERROR((L194-3)/M194,"-")</f>
        <v>0.65595877946189829</v>
      </c>
      <c r="T194" s="19" t="str">
        <f>IFERROR(RANK(S194,S:S)&amp;"/"&amp;COUNT(S:S),"-")</f>
        <v>108/197</v>
      </c>
      <c r="U194" s="26">
        <f>IFERROR(RANK(S194,S:S)/COUNT(S:S),"-")</f>
        <v>0.54822335025380708</v>
      </c>
      <c r="V194" s="34" t="str">
        <f>IF(OR($C194&gt;20190630,$K194&gt;30,S194="-",$D194="是",$E194="封闭期",$H194&lt;10,$BN194&lt;-6,$BR194&lt;70),"-",COUNTIFS(S$4:S$200,"&lt;&gt;-",$D$4:$D$200,"&lt;&gt;是",$E$4:$E$200,"&lt;&gt;封闭期",$H$4:$H$200,"&gt;10",$BN$4:$BN$200,"&gt;-6",$BR$4:$BR$200,"&gt;=70",$K$4:$K$200,"&lt;=30",$C$4:$C$200,"&lt;20190630",S$4:S$200,"&gt;="&amp;S194)&amp;"/"&amp;COUNTIFS(S$4:S$200,"&lt;&gt;-",$D$4:$D$200,"&lt;&gt;是",$E$4:$E$200,"&lt;&gt;封闭期",$H$4:$H$200,"&gt;10",$BN$4:$BN$200,"&gt;-6",$BR$4:$BR$200,"&gt;=70",$C$4:$C$200,"&lt;20190630",$K$4:$K$200,"&lt;=30"))</f>
        <v>-</v>
      </c>
      <c r="W194" s="33" t="str">
        <f>IF(OR($C194&gt;20190630,$K194&gt;30,S194="-",$D194="是",$E194="封闭期",$H194&lt;10,$BN194&lt;-6,$BR194&lt;70),"-",COUNTIFS(S$4:S$200,"&lt;&gt;-",$D$4:$D$200,"&lt;&gt;是",$E$4:$E$200,"&lt;&gt;封闭期",$H$4:$H$200,"&gt;10",$BN$4:$BN$200,"&gt;-6",$BR$4:$BR$200,"&gt;=70",$K$4:$K$200,"&lt;=30",$C$4:$C$200,"&lt;20190630",S$4:S$200,"&gt;="&amp;S194)/COUNTIFS(S$4:S$200,"&lt;&gt;-",$D$4:$D$200,"&lt;&gt;是",$E$4:$E$200,"&lt;&gt;封闭期",$H$4:$H$200,"&gt;10",$BN$4:$BN$200,"&gt;-6",$BR$4:$BR$200,"&gt;=70",$C$4:$C$200,"&lt;20190630",$K$4:$K$200,"&lt;=30"))</f>
        <v>-</v>
      </c>
      <c r="X194" s="19">
        <f>[1]!f_risk_calmar(A194,$L$2,$E$1)</f>
        <v>1.6148952093124542</v>
      </c>
      <c r="Y194" s="19" t="str">
        <f>IFERROR(RANK(X194,X:X)&amp;"/"&amp;COUNT(X:X),"-")</f>
        <v>124/197</v>
      </c>
      <c r="Z194" s="26">
        <f>IFERROR(RANK(X194,X:X)/COUNT(X:X),"-")</f>
        <v>0.62944162436548223</v>
      </c>
      <c r="AA194" s="34" t="str">
        <f>IF(OR($C194&gt;20190630,$K194&gt;30,X194="-",$D194="是",$E194="封闭期",$H194&lt;10,$BN194&lt;-6,$BR194&lt;70),"-",COUNTIFS(X$4:X$200,"&lt;&gt;-",$D$4:$D$200,"&lt;&gt;是",$E$4:$E$200,"&lt;&gt;封闭期",$H$4:$H$200,"&gt;10",$BN$4:$BN$200,"&gt;-6",$BR$4:$BR$200,"&gt;=70",$K$4:$K$200,"&lt;=30",$C$4:$C$200,"&lt;20190630",X$4:X$200,"&gt;="&amp;X194)&amp;"/"&amp;COUNTIFS(X$4:X$200,"&lt;&gt;-",$D$4:$D$200,"&lt;&gt;是",$E$4:$E$200,"&lt;&gt;封闭期",$H$4:$H$200,"&gt;10",$BN$4:$BN$200,"&gt;-6",$BR$4:$BR$200,"&gt;=70",$C$4:$C$200,"&lt;20190630",$K$4:$K$200,"&lt;=30"))</f>
        <v>-</v>
      </c>
      <c r="AB194" s="33" t="str">
        <f>IF(OR($C194&gt;20190630,$K194&gt;30,X194="-",$D194="是",$E194="封闭期",$H194&lt;10,$BN194&lt;-6,$BR194&lt;70),"-",COUNTIFS(X$4:X$200,"&lt;&gt;-",$D$4:$D$200,"&lt;&gt;是",$E$4:$E$200,"&lt;&gt;封闭期",$H$4:$H$200,"&gt;10",$BN$4:$BN$200,"&gt;-6",$BR$4:$BR$200,"&gt;=70",$K$4:$K$200,"&lt;=30",$C$4:$C$200,"&lt;20190630",X$4:X$200,"&gt;="&amp;X194)/COUNTIFS(X$4:X$200,"&lt;&gt;-",$D$4:$D$200,"&lt;&gt;是",$E$4:$E$200,"&lt;&gt;封闭期",$H$4:$H$200,"&gt;10",$BN$4:$BN$200,"&gt;-6",$BR$4:$BR$200,"&gt;=70",$C$4:$C$200,"&lt;20190630",$K$4:$K$200,"&lt;=30"))</f>
        <v>-</v>
      </c>
      <c r="AC194" s="20">
        <v>1</v>
      </c>
      <c r="AD194" s="19" t="str">
        <f>IFERROR(RANK(AC194,AC:AC)&amp;"/"&amp;COUNT(AC:AC),"-")</f>
        <v>1/197</v>
      </c>
      <c r="AE194" s="26">
        <f>IFERROR(RANK(AC194,AC:AC)/COUNT(AC:AC),"-")</f>
        <v>5.076142131979695E-3</v>
      </c>
      <c r="AF194" s="34" t="str">
        <f>IF(OR($C194&gt;20190630,$K194&gt;30,AC194="-",$D194="是",$E194="封闭期",$H194&lt;10,$BN194&lt;-6,$BR194&lt;70),"-",COUNTIFS(AC$4:AC$200,"&lt;&gt;-",$D$4:$D$200,"&lt;&gt;是",$E$4:$E$200,"&lt;&gt;封闭期",$H$4:$H$200,"&gt;10",$BN$4:$BN$200,"&gt;-6",$BR$4:$BR$200,"&gt;=70",$K$4:$K$200,"&lt;=30",$C$4:$C$200,"&lt;20190630",AC$4:AC$200,"&gt;="&amp;AC194)&amp;"/"&amp;COUNTIFS(AC$4:AC$200,"&lt;&gt;-",$D$4:$D$200,"&lt;&gt;是",$E$4:$E$200,"&lt;&gt;封闭期",$H$4:$H$200,"&gt;10",$BN$4:$BN$200,"&gt;-6",$BR$4:$BR$200,"&gt;=70",$C$4:$C$200,"&lt;20190630",$K$4:$K$200,"&lt;=30"))</f>
        <v>-</v>
      </c>
      <c r="AG194" s="33" t="str">
        <f>IF(OR($C194&gt;20190630,$K194&gt;30,AC194="-",$D194="是",$E194="封闭期",$H194&lt;10,$BN194&lt;-6,$BR194&lt;70),"-",COUNTIFS(AC$4:AC$200,"&lt;&gt;-",$D$4:$D$200,"&lt;&gt;是",$E$4:$E$200,"&lt;&gt;封闭期",$H$4:$H$200,"&gt;10",$BN$4:$BN$200,"&gt;-6",$BR$4:$BR$200,"&gt;=70",$K$4:$K$200,"&lt;=30",$C$4:$C$200,"&lt;20190630",AC$4:AC$200,"&gt;="&amp;AC194)/COUNTIFS(AC$4:AC$200,"&lt;&gt;-",$D$4:$D$200,"&lt;&gt;是",$E$4:$E$200,"&lt;&gt;封闭期",$H$4:$H$200,"&gt;10",$BN$4:$BN$200,"&gt;-6",$BR$4:$BR$200,"&gt;=70",$C$4:$C$200,"&lt;20190630",$K$4:$K$200,"&lt;=30"))</f>
        <v>-</v>
      </c>
      <c r="AH194" s="21">
        <f>[1]!f_risk_maxdownside(A194,$L$2,$E$1)</f>
        <v>-4.0142729705619908</v>
      </c>
      <c r="AI194" s="19" t="str">
        <f>IFERROR(RANK(AH194,AH:AH)&amp;"/"&amp;COUNT(AH:AH),"-")</f>
        <v>124/197</v>
      </c>
      <c r="AJ194" s="26">
        <f>IFERROR(RANK(AH194,AH:AH)/COUNT(AH:AH),"-")</f>
        <v>0.62944162436548223</v>
      </c>
      <c r="AK194" s="34" t="str">
        <f>IF(OR($C194&gt;20190630,$K194&gt;30,AH194="-",$D194="是",$E194="封闭期",$H194&lt;10,$BN194&lt;-6,$BR194&lt;70),"-",COUNTIFS(AH$4:AH$200,"&lt;&gt;-",$D$4:$D$200,"&lt;&gt;是",$E$4:$E$200,"&lt;&gt;封闭期",$H$4:$H$200,"&gt;10",$BN$4:$BN$200,"&gt;-6",$BR$4:$BR$200,"&gt;=70",$K$4:$K$200,"&lt;=30",$C$4:$C$200,"&lt;20190630",AH$4:AH$200,"&gt;="&amp;AH194)&amp;"/"&amp;COUNTIFS(AH$4:AH$200,"&lt;&gt;-",$D$4:$D$200,"&lt;&gt;是",$E$4:$E$200,"&lt;&gt;封闭期",$H$4:$H$200,"&gt;10",$BN$4:$BN$200,"&gt;-6",$BR$4:$BR$200,"&gt;=70",$C$4:$C$200,"&lt;20190630",$K$4:$K$200,"&lt;=30"))</f>
        <v>-</v>
      </c>
      <c r="AL194" s="33" t="str">
        <f>IF(OR($C194&gt;20190630,$K194&gt;30,AH194="-",$D194="是",$E194="封闭期",$H194&lt;10,$BN194&lt;-6,$BR194&lt;70),"-",COUNTIFS(AH$4:AH$200,"&lt;&gt;-",$D$4:$D$200,"&lt;&gt;是",$E$4:$E$200,"&lt;&gt;封闭期",$H$4:$H$200,"&gt;10",$BN$4:$BN$200,"&gt;-6",$BR$4:$BR$200,"&gt;=70",$K$4:$K$200,"&lt;=30",$C$4:$C$200,"&lt;20190630",AH$4:AH$200,"&gt;="&amp;AH194)/COUNTIFS(AH$4:AH$200,"&lt;&gt;-",$D$4:$D$200,"&lt;&gt;是",$E$4:$E$200,"&lt;&gt;封闭期",$H$4:$H$200,"&gt;10",$BN$4:$BN$200,"&gt;-6",$BR$4:$BR$200,"&gt;=70",$C$4:$C$200,"&lt;20190630",$K$4:$K$200,"&lt;=30"))</f>
        <v>-</v>
      </c>
      <c r="AM194" s="19">
        <f>[1]!f_return($A194,"1",AM$2,$L$2)</f>
        <v>1.4469124722820137</v>
      </c>
      <c r="AN194" s="19">
        <f>[1]!f_risk_stdevyearly($A194,AM$2,$L$2,1,1)</f>
        <v>2.1915805052667099</v>
      </c>
      <c r="AO194" s="19">
        <f>IFERROR(AM194/AN194,"-")</f>
        <v>0.66021415540285067</v>
      </c>
      <c r="AP194" s="19" t="str">
        <f>IFERROR(RANK(AO194,AO:AO)&amp;"/"&amp;COUNT(AO:AO),"-")</f>
        <v>180/197</v>
      </c>
      <c r="AQ194" s="26">
        <f>IF(AP194="-","-",RANK(AO194,AO:AO)/COUNT(AO:AO))</f>
        <v>0.91370558375634514</v>
      </c>
      <c r="AR194" s="57">
        <v>0.96954314720812185</v>
      </c>
      <c r="AS194" s="33" t="str">
        <f>IF(OR($C194&gt;20190630,$K194&gt;30,AO194="-",$D194="是",$E194="封闭期",$H194&lt;10,$BN194&lt;-6,$BR194&lt;70),"-",COUNTIFS(AO$4:AO$200,"&lt;&gt;-",$D$4:$D$200,"&lt;&gt;是",$E$4:$E$200,"&lt;&gt;封闭期",$H$4:$H$200,"&gt;10",$BN$4:$BN$200,"&gt;-6",$BR$4:$BR$200,"&gt;=70",$K$4:$K$200,"&lt;=30",$C$4:$C$200,"&lt;20190630",AO$4:AO$200,"&gt;="&amp;AO194)/COUNTIFS(AO$4:AO$200,"&lt;&gt;-",$D$4:$D$200,"&lt;&gt;是",$E$4:$E$200,"&lt;&gt;封闭期",$H$4:$H$200,"&gt;10",$BN$4:$BN$200,"&gt;-6",$BR$4:$BR$200,"&gt;=70",$C$4:$C$200,"&lt;20190630",$K$4:$K$200,"&lt;=30"))</f>
        <v>-</v>
      </c>
      <c r="AT194" s="19">
        <f>IFERROR((AM194-3)/AN194,"-")</f>
        <v>-0.70866095221493108</v>
      </c>
      <c r="AU194" s="19" t="str">
        <f>IFERROR(RANK(AT194,AT:AT)&amp;"/"&amp;COUNT(AT:AT),"-")</f>
        <v>190/197</v>
      </c>
      <c r="AV194" s="26">
        <f>IFERROR(RANK(AT194,AT:AT)/COUNT(AT:AT),"-")</f>
        <v>0.96446700507614214</v>
      </c>
      <c r="AW194" s="34" t="str">
        <f>IF(OR($C194&gt;20190630,$K194&gt;30,AT194="-",$D194="是",$E194="封闭期",$H194&lt;10,$BN194&lt;-6,$BR194&lt;70),"-",COUNTIFS(AT$4:AT$200,"&lt;&gt;-",$D$4:$D$200,"&lt;&gt;是",$E$4:$E$200,"&lt;&gt;封闭期",$H$4:$H$200,"&gt;10",$BN$4:$BN$200,"&gt;-6",$BR$4:$BR$200,"&gt;=70",$K$4:$K$200,"&lt;=30",$C$4:$C$200,"&lt;20190630",AT$4:AT$200,"&gt;="&amp;AT194)&amp;"/"&amp;COUNTIFS(AT$4:AT$200,"&lt;&gt;-",$D$4:$D$200,"&lt;&gt;是",$E$4:$E$200,"&lt;&gt;封闭期",$H$4:$H$200,"&gt;10",$BN$4:$BN$200,"&gt;-6",$BR$4:$BR$200,"&gt;=70",$C$4:$C$200,"&lt;20190630",$K$4:$K$200,"&lt;=30"))</f>
        <v>-</v>
      </c>
      <c r="AX194" s="33" t="str">
        <f>IF(OR($C194&gt;20190630,$K194&gt;30,AT194="-",$D194="是",$E194="封闭期",$H194&lt;10,$BN194&lt;-6,$BR194&lt;70),"-",COUNTIFS(AT$4:AT$200,"&lt;&gt;-",$D$4:$D$200,"&lt;&gt;是",$E$4:$E$200,"&lt;&gt;封闭期",$H$4:$H$200,"&gt;10",$BN$4:$BN$200,"&gt;-6",$BR$4:$BR$200,"&gt;=70",$K$4:$K$200,"&lt;=30",$C$4:$C$200,"&lt;20190630",AT$4:AT$200,"&gt;="&amp;AT194)/COUNTIFS(AT$4:AT$200,"&lt;&gt;-",$D$4:$D$200,"&lt;&gt;是",$E$4:$E$200,"&lt;&gt;封闭期",$H$4:$H$200,"&gt;10",$BN$4:$BN$200,"&gt;-6",$BR$4:$BR$200,"&gt;=70",$C$4:$C$200,"&lt;20190630",$K$4:$K$200,"&lt;=30"))</f>
        <v>-</v>
      </c>
      <c r="AY194" s="19">
        <f>[1]!f_risk_calmar(A194,$AM$2,$L$2)</f>
        <v>0.76686361030946615</v>
      </c>
      <c r="AZ194" s="19" t="str">
        <f>IFERROR(RANK(AY194,AY:AY)&amp;"/"&amp;COUNT(AY:AY),"-")</f>
        <v>178/197</v>
      </c>
      <c r="BA194" s="26">
        <f>IFERROR(RANK(AY194,AY:AY)/COUNT(AY:AY),"-")</f>
        <v>0.90355329949238583</v>
      </c>
      <c r="BB194" s="34" t="str">
        <f>IF(OR($C194&gt;20190630,$K194&gt;30,AY194="-",$D194="是",$E194="封闭期",$H194&lt;10,$BN194&lt;-6,$BR194&lt;70),"-",COUNTIFS(AY$4:AY$200,"&lt;&gt;-",$D$4:$D$200,"&lt;&gt;是",$E$4:$E$200,"&lt;&gt;封闭期",$H$4:$H$200,"&gt;10",$BN$4:$BN$200,"&gt;-6",$BR$4:$BR$200,"&gt;=70",$K$4:$K$200,"&lt;=30",$C$4:$C$200,"&lt;20190630",AY$4:AY$200,"&gt;="&amp;AY194)&amp;"/"&amp;COUNTIFS(AY$4:AY$200,"&lt;&gt;-",$D$4:$D$200,"&lt;&gt;是",$E$4:$E$200,"&lt;&gt;封闭期",$H$4:$H$200,"&gt;10",$BN$4:$BN$200,"&gt;-6",$BR$4:$BR$200,"&gt;=70",$C$4:$C$200,"&lt;20190630",$K$4:$K$200,"&lt;=30"))</f>
        <v>-</v>
      </c>
      <c r="BC194" s="33" t="str">
        <f>IF(OR($C194&gt;20190630,$K194&gt;30,AY194="-",$D194="是",$E194="封闭期",$H194&lt;10,$BN194&lt;-6,$BR194&lt;70),"-",COUNTIFS(AY$4:AY$200,"&lt;&gt;-",$D$4:$D$200,"&lt;&gt;是",$E$4:$E$200,"&lt;&gt;封闭期",$H$4:$H$200,"&gt;10",$BN$4:$BN$200,"&gt;-6",$BR$4:$BR$200,"&gt;=70",$K$4:$K$200,"&lt;=30",$C$4:$C$200,"&lt;20190630",AY$4:AY$200,"&gt;="&amp;AY194)/COUNTIFS(AY$4:AY$200,"&lt;&gt;-",$D$4:$D$200,"&lt;&gt;是",$E$4:$E$200,"&lt;&gt;封闭期",$H$4:$H$200,"&gt;10",$BN$4:$BN$200,"&gt;-6",$BR$4:$BR$200,"&gt;=70",$C$4:$C$200,"&lt;20190630",$K$4:$K$200,"&lt;=30"))</f>
        <v>-</v>
      </c>
      <c r="BD194" s="20">
        <v>0.77500000000000002</v>
      </c>
      <c r="BE194" s="19" t="str">
        <f>IFERROR(RANK(BD194,BD:BD)&amp;"/"&amp;COUNT(BD:BD),"-")</f>
        <v>181/197</v>
      </c>
      <c r="BF194" s="26">
        <f>IFERROR(RANK(BD194,BD:BD)/COUNT(BD:BD),"-")</f>
        <v>0.91878172588832485</v>
      </c>
      <c r="BG194" s="34" t="str">
        <f>IF(OR($C194&gt;20190630,$K194&gt;30,BD194="-",$D194="是",$E194="封闭期",$H194&lt;10,$BN194&lt;-6,$BR194&lt;70),"-",COUNTIFS(BD$4:BD$200,"&lt;&gt;-",$D$4:$D$200,"&lt;&gt;是",$E$4:$E$200,"&lt;&gt;封闭期",$H$4:$H$200,"&gt;10",$BN$4:$BN$200,"&gt;-6",$BR$4:$BR$200,"&gt;=70",$K$4:$K$200,"&lt;=30",$C$4:$C$200,"&lt;20190630",BD$4:BD$200,"&gt;="&amp;BD194)&amp;"/"&amp;COUNTIFS(BD$4:BD$200,"&lt;&gt;-",$D$4:$D$200,"&lt;&gt;是",$E$4:$E$200,"&lt;&gt;封闭期",$H$4:$H$200,"&gt;10",$BN$4:$BN$200,"&gt;-6",$BR$4:$BR$200,"&gt;=70",$C$4:$C$200,"&lt;20190630",$K$4:$K$200,"&lt;=30"))</f>
        <v>-</v>
      </c>
      <c r="BH194" s="33" t="str">
        <f>IF(OR($C194&gt;20190630,$K194&gt;30,BD194="-",$D194="是",$E194="封闭期",$H194&lt;10,$BN194&lt;-6,$BR194&lt;70),"-",COUNTIFS(BD$4:BD$200,"&lt;&gt;-",$D$4:$D$200,"&lt;&gt;是",$E$4:$E$200,"&lt;&gt;封闭期",$H$4:$H$200,"&gt;10",$BN$4:$BN$200,"&gt;-6",$BR$4:$BR$200,"&gt;=70",$K$4:$K$200,"&lt;=30",$C$4:$C$200,"&lt;20190630",BD$4:BD$200,"&gt;="&amp;BD194)/COUNTIFS(BD$4:BD$200,"&lt;&gt;-",$D$4:$D$200,"&lt;&gt;是",$E$4:$E$200,"&lt;&gt;封闭期",$H$4:$H$200,"&gt;10",$BN$4:$BN$200,"&gt;-6",$BR$4:$BR$200,"&gt;=70",$C$4:$C$200,"&lt;20190630",$K$4:$K$200,"&lt;=30"))</f>
        <v>-</v>
      </c>
      <c r="BI194" s="21">
        <f>[1]!f_risk_maxdownside(A194,$AM$2,$L$2)</f>
        <v>-1.8867924528301914</v>
      </c>
      <c r="BJ194" s="19" t="str">
        <f>IFERROR(RANK(BI194,BI:BI)&amp;"/"&amp;COUNT(BI:BI),"-")</f>
        <v>30/197</v>
      </c>
      <c r="BK194" s="26">
        <f>IFERROR(RANK(BI194,BI:BI)/COUNT(BI:BI),"-")</f>
        <v>0.15228426395939088</v>
      </c>
      <c r="BL194" s="34" t="str">
        <f>IF(OR($C194&gt;20190630,$K194&gt;30,BI194="-",$D194="是",$E194="封闭期",$H194&lt;10,$BN194&lt;-6,$BR194&lt;70),"-",COUNTIFS(BI$4:BI$200,"&lt;&gt;-",$D$4:$D$200,"&lt;&gt;是",$E$4:$E$200,"&lt;&gt;封闭期",$H$4:$H$200,"&gt;10",$BN$4:$BN$200,"&gt;-6",$BR$4:$BR$200,"&gt;=70",$K$4:$K$200,"&lt;=30",$C$4:$C$200,"&lt;20190630",BI$4:BI$200,"&gt;="&amp;BI194)&amp;"/"&amp;COUNTIFS(BI$4:BI$200,"&lt;&gt;-",$D$4:$D$200,"&lt;&gt;是",$E$4:$E$200,"&lt;&gt;封闭期",$H$4:$H$200,"&gt;10",$BN$4:$BN$200,"&gt;-6",$BR$4:$BR$200,"&gt;=70",$C$4:$C$200,"&lt;20190630",$K$4:$K$200,"&lt;=30"))</f>
        <v>-</v>
      </c>
      <c r="BM194" s="33" t="str">
        <f>IF(OR($C194&gt;20190630,$K194&gt;30,BI194="-",$D194="是",$E194="封闭期",$H194&lt;10,$BN194&lt;-6,$BR194&lt;70),"-",COUNTIFS(BI$4:BI$200,"&lt;&gt;-",$D$4:$D$200,"&lt;&gt;是",$E$4:$E$200,"&lt;&gt;封闭期",$H$4:$H$200,"&gt;10",$BN$4:$BN$200,"&gt;-6",$BR$4:$BR$200,"&gt;=70",$K$4:$K$200,"&lt;=30",$C$4:$C$200,"&lt;20190630",BI$4:BI$200,"&gt;="&amp;BI194)/COUNTIFS(BI$4:BI$200,"&lt;&gt;-",$D$4:$D$200,"&lt;&gt;是",$E$4:$E$200,"&lt;&gt;封闭期",$H$4:$H$200,"&gt;10",$BN$4:$BN$200,"&gt;-6",$BR$4:$BR$200,"&gt;=70",$C$4:$C$200,"&lt;20190630",$K$4:$K$200,"&lt;=30"))</f>
        <v>-</v>
      </c>
      <c r="BN194" s="21">
        <f>[1]!f_risk_maxdownside(A194,$AM$2,$E$1)</f>
        <v>-4.0142729705619908</v>
      </c>
      <c r="BO194" s="21">
        <f>IF(C194&lt;20190930,[1]!f_return_2y(A194,"0","20210930"),"-")</f>
        <v>8.0504364694471704</v>
      </c>
      <c r="BP194" s="19" t="str">
        <f>IFERROR(RANK(BO194,BO:BO)&amp;"/"&amp;COUNT(BO:BO),"-")</f>
        <v>164/197</v>
      </c>
      <c r="BQ194" s="25">
        <f>IFERROR(RANK(BO194,BO:BO)/COUNT(BO:BO),"-")</f>
        <v>0.8324873096446701</v>
      </c>
      <c r="BR194" s="19">
        <f>IF(C194&lt;20190930,[1]!f_absolute_profitmonthper(A194,"20190930","20210930"),"-")</f>
        <v>66.666666666666657</v>
      </c>
      <c r="BS194" s="19" t="str">
        <f>IFERROR(RANK(BR194,BR:BR)&amp;"/"&amp;COUNT(BR:BR),"-")</f>
        <v>115/198</v>
      </c>
      <c r="BT194" s="25">
        <f>IFERROR(RANK(BR194,BR:BR)/COUNT(BR:BR),"-")</f>
        <v>0.58080808080808077</v>
      </c>
      <c r="BV194" s="12">
        <f>X194-3/M194</f>
        <v>1.049840571991894</v>
      </c>
      <c r="BW194" s="76">
        <f>IFERROR(RANK(BV194,BV:BV)/COUNT(BV:BV),"-")</f>
        <v>0.58375634517766495</v>
      </c>
      <c r="BX194" s="76">
        <f>IFERROR(RANK(L194,L:L)/COUNT(L:L),"-")</f>
        <v>0.41919191919191917</v>
      </c>
      <c r="BY194" s="12">
        <f>AY194-3/AN194</f>
        <v>-0.60201149730831549</v>
      </c>
      <c r="BZ194" s="76">
        <f>IFERROR(RANK(BY194,BY:BY)/COUNT(BY:BY),"-")</f>
        <v>0.90355329949238583</v>
      </c>
      <c r="CA194" s="76">
        <f>IFERROR(RANK(AM194,AM:AM)/COUNT(AM:AM),"-")</f>
        <v>0.96969696969696972</v>
      </c>
      <c r="CB194" s="2"/>
      <c r="CC194" s="77">
        <f>AV194+BF194+BZ194+CA194</f>
        <v>3.7564990001538225</v>
      </c>
      <c r="CD194" s="77">
        <f>BW194+BX194+AE194+U194</f>
        <v>1.5562477567553707</v>
      </c>
      <c r="CE194" s="77">
        <f>CC194+CD194</f>
        <v>5.3127467569091937</v>
      </c>
    </row>
    <row r="195" spans="1:83" s="17" customFormat="1" hidden="1" x14ac:dyDescent="0.35">
      <c r="A195" s="15" t="s">
        <v>289</v>
      </c>
      <c r="B195" s="15" t="s">
        <v>290</v>
      </c>
      <c r="C195" s="16">
        <v>20161102</v>
      </c>
      <c r="D195" s="16" t="str">
        <f>[1]!f_info_regulopenfundornot(A195)</f>
        <v>是</v>
      </c>
      <c r="E195" s="16" t="str">
        <f>[1]!f_dq_status(A195,$E$1)</f>
        <v>暂停申购|暂停赎回</v>
      </c>
      <c r="F195" s="17" t="str">
        <f>[1]!f_info_fundmanager(A195)</f>
        <v>李敏,周晖</v>
      </c>
      <c r="G195" s="16">
        <v>20200217</v>
      </c>
      <c r="H195" s="18">
        <f>[1]!f_netasset_total(A195,$E$1,100000000)</f>
        <v>5.2830295071000002</v>
      </c>
      <c r="I195" s="18">
        <f>[1]!f_prt_convertiblebondtonav(A195,$E$1)</f>
        <v>22.797199249267578</v>
      </c>
      <c r="J195" s="18">
        <f>[1]!f_prt_stocktonav(A195,$E$1)+0.5*I195</f>
        <v>11.398599624633789</v>
      </c>
      <c r="K195" s="19">
        <v>9.51064156133795</v>
      </c>
      <c r="L195" s="19">
        <f>[1]!f_return($A195,"1",L$2,$E$1)</f>
        <v>4.5125365515293892</v>
      </c>
      <c r="M195" s="19">
        <f>[1]!f_risk_stdevyearly($A195,L$2,$E$1,1,1)</f>
        <v>6.4712516695587237</v>
      </c>
      <c r="N195" s="19">
        <f>IFERROR(L195/M195,"-")</f>
        <v>0.69732051571363163</v>
      </c>
      <c r="O195" s="19" t="str">
        <f>IFERROR(RANK(N195,N:N)&amp;"/"&amp;COUNT(N:N),"-")</f>
        <v>164/197</v>
      </c>
      <c r="P195" s="26">
        <f>IF(O195="-","-",RANK(N195,N:N)/COUNT(N:N))</f>
        <v>0.8324873096446701</v>
      </c>
      <c r="Q195" s="56">
        <v>0.64974619289340096</v>
      </c>
      <c r="R195" s="33" t="str">
        <f>IF(OR($C195&gt;20190630,$K195&gt;30,N195="-",$D195="是",$E195="封闭期",$H195&lt;10,$BN195&lt;-6,$BR195&lt;70),"-",COUNTIFS(N$4:N$200,"&lt;&gt;-",$D$4:$D$200,"&lt;&gt;是",$E$4:$E$200,"&lt;&gt;封闭期",$H$4:$H$200,"&gt;10",$BN$4:$BN$200,"&gt;-6",$BR$4:$BR$200,"&gt;=70",$K$4:$K$200,"&lt;=30",$C$4:$C$200,"&lt;20190630",N$4:N$200,"&gt;="&amp;N195)/COUNTIFS(N$4:N$200,"&lt;&gt;-",$D$4:$D$200,"&lt;&gt;是",$E$4:$E$200,"&lt;&gt;封闭期",$H$4:$H$200,"&gt;10",$BN$4:$BN$200,"&gt;-6",$BR$4:$BR$200,"&gt;=70",$C$4:$C$200,"&lt;20190630",$K$4:$K$200,"&lt;=30"))</f>
        <v>-</v>
      </c>
      <c r="S195" s="19">
        <f>IFERROR((L195-3)/M195,"-")</f>
        <v>0.23373168418784884</v>
      </c>
      <c r="T195" s="19" t="str">
        <f>IFERROR(RANK(S195,S:S)&amp;"/"&amp;COUNT(S:S),"-")</f>
        <v>147/197</v>
      </c>
      <c r="U195" s="26">
        <f>IFERROR(RANK(S195,S:S)/COUNT(S:S),"-")</f>
        <v>0.74619289340101524</v>
      </c>
      <c r="V195" s="34" t="str">
        <f>IF(OR($C195&gt;20190630,$K195&gt;30,S195="-",$D195="是",$E195="封闭期",$H195&lt;10,$BN195&lt;-6,$BR195&lt;70),"-",COUNTIFS(S$4:S$200,"&lt;&gt;-",$D$4:$D$200,"&lt;&gt;是",$E$4:$E$200,"&lt;&gt;封闭期",$H$4:$H$200,"&gt;10",$BN$4:$BN$200,"&gt;-6",$BR$4:$BR$200,"&gt;=70",$K$4:$K$200,"&lt;=30",$C$4:$C$200,"&lt;20190630",S$4:S$200,"&gt;="&amp;S195)&amp;"/"&amp;COUNTIFS(S$4:S$200,"&lt;&gt;-",$D$4:$D$200,"&lt;&gt;是",$E$4:$E$200,"&lt;&gt;封闭期",$H$4:$H$200,"&gt;10",$BN$4:$BN$200,"&gt;-6",$BR$4:$BR$200,"&gt;=70",$C$4:$C$200,"&lt;20190630",$K$4:$K$200,"&lt;=30"))</f>
        <v>-</v>
      </c>
      <c r="W195" s="33" t="str">
        <f>IF(OR($C195&gt;20190630,$K195&gt;30,S195="-",$D195="是",$E195="封闭期",$H195&lt;10,$BN195&lt;-6,$BR195&lt;70),"-",COUNTIFS(S$4:S$200,"&lt;&gt;-",$D$4:$D$200,"&lt;&gt;是",$E$4:$E$200,"&lt;&gt;封闭期",$H$4:$H$200,"&gt;10",$BN$4:$BN$200,"&gt;-6",$BR$4:$BR$200,"&gt;=70",$K$4:$K$200,"&lt;=30",$C$4:$C$200,"&lt;20190630",S$4:S$200,"&gt;="&amp;S195)/COUNTIFS(S$4:S$200,"&lt;&gt;-",$D$4:$D$200,"&lt;&gt;是",$E$4:$E$200,"&lt;&gt;封闭期",$H$4:$H$200,"&gt;10",$BN$4:$BN$200,"&gt;-6",$BR$4:$BR$200,"&gt;=70",$C$4:$C$200,"&lt;20190630",$K$4:$K$200,"&lt;=30"))</f>
        <v>-</v>
      </c>
      <c r="X195" s="19">
        <f>[1]!f_risk_calmar(A195,$L$2,$E$1)</f>
        <v>3.3184724964980568</v>
      </c>
      <c r="Y195" s="19" t="str">
        <f>IFERROR(RANK(X195,X:X)&amp;"/"&amp;COUNT(X:X),"-")</f>
        <v>55/197</v>
      </c>
      <c r="Z195" s="26">
        <f>IFERROR(RANK(X195,X:X)/COUNT(X:X),"-")</f>
        <v>0.27918781725888325</v>
      </c>
      <c r="AA195" s="34" t="str">
        <f>IF(OR($C195&gt;20190630,$K195&gt;30,X195="-",$D195="是",$E195="封闭期",$H195&lt;10,$BN195&lt;-6,$BR195&lt;70),"-",COUNTIFS(X$4:X$200,"&lt;&gt;-",$D$4:$D$200,"&lt;&gt;是",$E$4:$E$200,"&lt;&gt;封闭期",$H$4:$H$200,"&gt;10",$BN$4:$BN$200,"&gt;-6",$BR$4:$BR$200,"&gt;=70",$K$4:$K$200,"&lt;=30",$C$4:$C$200,"&lt;20190630",X$4:X$200,"&gt;="&amp;X195)&amp;"/"&amp;COUNTIFS(X$4:X$200,"&lt;&gt;-",$D$4:$D$200,"&lt;&gt;是",$E$4:$E$200,"&lt;&gt;封闭期",$H$4:$H$200,"&gt;10",$BN$4:$BN$200,"&gt;-6",$BR$4:$BR$200,"&gt;=70",$C$4:$C$200,"&lt;20190630",$K$4:$K$200,"&lt;=30"))</f>
        <v>-</v>
      </c>
      <c r="AB195" s="33" t="str">
        <f>IF(OR($C195&gt;20190630,$K195&gt;30,X195="-",$D195="是",$E195="封闭期",$H195&lt;10,$BN195&lt;-6,$BR195&lt;70),"-",COUNTIFS(X$4:X$200,"&lt;&gt;-",$D$4:$D$200,"&lt;&gt;是",$E$4:$E$200,"&lt;&gt;封闭期",$H$4:$H$200,"&gt;10",$BN$4:$BN$200,"&gt;-6",$BR$4:$BR$200,"&gt;=70",$K$4:$K$200,"&lt;=30",$C$4:$C$200,"&lt;20190630",X$4:X$200,"&gt;="&amp;X195)/COUNTIFS(X$4:X$200,"&lt;&gt;-",$D$4:$D$200,"&lt;&gt;是",$E$4:$E$200,"&lt;&gt;封闭期",$H$4:$H$200,"&gt;10",$BN$4:$BN$200,"&gt;-6",$BR$4:$BR$200,"&gt;=70",$C$4:$C$200,"&lt;20190630",$K$4:$K$200,"&lt;=30"))</f>
        <v>-</v>
      </c>
      <c r="AC195" s="20">
        <v>1</v>
      </c>
      <c r="AD195" s="19" t="str">
        <f>IFERROR(RANK(AC195,AC:AC)&amp;"/"&amp;COUNT(AC:AC),"-")</f>
        <v>1/197</v>
      </c>
      <c r="AE195" s="26">
        <f>IFERROR(RANK(AC195,AC:AC)/COUNT(AC:AC),"-")</f>
        <v>5.076142131979695E-3</v>
      </c>
      <c r="AF195" s="34" t="str">
        <f>IF(OR($C195&gt;20190630,$K195&gt;30,AC195="-",$D195="是",$E195="封闭期",$H195&lt;10,$BN195&lt;-6,$BR195&lt;70),"-",COUNTIFS(AC$4:AC$200,"&lt;&gt;-",$D$4:$D$200,"&lt;&gt;是",$E$4:$E$200,"&lt;&gt;封闭期",$H$4:$H$200,"&gt;10",$BN$4:$BN$200,"&gt;-6",$BR$4:$BR$200,"&gt;=70",$K$4:$K$200,"&lt;=30",$C$4:$C$200,"&lt;20190630",AC$4:AC$200,"&gt;="&amp;AC195)&amp;"/"&amp;COUNTIFS(AC$4:AC$200,"&lt;&gt;-",$D$4:$D$200,"&lt;&gt;是",$E$4:$E$200,"&lt;&gt;封闭期",$H$4:$H$200,"&gt;10",$BN$4:$BN$200,"&gt;-6",$BR$4:$BR$200,"&gt;=70",$C$4:$C$200,"&lt;20190630",$K$4:$K$200,"&lt;=30"))</f>
        <v>-</v>
      </c>
      <c r="AG195" s="33" t="str">
        <f>IF(OR($C195&gt;20190630,$K195&gt;30,AC195="-",$D195="是",$E195="封闭期",$H195&lt;10,$BN195&lt;-6,$BR195&lt;70),"-",COUNTIFS(AC$4:AC$200,"&lt;&gt;-",$D$4:$D$200,"&lt;&gt;是",$E$4:$E$200,"&lt;&gt;封闭期",$H$4:$H$200,"&gt;10",$BN$4:$BN$200,"&gt;-6",$BR$4:$BR$200,"&gt;=70",$K$4:$K$200,"&lt;=30",$C$4:$C$200,"&lt;20190630",AC$4:AC$200,"&gt;="&amp;AC195)/COUNTIFS(AC$4:AC$200,"&lt;&gt;-",$D$4:$D$200,"&lt;&gt;是",$E$4:$E$200,"&lt;&gt;封闭期",$H$4:$H$200,"&gt;10",$BN$4:$BN$200,"&gt;-6",$BR$4:$BR$200,"&gt;=70",$C$4:$C$200,"&lt;20190630",$K$4:$K$200,"&lt;=30"))</f>
        <v>-</v>
      </c>
      <c r="AH195" s="21">
        <f>[1]!f_risk_maxdownside(A195,$L$2,$E$1)</f>
        <v>-1.3598233995585058</v>
      </c>
      <c r="AI195" s="19" t="str">
        <f>IFERROR(RANK(AH195,AH:AH)&amp;"/"&amp;COUNT(AH:AH),"-")</f>
        <v>38/197</v>
      </c>
      <c r="AJ195" s="26">
        <f>IFERROR(RANK(AH195,AH:AH)/COUNT(AH:AH),"-")</f>
        <v>0.19289340101522842</v>
      </c>
      <c r="AK195" s="34" t="str">
        <f>IF(OR($C195&gt;20190630,$K195&gt;30,AH195="-",$D195="是",$E195="封闭期",$H195&lt;10,$BN195&lt;-6,$BR195&lt;70),"-",COUNTIFS(AH$4:AH$200,"&lt;&gt;-",$D$4:$D$200,"&lt;&gt;是",$E$4:$E$200,"&lt;&gt;封闭期",$H$4:$H$200,"&gt;10",$BN$4:$BN$200,"&gt;-6",$BR$4:$BR$200,"&gt;=70",$K$4:$K$200,"&lt;=30",$C$4:$C$200,"&lt;20190630",AH$4:AH$200,"&gt;="&amp;AH195)&amp;"/"&amp;COUNTIFS(AH$4:AH$200,"&lt;&gt;-",$D$4:$D$200,"&lt;&gt;是",$E$4:$E$200,"&lt;&gt;封闭期",$H$4:$H$200,"&gt;10",$BN$4:$BN$200,"&gt;-6",$BR$4:$BR$200,"&gt;=70",$C$4:$C$200,"&lt;20190630",$K$4:$K$200,"&lt;=30"))</f>
        <v>-</v>
      </c>
      <c r="AL195" s="33" t="str">
        <f>IF(OR($C195&gt;20190630,$K195&gt;30,AH195="-",$D195="是",$E195="封闭期",$H195&lt;10,$BN195&lt;-6,$BR195&lt;70),"-",COUNTIFS(AH$4:AH$200,"&lt;&gt;-",$D$4:$D$200,"&lt;&gt;是",$E$4:$E$200,"&lt;&gt;封闭期",$H$4:$H$200,"&gt;10",$BN$4:$BN$200,"&gt;-6",$BR$4:$BR$200,"&gt;=70",$K$4:$K$200,"&lt;=30",$C$4:$C$200,"&lt;20190630",AH$4:AH$200,"&gt;="&amp;AH195)/COUNTIFS(AH$4:AH$200,"&lt;&gt;-",$D$4:$D$200,"&lt;&gt;是",$E$4:$E$200,"&lt;&gt;封闭期",$H$4:$H$200,"&gt;10",$BN$4:$BN$200,"&gt;-6",$BR$4:$BR$200,"&gt;=70",$C$4:$C$200,"&lt;20190630",$K$4:$K$200,"&lt;=30"))</f>
        <v>-</v>
      </c>
      <c r="AM195" s="19">
        <f>[1]!f_return($A195,"1",AM$2,$L$2)</f>
        <v>1.225766164864206</v>
      </c>
      <c r="AN195" s="19">
        <f>[1]!f_risk_stdevyearly($A195,AM$2,$L$2,1,1)</f>
        <v>8.5970571091205894</v>
      </c>
      <c r="AO195" s="19">
        <f>IFERROR(AM195/AN195,"-")</f>
        <v>0.14257973970695095</v>
      </c>
      <c r="AP195" s="19" t="str">
        <f>IFERROR(RANK(AO195,AO:AO)&amp;"/"&amp;COUNT(AO:AO),"-")</f>
        <v>193/197</v>
      </c>
      <c r="AQ195" s="26">
        <f>IF(AP195="-","-",RANK(AO195,AO:AO)/COUNT(AO:AO))</f>
        <v>0.97969543147208127</v>
      </c>
      <c r="AR195" s="57">
        <v>0.97461928934010156</v>
      </c>
      <c r="AS195" s="33" t="str">
        <f>IF(OR($C195&gt;20190630,$K195&gt;30,AO195="-",$D195="是",$E195="封闭期",$H195&lt;10,$BN195&lt;-6,$BR195&lt;70),"-",COUNTIFS(AO$4:AO$200,"&lt;&gt;-",$D$4:$D$200,"&lt;&gt;是",$E$4:$E$200,"&lt;&gt;封闭期",$H$4:$H$200,"&gt;10",$BN$4:$BN$200,"&gt;-6",$BR$4:$BR$200,"&gt;=70",$K$4:$K$200,"&lt;=30",$C$4:$C$200,"&lt;20190630",AO$4:AO$200,"&gt;="&amp;AO195)/COUNTIFS(AO$4:AO$200,"&lt;&gt;-",$D$4:$D$200,"&lt;&gt;是",$E$4:$E$200,"&lt;&gt;封闭期",$H$4:$H$200,"&gt;10",$BN$4:$BN$200,"&gt;-6",$BR$4:$BR$200,"&gt;=70",$C$4:$C$200,"&lt;20190630",$K$4:$K$200,"&lt;=30"))</f>
        <v>-</v>
      </c>
      <c r="AT195" s="19">
        <f>IFERROR((AM195-3)/AN195,"-")</f>
        <v>-0.20637688136949972</v>
      </c>
      <c r="AU195" s="19" t="str">
        <f>IFERROR(RANK(AT195,AT:AT)&amp;"/"&amp;COUNT(AT:AT),"-")</f>
        <v>174/197</v>
      </c>
      <c r="AV195" s="26">
        <f>IFERROR(RANK(AT195,AT:AT)/COUNT(AT:AT),"-")</f>
        <v>0.88324873096446699</v>
      </c>
      <c r="AW195" s="34" t="str">
        <f>IF(OR($C195&gt;20190630,$K195&gt;30,AT195="-",$D195="是",$E195="封闭期",$H195&lt;10,$BN195&lt;-6,$BR195&lt;70),"-",COUNTIFS(AT$4:AT$200,"&lt;&gt;-",$D$4:$D$200,"&lt;&gt;是",$E$4:$E$200,"&lt;&gt;封闭期",$H$4:$H$200,"&gt;10",$BN$4:$BN$200,"&gt;-6",$BR$4:$BR$200,"&gt;=70",$K$4:$K$200,"&lt;=30",$C$4:$C$200,"&lt;20190630",AT$4:AT$200,"&gt;="&amp;AT195)&amp;"/"&amp;COUNTIFS(AT$4:AT$200,"&lt;&gt;-",$D$4:$D$200,"&lt;&gt;是",$E$4:$E$200,"&lt;&gt;封闭期",$H$4:$H$200,"&gt;10",$BN$4:$BN$200,"&gt;-6",$BR$4:$BR$200,"&gt;=70",$C$4:$C$200,"&lt;20190630",$K$4:$K$200,"&lt;=30"))</f>
        <v>-</v>
      </c>
      <c r="AX195" s="33" t="str">
        <f>IF(OR($C195&gt;20190630,$K195&gt;30,AT195="-",$D195="是",$E195="封闭期",$H195&lt;10,$BN195&lt;-6,$BR195&lt;70),"-",COUNTIFS(AT$4:AT$200,"&lt;&gt;-",$D$4:$D$200,"&lt;&gt;是",$E$4:$E$200,"&lt;&gt;封闭期",$H$4:$H$200,"&gt;10",$BN$4:$BN$200,"&gt;-6",$BR$4:$BR$200,"&gt;=70",$K$4:$K$200,"&lt;=30",$C$4:$C$200,"&lt;20190630",AT$4:AT$200,"&gt;="&amp;AT195)/COUNTIFS(AT$4:AT$200,"&lt;&gt;-",$D$4:$D$200,"&lt;&gt;是",$E$4:$E$200,"&lt;&gt;封闭期",$H$4:$H$200,"&gt;10",$BN$4:$BN$200,"&gt;-6",$BR$4:$BR$200,"&gt;=70",$C$4:$C$200,"&lt;20190630",$K$4:$K$200,"&lt;=30"))</f>
        <v>-</v>
      </c>
      <c r="AY195" s="19">
        <f>[1]!f_risk_calmar(A195,$AM$2,$L$2)</f>
        <v>0.30239968295690878</v>
      </c>
      <c r="AZ195" s="19" t="str">
        <f>IFERROR(RANK(AY195,AY:AY)&amp;"/"&amp;COUNT(AY:AY),"-")</f>
        <v>193/197</v>
      </c>
      <c r="BA195" s="26">
        <f>IFERROR(RANK(AY195,AY:AY)/COUNT(AY:AY),"-")</f>
        <v>0.97969543147208127</v>
      </c>
      <c r="BB195" s="34" t="str">
        <f>IF(OR($C195&gt;20190630,$K195&gt;30,AY195="-",$D195="是",$E195="封闭期",$H195&lt;10,$BN195&lt;-6,$BR195&lt;70),"-",COUNTIFS(AY$4:AY$200,"&lt;&gt;-",$D$4:$D$200,"&lt;&gt;是",$E$4:$E$200,"&lt;&gt;封闭期",$H$4:$H$200,"&gt;10",$BN$4:$BN$200,"&gt;-6",$BR$4:$BR$200,"&gt;=70",$K$4:$K$200,"&lt;=30",$C$4:$C$200,"&lt;20190630",AY$4:AY$200,"&gt;="&amp;AY195)&amp;"/"&amp;COUNTIFS(AY$4:AY$200,"&lt;&gt;-",$D$4:$D$200,"&lt;&gt;是",$E$4:$E$200,"&lt;&gt;封闭期",$H$4:$H$200,"&gt;10",$BN$4:$BN$200,"&gt;-6",$BR$4:$BR$200,"&gt;=70",$C$4:$C$200,"&lt;20190630",$K$4:$K$200,"&lt;=30"))</f>
        <v>-</v>
      </c>
      <c r="BC195" s="33" t="str">
        <f>IF(OR($C195&gt;20190630,$K195&gt;30,AY195="-",$D195="是",$E195="封闭期",$H195&lt;10,$BN195&lt;-6,$BR195&lt;70),"-",COUNTIFS(AY$4:AY$200,"&lt;&gt;-",$D$4:$D$200,"&lt;&gt;是",$E$4:$E$200,"&lt;&gt;封闭期",$H$4:$H$200,"&gt;10",$BN$4:$BN$200,"&gt;-6",$BR$4:$BR$200,"&gt;=70",$K$4:$K$200,"&lt;=30",$C$4:$C$200,"&lt;20190630",AY$4:AY$200,"&gt;="&amp;AY195)/COUNTIFS(AY$4:AY$200,"&lt;&gt;-",$D$4:$D$200,"&lt;&gt;是",$E$4:$E$200,"&lt;&gt;封闭期",$H$4:$H$200,"&gt;10",$BN$4:$BN$200,"&gt;-6",$BR$4:$BR$200,"&gt;=70",$C$4:$C$200,"&lt;20190630",$K$4:$K$200,"&lt;=30"))</f>
        <v>-</v>
      </c>
      <c r="BD195" s="20">
        <v>0.8</v>
      </c>
      <c r="BE195" s="19" t="str">
        <f>IFERROR(RANK(BD195,BD:BD)&amp;"/"&amp;COUNT(BD:BD),"-")</f>
        <v>176/197</v>
      </c>
      <c r="BF195" s="26">
        <f>IFERROR(RANK(BD195,BD:BD)/COUNT(BD:BD),"-")</f>
        <v>0.89340101522842641</v>
      </c>
      <c r="BG195" s="34" t="str">
        <f>IF(OR($C195&gt;20190630,$K195&gt;30,BD195="-",$D195="是",$E195="封闭期",$H195&lt;10,$BN195&lt;-6,$BR195&lt;70),"-",COUNTIFS(BD$4:BD$200,"&lt;&gt;-",$D$4:$D$200,"&lt;&gt;是",$E$4:$E$200,"&lt;&gt;封闭期",$H$4:$H$200,"&gt;10",$BN$4:$BN$200,"&gt;-6",$BR$4:$BR$200,"&gt;=70",$K$4:$K$200,"&lt;=30",$C$4:$C$200,"&lt;20190630",BD$4:BD$200,"&gt;="&amp;BD195)&amp;"/"&amp;COUNTIFS(BD$4:BD$200,"&lt;&gt;-",$D$4:$D$200,"&lt;&gt;是",$E$4:$E$200,"&lt;&gt;封闭期",$H$4:$H$200,"&gt;10",$BN$4:$BN$200,"&gt;-6",$BR$4:$BR$200,"&gt;=70",$C$4:$C$200,"&lt;20190630",$K$4:$K$200,"&lt;=30"))</f>
        <v>-</v>
      </c>
      <c r="BH195" s="33" t="str">
        <f>IF(OR($C195&gt;20190630,$K195&gt;30,BD195="-",$D195="是",$E195="封闭期",$H195&lt;10,$BN195&lt;-6,$BR195&lt;70),"-",COUNTIFS(BD$4:BD$200,"&lt;&gt;-",$D$4:$D$200,"&lt;&gt;是",$E$4:$E$200,"&lt;&gt;封闭期",$H$4:$H$200,"&gt;10",$BN$4:$BN$200,"&gt;-6",$BR$4:$BR$200,"&gt;=70",$K$4:$K$200,"&lt;=30",$C$4:$C$200,"&lt;20190630",BD$4:BD$200,"&gt;="&amp;BD195)/COUNTIFS(BD$4:BD$200,"&lt;&gt;-",$D$4:$D$200,"&lt;&gt;是",$E$4:$E$200,"&lt;&gt;封闭期",$H$4:$H$200,"&gt;10",$BN$4:$BN$200,"&gt;-6",$BR$4:$BR$200,"&gt;=70",$C$4:$C$200,"&lt;20190630",$K$4:$K$200,"&lt;=30"))</f>
        <v>-</v>
      </c>
      <c r="BI195" s="21">
        <f>[1]!f_risk_maxdownside(A195,$AM$2,$L$2)</f>
        <v>-4.0534637896392063</v>
      </c>
      <c r="BJ195" s="19" t="str">
        <f>IFERROR(RANK(BI195,BI:BI)&amp;"/"&amp;COUNT(BI:BI),"-")</f>
        <v>130/197</v>
      </c>
      <c r="BK195" s="26">
        <f>IFERROR(RANK(BI195,BI:BI)/COUNT(BI:BI),"-")</f>
        <v>0.65989847715736039</v>
      </c>
      <c r="BL195" s="34" t="str">
        <f>IF(OR($C195&gt;20190630,$K195&gt;30,BI195="-",$D195="是",$E195="封闭期",$H195&lt;10,$BN195&lt;-6,$BR195&lt;70),"-",COUNTIFS(BI$4:BI$200,"&lt;&gt;-",$D$4:$D$200,"&lt;&gt;是",$E$4:$E$200,"&lt;&gt;封闭期",$H$4:$H$200,"&gt;10",$BN$4:$BN$200,"&gt;-6",$BR$4:$BR$200,"&gt;=70",$K$4:$K$200,"&lt;=30",$C$4:$C$200,"&lt;20190630",BI$4:BI$200,"&gt;="&amp;BI195)&amp;"/"&amp;COUNTIFS(BI$4:BI$200,"&lt;&gt;-",$D$4:$D$200,"&lt;&gt;是",$E$4:$E$200,"&lt;&gt;封闭期",$H$4:$H$200,"&gt;10",$BN$4:$BN$200,"&gt;-6",$BR$4:$BR$200,"&gt;=70",$C$4:$C$200,"&lt;20190630",$K$4:$K$200,"&lt;=30"))</f>
        <v>-</v>
      </c>
      <c r="BM195" s="33" t="str">
        <f>IF(OR($C195&gt;20190630,$K195&gt;30,BI195="-",$D195="是",$E195="封闭期",$H195&lt;10,$BN195&lt;-6,$BR195&lt;70),"-",COUNTIFS(BI$4:BI$200,"&lt;&gt;-",$D$4:$D$200,"&lt;&gt;是",$E$4:$E$200,"&lt;&gt;封闭期",$H$4:$H$200,"&gt;10",$BN$4:$BN$200,"&gt;-6",$BR$4:$BR$200,"&gt;=70",$K$4:$K$200,"&lt;=30",$C$4:$C$200,"&lt;20190630",BI$4:BI$200,"&gt;="&amp;BI195)/COUNTIFS(BI$4:BI$200,"&lt;&gt;-",$D$4:$D$200,"&lt;&gt;是",$E$4:$E$200,"&lt;&gt;封闭期",$H$4:$H$200,"&gt;10",$BN$4:$BN$200,"&gt;-6",$BR$4:$BR$200,"&gt;=70",$C$4:$C$200,"&lt;20190630",$K$4:$K$200,"&lt;=30"))</f>
        <v>-</v>
      </c>
      <c r="BN195" s="21">
        <f>[1]!f_risk_maxdownside(A195,$AM$2,$E$1)</f>
        <v>-4.464051716606984</v>
      </c>
      <c r="BO195" s="21">
        <f>IF(C195&lt;20190930,[1]!f_return_2y(A195,"0","20210930"),"-")</f>
        <v>5.6603773584905559</v>
      </c>
      <c r="BP195" s="19" t="str">
        <f>IFERROR(RANK(BO195,BO:BO)&amp;"/"&amp;COUNT(BO:BO),"-")</f>
        <v>181/197</v>
      </c>
      <c r="BQ195" s="25">
        <f>IFERROR(RANK(BO195,BO:BO)/COUNT(BO:BO),"-")</f>
        <v>0.91878172588832485</v>
      </c>
      <c r="BR195" s="19">
        <f>IF(C195&lt;20190930,[1]!f_absolute_profitmonthper(A195,"20190930","20210930"),"-")</f>
        <v>66.666666666666657</v>
      </c>
      <c r="BS195" s="19" t="str">
        <f>IFERROR(RANK(BR195,BR:BR)&amp;"/"&amp;COUNT(BR:BR),"-")</f>
        <v>115/198</v>
      </c>
      <c r="BT195" s="25">
        <f>IFERROR(RANK(BR195,BR:BR)/COUNT(BR:BR),"-")</f>
        <v>0.58080808080808077</v>
      </c>
      <c r="BV195" s="12">
        <f>X195-3/M195</f>
        <v>2.8548836649722737</v>
      </c>
      <c r="BW195" s="76">
        <f>IFERROR(RANK(BV195,BV:BV)/COUNT(BV:BV),"-")</f>
        <v>0.22842639593908629</v>
      </c>
      <c r="BX195" s="76">
        <f>IFERROR(RANK(L195,L:L)/COUNT(L:L),"-")</f>
        <v>0.65151515151515149</v>
      </c>
      <c r="BY195" s="12">
        <f>AY195-3/AN195</f>
        <v>-4.6556938119541924E-2</v>
      </c>
      <c r="BZ195" s="76">
        <f>IFERROR(RANK(BY195,BY:BY)/COUNT(BY:BY),"-")</f>
        <v>0.86294416243654826</v>
      </c>
      <c r="CA195" s="76">
        <f>IFERROR(RANK(AM195,AM:AM)/COUNT(AM:AM),"-")</f>
        <v>0.9747474747474747</v>
      </c>
      <c r="CB195" s="2"/>
      <c r="CC195" s="77">
        <f>AV195+BF195+BZ195+CA195</f>
        <v>3.6143413833769165</v>
      </c>
      <c r="CD195" s="77">
        <f>BW195+BX195+AE195+U195</f>
        <v>1.6312105829872328</v>
      </c>
      <c r="CE195" s="77">
        <f>CC195+CD195</f>
        <v>5.2455519663641494</v>
      </c>
    </row>
    <row r="196" spans="1:83" s="17" customFormat="1" hidden="1" x14ac:dyDescent="0.35">
      <c r="A196" s="15" t="s">
        <v>165</v>
      </c>
      <c r="B196" s="15" t="s">
        <v>166</v>
      </c>
      <c r="C196" s="16">
        <v>20131204</v>
      </c>
      <c r="D196" s="16" t="str">
        <f>[1]!f_info_regulopenfundornot(A196)</f>
        <v>否</v>
      </c>
      <c r="E196" s="16" t="str">
        <f>[1]!f_dq_status(A196,$E$1)</f>
        <v>开放申购|开放赎回</v>
      </c>
      <c r="F196" s="17" t="str">
        <f>[1]!f_info_fundmanager(A196)</f>
        <v>王丹</v>
      </c>
      <c r="G196" s="16">
        <v>20210202</v>
      </c>
      <c r="H196" s="18">
        <f>[1]!f_netasset_total(A196,$E$1,100000000)</f>
        <v>2.2600389115000001</v>
      </c>
      <c r="I196" s="18">
        <f>[1]!f_prt_convertiblebondtonav(A196,$E$1)</f>
        <v>24.055566787719727</v>
      </c>
      <c r="J196" s="18">
        <f>[1]!f_prt_stocktonav(A196,$E$1)+0.5*I196</f>
        <v>19.782966136932373</v>
      </c>
      <c r="K196" s="19">
        <v>11.42059982625215</v>
      </c>
      <c r="L196" s="19">
        <f>[1]!f_return($A196,"1",L$2,$E$1)</f>
        <v>13.837324105907101</v>
      </c>
      <c r="M196" s="19">
        <f>[1]!f_risk_stdevyearly($A196,L$2,$E$1,1,1)</f>
        <v>4.6769683717984307</v>
      </c>
      <c r="N196" s="19">
        <f>IFERROR(L196/M196,"-")</f>
        <v>2.958609724484035</v>
      </c>
      <c r="O196" s="19" t="str">
        <f>IFERROR(RANK(N196,N:N)&amp;"/"&amp;COUNT(N:N),"-")</f>
        <v>21/197</v>
      </c>
      <c r="P196" s="26">
        <f>IF(O196="-","-",RANK(N196,N:N)/COUNT(N:N))</f>
        <v>0.1065989847715736</v>
      </c>
      <c r="Q196" s="56">
        <v>5.0761421319796954E-2</v>
      </c>
      <c r="R196" s="33" t="str">
        <f>IF(OR($C196&gt;20190630,$K196&gt;30,N196="-",$D196="是",$E196="封闭期",$H196&lt;10,$BN196&lt;-6,$BR196&lt;70),"-",COUNTIFS(N$4:N$200,"&lt;&gt;-",$D$4:$D$200,"&lt;&gt;是",$E$4:$E$200,"&lt;&gt;封闭期",$H$4:$H$200,"&gt;10",$BN$4:$BN$200,"&gt;-6",$BR$4:$BR$200,"&gt;=70",$K$4:$K$200,"&lt;=30",$C$4:$C$200,"&lt;20190630",N$4:N$200,"&gt;="&amp;N196)/COUNTIFS(N$4:N$200,"&lt;&gt;-",$D$4:$D$200,"&lt;&gt;是",$E$4:$E$200,"&lt;&gt;封闭期",$H$4:$H$200,"&gt;10",$BN$4:$BN$200,"&gt;-6",$BR$4:$BR$200,"&gt;=70",$C$4:$C$200,"&lt;20190630",$K$4:$K$200,"&lt;=30"))</f>
        <v>-</v>
      </c>
      <c r="S196" s="19">
        <f>IFERROR((L196-3)/M196,"-")</f>
        <v>2.3171685682663345</v>
      </c>
      <c r="T196" s="19" t="str">
        <f>IFERROR(RANK(S196,S:S)&amp;"/"&amp;COUNT(S:S),"-")</f>
        <v>7/197</v>
      </c>
      <c r="U196" s="26">
        <f>IFERROR(RANK(S196,S:S)/COUNT(S:S),"-")</f>
        <v>3.553299492385787E-2</v>
      </c>
      <c r="V196" s="34" t="str">
        <f>IF(OR($C196&gt;20190630,$K196&gt;30,S196="-",$D196="是",$E196="封闭期",$H196&lt;10,$BN196&lt;-6,$BR196&lt;70),"-",COUNTIFS(S$4:S$200,"&lt;&gt;-",$D$4:$D$200,"&lt;&gt;是",$E$4:$E$200,"&lt;&gt;封闭期",$H$4:$H$200,"&gt;10",$BN$4:$BN$200,"&gt;-6",$BR$4:$BR$200,"&gt;=70",$K$4:$K$200,"&lt;=30",$C$4:$C$200,"&lt;20190630",S$4:S$200,"&gt;="&amp;S196)&amp;"/"&amp;COUNTIFS(S$4:S$200,"&lt;&gt;-",$D$4:$D$200,"&lt;&gt;是",$E$4:$E$200,"&lt;&gt;封闭期",$H$4:$H$200,"&gt;10",$BN$4:$BN$200,"&gt;-6",$BR$4:$BR$200,"&gt;=70",$C$4:$C$200,"&lt;20190630",$K$4:$K$200,"&lt;=30"))</f>
        <v>-</v>
      </c>
      <c r="W196" s="33" t="str">
        <f>IF(OR($C196&gt;20190630,$K196&gt;30,S196="-",$D196="是",$E196="封闭期",$H196&lt;10,$BN196&lt;-6,$BR196&lt;70),"-",COUNTIFS(S$4:S$200,"&lt;&gt;-",$D$4:$D$200,"&lt;&gt;是",$E$4:$E$200,"&lt;&gt;封闭期",$H$4:$H$200,"&gt;10",$BN$4:$BN$200,"&gt;-6",$BR$4:$BR$200,"&gt;=70",$K$4:$K$200,"&lt;=30",$C$4:$C$200,"&lt;20190630",S$4:S$200,"&gt;="&amp;S196)/COUNTIFS(S$4:S$200,"&lt;&gt;-",$D$4:$D$200,"&lt;&gt;是",$E$4:$E$200,"&lt;&gt;封闭期",$H$4:$H$200,"&gt;10",$BN$4:$BN$200,"&gt;-6",$BR$4:$BR$200,"&gt;=70",$C$4:$C$200,"&lt;20190630",$K$4:$K$200,"&lt;=30"))</f>
        <v>-</v>
      </c>
      <c r="X196" s="19">
        <f>[1]!f_risk_calmar(A196,$L$2,$E$1)</f>
        <v>6.8778783608518701</v>
      </c>
      <c r="Y196" s="19" t="str">
        <f>IFERROR(RANK(X196,X:X)&amp;"/"&amp;COUNT(X:X),"-")</f>
        <v>16/197</v>
      </c>
      <c r="Z196" s="26">
        <f>IFERROR(RANK(X196,X:X)/COUNT(X:X),"-")</f>
        <v>8.1218274111675121E-2</v>
      </c>
      <c r="AA196" s="34" t="str">
        <f>IF(OR($C196&gt;20190630,$K196&gt;30,X196="-",$D196="是",$E196="封闭期",$H196&lt;10,$BN196&lt;-6,$BR196&lt;70),"-",COUNTIFS(X$4:X$200,"&lt;&gt;-",$D$4:$D$200,"&lt;&gt;是",$E$4:$E$200,"&lt;&gt;封闭期",$H$4:$H$200,"&gt;10",$BN$4:$BN$200,"&gt;-6",$BR$4:$BR$200,"&gt;=70",$K$4:$K$200,"&lt;=30",$C$4:$C$200,"&lt;20190630",X$4:X$200,"&gt;="&amp;X196)&amp;"/"&amp;COUNTIFS(X$4:X$200,"&lt;&gt;-",$D$4:$D$200,"&lt;&gt;是",$E$4:$E$200,"&lt;&gt;封闭期",$H$4:$H$200,"&gt;10",$BN$4:$BN$200,"&gt;-6",$BR$4:$BR$200,"&gt;=70",$C$4:$C$200,"&lt;20190630",$K$4:$K$200,"&lt;=30"))</f>
        <v>-</v>
      </c>
      <c r="AB196" s="33" t="str">
        <f>IF(OR($C196&gt;20190630,$K196&gt;30,X196="-",$D196="是",$E196="封闭期",$H196&lt;10,$BN196&lt;-6,$BR196&lt;70),"-",COUNTIFS(X$4:X$200,"&lt;&gt;-",$D$4:$D$200,"&lt;&gt;是",$E$4:$E$200,"&lt;&gt;封闭期",$H$4:$H$200,"&gt;10",$BN$4:$BN$200,"&gt;-6",$BR$4:$BR$200,"&gt;=70",$K$4:$K$200,"&lt;=30",$C$4:$C$200,"&lt;20190630",X$4:X$200,"&gt;="&amp;X196)/COUNTIFS(X$4:X$200,"&lt;&gt;-",$D$4:$D$200,"&lt;&gt;是",$E$4:$E$200,"&lt;&gt;封闭期",$H$4:$H$200,"&gt;10",$BN$4:$BN$200,"&gt;-6",$BR$4:$BR$200,"&gt;=70",$C$4:$C$200,"&lt;20190630",$K$4:$K$200,"&lt;=30"))</f>
        <v>-</v>
      </c>
      <c r="AC196" s="20">
        <v>1</v>
      </c>
      <c r="AD196" s="19" t="str">
        <f>IFERROR(RANK(AC196,AC:AC)&amp;"/"&amp;COUNT(AC:AC),"-")</f>
        <v>1/197</v>
      </c>
      <c r="AE196" s="26">
        <f>IFERROR(RANK(AC196,AC:AC)/COUNT(AC:AC),"-")</f>
        <v>5.076142131979695E-3</v>
      </c>
      <c r="AF196" s="34" t="str">
        <f>IF(OR($C196&gt;20190630,$K196&gt;30,AC196="-",$D196="是",$E196="封闭期",$H196&lt;10,$BN196&lt;-6,$BR196&lt;70),"-",COUNTIFS(AC$4:AC$200,"&lt;&gt;-",$D$4:$D$200,"&lt;&gt;是",$E$4:$E$200,"&lt;&gt;封闭期",$H$4:$H$200,"&gt;10",$BN$4:$BN$200,"&gt;-6",$BR$4:$BR$200,"&gt;=70",$K$4:$K$200,"&lt;=30",$C$4:$C$200,"&lt;20190630",AC$4:AC$200,"&gt;="&amp;AC196)&amp;"/"&amp;COUNTIFS(AC$4:AC$200,"&lt;&gt;-",$D$4:$D$200,"&lt;&gt;是",$E$4:$E$200,"&lt;&gt;封闭期",$H$4:$H$200,"&gt;10",$BN$4:$BN$200,"&gt;-6",$BR$4:$BR$200,"&gt;=70",$C$4:$C$200,"&lt;20190630",$K$4:$K$200,"&lt;=30"))</f>
        <v>-</v>
      </c>
      <c r="AG196" s="33" t="str">
        <f>IF(OR($C196&gt;20190630,$K196&gt;30,AC196="-",$D196="是",$E196="封闭期",$H196&lt;10,$BN196&lt;-6,$BR196&lt;70),"-",COUNTIFS(AC$4:AC$200,"&lt;&gt;-",$D$4:$D$200,"&lt;&gt;是",$E$4:$E$200,"&lt;&gt;封闭期",$H$4:$H$200,"&gt;10",$BN$4:$BN$200,"&gt;-6",$BR$4:$BR$200,"&gt;=70",$K$4:$K$200,"&lt;=30",$C$4:$C$200,"&lt;20190630",AC$4:AC$200,"&gt;="&amp;AC196)/COUNTIFS(AC$4:AC$200,"&lt;&gt;-",$D$4:$D$200,"&lt;&gt;是",$E$4:$E$200,"&lt;&gt;封闭期",$H$4:$H$200,"&gt;10",$BN$4:$BN$200,"&gt;-6",$BR$4:$BR$200,"&gt;=70",$C$4:$C$200,"&lt;20190630",$K$4:$K$200,"&lt;=30"))</f>
        <v>-</v>
      </c>
      <c r="AH196" s="21">
        <f>[1]!f_risk_maxdownside(A196,$L$2,$E$1)</f>
        <v>-2.0118593816179757</v>
      </c>
      <c r="AI196" s="19" t="str">
        <f>IFERROR(RANK(AH196,AH:AH)&amp;"/"&amp;COUNT(AH:AH),"-")</f>
        <v>59/197</v>
      </c>
      <c r="AJ196" s="26">
        <f>IFERROR(RANK(AH196,AH:AH)/COUNT(AH:AH),"-")</f>
        <v>0.29949238578680204</v>
      </c>
      <c r="AK196" s="34" t="str">
        <f>IF(OR($C196&gt;20190630,$K196&gt;30,AH196="-",$D196="是",$E196="封闭期",$H196&lt;10,$BN196&lt;-6,$BR196&lt;70),"-",COUNTIFS(AH$4:AH$200,"&lt;&gt;-",$D$4:$D$200,"&lt;&gt;是",$E$4:$E$200,"&lt;&gt;封闭期",$H$4:$H$200,"&gt;10",$BN$4:$BN$200,"&gt;-6",$BR$4:$BR$200,"&gt;=70",$K$4:$K$200,"&lt;=30",$C$4:$C$200,"&lt;20190630",AH$4:AH$200,"&gt;="&amp;AH196)&amp;"/"&amp;COUNTIFS(AH$4:AH$200,"&lt;&gt;-",$D$4:$D$200,"&lt;&gt;是",$E$4:$E$200,"&lt;&gt;封闭期",$H$4:$H$200,"&gt;10",$BN$4:$BN$200,"&gt;-6",$BR$4:$BR$200,"&gt;=70",$C$4:$C$200,"&lt;20190630",$K$4:$K$200,"&lt;=30"))</f>
        <v>-</v>
      </c>
      <c r="AL196" s="33" t="str">
        <f>IF(OR($C196&gt;20190630,$K196&gt;30,AH196="-",$D196="是",$E196="封闭期",$H196&lt;10,$BN196&lt;-6,$BR196&lt;70),"-",COUNTIFS(AH$4:AH$200,"&lt;&gt;-",$D$4:$D$200,"&lt;&gt;是",$E$4:$E$200,"&lt;&gt;封闭期",$H$4:$H$200,"&gt;10",$BN$4:$BN$200,"&gt;-6",$BR$4:$BR$200,"&gt;=70",$K$4:$K$200,"&lt;=30",$C$4:$C$200,"&lt;20190630",AH$4:AH$200,"&gt;="&amp;AH196)/COUNTIFS(AH$4:AH$200,"&lt;&gt;-",$D$4:$D$200,"&lt;&gt;是",$E$4:$E$200,"&lt;&gt;封闭期",$H$4:$H$200,"&gt;10",$BN$4:$BN$200,"&gt;-6",$BR$4:$BR$200,"&gt;=70",$C$4:$C$200,"&lt;20190630",$K$4:$K$200,"&lt;=30"))</f>
        <v>-</v>
      </c>
      <c r="AM196" s="19">
        <f>[1]!f_return($A196,"1",AM$2,$L$2)</f>
        <v>0.81256337760080566</v>
      </c>
      <c r="AN196" s="19">
        <f>[1]!f_risk_stdevyearly($A196,AM$2,$L$2,1,1)</f>
        <v>3.1041834393679282</v>
      </c>
      <c r="AO196" s="19">
        <f>IFERROR(AM196/AN196,"-")</f>
        <v>0.2617639690025082</v>
      </c>
      <c r="AP196" s="19" t="str">
        <f>IFERROR(RANK(AO196,AO:AO)&amp;"/"&amp;COUNT(AO:AO),"-")</f>
        <v>190/197</v>
      </c>
      <c r="AQ196" s="26">
        <f>IF(AP196="-","-",RANK(AO196,AO:AO)/COUNT(AO:AO))</f>
        <v>0.96446700507614214</v>
      </c>
      <c r="AR196" s="57">
        <v>0.97969543147208127</v>
      </c>
      <c r="AS196" s="33" t="str">
        <f>IF(OR($C196&gt;20190630,$K196&gt;30,AO196="-",$D196="是",$E196="封闭期",$H196&lt;10,$BN196&lt;-6,$BR196&lt;70),"-",COUNTIFS(AO$4:AO$200,"&lt;&gt;-",$D$4:$D$200,"&lt;&gt;是",$E$4:$E$200,"&lt;&gt;封闭期",$H$4:$H$200,"&gt;10",$BN$4:$BN$200,"&gt;-6",$BR$4:$BR$200,"&gt;=70",$K$4:$K$200,"&lt;=30",$C$4:$C$200,"&lt;20190630",AO$4:AO$200,"&gt;="&amp;AO196)/COUNTIFS(AO$4:AO$200,"&lt;&gt;-",$D$4:$D$200,"&lt;&gt;是",$E$4:$E$200,"&lt;&gt;封闭期",$H$4:$H$200,"&gt;10",$BN$4:$BN$200,"&gt;-6",$BR$4:$BR$200,"&gt;=70",$C$4:$C$200,"&lt;20190630",$K$4:$K$200,"&lt;=30"))</f>
        <v>-</v>
      </c>
      <c r="AT196" s="19">
        <f>IFERROR((AM196-3)/AN196,"-")</f>
        <v>-0.70467376207786181</v>
      </c>
      <c r="AU196" s="19" t="str">
        <f>IFERROR(RANK(AT196,AT:AT)&amp;"/"&amp;COUNT(AT:AT),"-")</f>
        <v>189/197</v>
      </c>
      <c r="AV196" s="26">
        <f>IFERROR(RANK(AT196,AT:AT)/COUNT(AT:AT),"-")</f>
        <v>0.95939086294416243</v>
      </c>
      <c r="AW196" s="34" t="str">
        <f>IF(OR($C196&gt;20190630,$K196&gt;30,AT196="-",$D196="是",$E196="封闭期",$H196&lt;10,$BN196&lt;-6,$BR196&lt;70),"-",COUNTIFS(AT$4:AT$200,"&lt;&gt;-",$D$4:$D$200,"&lt;&gt;是",$E$4:$E$200,"&lt;&gt;封闭期",$H$4:$H$200,"&gt;10",$BN$4:$BN$200,"&gt;-6",$BR$4:$BR$200,"&gt;=70",$K$4:$K$200,"&lt;=30",$C$4:$C$200,"&lt;20190630",AT$4:AT$200,"&gt;="&amp;AT196)&amp;"/"&amp;COUNTIFS(AT$4:AT$200,"&lt;&gt;-",$D$4:$D$200,"&lt;&gt;是",$E$4:$E$200,"&lt;&gt;封闭期",$H$4:$H$200,"&gt;10",$BN$4:$BN$200,"&gt;-6",$BR$4:$BR$200,"&gt;=70",$C$4:$C$200,"&lt;20190630",$K$4:$K$200,"&lt;=30"))</f>
        <v>-</v>
      </c>
      <c r="AX196" s="33" t="str">
        <f>IF(OR($C196&gt;20190630,$K196&gt;30,AT196="-",$D196="是",$E196="封闭期",$H196&lt;10,$BN196&lt;-6,$BR196&lt;70),"-",COUNTIFS(AT$4:AT$200,"&lt;&gt;-",$D$4:$D$200,"&lt;&gt;是",$E$4:$E$200,"&lt;&gt;封闭期",$H$4:$H$200,"&gt;10",$BN$4:$BN$200,"&gt;-6",$BR$4:$BR$200,"&gt;=70",$K$4:$K$200,"&lt;=30",$C$4:$C$200,"&lt;20190630",AT$4:AT$200,"&gt;="&amp;AT196)/COUNTIFS(AT$4:AT$200,"&lt;&gt;-",$D$4:$D$200,"&lt;&gt;是",$E$4:$E$200,"&lt;&gt;封闭期",$H$4:$H$200,"&gt;10",$BN$4:$BN$200,"&gt;-6",$BR$4:$BR$200,"&gt;=70",$C$4:$C$200,"&lt;20190630",$K$4:$K$200,"&lt;=30"))</f>
        <v>-</v>
      </c>
      <c r="AY196" s="19">
        <f>[1]!f_risk_calmar(A196,$AM$2,$L$2)</f>
        <v>0.32705018534696562</v>
      </c>
      <c r="AZ196" s="19" t="str">
        <f>IFERROR(RANK(AY196,AY:AY)&amp;"/"&amp;COUNT(AY:AY),"-")</f>
        <v>192/197</v>
      </c>
      <c r="BA196" s="26">
        <f>IFERROR(RANK(AY196,AY:AY)/COUNT(AY:AY),"-")</f>
        <v>0.97461928934010156</v>
      </c>
      <c r="BB196" s="34" t="str">
        <f>IF(OR($C196&gt;20190630,$K196&gt;30,AY196="-",$D196="是",$E196="封闭期",$H196&lt;10,$BN196&lt;-6,$BR196&lt;70),"-",COUNTIFS(AY$4:AY$200,"&lt;&gt;-",$D$4:$D$200,"&lt;&gt;是",$E$4:$E$200,"&lt;&gt;封闭期",$H$4:$H$200,"&gt;10",$BN$4:$BN$200,"&gt;-6",$BR$4:$BR$200,"&gt;=70",$K$4:$K$200,"&lt;=30",$C$4:$C$200,"&lt;20190630",AY$4:AY$200,"&gt;="&amp;AY196)&amp;"/"&amp;COUNTIFS(AY$4:AY$200,"&lt;&gt;-",$D$4:$D$200,"&lt;&gt;是",$E$4:$E$200,"&lt;&gt;封闭期",$H$4:$H$200,"&gt;10",$BN$4:$BN$200,"&gt;-6",$BR$4:$BR$200,"&gt;=70",$C$4:$C$200,"&lt;20190630",$K$4:$K$200,"&lt;=30"))</f>
        <v>-</v>
      </c>
      <c r="BC196" s="33" t="str">
        <f>IF(OR($C196&gt;20190630,$K196&gt;30,AY196="-",$D196="是",$E196="封闭期",$H196&lt;10,$BN196&lt;-6,$BR196&lt;70),"-",COUNTIFS(AY$4:AY$200,"&lt;&gt;-",$D$4:$D$200,"&lt;&gt;是",$E$4:$E$200,"&lt;&gt;封闭期",$H$4:$H$200,"&gt;10",$BN$4:$BN$200,"&gt;-6",$BR$4:$BR$200,"&gt;=70",$K$4:$K$200,"&lt;=30",$C$4:$C$200,"&lt;20190630",AY$4:AY$200,"&gt;="&amp;AY196)/COUNTIFS(AY$4:AY$200,"&lt;&gt;-",$D$4:$D$200,"&lt;&gt;是",$E$4:$E$200,"&lt;&gt;封闭期",$H$4:$H$200,"&gt;10",$BN$4:$BN$200,"&gt;-6",$BR$4:$BR$200,"&gt;=70",$C$4:$C$200,"&lt;20190630",$K$4:$K$200,"&lt;=30"))</f>
        <v>-</v>
      </c>
      <c r="BD196" s="20">
        <v>0.31666666666666671</v>
      </c>
      <c r="BE196" s="19" t="str">
        <f>IFERROR(RANK(BD196,BD:BD)&amp;"/"&amp;COUNT(BD:BD),"-")</f>
        <v>195/197</v>
      </c>
      <c r="BF196" s="26">
        <f>IFERROR(RANK(BD196,BD:BD)/COUNT(BD:BD),"-")</f>
        <v>0.98984771573604058</v>
      </c>
      <c r="BG196" s="34" t="str">
        <f>IF(OR($C196&gt;20190630,$K196&gt;30,BD196="-",$D196="是",$E196="封闭期",$H196&lt;10,$BN196&lt;-6,$BR196&lt;70),"-",COUNTIFS(BD$4:BD$200,"&lt;&gt;-",$D$4:$D$200,"&lt;&gt;是",$E$4:$E$200,"&lt;&gt;封闭期",$H$4:$H$200,"&gt;10",$BN$4:$BN$200,"&gt;-6",$BR$4:$BR$200,"&gt;=70",$K$4:$K$200,"&lt;=30",$C$4:$C$200,"&lt;20190630",BD$4:BD$200,"&gt;="&amp;BD196)&amp;"/"&amp;COUNTIFS(BD$4:BD$200,"&lt;&gt;-",$D$4:$D$200,"&lt;&gt;是",$E$4:$E$200,"&lt;&gt;封闭期",$H$4:$H$200,"&gt;10",$BN$4:$BN$200,"&gt;-6",$BR$4:$BR$200,"&gt;=70",$C$4:$C$200,"&lt;20190630",$K$4:$K$200,"&lt;=30"))</f>
        <v>-</v>
      </c>
      <c r="BH196" s="33" t="str">
        <f>IF(OR($C196&gt;20190630,$K196&gt;30,BD196="-",$D196="是",$E196="封闭期",$H196&lt;10,$BN196&lt;-6,$BR196&lt;70),"-",COUNTIFS(BD$4:BD$200,"&lt;&gt;-",$D$4:$D$200,"&lt;&gt;是",$E$4:$E$200,"&lt;&gt;封闭期",$H$4:$H$200,"&gt;10",$BN$4:$BN$200,"&gt;-6",$BR$4:$BR$200,"&gt;=70",$K$4:$K$200,"&lt;=30",$C$4:$C$200,"&lt;20190630",BD$4:BD$200,"&gt;="&amp;BD196)/COUNTIFS(BD$4:BD$200,"&lt;&gt;-",$D$4:$D$200,"&lt;&gt;是",$E$4:$E$200,"&lt;&gt;封闭期",$H$4:$H$200,"&gt;10",$BN$4:$BN$200,"&gt;-6",$BR$4:$BR$200,"&gt;=70",$C$4:$C$200,"&lt;20190630",$K$4:$K$200,"&lt;=30"))</f>
        <v>-</v>
      </c>
      <c r="BI196" s="21">
        <f>[1]!f_risk_maxdownside(A196,$AM$2,$L$2)</f>
        <v>-2.4845219908337981</v>
      </c>
      <c r="BJ196" s="19" t="str">
        <f>IFERROR(RANK(BI196,BI:BI)&amp;"/"&amp;COUNT(BI:BI),"-")</f>
        <v>60/197</v>
      </c>
      <c r="BK196" s="26">
        <f>IFERROR(RANK(BI196,BI:BI)/COUNT(BI:BI),"-")</f>
        <v>0.30456852791878175</v>
      </c>
      <c r="BL196" s="34" t="str">
        <f>IF(OR($C196&gt;20190630,$K196&gt;30,BI196="-",$D196="是",$E196="封闭期",$H196&lt;10,$BN196&lt;-6,$BR196&lt;70),"-",COUNTIFS(BI$4:BI$200,"&lt;&gt;-",$D$4:$D$200,"&lt;&gt;是",$E$4:$E$200,"&lt;&gt;封闭期",$H$4:$H$200,"&gt;10",$BN$4:$BN$200,"&gt;-6",$BR$4:$BR$200,"&gt;=70",$K$4:$K$200,"&lt;=30",$C$4:$C$200,"&lt;20190630",BI$4:BI$200,"&gt;="&amp;BI196)&amp;"/"&amp;COUNTIFS(BI$4:BI$200,"&lt;&gt;-",$D$4:$D$200,"&lt;&gt;是",$E$4:$E$200,"&lt;&gt;封闭期",$H$4:$H$200,"&gt;10",$BN$4:$BN$200,"&gt;-6",$BR$4:$BR$200,"&gt;=70",$C$4:$C$200,"&lt;20190630",$K$4:$K$200,"&lt;=30"))</f>
        <v>-</v>
      </c>
      <c r="BM196" s="33" t="str">
        <f>IF(OR($C196&gt;20190630,$K196&gt;30,BI196="-",$D196="是",$E196="封闭期",$H196&lt;10,$BN196&lt;-6,$BR196&lt;70),"-",COUNTIFS(BI$4:BI$200,"&lt;&gt;-",$D$4:$D$200,"&lt;&gt;是",$E$4:$E$200,"&lt;&gt;封闭期",$H$4:$H$200,"&gt;10",$BN$4:$BN$200,"&gt;-6",$BR$4:$BR$200,"&gt;=70",$K$4:$K$200,"&lt;=30",$C$4:$C$200,"&lt;20190630",BI$4:BI$200,"&gt;="&amp;BI196)/COUNTIFS(BI$4:BI$200,"&lt;&gt;-",$D$4:$D$200,"&lt;&gt;是",$E$4:$E$200,"&lt;&gt;封闭期",$H$4:$H$200,"&gt;10",$BN$4:$BN$200,"&gt;-6",$BR$4:$BR$200,"&gt;=70",$C$4:$C$200,"&lt;20190630",$K$4:$K$200,"&lt;=30"))</f>
        <v>-</v>
      </c>
      <c r="BN196" s="21">
        <f>[1]!f_risk_maxdownside(A196,$AM$2,$E$1)</f>
        <v>-2.4845219908337981</v>
      </c>
      <c r="BO196" s="21">
        <f>IF(C196&lt;20190930,[1]!f_return_2y(A196,"0","20210930"),"-")</f>
        <v>14.902575957727871</v>
      </c>
      <c r="BP196" s="19" t="str">
        <f>IFERROR(RANK(BO196,BO:BO)&amp;"/"&amp;COUNT(BO:BO),"-")</f>
        <v>82/197</v>
      </c>
      <c r="BQ196" s="25">
        <f>IFERROR(RANK(BO196,BO:BO)/COUNT(BO:BO),"-")</f>
        <v>0.41624365482233505</v>
      </c>
      <c r="BR196" s="19">
        <f>IF(C196&lt;20190930,[1]!f_absolute_profitmonthper(A196,"20190930","20210930"),"-")</f>
        <v>58.333333333333336</v>
      </c>
      <c r="BS196" s="19" t="str">
        <f>IFERROR(RANK(BR196,BR:BR)&amp;"/"&amp;COUNT(BR:BR),"-")</f>
        <v>165/198</v>
      </c>
      <c r="BT196" s="25">
        <f>IFERROR(RANK(BR196,BR:BR)/COUNT(BR:BR),"-")</f>
        <v>0.83333333333333337</v>
      </c>
      <c r="BV196" s="12">
        <f>X196-3/M196</f>
        <v>6.2364372046341696</v>
      </c>
      <c r="BW196" s="76">
        <f>IFERROR(RANK(BV196,BV:BV)/COUNT(BV:BV),"-")</f>
        <v>4.5685279187817257E-2</v>
      </c>
      <c r="BX196" s="76">
        <f>IFERROR(RANK(L196,L:L)/COUNT(L:L),"-")</f>
        <v>5.5555555555555552E-2</v>
      </c>
      <c r="BY196" s="12">
        <f>AY196-3/AN196</f>
        <v>-0.63938754573340439</v>
      </c>
      <c r="BZ196" s="76">
        <f>IFERROR(RANK(BY196,BY:BY)/COUNT(BY:BY),"-")</f>
        <v>0.90862944162436543</v>
      </c>
      <c r="CA196" s="76">
        <f>IFERROR(RANK(AM196,AM:AM)/COUNT(AM:AM),"-")</f>
        <v>0.97979797979797978</v>
      </c>
      <c r="CB196" s="2"/>
      <c r="CC196" s="77">
        <f>AV196+BF196+BZ196+CA196</f>
        <v>3.8376660001025482</v>
      </c>
      <c r="CD196" s="77">
        <f>BW196+BX196+AE196+U196</f>
        <v>0.14184997179921038</v>
      </c>
      <c r="CE196" s="77">
        <f>CC196+CD196</f>
        <v>3.9795159719017588</v>
      </c>
    </row>
    <row r="197" spans="1:83" s="17" customFormat="1" hidden="1" x14ac:dyDescent="0.35">
      <c r="A197" s="15" t="s">
        <v>361</v>
      </c>
      <c r="B197" s="15" t="s">
        <v>362</v>
      </c>
      <c r="C197" s="16">
        <v>20180125</v>
      </c>
      <c r="D197" s="16" t="str">
        <f>[1]!f_info_regulopenfundornot(A197)</f>
        <v>否</v>
      </c>
      <c r="E197" s="16" t="str">
        <f>[1]!f_dq_status(A197,$E$1)</f>
        <v>开放申购|开放赎回</v>
      </c>
      <c r="F197" s="17" t="str">
        <f>[1]!f_info_fundmanager(A197)</f>
        <v>林翟</v>
      </c>
      <c r="G197" s="16">
        <v>20200110</v>
      </c>
      <c r="H197" s="18">
        <f>[1]!f_netasset_total(A197,$E$1,100000000)</f>
        <v>3.4450027195999997</v>
      </c>
      <c r="I197" s="18">
        <f>[1]!f_prt_convertiblebondtonav(A197,$E$1)</f>
        <v>1.0103737115859985</v>
      </c>
      <c r="J197" s="18">
        <f>[1]!f_prt_stocktonav(A197,$E$1)+0.5*I197</f>
        <v>1.7926059365272522</v>
      </c>
      <c r="K197" s="19">
        <v>29.681253781962909</v>
      </c>
      <c r="L197" s="19">
        <f>[1]!f_return($A197,"1",L$2,$E$1)</f>
        <v>4.3495793872310617</v>
      </c>
      <c r="M197" s="19">
        <f>[1]!f_risk_stdevyearly($A197,L$2,$E$1,1,1)</f>
        <v>0.64071735852496126</v>
      </c>
      <c r="N197" s="19">
        <f>IFERROR(L197/M197,"-")</f>
        <v>6.7886086265003378</v>
      </c>
      <c r="O197" s="19" t="str">
        <f>IFERROR(RANK(N197,N:N)&amp;"/"&amp;COUNT(N:N),"-")</f>
        <v>9/197</v>
      </c>
      <c r="P197" s="26">
        <f>IF(O197="-","-",RANK(N197,N:N)/COUNT(N:N))</f>
        <v>4.5685279187817257E-2</v>
      </c>
      <c r="Q197" s="56">
        <v>0.67512690355329952</v>
      </c>
      <c r="R197" s="33" t="str">
        <f>IF(OR($C197&gt;20190630,$K197&gt;30,N197="-",$D197="是",$E197="封闭期",$H197&lt;10,$BN197&lt;-6,$BR197&lt;70),"-",COUNTIFS(N$4:N$200,"&lt;&gt;-",$D$4:$D$200,"&lt;&gt;是",$E$4:$E$200,"&lt;&gt;封闭期",$H$4:$H$200,"&gt;10",$BN$4:$BN$200,"&gt;-6",$BR$4:$BR$200,"&gt;=70",$K$4:$K$200,"&lt;=30",$C$4:$C$200,"&lt;20190630",N$4:N$200,"&gt;="&amp;N197)/COUNTIFS(N$4:N$200,"&lt;&gt;-",$D$4:$D$200,"&lt;&gt;是",$E$4:$E$200,"&lt;&gt;封闭期",$H$4:$H$200,"&gt;10",$BN$4:$BN$200,"&gt;-6",$BR$4:$BR$200,"&gt;=70",$C$4:$C$200,"&lt;20190630",$K$4:$K$200,"&lt;=30"))</f>
        <v>-</v>
      </c>
      <c r="S197" s="19">
        <f>IFERROR((L197-3)/M197,"-")</f>
        <v>2.106356834686077</v>
      </c>
      <c r="T197" s="19" t="str">
        <f>IFERROR(RANK(S197,S:S)&amp;"/"&amp;COUNT(S:S),"-")</f>
        <v>11/197</v>
      </c>
      <c r="U197" s="26">
        <f>IFERROR(RANK(S197,S:S)/COUNT(S:S),"-")</f>
        <v>5.5837563451776651E-2</v>
      </c>
      <c r="V197" s="34" t="str">
        <f>IF(OR($C197&gt;20190630,$K197&gt;30,S197="-",$D197="是",$E197="封闭期",$H197&lt;10,$BN197&lt;-6,$BR197&lt;70),"-",COUNTIFS(S$4:S$200,"&lt;&gt;-",$D$4:$D$200,"&lt;&gt;是",$E$4:$E$200,"&lt;&gt;封闭期",$H$4:$H$200,"&gt;10",$BN$4:$BN$200,"&gt;-6",$BR$4:$BR$200,"&gt;=70",$K$4:$K$200,"&lt;=30",$C$4:$C$200,"&lt;20190630",S$4:S$200,"&gt;="&amp;S197)&amp;"/"&amp;COUNTIFS(S$4:S$200,"&lt;&gt;-",$D$4:$D$200,"&lt;&gt;是",$E$4:$E$200,"&lt;&gt;封闭期",$H$4:$H$200,"&gt;10",$BN$4:$BN$200,"&gt;-6",$BR$4:$BR$200,"&gt;=70",$C$4:$C$200,"&lt;20190630",$K$4:$K$200,"&lt;=30"))</f>
        <v>-</v>
      </c>
      <c r="W197" s="33" t="str">
        <f>IF(OR($C197&gt;20190630,$K197&gt;30,S197="-",$D197="是",$E197="封闭期",$H197&lt;10,$BN197&lt;-6,$BR197&lt;70),"-",COUNTIFS(S$4:S$200,"&lt;&gt;-",$D$4:$D$200,"&lt;&gt;是",$E$4:$E$200,"&lt;&gt;封闭期",$H$4:$H$200,"&gt;10",$BN$4:$BN$200,"&gt;-6",$BR$4:$BR$200,"&gt;=70",$K$4:$K$200,"&lt;=30",$C$4:$C$200,"&lt;20190630",S$4:S$200,"&gt;="&amp;S197)/COUNTIFS(S$4:S$200,"&lt;&gt;-",$D$4:$D$200,"&lt;&gt;是",$E$4:$E$200,"&lt;&gt;封闭期",$H$4:$H$200,"&gt;10",$BN$4:$BN$200,"&gt;-6",$BR$4:$BR$200,"&gt;=70",$C$4:$C$200,"&lt;20190630",$K$4:$K$200,"&lt;=30"))</f>
        <v>-</v>
      </c>
      <c r="X197" s="19">
        <f>[1]!f_risk_calmar(A197,$L$2,$E$1)</f>
        <v>5.0403115051380283</v>
      </c>
      <c r="Y197" s="19" t="str">
        <f>IFERROR(RANK(X197,X:X)&amp;"/"&amp;COUNT(X:X),"-")</f>
        <v>35/197</v>
      </c>
      <c r="Z197" s="26">
        <f>IFERROR(RANK(X197,X:X)/COUNT(X:X),"-")</f>
        <v>0.17766497461928935</v>
      </c>
      <c r="AA197" s="34" t="str">
        <f>IF(OR($C197&gt;20190630,$K197&gt;30,X197="-",$D197="是",$E197="封闭期",$H197&lt;10,$BN197&lt;-6,$BR197&lt;70),"-",COUNTIFS(X$4:X$200,"&lt;&gt;-",$D$4:$D$200,"&lt;&gt;是",$E$4:$E$200,"&lt;&gt;封闭期",$H$4:$H$200,"&gt;10",$BN$4:$BN$200,"&gt;-6",$BR$4:$BR$200,"&gt;=70",$K$4:$K$200,"&lt;=30",$C$4:$C$200,"&lt;20190630",X$4:X$200,"&gt;="&amp;X197)&amp;"/"&amp;COUNTIFS(X$4:X$200,"&lt;&gt;-",$D$4:$D$200,"&lt;&gt;是",$E$4:$E$200,"&lt;&gt;封闭期",$H$4:$H$200,"&gt;10",$BN$4:$BN$200,"&gt;-6",$BR$4:$BR$200,"&gt;=70",$C$4:$C$200,"&lt;20190630",$K$4:$K$200,"&lt;=30"))</f>
        <v>-</v>
      </c>
      <c r="AB197" s="33" t="str">
        <f>IF(OR($C197&gt;20190630,$K197&gt;30,X197="-",$D197="是",$E197="封闭期",$H197&lt;10,$BN197&lt;-6,$BR197&lt;70),"-",COUNTIFS(X$4:X$200,"&lt;&gt;-",$D$4:$D$200,"&lt;&gt;是",$E$4:$E$200,"&lt;&gt;封闭期",$H$4:$H$200,"&gt;10",$BN$4:$BN$200,"&gt;-6",$BR$4:$BR$200,"&gt;=70",$K$4:$K$200,"&lt;=30",$C$4:$C$200,"&lt;20190630",X$4:X$200,"&gt;="&amp;X197)/COUNTIFS(X$4:X$200,"&lt;&gt;-",$D$4:$D$200,"&lt;&gt;是",$E$4:$E$200,"&lt;&gt;封闭期",$H$4:$H$200,"&gt;10",$BN$4:$BN$200,"&gt;-6",$BR$4:$BR$200,"&gt;=70",$C$4:$C$200,"&lt;20190630",$K$4:$K$200,"&lt;=30"))</f>
        <v>-</v>
      </c>
      <c r="AC197" s="20">
        <v>1</v>
      </c>
      <c r="AD197" s="19" t="str">
        <f>IFERROR(RANK(AC197,AC:AC)&amp;"/"&amp;COUNT(AC:AC),"-")</f>
        <v>1/197</v>
      </c>
      <c r="AE197" s="26">
        <f>IFERROR(RANK(AC197,AC:AC)/COUNT(AC:AC),"-")</f>
        <v>5.076142131979695E-3</v>
      </c>
      <c r="AF197" s="34" t="str">
        <f>IF(OR($C197&gt;20190630,$K197&gt;30,AC197="-",$D197="是",$E197="封闭期",$H197&lt;10,$BN197&lt;-6,$BR197&lt;70),"-",COUNTIFS(AC$4:AC$200,"&lt;&gt;-",$D$4:$D$200,"&lt;&gt;是",$E$4:$E$200,"&lt;&gt;封闭期",$H$4:$H$200,"&gt;10",$BN$4:$BN$200,"&gt;-6",$BR$4:$BR$200,"&gt;=70",$K$4:$K$200,"&lt;=30",$C$4:$C$200,"&lt;20190630",AC$4:AC$200,"&gt;="&amp;AC197)&amp;"/"&amp;COUNTIFS(AC$4:AC$200,"&lt;&gt;-",$D$4:$D$200,"&lt;&gt;是",$E$4:$E$200,"&lt;&gt;封闭期",$H$4:$H$200,"&gt;10",$BN$4:$BN$200,"&gt;-6",$BR$4:$BR$200,"&gt;=70",$C$4:$C$200,"&lt;20190630",$K$4:$K$200,"&lt;=30"))</f>
        <v>-</v>
      </c>
      <c r="AG197" s="33" t="str">
        <f>IF(OR($C197&gt;20190630,$K197&gt;30,AC197="-",$D197="是",$E197="封闭期",$H197&lt;10,$BN197&lt;-6,$BR197&lt;70),"-",COUNTIFS(AC$4:AC$200,"&lt;&gt;-",$D$4:$D$200,"&lt;&gt;是",$E$4:$E$200,"&lt;&gt;封闭期",$H$4:$H$200,"&gt;10",$BN$4:$BN$200,"&gt;-6",$BR$4:$BR$200,"&gt;=70",$K$4:$K$200,"&lt;=30",$C$4:$C$200,"&lt;20190630",AC$4:AC$200,"&gt;="&amp;AC197)/COUNTIFS(AC$4:AC$200,"&lt;&gt;-",$D$4:$D$200,"&lt;&gt;是",$E$4:$E$200,"&lt;&gt;封闭期",$H$4:$H$200,"&gt;10",$BN$4:$BN$200,"&gt;-6",$BR$4:$BR$200,"&gt;=70",$C$4:$C$200,"&lt;20190630",$K$4:$K$200,"&lt;=30"))</f>
        <v>-</v>
      </c>
      <c r="AH197" s="21">
        <f>[1]!f_risk_maxdownside(A197,$L$2,$E$1)</f>
        <v>-0.86295844667480504</v>
      </c>
      <c r="AI197" s="19" t="str">
        <f>IFERROR(RANK(AH197,AH:AH)&amp;"/"&amp;COUNT(AH:AH),"-")</f>
        <v>18/197</v>
      </c>
      <c r="AJ197" s="26">
        <f>IFERROR(RANK(AH197,AH:AH)/COUNT(AH:AH),"-")</f>
        <v>9.1370558375634514E-2</v>
      </c>
      <c r="AK197" s="34" t="str">
        <f>IF(OR($C197&gt;20190630,$K197&gt;30,AH197="-",$D197="是",$E197="封闭期",$H197&lt;10,$BN197&lt;-6,$BR197&lt;70),"-",COUNTIFS(AH$4:AH$200,"&lt;&gt;-",$D$4:$D$200,"&lt;&gt;是",$E$4:$E$200,"&lt;&gt;封闭期",$H$4:$H$200,"&gt;10",$BN$4:$BN$200,"&gt;-6",$BR$4:$BR$200,"&gt;=70",$K$4:$K$200,"&lt;=30",$C$4:$C$200,"&lt;20190630",AH$4:AH$200,"&gt;="&amp;AH197)&amp;"/"&amp;COUNTIFS(AH$4:AH$200,"&lt;&gt;-",$D$4:$D$200,"&lt;&gt;是",$E$4:$E$200,"&lt;&gt;封闭期",$H$4:$H$200,"&gt;10",$BN$4:$BN$200,"&gt;-6",$BR$4:$BR$200,"&gt;=70",$C$4:$C$200,"&lt;20190630",$K$4:$K$200,"&lt;=30"))</f>
        <v>-</v>
      </c>
      <c r="AL197" s="33" t="str">
        <f>IF(OR($C197&gt;20190630,$K197&gt;30,AH197="-",$D197="是",$E197="封闭期",$H197&lt;10,$BN197&lt;-6,$BR197&lt;70),"-",COUNTIFS(AH$4:AH$200,"&lt;&gt;-",$D$4:$D$200,"&lt;&gt;是",$E$4:$E$200,"&lt;&gt;封闭期",$H$4:$H$200,"&gt;10",$BN$4:$BN$200,"&gt;-6",$BR$4:$BR$200,"&gt;=70",$K$4:$K$200,"&lt;=30",$C$4:$C$200,"&lt;20190630",AH$4:AH$200,"&gt;="&amp;AH197)/COUNTIFS(AH$4:AH$200,"&lt;&gt;-",$D$4:$D$200,"&lt;&gt;是",$E$4:$E$200,"&lt;&gt;封闭期",$H$4:$H$200,"&gt;10",$BN$4:$BN$200,"&gt;-6",$BR$4:$BR$200,"&gt;=70",$C$4:$C$200,"&lt;20190630",$K$4:$K$200,"&lt;=30"))</f>
        <v>-</v>
      </c>
      <c r="AM197" s="19">
        <f>[1]!f_return($A197,"1",AM$2,$L$2)</f>
        <v>0.72669254595789656</v>
      </c>
      <c r="AN197" s="19">
        <f>[1]!f_risk_stdevyearly($A197,AM$2,$L$2,1,1)</f>
        <v>5.456220433532752</v>
      </c>
      <c r="AO197" s="19">
        <f>IFERROR(AM197/AN197,"-")</f>
        <v>0.13318606805029379</v>
      </c>
      <c r="AP197" s="19" t="str">
        <f>IFERROR(RANK(AO197,AO:AO)&amp;"/"&amp;COUNT(AO:AO),"-")</f>
        <v>194/197</v>
      </c>
      <c r="AQ197" s="26">
        <f>IF(AP197="-","-",RANK(AO197,AO:AO)/COUNT(AO:AO))</f>
        <v>0.98477157360406087</v>
      </c>
      <c r="AR197" s="57">
        <v>0.98477157360406087</v>
      </c>
      <c r="AS197" s="33" t="str">
        <f>IF(OR($C197&gt;20190630,$K197&gt;30,AO197="-",$D197="是",$E197="封闭期",$H197&lt;10,$BN197&lt;-6,$BR197&lt;70),"-",COUNTIFS(AO$4:AO$200,"&lt;&gt;-",$D$4:$D$200,"&lt;&gt;是",$E$4:$E$200,"&lt;&gt;封闭期",$H$4:$H$200,"&gt;10",$BN$4:$BN$200,"&gt;-6",$BR$4:$BR$200,"&gt;=70",$K$4:$K$200,"&lt;=30",$C$4:$C$200,"&lt;20190630",AO$4:AO$200,"&gt;="&amp;AO197)/COUNTIFS(AO$4:AO$200,"&lt;&gt;-",$D$4:$D$200,"&lt;&gt;是",$E$4:$E$200,"&lt;&gt;封闭期",$H$4:$H$200,"&gt;10",$BN$4:$BN$200,"&gt;-6",$BR$4:$BR$200,"&gt;=70",$C$4:$C$200,"&lt;20190630",$K$4:$K$200,"&lt;=30"))</f>
        <v>-</v>
      </c>
      <c r="AT197" s="19">
        <f>IFERROR((AM197-3)/AN197,"-")</f>
        <v>-0.41664509008302653</v>
      </c>
      <c r="AU197" s="19" t="str">
        <f>IFERROR(RANK(AT197,AT:AT)&amp;"/"&amp;COUNT(AT:AT),"-")</f>
        <v>182/197</v>
      </c>
      <c r="AV197" s="26">
        <f>IFERROR(RANK(AT197,AT:AT)/COUNT(AT:AT),"-")</f>
        <v>0.92385786802030456</v>
      </c>
      <c r="AW197" s="34" t="str">
        <f>IF(OR($C197&gt;20190630,$K197&gt;30,AT197="-",$D197="是",$E197="封闭期",$H197&lt;10,$BN197&lt;-6,$BR197&lt;70),"-",COUNTIFS(AT$4:AT$200,"&lt;&gt;-",$D$4:$D$200,"&lt;&gt;是",$E$4:$E$200,"&lt;&gt;封闭期",$H$4:$H$200,"&gt;10",$BN$4:$BN$200,"&gt;-6",$BR$4:$BR$200,"&gt;=70",$K$4:$K$200,"&lt;=30",$C$4:$C$200,"&lt;20190630",AT$4:AT$200,"&gt;="&amp;AT197)&amp;"/"&amp;COUNTIFS(AT$4:AT$200,"&lt;&gt;-",$D$4:$D$200,"&lt;&gt;是",$E$4:$E$200,"&lt;&gt;封闭期",$H$4:$H$200,"&gt;10",$BN$4:$BN$200,"&gt;-6",$BR$4:$BR$200,"&gt;=70",$C$4:$C$200,"&lt;20190630",$K$4:$K$200,"&lt;=30"))</f>
        <v>-</v>
      </c>
      <c r="AX197" s="33" t="str">
        <f>IF(OR($C197&gt;20190630,$K197&gt;30,AT197="-",$D197="是",$E197="封闭期",$H197&lt;10,$BN197&lt;-6,$BR197&lt;70),"-",COUNTIFS(AT$4:AT$200,"&lt;&gt;-",$D$4:$D$200,"&lt;&gt;是",$E$4:$E$200,"&lt;&gt;封闭期",$H$4:$H$200,"&gt;10",$BN$4:$BN$200,"&gt;-6",$BR$4:$BR$200,"&gt;=70",$K$4:$K$200,"&lt;=30",$C$4:$C$200,"&lt;20190630",AT$4:AT$200,"&gt;="&amp;AT197)/COUNTIFS(AT$4:AT$200,"&lt;&gt;-",$D$4:$D$200,"&lt;&gt;是",$E$4:$E$200,"&lt;&gt;封闭期",$H$4:$H$200,"&gt;10",$BN$4:$BN$200,"&gt;-6",$BR$4:$BR$200,"&gt;=70",$C$4:$C$200,"&lt;20190630",$K$4:$K$200,"&lt;=30"))</f>
        <v>-</v>
      </c>
      <c r="AY197" s="19">
        <f>[1]!f_risk_calmar(A197,$AM$2,$L$2)</f>
        <v>0.15354718321168373</v>
      </c>
      <c r="AZ197" s="19" t="str">
        <f>IFERROR(RANK(AY197,AY:AY)&amp;"/"&amp;COUNT(AY:AY),"-")</f>
        <v>194/197</v>
      </c>
      <c r="BA197" s="26">
        <f>IFERROR(RANK(AY197,AY:AY)/COUNT(AY:AY),"-")</f>
        <v>0.98477157360406087</v>
      </c>
      <c r="BB197" s="34" t="str">
        <f>IF(OR($C197&gt;20190630,$K197&gt;30,AY197="-",$D197="是",$E197="封闭期",$H197&lt;10,$BN197&lt;-6,$BR197&lt;70),"-",COUNTIFS(AY$4:AY$200,"&lt;&gt;-",$D$4:$D$200,"&lt;&gt;是",$E$4:$E$200,"&lt;&gt;封闭期",$H$4:$H$200,"&gt;10",$BN$4:$BN$200,"&gt;-6",$BR$4:$BR$200,"&gt;=70",$K$4:$K$200,"&lt;=30",$C$4:$C$200,"&lt;20190630",AY$4:AY$200,"&gt;="&amp;AY197)&amp;"/"&amp;COUNTIFS(AY$4:AY$200,"&lt;&gt;-",$D$4:$D$200,"&lt;&gt;是",$E$4:$E$200,"&lt;&gt;封闭期",$H$4:$H$200,"&gt;10",$BN$4:$BN$200,"&gt;-6",$BR$4:$BR$200,"&gt;=70",$C$4:$C$200,"&lt;20190630",$K$4:$K$200,"&lt;=30"))</f>
        <v>-</v>
      </c>
      <c r="BC197" s="33" t="str">
        <f>IF(OR($C197&gt;20190630,$K197&gt;30,AY197="-",$D197="是",$E197="封闭期",$H197&lt;10,$BN197&lt;-6,$BR197&lt;70),"-",COUNTIFS(AY$4:AY$200,"&lt;&gt;-",$D$4:$D$200,"&lt;&gt;是",$E$4:$E$200,"&lt;&gt;封闭期",$H$4:$H$200,"&gt;10",$BN$4:$BN$200,"&gt;-6",$BR$4:$BR$200,"&gt;=70",$K$4:$K$200,"&lt;=30",$C$4:$C$200,"&lt;20190630",AY$4:AY$200,"&gt;="&amp;AY197)/COUNTIFS(AY$4:AY$200,"&lt;&gt;-",$D$4:$D$200,"&lt;&gt;是",$E$4:$E$200,"&lt;&gt;封闭期",$H$4:$H$200,"&gt;10",$BN$4:$BN$200,"&gt;-6",$BR$4:$BR$200,"&gt;=70",$C$4:$C$200,"&lt;20190630",$K$4:$K$200,"&lt;=30"))</f>
        <v>-</v>
      </c>
      <c r="BD197" s="20">
        <v>0.38333333333333341</v>
      </c>
      <c r="BE197" s="19" t="str">
        <f>IFERROR(RANK(BD197,BD:BD)&amp;"/"&amp;COUNT(BD:BD),"-")</f>
        <v>194/197</v>
      </c>
      <c r="BF197" s="26">
        <f>IFERROR(RANK(BD197,BD:BD)/COUNT(BD:BD),"-")</f>
        <v>0.98477157360406087</v>
      </c>
      <c r="BG197" s="34" t="str">
        <f>IF(OR($C197&gt;20190630,$K197&gt;30,BD197="-",$D197="是",$E197="封闭期",$H197&lt;10,$BN197&lt;-6,$BR197&lt;70),"-",COUNTIFS(BD$4:BD$200,"&lt;&gt;-",$D$4:$D$200,"&lt;&gt;是",$E$4:$E$200,"&lt;&gt;封闭期",$H$4:$H$200,"&gt;10",$BN$4:$BN$200,"&gt;-6",$BR$4:$BR$200,"&gt;=70",$K$4:$K$200,"&lt;=30",$C$4:$C$200,"&lt;20190630",BD$4:BD$200,"&gt;="&amp;BD197)&amp;"/"&amp;COUNTIFS(BD$4:BD$200,"&lt;&gt;-",$D$4:$D$200,"&lt;&gt;是",$E$4:$E$200,"&lt;&gt;封闭期",$H$4:$H$200,"&gt;10",$BN$4:$BN$200,"&gt;-6",$BR$4:$BR$200,"&gt;=70",$C$4:$C$200,"&lt;20190630",$K$4:$K$200,"&lt;=30"))</f>
        <v>-</v>
      </c>
      <c r="BH197" s="33" t="str">
        <f>IF(OR($C197&gt;20190630,$K197&gt;30,BD197="-",$D197="是",$E197="封闭期",$H197&lt;10,$BN197&lt;-6,$BR197&lt;70),"-",COUNTIFS(BD$4:BD$200,"&lt;&gt;-",$D$4:$D$200,"&lt;&gt;是",$E$4:$E$200,"&lt;&gt;封闭期",$H$4:$H$200,"&gt;10",$BN$4:$BN$200,"&gt;-6",$BR$4:$BR$200,"&gt;=70",$K$4:$K$200,"&lt;=30",$C$4:$C$200,"&lt;20190630",BD$4:BD$200,"&gt;="&amp;BD197)/COUNTIFS(BD$4:BD$200,"&lt;&gt;-",$D$4:$D$200,"&lt;&gt;是",$E$4:$E$200,"&lt;&gt;封闭期",$H$4:$H$200,"&gt;10",$BN$4:$BN$200,"&gt;-6",$BR$4:$BR$200,"&gt;=70",$C$4:$C$200,"&lt;20190630",$K$4:$K$200,"&lt;=30"))</f>
        <v>-</v>
      </c>
      <c r="BI197" s="21">
        <f>[1]!f_risk_maxdownside(A197,$AM$2,$L$2)</f>
        <v>-4.7326986451849216</v>
      </c>
      <c r="BJ197" s="19" t="str">
        <f>IFERROR(RANK(BI197,BI:BI)&amp;"/"&amp;COUNT(BI:BI),"-")</f>
        <v>154/197</v>
      </c>
      <c r="BK197" s="26">
        <f>IFERROR(RANK(BI197,BI:BI)/COUNT(BI:BI),"-")</f>
        <v>0.78172588832487311</v>
      </c>
      <c r="BL197" s="34" t="str">
        <f>IF(OR($C197&gt;20190630,$K197&gt;30,BI197="-",$D197="是",$E197="封闭期",$H197&lt;10,$BN197&lt;-6,$BR197&lt;70),"-",COUNTIFS(BI$4:BI$200,"&lt;&gt;-",$D$4:$D$200,"&lt;&gt;是",$E$4:$E$200,"&lt;&gt;封闭期",$H$4:$H$200,"&gt;10",$BN$4:$BN$200,"&gt;-6",$BR$4:$BR$200,"&gt;=70",$K$4:$K$200,"&lt;=30",$C$4:$C$200,"&lt;20190630",BI$4:BI$200,"&gt;="&amp;BI197)&amp;"/"&amp;COUNTIFS(BI$4:BI$200,"&lt;&gt;-",$D$4:$D$200,"&lt;&gt;是",$E$4:$E$200,"&lt;&gt;封闭期",$H$4:$H$200,"&gt;10",$BN$4:$BN$200,"&gt;-6",$BR$4:$BR$200,"&gt;=70",$C$4:$C$200,"&lt;20190630",$K$4:$K$200,"&lt;=30"))</f>
        <v>-</v>
      </c>
      <c r="BM197" s="33" t="str">
        <f>IF(OR($C197&gt;20190630,$K197&gt;30,BI197="-",$D197="是",$E197="封闭期",$H197&lt;10,$BN197&lt;-6,$BR197&lt;70),"-",COUNTIFS(BI$4:BI$200,"&lt;&gt;-",$D$4:$D$200,"&lt;&gt;是",$E$4:$E$200,"&lt;&gt;封闭期",$H$4:$H$200,"&gt;10",$BN$4:$BN$200,"&gt;-6",$BR$4:$BR$200,"&gt;=70",$K$4:$K$200,"&lt;=30",$C$4:$C$200,"&lt;20190630",BI$4:BI$200,"&gt;="&amp;BI197)/COUNTIFS(BI$4:BI$200,"&lt;&gt;-",$D$4:$D$200,"&lt;&gt;是",$E$4:$E$200,"&lt;&gt;封闭期",$H$4:$H$200,"&gt;10",$BN$4:$BN$200,"&gt;-6",$BR$4:$BR$200,"&gt;=70",$C$4:$C$200,"&lt;20190630",$K$4:$K$200,"&lt;=30"))</f>
        <v>-</v>
      </c>
      <c r="BN197" s="21">
        <f>[1]!f_risk_maxdownside(A197,$AM$2,$E$1)</f>
        <v>-4.7326986451849216</v>
      </c>
      <c r="BO197" s="21">
        <f>IF(C197&lt;20190930,[1]!f_return_2y(A197,"0","20210930"),"-")</f>
        <v>5.3342207853950567</v>
      </c>
      <c r="BP197" s="19" t="str">
        <f>IFERROR(RANK(BO197,BO:BO)&amp;"/"&amp;COUNT(BO:BO),"-")</f>
        <v>183/197</v>
      </c>
      <c r="BQ197" s="25">
        <f>IFERROR(RANK(BO197,BO:BO)/COUNT(BO:BO),"-")</f>
        <v>0.92893401015228427</v>
      </c>
      <c r="BR197" s="19">
        <f>IF(C197&lt;20190930,[1]!f_absolute_profitmonthper(A197,"20190930","20210930"),"-")</f>
        <v>70.833333333333343</v>
      </c>
      <c r="BS197" s="19" t="str">
        <f>IFERROR(RANK(BR197,BR:BR)&amp;"/"&amp;COUNT(BR:BR),"-")</f>
        <v>55/198</v>
      </c>
      <c r="BT197" s="25">
        <f>IFERROR(RANK(BR197,BR:BR)/COUNT(BR:BR),"-")</f>
        <v>0.27777777777777779</v>
      </c>
      <c r="BV197" s="12">
        <f>X197-3/M197</f>
        <v>0.35805971332376707</v>
      </c>
      <c r="BW197" s="76">
        <f>IFERROR(RANK(BV197,BV:BV)/COUNT(BV:BV),"-")</f>
        <v>0.79695431472081213</v>
      </c>
      <c r="BX197" s="76">
        <f>IFERROR(RANK(L197,L:L)/COUNT(L:L),"-")</f>
        <v>0.6767676767676768</v>
      </c>
      <c r="BY197" s="12">
        <f>AY197-3/AN197</f>
        <v>-0.39628397492163658</v>
      </c>
      <c r="BZ197" s="76">
        <f>IFERROR(RANK(BY197,BY:BY)/COUNT(BY:BY),"-")</f>
        <v>0.89847715736040612</v>
      </c>
      <c r="CA197" s="76">
        <f>IFERROR(RANK(AM197,AM:AM)/COUNT(AM:AM),"-")</f>
        <v>0.98484848484848486</v>
      </c>
      <c r="CB197" s="2"/>
      <c r="CC197" s="77">
        <f>AV197+BF197+BZ197+CA197</f>
        <v>3.7919550838332565</v>
      </c>
      <c r="CD197" s="77">
        <f>BW197+BX197+AE197+U197</f>
        <v>1.5346356970722452</v>
      </c>
      <c r="CE197" s="77">
        <f>CC197+CD197</f>
        <v>5.3265907809055015</v>
      </c>
    </row>
    <row r="198" spans="1:83" s="17" customFormat="1" hidden="1" x14ac:dyDescent="0.35">
      <c r="A198" s="15" t="s">
        <v>183</v>
      </c>
      <c r="B198" s="15" t="s">
        <v>184</v>
      </c>
      <c r="C198" s="16">
        <v>20141202</v>
      </c>
      <c r="D198" s="16" t="str">
        <f>[1]!f_info_regulopenfundornot(A198)</f>
        <v>否</v>
      </c>
      <c r="E198" s="16" t="str">
        <f>[1]!f_dq_status(A198,$E$1)</f>
        <v>开放申购|开放赎回</v>
      </c>
      <c r="F198" s="17" t="str">
        <f>[1]!f_info_fundmanager(A198)</f>
        <v>曹建华</v>
      </c>
      <c r="G198" s="16">
        <v>20210621</v>
      </c>
      <c r="H198" s="18">
        <f>[1]!f_netasset_total(A198,$E$1,100000000)</f>
        <v>0.14512096900000002</v>
      </c>
      <c r="I198" s="18">
        <f>[1]!f_prt_convertiblebondtonav(A198,$E$1)</f>
        <v>7.4808864593505859</v>
      </c>
      <c r="J198" s="18">
        <f>[1]!f_prt_stocktonav(A198,$E$1)+0.5*I198</f>
        <v>17.25941276550293</v>
      </c>
      <c r="K198" s="19">
        <v>11.71953310207018</v>
      </c>
      <c r="L198" s="19">
        <f>[1]!f_return($A198,"1",L$2,$E$1)</f>
        <v>-1.9611957276377545E-2</v>
      </c>
      <c r="M198" s="19">
        <f>[1]!f_risk_stdevyearly($A198,L$2,$E$1,1,1)</f>
        <v>5.6965725477052178</v>
      </c>
      <c r="N198" s="19">
        <f>IFERROR(L198/M198,"-")</f>
        <v>-3.4427644188044161E-3</v>
      </c>
      <c r="O198" s="19" t="str">
        <f>IFERROR(RANK(N198,N:N)&amp;"/"&amp;COUNT(N:N),"-")</f>
        <v>188/197</v>
      </c>
      <c r="P198" s="26">
        <f>IF(O198="-","-",RANK(N198,N:N)/COUNT(N:N))</f>
        <v>0.95431472081218272</v>
      </c>
      <c r="Q198" s="56">
        <v>0.95431472081218272</v>
      </c>
      <c r="R198" s="33" t="str">
        <f>IF(OR($C198&gt;20190630,$K198&gt;30,N198="-",$D198="是",$E198="封闭期",$H198&lt;10,$BN198&lt;-6,$BR198&lt;70),"-",COUNTIFS(N$4:N$200,"&lt;&gt;-",$D$4:$D$200,"&lt;&gt;是",$E$4:$E$200,"&lt;&gt;封闭期",$H$4:$H$200,"&gt;10",$BN$4:$BN$200,"&gt;-6",$BR$4:$BR$200,"&gt;=70",$K$4:$K$200,"&lt;=30",$C$4:$C$200,"&lt;20190630",N$4:N$200,"&gt;="&amp;N198)/COUNTIFS(N$4:N$200,"&lt;&gt;-",$D$4:$D$200,"&lt;&gt;是",$E$4:$E$200,"&lt;&gt;封闭期",$H$4:$H$200,"&gt;10",$BN$4:$BN$200,"&gt;-6",$BR$4:$BR$200,"&gt;=70",$C$4:$C$200,"&lt;20190630",$K$4:$K$200,"&lt;=30"))</f>
        <v>-</v>
      </c>
      <c r="S198" s="19">
        <f>IFERROR((L198-3)/M198,"-")</f>
        <v>-0.5300752218968553</v>
      </c>
      <c r="T198" s="19" t="str">
        <f>IFERROR(RANK(S198,S:S)&amp;"/"&amp;COUNT(S:S),"-")</f>
        <v>181/197</v>
      </c>
      <c r="U198" s="26">
        <f>IFERROR(RANK(S198,S:S)/COUNT(S:S),"-")</f>
        <v>0.91878172588832485</v>
      </c>
      <c r="V198" s="34" t="str">
        <f>IF(OR($C198&gt;20190630,$K198&gt;30,S198="-",$D198="是",$E198="封闭期",$H198&lt;10,$BN198&lt;-6,$BR198&lt;70),"-",COUNTIFS(S$4:S$200,"&lt;&gt;-",$D$4:$D$200,"&lt;&gt;是",$E$4:$E$200,"&lt;&gt;封闭期",$H$4:$H$200,"&gt;10",$BN$4:$BN$200,"&gt;-6",$BR$4:$BR$200,"&gt;=70",$K$4:$K$200,"&lt;=30",$C$4:$C$200,"&lt;20190630",S$4:S$200,"&gt;="&amp;S198)&amp;"/"&amp;COUNTIFS(S$4:S$200,"&lt;&gt;-",$D$4:$D$200,"&lt;&gt;是",$E$4:$E$200,"&lt;&gt;封闭期",$H$4:$H$200,"&gt;10",$BN$4:$BN$200,"&gt;-6",$BR$4:$BR$200,"&gt;=70",$C$4:$C$200,"&lt;20190630",$K$4:$K$200,"&lt;=30"))</f>
        <v>-</v>
      </c>
      <c r="W198" s="33" t="str">
        <f>IF(OR($C198&gt;20190630,$K198&gt;30,S198="-",$D198="是",$E198="封闭期",$H198&lt;10,$BN198&lt;-6,$BR198&lt;70),"-",COUNTIFS(S$4:S$200,"&lt;&gt;-",$D$4:$D$200,"&lt;&gt;是",$E$4:$E$200,"&lt;&gt;封闭期",$H$4:$H$200,"&gt;10",$BN$4:$BN$200,"&gt;-6",$BR$4:$BR$200,"&gt;=70",$K$4:$K$200,"&lt;=30",$C$4:$C$200,"&lt;20190630",S$4:S$200,"&gt;="&amp;S198)/COUNTIFS(S$4:S$200,"&lt;&gt;-",$D$4:$D$200,"&lt;&gt;是",$E$4:$E$200,"&lt;&gt;封闭期",$H$4:$H$200,"&gt;10",$BN$4:$BN$200,"&gt;-6",$BR$4:$BR$200,"&gt;=70",$C$4:$C$200,"&lt;20190630",$K$4:$K$200,"&lt;=30"))</f>
        <v>-</v>
      </c>
      <c r="X198" s="19">
        <f>[1]!f_risk_calmar(A198,$L$2,$E$1)</f>
        <v>-5.0415676969152671E-3</v>
      </c>
      <c r="Y198" s="19" t="str">
        <f>IFERROR(RANK(X198,X:X)&amp;"/"&amp;COUNT(X:X),"-")</f>
        <v>188/197</v>
      </c>
      <c r="Z198" s="26">
        <f>IFERROR(RANK(X198,X:X)/COUNT(X:X),"-")</f>
        <v>0.95431472081218272</v>
      </c>
      <c r="AA198" s="34" t="str">
        <f>IF(OR($C198&gt;20190630,$K198&gt;30,X198="-",$D198="是",$E198="封闭期",$H198&lt;10,$BN198&lt;-6,$BR198&lt;70),"-",COUNTIFS(X$4:X$200,"&lt;&gt;-",$D$4:$D$200,"&lt;&gt;是",$E$4:$E$200,"&lt;&gt;封闭期",$H$4:$H$200,"&gt;10",$BN$4:$BN$200,"&gt;-6",$BR$4:$BR$200,"&gt;=70",$K$4:$K$200,"&lt;=30",$C$4:$C$200,"&lt;20190630",X$4:X$200,"&gt;="&amp;X198)&amp;"/"&amp;COUNTIFS(X$4:X$200,"&lt;&gt;-",$D$4:$D$200,"&lt;&gt;是",$E$4:$E$200,"&lt;&gt;封闭期",$H$4:$H$200,"&gt;10",$BN$4:$BN$200,"&gt;-6",$BR$4:$BR$200,"&gt;=70",$C$4:$C$200,"&lt;20190630",$K$4:$K$200,"&lt;=30"))</f>
        <v>-</v>
      </c>
      <c r="AB198" s="33" t="str">
        <f>IF(OR($C198&gt;20190630,$K198&gt;30,X198="-",$D198="是",$E198="封闭期",$H198&lt;10,$BN198&lt;-6,$BR198&lt;70),"-",COUNTIFS(X$4:X$200,"&lt;&gt;-",$D$4:$D$200,"&lt;&gt;是",$E$4:$E$200,"&lt;&gt;封闭期",$H$4:$H$200,"&gt;10",$BN$4:$BN$200,"&gt;-6",$BR$4:$BR$200,"&gt;=70",$K$4:$K$200,"&lt;=30",$C$4:$C$200,"&lt;20190630",X$4:X$200,"&gt;="&amp;X198)/COUNTIFS(X$4:X$200,"&lt;&gt;-",$D$4:$D$200,"&lt;&gt;是",$E$4:$E$200,"&lt;&gt;封闭期",$H$4:$H$200,"&gt;10",$BN$4:$BN$200,"&gt;-6",$BR$4:$BR$200,"&gt;=70",$C$4:$C$200,"&lt;20190630",$K$4:$K$200,"&lt;=30"))</f>
        <v>-</v>
      </c>
      <c r="AC198" s="20">
        <v>0.60504201680672265</v>
      </c>
      <c r="AD198" s="19" t="str">
        <f>IFERROR(RANK(AC198,AC:AC)&amp;"/"&amp;COUNT(AC:AC),"-")</f>
        <v>178/197</v>
      </c>
      <c r="AE198" s="26">
        <f>IFERROR(RANK(AC198,AC:AC)/COUNT(AC:AC),"-")</f>
        <v>0.90355329949238583</v>
      </c>
      <c r="AF198" s="34" t="str">
        <f>IF(OR($C198&gt;20190630,$K198&gt;30,AC198="-",$D198="是",$E198="封闭期",$H198&lt;10,$BN198&lt;-6,$BR198&lt;70),"-",COUNTIFS(AC$4:AC$200,"&lt;&gt;-",$D$4:$D$200,"&lt;&gt;是",$E$4:$E$200,"&lt;&gt;封闭期",$H$4:$H$200,"&gt;10",$BN$4:$BN$200,"&gt;-6",$BR$4:$BR$200,"&gt;=70",$K$4:$K$200,"&lt;=30",$C$4:$C$200,"&lt;20190630",AC$4:AC$200,"&gt;="&amp;AC198)&amp;"/"&amp;COUNTIFS(AC$4:AC$200,"&lt;&gt;-",$D$4:$D$200,"&lt;&gt;是",$E$4:$E$200,"&lt;&gt;封闭期",$H$4:$H$200,"&gt;10",$BN$4:$BN$200,"&gt;-6",$BR$4:$BR$200,"&gt;=70",$C$4:$C$200,"&lt;20190630",$K$4:$K$200,"&lt;=30"))</f>
        <v>-</v>
      </c>
      <c r="AG198" s="33" t="str">
        <f>IF(OR($C198&gt;20190630,$K198&gt;30,AC198="-",$D198="是",$E198="封闭期",$H198&lt;10,$BN198&lt;-6,$BR198&lt;70),"-",COUNTIFS(AC$4:AC$200,"&lt;&gt;-",$D$4:$D$200,"&lt;&gt;是",$E$4:$E$200,"&lt;&gt;封闭期",$H$4:$H$200,"&gt;10",$BN$4:$BN$200,"&gt;-6",$BR$4:$BR$200,"&gt;=70",$K$4:$K$200,"&lt;=30",$C$4:$C$200,"&lt;20190630",AC$4:AC$200,"&gt;="&amp;AC198)/COUNTIFS(AC$4:AC$200,"&lt;&gt;-",$D$4:$D$200,"&lt;&gt;是",$E$4:$E$200,"&lt;&gt;封闭期",$H$4:$H$200,"&gt;10",$BN$4:$BN$200,"&gt;-6",$BR$4:$BR$200,"&gt;=70",$C$4:$C$200,"&lt;20190630",$K$4:$K$200,"&lt;=30"))</f>
        <v>-</v>
      </c>
      <c r="AH198" s="21">
        <f>[1]!f_risk_maxdownside(A198,$L$2,$E$1)</f>
        <v>-3.8900513600912894</v>
      </c>
      <c r="AI198" s="19" t="str">
        <f>IFERROR(RANK(AH198,AH:AH)&amp;"/"&amp;COUNT(AH:AH),"-")</f>
        <v>121/197</v>
      </c>
      <c r="AJ198" s="26">
        <f>IFERROR(RANK(AH198,AH:AH)/COUNT(AH:AH),"-")</f>
        <v>0.6142131979695431</v>
      </c>
      <c r="AK198" s="34" t="str">
        <f>IF(OR($C198&gt;20190630,$K198&gt;30,AH198="-",$D198="是",$E198="封闭期",$H198&lt;10,$BN198&lt;-6,$BR198&lt;70),"-",COUNTIFS(AH$4:AH$200,"&lt;&gt;-",$D$4:$D$200,"&lt;&gt;是",$E$4:$E$200,"&lt;&gt;封闭期",$H$4:$H$200,"&gt;10",$BN$4:$BN$200,"&gt;-6",$BR$4:$BR$200,"&gt;=70",$K$4:$K$200,"&lt;=30",$C$4:$C$200,"&lt;20190630",AH$4:AH$200,"&gt;="&amp;AH198)&amp;"/"&amp;COUNTIFS(AH$4:AH$200,"&lt;&gt;-",$D$4:$D$200,"&lt;&gt;是",$E$4:$E$200,"&lt;&gt;封闭期",$H$4:$H$200,"&gt;10",$BN$4:$BN$200,"&gt;-6",$BR$4:$BR$200,"&gt;=70",$C$4:$C$200,"&lt;20190630",$K$4:$K$200,"&lt;=30"))</f>
        <v>-</v>
      </c>
      <c r="AL198" s="33" t="str">
        <f>IF(OR($C198&gt;20190630,$K198&gt;30,AH198="-",$D198="是",$E198="封闭期",$H198&lt;10,$BN198&lt;-6,$BR198&lt;70),"-",COUNTIFS(AH$4:AH$200,"&lt;&gt;-",$D$4:$D$200,"&lt;&gt;是",$E$4:$E$200,"&lt;&gt;封闭期",$H$4:$H$200,"&gt;10",$BN$4:$BN$200,"&gt;-6",$BR$4:$BR$200,"&gt;=70",$K$4:$K$200,"&lt;=30",$C$4:$C$200,"&lt;20190630",AH$4:AH$200,"&gt;="&amp;AH198)/COUNTIFS(AH$4:AH$200,"&lt;&gt;-",$D$4:$D$200,"&lt;&gt;是",$E$4:$E$200,"&lt;&gt;封闭期",$H$4:$H$200,"&gt;10",$BN$4:$BN$200,"&gt;-6",$BR$4:$BR$200,"&gt;=70",$C$4:$C$200,"&lt;20190630",$K$4:$K$200,"&lt;=30"))</f>
        <v>-</v>
      </c>
      <c r="AM198" s="19">
        <f>[1]!f_return($A198,"1",AM$2,$L$2)</f>
        <v>-0.59362586669328143</v>
      </c>
      <c r="AN198" s="19">
        <f>[1]!f_risk_stdevyearly($A198,AM$2,$L$2,1,1)</f>
        <v>4.5929729742247973</v>
      </c>
      <c r="AO198" s="19">
        <f>IFERROR(AM198/AN198,"-")</f>
        <v>-0.12924654031814192</v>
      </c>
      <c r="AP198" s="19" t="str">
        <f>IFERROR(RANK(AO198,AO:AO)&amp;"/"&amp;COUNT(AO:AO),"-")</f>
        <v>195/197</v>
      </c>
      <c r="AQ198" s="26">
        <f>IF(AP198="-","-",RANK(AO198,AO:AO)/COUNT(AO:AO))</f>
        <v>0.98984771573604058</v>
      </c>
      <c r="AR198" s="57">
        <v>0.98984771573604058</v>
      </c>
      <c r="AS198" s="33" t="str">
        <f>IF(OR($C198&gt;20190630,$K198&gt;30,AO198="-",$D198="是",$E198="封闭期",$H198&lt;10,$BN198&lt;-6,$BR198&lt;70),"-",COUNTIFS(AO$4:AO$200,"&lt;&gt;-",$D$4:$D$200,"&lt;&gt;是",$E$4:$E$200,"&lt;&gt;封闭期",$H$4:$H$200,"&gt;10",$BN$4:$BN$200,"&gt;-6",$BR$4:$BR$200,"&gt;=70",$K$4:$K$200,"&lt;=30",$C$4:$C$200,"&lt;20190630",AO$4:AO$200,"&gt;="&amp;AO198)/COUNTIFS(AO$4:AO$200,"&lt;&gt;-",$D$4:$D$200,"&lt;&gt;是",$E$4:$E$200,"&lt;&gt;封闭期",$H$4:$H$200,"&gt;10",$BN$4:$BN$200,"&gt;-6",$BR$4:$BR$200,"&gt;=70",$C$4:$C$200,"&lt;20190630",$K$4:$K$200,"&lt;=30"))</f>
        <v>-</v>
      </c>
      <c r="AT198" s="19">
        <f>IFERROR((AM198-3)/AN198,"-")</f>
        <v>-0.78241824780164615</v>
      </c>
      <c r="AU198" s="19" t="str">
        <f>IFERROR(RANK(AT198,AT:AT)&amp;"/"&amp;COUNT(AT:AT),"-")</f>
        <v>191/197</v>
      </c>
      <c r="AV198" s="26">
        <f>IFERROR(RANK(AT198,AT:AT)/COUNT(AT:AT),"-")</f>
        <v>0.96954314720812185</v>
      </c>
      <c r="AW198" s="34" t="str">
        <f>IF(OR($C198&gt;20190630,$K198&gt;30,AT198="-",$D198="是",$E198="封闭期",$H198&lt;10,$BN198&lt;-6,$BR198&lt;70),"-",COUNTIFS(AT$4:AT$200,"&lt;&gt;-",$D$4:$D$200,"&lt;&gt;是",$E$4:$E$200,"&lt;&gt;封闭期",$H$4:$H$200,"&gt;10",$BN$4:$BN$200,"&gt;-6",$BR$4:$BR$200,"&gt;=70",$K$4:$K$200,"&lt;=30",$C$4:$C$200,"&lt;20190630",AT$4:AT$200,"&gt;="&amp;AT198)&amp;"/"&amp;COUNTIFS(AT$4:AT$200,"&lt;&gt;-",$D$4:$D$200,"&lt;&gt;是",$E$4:$E$200,"&lt;&gt;封闭期",$H$4:$H$200,"&gt;10",$BN$4:$BN$200,"&gt;-6",$BR$4:$BR$200,"&gt;=70",$C$4:$C$200,"&lt;20190630",$K$4:$K$200,"&lt;=30"))</f>
        <v>-</v>
      </c>
      <c r="AX198" s="33" t="str">
        <f>IF(OR($C198&gt;20190630,$K198&gt;30,AT198="-",$D198="是",$E198="封闭期",$H198&lt;10,$BN198&lt;-6,$BR198&lt;70),"-",COUNTIFS(AT$4:AT$200,"&lt;&gt;-",$D$4:$D$200,"&lt;&gt;是",$E$4:$E$200,"&lt;&gt;封闭期",$H$4:$H$200,"&gt;10",$BN$4:$BN$200,"&gt;-6",$BR$4:$BR$200,"&gt;=70",$K$4:$K$200,"&lt;=30",$C$4:$C$200,"&lt;20190630",AT$4:AT$200,"&gt;="&amp;AT198)/COUNTIFS(AT$4:AT$200,"&lt;&gt;-",$D$4:$D$200,"&lt;&gt;是",$E$4:$E$200,"&lt;&gt;封闭期",$H$4:$H$200,"&gt;10",$BN$4:$BN$200,"&gt;-6",$BR$4:$BR$200,"&gt;=70",$C$4:$C$200,"&lt;20190630",$K$4:$K$200,"&lt;=30"))</f>
        <v>-</v>
      </c>
      <c r="AY198" s="19">
        <f>[1]!f_risk_calmar(A198,$AM$2,$L$2)</f>
        <v>-0.11643360289737724</v>
      </c>
      <c r="AZ198" s="19" t="str">
        <f>IFERROR(RANK(AY198,AY:AY)&amp;"/"&amp;COUNT(AY:AY),"-")</f>
        <v>195/197</v>
      </c>
      <c r="BA198" s="26">
        <f>IFERROR(RANK(AY198,AY:AY)/COUNT(AY:AY),"-")</f>
        <v>0.98984771573604058</v>
      </c>
      <c r="BB198" s="34" t="str">
        <f>IF(OR($C198&gt;20190630,$K198&gt;30,AY198="-",$D198="是",$E198="封闭期",$H198&lt;10,$BN198&lt;-6,$BR198&lt;70),"-",COUNTIFS(AY$4:AY$200,"&lt;&gt;-",$D$4:$D$200,"&lt;&gt;是",$E$4:$E$200,"&lt;&gt;封闭期",$H$4:$H$200,"&gt;10",$BN$4:$BN$200,"&gt;-6",$BR$4:$BR$200,"&gt;=70",$K$4:$K$200,"&lt;=30",$C$4:$C$200,"&lt;20190630",AY$4:AY$200,"&gt;="&amp;AY198)&amp;"/"&amp;COUNTIFS(AY$4:AY$200,"&lt;&gt;-",$D$4:$D$200,"&lt;&gt;是",$E$4:$E$200,"&lt;&gt;封闭期",$H$4:$H$200,"&gt;10",$BN$4:$BN$200,"&gt;-6",$BR$4:$BR$200,"&gt;=70",$C$4:$C$200,"&lt;20190630",$K$4:$K$200,"&lt;=30"))</f>
        <v>-</v>
      </c>
      <c r="BC198" s="33" t="str">
        <f>IF(OR($C198&gt;20190630,$K198&gt;30,AY198="-",$D198="是",$E198="封闭期",$H198&lt;10,$BN198&lt;-6,$BR198&lt;70),"-",COUNTIFS(AY$4:AY$200,"&lt;&gt;-",$D$4:$D$200,"&lt;&gt;是",$E$4:$E$200,"&lt;&gt;封闭期",$H$4:$H$200,"&gt;10",$BN$4:$BN$200,"&gt;-6",$BR$4:$BR$200,"&gt;=70",$K$4:$K$200,"&lt;=30",$C$4:$C$200,"&lt;20190630",AY$4:AY$200,"&gt;="&amp;AY198)/COUNTIFS(AY$4:AY$200,"&lt;&gt;-",$D$4:$D$200,"&lt;&gt;是",$E$4:$E$200,"&lt;&gt;封闭期",$H$4:$H$200,"&gt;10",$BN$4:$BN$200,"&gt;-6",$BR$4:$BR$200,"&gt;=70",$C$4:$C$200,"&lt;20190630",$K$4:$K$200,"&lt;=30"))</f>
        <v>-</v>
      </c>
      <c r="BD198" s="20">
        <v>0.57499999999999996</v>
      </c>
      <c r="BE198" s="19" t="str">
        <f>IFERROR(RANK(BD198,BD:BD)&amp;"/"&amp;COUNT(BD:BD),"-")</f>
        <v>191/197</v>
      </c>
      <c r="BF198" s="26">
        <f>IFERROR(RANK(BD198,BD:BD)/COUNT(BD:BD),"-")</f>
        <v>0.96954314720812185</v>
      </c>
      <c r="BG198" s="34" t="str">
        <f>IF(OR($C198&gt;20190630,$K198&gt;30,BD198="-",$D198="是",$E198="封闭期",$H198&lt;10,$BN198&lt;-6,$BR198&lt;70),"-",COUNTIFS(BD$4:BD$200,"&lt;&gt;-",$D$4:$D$200,"&lt;&gt;是",$E$4:$E$200,"&lt;&gt;封闭期",$H$4:$H$200,"&gt;10",$BN$4:$BN$200,"&gt;-6",$BR$4:$BR$200,"&gt;=70",$K$4:$K$200,"&lt;=30",$C$4:$C$200,"&lt;20190630",BD$4:BD$200,"&gt;="&amp;BD198)&amp;"/"&amp;COUNTIFS(BD$4:BD$200,"&lt;&gt;-",$D$4:$D$200,"&lt;&gt;是",$E$4:$E$200,"&lt;&gt;封闭期",$H$4:$H$200,"&gt;10",$BN$4:$BN$200,"&gt;-6",$BR$4:$BR$200,"&gt;=70",$C$4:$C$200,"&lt;20190630",$K$4:$K$200,"&lt;=30"))</f>
        <v>-</v>
      </c>
      <c r="BH198" s="33" t="str">
        <f>IF(OR($C198&gt;20190630,$K198&gt;30,BD198="-",$D198="是",$E198="封闭期",$H198&lt;10,$BN198&lt;-6,$BR198&lt;70),"-",COUNTIFS(BD$4:BD$200,"&lt;&gt;-",$D$4:$D$200,"&lt;&gt;是",$E$4:$E$200,"&lt;&gt;封闭期",$H$4:$H$200,"&gt;10",$BN$4:$BN$200,"&gt;-6",$BR$4:$BR$200,"&gt;=70",$K$4:$K$200,"&lt;=30",$C$4:$C$200,"&lt;20190630",BD$4:BD$200,"&gt;="&amp;BD198)/COUNTIFS(BD$4:BD$200,"&lt;&gt;-",$D$4:$D$200,"&lt;&gt;是",$E$4:$E$200,"&lt;&gt;封闭期",$H$4:$H$200,"&gt;10",$BN$4:$BN$200,"&gt;-6",$BR$4:$BR$200,"&gt;=70",$C$4:$C$200,"&lt;20190630",$K$4:$K$200,"&lt;=30"))</f>
        <v>-</v>
      </c>
      <c r="BI198" s="21">
        <f>[1]!f_risk_maxdownside(A198,$AM$2,$L$2)</f>
        <v>-5.0984067478912767</v>
      </c>
      <c r="BJ198" s="19" t="str">
        <f>IFERROR(RANK(BI198,BI:BI)&amp;"/"&amp;COUNT(BI:BI),"-")</f>
        <v>156/197</v>
      </c>
      <c r="BK198" s="26">
        <f>IFERROR(RANK(BI198,BI:BI)/COUNT(BI:BI),"-")</f>
        <v>0.79187817258883253</v>
      </c>
      <c r="BL198" s="34" t="str">
        <f>IF(OR($C198&gt;20190630,$K198&gt;30,BI198="-",$D198="是",$E198="封闭期",$H198&lt;10,$BN198&lt;-6,$BR198&lt;70),"-",COUNTIFS(BI$4:BI$200,"&lt;&gt;-",$D$4:$D$200,"&lt;&gt;是",$E$4:$E$200,"&lt;&gt;封闭期",$H$4:$H$200,"&gt;10",$BN$4:$BN$200,"&gt;-6",$BR$4:$BR$200,"&gt;=70",$K$4:$K$200,"&lt;=30",$C$4:$C$200,"&lt;20190630",BI$4:BI$200,"&gt;="&amp;BI198)&amp;"/"&amp;COUNTIFS(BI$4:BI$200,"&lt;&gt;-",$D$4:$D$200,"&lt;&gt;是",$E$4:$E$200,"&lt;&gt;封闭期",$H$4:$H$200,"&gt;10",$BN$4:$BN$200,"&gt;-6",$BR$4:$BR$200,"&gt;=70",$C$4:$C$200,"&lt;20190630",$K$4:$K$200,"&lt;=30"))</f>
        <v>-</v>
      </c>
      <c r="BM198" s="33" t="str">
        <f>IF(OR($C198&gt;20190630,$K198&gt;30,BI198="-",$D198="是",$E198="封闭期",$H198&lt;10,$BN198&lt;-6,$BR198&lt;70),"-",COUNTIFS(BI$4:BI$200,"&lt;&gt;-",$D$4:$D$200,"&lt;&gt;是",$E$4:$E$200,"&lt;&gt;封闭期",$H$4:$H$200,"&gt;10",$BN$4:$BN$200,"&gt;-6",$BR$4:$BR$200,"&gt;=70",$K$4:$K$200,"&lt;=30",$C$4:$C$200,"&lt;20190630",BI$4:BI$200,"&gt;="&amp;BI198)/COUNTIFS(BI$4:BI$200,"&lt;&gt;-",$D$4:$D$200,"&lt;&gt;是",$E$4:$E$200,"&lt;&gt;封闭期",$H$4:$H$200,"&gt;10",$BN$4:$BN$200,"&gt;-6",$BR$4:$BR$200,"&gt;=70",$C$4:$C$200,"&lt;20190630",$K$4:$K$200,"&lt;=30"))</f>
        <v>-</v>
      </c>
      <c r="BN198" s="21">
        <f>[1]!f_risk_maxdownside(A198,$AM$2,$E$1)</f>
        <v>-5.3045923149015888</v>
      </c>
      <c r="BO198" s="21">
        <f>IF(C198&lt;20190930,[1]!f_return_2y(A198,"0","20210930"),"-")</f>
        <v>-0.57690427300284641</v>
      </c>
      <c r="BP198" s="19" t="str">
        <f>IFERROR(RANK(BO198,BO:BO)&amp;"/"&amp;COUNT(BO:BO),"-")</f>
        <v>194/197</v>
      </c>
      <c r="BQ198" s="25">
        <f>IFERROR(RANK(BO198,BO:BO)/COUNT(BO:BO),"-")</f>
        <v>0.98477157360406087</v>
      </c>
      <c r="BR198" s="19">
        <f>IF(C198&lt;20190930,[1]!f_absolute_profitmonthper(A198,"20190930","20210930"),"-")</f>
        <v>50</v>
      </c>
      <c r="BS198" s="19" t="str">
        <f>IFERROR(RANK(BR198,BR:BR)&amp;"/"&amp;COUNT(BR:BR),"-")</f>
        <v>193/198</v>
      </c>
      <c r="BT198" s="25">
        <f>IFERROR(RANK(BR198,BR:BR)/COUNT(BR:BR),"-")</f>
        <v>0.9747474747474747</v>
      </c>
      <c r="BV198" s="12">
        <f>X198-3/M198</f>
        <v>-0.53167402517496609</v>
      </c>
      <c r="BW198" s="76">
        <f>IFERROR(RANK(BV198,BV:BV)/COUNT(BV:BV),"-")</f>
        <v>0.91878172588832485</v>
      </c>
      <c r="BX198" s="76">
        <f>IFERROR(RANK(L198,L:L)/COUNT(L:L),"-")</f>
        <v>0.95454545454545459</v>
      </c>
      <c r="BY198" s="12">
        <f>AY198-3/AN198</f>
        <v>-0.76960531038088154</v>
      </c>
      <c r="BZ198" s="76">
        <f>IFERROR(RANK(BY198,BY:BY)/COUNT(BY:BY),"-")</f>
        <v>0.91878172588832485</v>
      </c>
      <c r="CA198" s="76">
        <f>IFERROR(RANK(AM198,AM:AM)/COUNT(AM:AM),"-")</f>
        <v>0.98989898989898994</v>
      </c>
      <c r="CB198" s="2"/>
      <c r="CC198" s="77">
        <f>AV198+BF198+BZ198+CA198</f>
        <v>3.8477670102035586</v>
      </c>
      <c r="CD198" s="77">
        <f>BW198+BX198+AE198+U198</f>
        <v>3.6956622058144903</v>
      </c>
      <c r="CE198" s="77">
        <f>CC198+CD198</f>
        <v>7.5434292160180494</v>
      </c>
    </row>
    <row r="199" spans="1:83" s="17" customFormat="1" hidden="1" x14ac:dyDescent="0.35">
      <c r="A199" s="15" t="s">
        <v>341</v>
      </c>
      <c r="B199" s="15" t="s">
        <v>342</v>
      </c>
      <c r="C199" s="16">
        <v>20170817</v>
      </c>
      <c r="D199" s="16" t="str">
        <f>[1]!f_info_regulopenfundornot(A199)</f>
        <v>否</v>
      </c>
      <c r="E199" s="16" t="str">
        <f>[1]!f_dq_status(A199,$E$1)</f>
        <v>暂停申购|开放赎回</v>
      </c>
      <c r="F199" s="17" t="str">
        <f>[1]!f_info_fundmanager(A199)</f>
        <v>闫宜乘</v>
      </c>
      <c r="G199" s="16">
        <v>20210922</v>
      </c>
      <c r="H199" s="18">
        <f>[1]!f_netasset_total(A199,$E$1,100000000)</f>
        <v>6.8726711999999995E-2</v>
      </c>
      <c r="I199" s="18">
        <f>[1]!f_prt_convertiblebondtonav(A199,$E$1)</f>
        <v>0</v>
      </c>
      <c r="J199" s="18">
        <f>[1]!f_prt_stocktonav(A199,$E$1)+0.5*I199</f>
        <v>0</v>
      </c>
      <c r="K199" s="19">
        <v>72.286304050163196</v>
      </c>
      <c r="L199" s="19">
        <f>[1]!f_return($A199,"1",L$2,$E$1)</f>
        <v>-0.73022430104204838</v>
      </c>
      <c r="M199" s="19">
        <f>[1]!f_risk_stdevyearly($A199,L$2,$E$1,1,1)</f>
        <v>0.48656952157942257</v>
      </c>
      <c r="N199" s="19">
        <f>IFERROR(L199/M199,"-")</f>
        <v>-1.5007604641402803</v>
      </c>
      <c r="O199" s="19" t="str">
        <f>IFERROR(RANK(N199,N:N)&amp;"/"&amp;COUNT(N:N),"-")</f>
        <v>197/197</v>
      </c>
      <c r="P199" s="26">
        <f>IF(O199="-","-",RANK(N199,N:N)/COUNT(N:N))</f>
        <v>1</v>
      </c>
      <c r="Q199" s="56">
        <v>0.95939086294416243</v>
      </c>
      <c r="R199" s="33" t="str">
        <f>IF(OR($C199&gt;20190630,$K199&gt;30,N199="-",$D199="是",$E199="封闭期",$H199&lt;10,$BN199&lt;-6,$BR199&lt;70),"-",COUNTIFS(N$4:N$200,"&lt;&gt;-",$D$4:$D$200,"&lt;&gt;是",$E$4:$E$200,"&lt;&gt;封闭期",$H$4:$H$200,"&gt;10",$BN$4:$BN$200,"&gt;-6",$BR$4:$BR$200,"&gt;=70",$K$4:$K$200,"&lt;=30",$C$4:$C$200,"&lt;20190630",N$4:N$200,"&gt;="&amp;N199)/COUNTIFS(N$4:N$200,"&lt;&gt;-",$D$4:$D$200,"&lt;&gt;是",$E$4:$E$200,"&lt;&gt;封闭期",$H$4:$H$200,"&gt;10",$BN$4:$BN$200,"&gt;-6",$BR$4:$BR$200,"&gt;=70",$C$4:$C$200,"&lt;20190630",$K$4:$K$200,"&lt;=30"))</f>
        <v>-</v>
      </c>
      <c r="S199" s="19">
        <f>IFERROR((L199-3)/M199,"-")</f>
        <v>-7.6663747637410644</v>
      </c>
      <c r="T199" s="19" t="str">
        <f>IFERROR(RANK(S199,S:S)&amp;"/"&amp;COUNT(S:S),"-")</f>
        <v>197/197</v>
      </c>
      <c r="U199" s="26">
        <f>IFERROR(RANK(S199,S:S)/COUNT(S:S),"-")</f>
        <v>1</v>
      </c>
      <c r="V199" s="34" t="str">
        <f>IF(OR($C199&gt;20190630,$K199&gt;30,S199="-",$D199="是",$E199="封闭期",$H199&lt;10,$BN199&lt;-6,$BR199&lt;70),"-",COUNTIFS(S$4:S$200,"&lt;&gt;-",$D$4:$D$200,"&lt;&gt;是",$E$4:$E$200,"&lt;&gt;封闭期",$H$4:$H$200,"&gt;10",$BN$4:$BN$200,"&gt;-6",$BR$4:$BR$200,"&gt;=70",$K$4:$K$200,"&lt;=30",$C$4:$C$200,"&lt;20190630",S$4:S$200,"&gt;="&amp;S199)&amp;"/"&amp;COUNTIFS(S$4:S$200,"&lt;&gt;-",$D$4:$D$200,"&lt;&gt;是",$E$4:$E$200,"&lt;&gt;封闭期",$H$4:$H$200,"&gt;10",$BN$4:$BN$200,"&gt;-6",$BR$4:$BR$200,"&gt;=70",$C$4:$C$200,"&lt;20190630",$K$4:$K$200,"&lt;=30"))</f>
        <v>-</v>
      </c>
      <c r="W199" s="33" t="str">
        <f>IF(OR($C199&gt;20190630,$K199&gt;30,S199="-",$D199="是",$E199="封闭期",$H199&lt;10,$BN199&lt;-6,$BR199&lt;70),"-",COUNTIFS(S$4:S$200,"&lt;&gt;-",$D$4:$D$200,"&lt;&gt;是",$E$4:$E$200,"&lt;&gt;封闭期",$H$4:$H$200,"&gt;10",$BN$4:$BN$200,"&gt;-6",$BR$4:$BR$200,"&gt;=70",$K$4:$K$200,"&lt;=30",$C$4:$C$200,"&lt;20190630",S$4:S$200,"&gt;="&amp;S199)/COUNTIFS(S$4:S$200,"&lt;&gt;-",$D$4:$D$200,"&lt;&gt;是",$E$4:$E$200,"&lt;&gt;封闭期",$H$4:$H$200,"&gt;10",$BN$4:$BN$200,"&gt;-6",$BR$4:$BR$200,"&gt;=70",$C$4:$C$200,"&lt;20190630",$K$4:$K$200,"&lt;=30"))</f>
        <v>-</v>
      </c>
      <c r="X199" s="19">
        <f>[1]!f_risk_calmar(A199,$L$2,$E$1)</f>
        <v>-0.99727775970885368</v>
      </c>
      <c r="Y199" s="19" t="str">
        <f>IFERROR(RANK(X199,X:X)&amp;"/"&amp;COUNT(X:X),"-")</f>
        <v>197/197</v>
      </c>
      <c r="Z199" s="26">
        <f>IFERROR(RANK(X199,X:X)/COUNT(X:X),"-")</f>
        <v>1</v>
      </c>
      <c r="AA199" s="34" t="str">
        <f>IF(OR($C199&gt;20190630,$K199&gt;30,X199="-",$D199="是",$E199="封闭期",$H199&lt;10,$BN199&lt;-6,$BR199&lt;70),"-",COUNTIFS(X$4:X$200,"&lt;&gt;-",$D$4:$D$200,"&lt;&gt;是",$E$4:$E$200,"&lt;&gt;封闭期",$H$4:$H$200,"&gt;10",$BN$4:$BN$200,"&gt;-6",$BR$4:$BR$200,"&gt;=70",$K$4:$K$200,"&lt;=30",$C$4:$C$200,"&lt;20190630",X$4:X$200,"&gt;="&amp;X199)&amp;"/"&amp;COUNTIFS(X$4:X$200,"&lt;&gt;-",$D$4:$D$200,"&lt;&gt;是",$E$4:$E$200,"&lt;&gt;封闭期",$H$4:$H$200,"&gt;10",$BN$4:$BN$200,"&gt;-6",$BR$4:$BR$200,"&gt;=70",$C$4:$C$200,"&lt;20190630",$K$4:$K$200,"&lt;=30"))</f>
        <v>-</v>
      </c>
      <c r="AB199" s="33" t="str">
        <f>IF(OR($C199&gt;20190630,$K199&gt;30,X199="-",$D199="是",$E199="封闭期",$H199&lt;10,$BN199&lt;-6,$BR199&lt;70),"-",COUNTIFS(X$4:X$200,"&lt;&gt;-",$D$4:$D$200,"&lt;&gt;是",$E$4:$E$200,"&lt;&gt;封闭期",$H$4:$H$200,"&gt;10",$BN$4:$BN$200,"&gt;-6",$BR$4:$BR$200,"&gt;=70",$K$4:$K$200,"&lt;=30",$C$4:$C$200,"&lt;20190630",X$4:X$200,"&gt;="&amp;X199)/COUNTIFS(X$4:X$200,"&lt;&gt;-",$D$4:$D$200,"&lt;&gt;是",$E$4:$E$200,"&lt;&gt;封闭期",$H$4:$H$200,"&gt;10",$BN$4:$BN$200,"&gt;-6",$BR$4:$BR$200,"&gt;=70",$C$4:$C$200,"&lt;20190630",$K$4:$K$200,"&lt;=30"))</f>
        <v>-</v>
      </c>
      <c r="AC199" s="20">
        <v>0</v>
      </c>
      <c r="AD199" s="19" t="str">
        <f>IFERROR(RANK(AC199,AC:AC)&amp;"/"&amp;COUNT(AC:AC),"-")</f>
        <v>197/197</v>
      </c>
      <c r="AE199" s="26">
        <f>IFERROR(RANK(AC199,AC:AC)/COUNT(AC:AC),"-")</f>
        <v>1</v>
      </c>
      <c r="AF199" s="34" t="str">
        <f>IF(OR($C199&gt;20190630,$K199&gt;30,AC199="-",$D199="是",$E199="封闭期",$H199&lt;10,$BN199&lt;-6,$BR199&lt;70),"-",COUNTIFS(AC$4:AC$200,"&lt;&gt;-",$D$4:$D$200,"&lt;&gt;是",$E$4:$E$200,"&lt;&gt;封闭期",$H$4:$H$200,"&gt;10",$BN$4:$BN$200,"&gt;-6",$BR$4:$BR$200,"&gt;=70",$K$4:$K$200,"&lt;=30",$C$4:$C$200,"&lt;20190630",AC$4:AC$200,"&gt;="&amp;AC199)&amp;"/"&amp;COUNTIFS(AC$4:AC$200,"&lt;&gt;-",$D$4:$D$200,"&lt;&gt;是",$E$4:$E$200,"&lt;&gt;封闭期",$H$4:$H$200,"&gt;10",$BN$4:$BN$200,"&gt;-6",$BR$4:$BR$200,"&gt;=70",$C$4:$C$200,"&lt;20190630",$K$4:$K$200,"&lt;=30"))</f>
        <v>-</v>
      </c>
      <c r="AG199" s="33" t="str">
        <f>IF(OR($C199&gt;20190630,$K199&gt;30,AC199="-",$D199="是",$E199="封闭期",$H199&lt;10,$BN199&lt;-6,$BR199&lt;70),"-",COUNTIFS(AC$4:AC$200,"&lt;&gt;-",$D$4:$D$200,"&lt;&gt;是",$E$4:$E$200,"&lt;&gt;封闭期",$H$4:$H$200,"&gt;10",$BN$4:$BN$200,"&gt;-6",$BR$4:$BR$200,"&gt;=70",$K$4:$K$200,"&lt;=30",$C$4:$C$200,"&lt;20190630",AC$4:AC$200,"&gt;="&amp;AC199)/COUNTIFS(AC$4:AC$200,"&lt;&gt;-",$D$4:$D$200,"&lt;&gt;是",$E$4:$E$200,"&lt;&gt;封闭期",$H$4:$H$200,"&gt;10",$BN$4:$BN$200,"&gt;-6",$BR$4:$BR$200,"&gt;=70",$C$4:$C$200,"&lt;20190630",$K$4:$K$200,"&lt;=30"))</f>
        <v>-</v>
      </c>
      <c r="AH199" s="21">
        <f>[1]!f_risk_maxdownside(A199,$L$2,$E$1)</f>
        <v>-0.73221757322175807</v>
      </c>
      <c r="AI199" s="19" t="str">
        <f>IFERROR(RANK(AH199,AH:AH)&amp;"/"&amp;COUNT(AH:AH),"-")</f>
        <v>14/197</v>
      </c>
      <c r="AJ199" s="26">
        <f>IFERROR(RANK(AH199,AH:AH)/COUNT(AH:AH),"-")</f>
        <v>7.1065989847715741E-2</v>
      </c>
      <c r="AK199" s="34" t="str">
        <f>IF(OR($C199&gt;20190630,$K199&gt;30,AH199="-",$D199="是",$E199="封闭期",$H199&lt;10,$BN199&lt;-6,$BR199&lt;70),"-",COUNTIFS(AH$4:AH$200,"&lt;&gt;-",$D$4:$D$200,"&lt;&gt;是",$E$4:$E$200,"&lt;&gt;封闭期",$H$4:$H$200,"&gt;10",$BN$4:$BN$200,"&gt;-6",$BR$4:$BR$200,"&gt;=70",$K$4:$K$200,"&lt;=30",$C$4:$C$200,"&lt;20190630",AH$4:AH$200,"&gt;="&amp;AH199)&amp;"/"&amp;COUNTIFS(AH$4:AH$200,"&lt;&gt;-",$D$4:$D$200,"&lt;&gt;是",$E$4:$E$200,"&lt;&gt;封闭期",$H$4:$H$200,"&gt;10",$BN$4:$BN$200,"&gt;-6",$BR$4:$BR$200,"&gt;=70",$C$4:$C$200,"&lt;20190630",$K$4:$K$200,"&lt;=30"))</f>
        <v>-</v>
      </c>
      <c r="AL199" s="33" t="str">
        <f>IF(OR($C199&gt;20190630,$K199&gt;30,AH199="-",$D199="是",$E199="封闭期",$H199&lt;10,$BN199&lt;-6,$BR199&lt;70),"-",COUNTIFS(AH$4:AH$200,"&lt;&gt;-",$D$4:$D$200,"&lt;&gt;是",$E$4:$E$200,"&lt;&gt;封闭期",$H$4:$H$200,"&gt;10",$BN$4:$BN$200,"&gt;-6",$BR$4:$BR$200,"&gt;=70",$K$4:$K$200,"&lt;=30",$C$4:$C$200,"&lt;20190630",AH$4:AH$200,"&gt;="&amp;AH199)/COUNTIFS(AH$4:AH$200,"&lt;&gt;-",$D$4:$D$200,"&lt;&gt;是",$E$4:$E$200,"&lt;&gt;封闭期",$H$4:$H$200,"&gt;10",$BN$4:$BN$200,"&gt;-6",$BR$4:$BR$200,"&gt;=70",$C$4:$C$200,"&lt;20190630",$K$4:$K$200,"&lt;=30"))</f>
        <v>-</v>
      </c>
      <c r="AM199" s="19">
        <f>[1]!f_return($A199,"1",AM$2,$L$2)</f>
        <v>-0.92758361241910281</v>
      </c>
      <c r="AN199" s="19">
        <f>[1]!f_risk_stdevyearly($A199,AM$2,$L$2,1,1)</f>
        <v>0.58354864252432515</v>
      </c>
      <c r="AO199" s="19">
        <f>IFERROR(AM199/AN199,"-")</f>
        <v>-1.5895566278871716</v>
      </c>
      <c r="AP199" s="19" t="str">
        <f>IFERROR(RANK(AO199,AO:AO)&amp;"/"&amp;COUNT(AO:AO),"-")</f>
        <v>197/197</v>
      </c>
      <c r="AQ199" s="26">
        <f>IF(AP199="-","-",RANK(AO199,AO:AO)/COUNT(AO:AO))</f>
        <v>1</v>
      </c>
      <c r="AR199" s="57">
        <v>0.99492385786802029</v>
      </c>
      <c r="AS199" s="33" t="str">
        <f>IF(OR($C199&gt;20190630,$K199&gt;30,AO199="-",$D199="是",$E199="封闭期",$H199&lt;10,$BN199&lt;-6,$BR199&lt;70),"-",COUNTIFS(AO$4:AO$200,"&lt;&gt;-",$D$4:$D$200,"&lt;&gt;是",$E$4:$E$200,"&lt;&gt;封闭期",$H$4:$H$200,"&gt;10",$BN$4:$BN$200,"&gt;-6",$BR$4:$BR$200,"&gt;=70",$K$4:$K$200,"&lt;=30",$C$4:$C$200,"&lt;20190630",AO$4:AO$200,"&gt;="&amp;AO199)/COUNTIFS(AO$4:AO$200,"&lt;&gt;-",$D$4:$D$200,"&lt;&gt;是",$E$4:$E$200,"&lt;&gt;封闭期",$H$4:$H$200,"&gt;10",$BN$4:$BN$200,"&gt;-6",$BR$4:$BR$200,"&gt;=70",$C$4:$C$200,"&lt;20190630",$K$4:$K$200,"&lt;=30"))</f>
        <v>-</v>
      </c>
      <c r="AT199" s="19">
        <f>IFERROR((AM199-3)/AN199,"-")</f>
        <v>-6.7305162349947238</v>
      </c>
      <c r="AU199" s="19" t="str">
        <f>IFERROR(RANK(AT199,AT:AT)&amp;"/"&amp;COUNT(AT:AT),"-")</f>
        <v>197/197</v>
      </c>
      <c r="AV199" s="26">
        <f>IFERROR(RANK(AT199,AT:AT)/COUNT(AT:AT),"-")</f>
        <v>1</v>
      </c>
      <c r="AW199" s="34" t="str">
        <f>IF(OR($C199&gt;20190630,$K199&gt;30,AT199="-",$D199="是",$E199="封闭期",$H199&lt;10,$BN199&lt;-6,$BR199&lt;70),"-",COUNTIFS(AT$4:AT$200,"&lt;&gt;-",$D$4:$D$200,"&lt;&gt;是",$E$4:$E$200,"&lt;&gt;封闭期",$H$4:$H$200,"&gt;10",$BN$4:$BN$200,"&gt;-6",$BR$4:$BR$200,"&gt;=70",$K$4:$K$200,"&lt;=30",$C$4:$C$200,"&lt;20190630",AT$4:AT$200,"&gt;="&amp;AT199)&amp;"/"&amp;COUNTIFS(AT$4:AT$200,"&lt;&gt;-",$D$4:$D$200,"&lt;&gt;是",$E$4:$E$200,"&lt;&gt;封闭期",$H$4:$H$200,"&gt;10",$BN$4:$BN$200,"&gt;-6",$BR$4:$BR$200,"&gt;=70",$C$4:$C$200,"&lt;20190630",$K$4:$K$200,"&lt;=30"))</f>
        <v>-</v>
      </c>
      <c r="AX199" s="33" t="str">
        <f>IF(OR($C199&gt;20190630,$K199&gt;30,AT199="-",$D199="是",$E199="封闭期",$H199&lt;10,$BN199&lt;-6,$BR199&lt;70),"-",COUNTIFS(AT$4:AT$200,"&lt;&gt;-",$D$4:$D$200,"&lt;&gt;是",$E$4:$E$200,"&lt;&gt;封闭期",$H$4:$H$200,"&gt;10",$BN$4:$BN$200,"&gt;-6",$BR$4:$BR$200,"&gt;=70",$K$4:$K$200,"&lt;=30",$C$4:$C$200,"&lt;20190630",AT$4:AT$200,"&gt;="&amp;AT199)/COUNTIFS(AT$4:AT$200,"&lt;&gt;-",$D$4:$D$200,"&lt;&gt;是",$E$4:$E$200,"&lt;&gt;封闭期",$H$4:$H$200,"&gt;10",$BN$4:$BN$200,"&gt;-6",$BR$4:$BR$200,"&gt;=70",$C$4:$C$200,"&lt;20190630",$K$4:$K$200,"&lt;=30"))</f>
        <v>-</v>
      </c>
      <c r="AY199" s="19">
        <f>[1]!f_risk_calmar(A199,$AM$2,$L$2)</f>
        <v>-0.99457576220492605</v>
      </c>
      <c r="AZ199" s="19" t="str">
        <f>IFERROR(RANK(AY199,AY:AY)&amp;"/"&amp;COUNT(AY:AY),"-")</f>
        <v>197/197</v>
      </c>
      <c r="BA199" s="26">
        <f>IFERROR(RANK(AY199,AY:AY)/COUNT(AY:AY),"-")</f>
        <v>1</v>
      </c>
      <c r="BB199" s="34" t="str">
        <f>IF(OR($C199&gt;20190630,$K199&gt;30,AY199="-",$D199="是",$E199="封闭期",$H199&lt;10,$BN199&lt;-6,$BR199&lt;70),"-",COUNTIFS(AY$4:AY$200,"&lt;&gt;-",$D$4:$D$200,"&lt;&gt;是",$E$4:$E$200,"&lt;&gt;封闭期",$H$4:$H$200,"&gt;10",$BN$4:$BN$200,"&gt;-6",$BR$4:$BR$200,"&gt;=70",$K$4:$K$200,"&lt;=30",$C$4:$C$200,"&lt;20190630",AY$4:AY$200,"&gt;="&amp;AY199)&amp;"/"&amp;COUNTIFS(AY$4:AY$200,"&lt;&gt;-",$D$4:$D$200,"&lt;&gt;是",$E$4:$E$200,"&lt;&gt;封闭期",$H$4:$H$200,"&gt;10",$BN$4:$BN$200,"&gt;-6",$BR$4:$BR$200,"&gt;=70",$C$4:$C$200,"&lt;20190630",$K$4:$K$200,"&lt;=30"))</f>
        <v>-</v>
      </c>
      <c r="BC199" s="33" t="str">
        <f>IF(OR($C199&gt;20190630,$K199&gt;30,AY199="-",$D199="是",$E199="封闭期",$H199&lt;10,$BN199&lt;-6,$BR199&lt;70),"-",COUNTIFS(AY$4:AY$200,"&lt;&gt;-",$D$4:$D$200,"&lt;&gt;是",$E$4:$E$200,"&lt;&gt;封闭期",$H$4:$H$200,"&gt;10",$BN$4:$BN$200,"&gt;-6",$BR$4:$BR$200,"&gt;=70",$K$4:$K$200,"&lt;=30",$C$4:$C$200,"&lt;20190630",AY$4:AY$200,"&gt;="&amp;AY199)/COUNTIFS(AY$4:AY$200,"&lt;&gt;-",$D$4:$D$200,"&lt;&gt;是",$E$4:$E$200,"&lt;&gt;封闭期",$H$4:$H$200,"&gt;10",$BN$4:$BN$200,"&gt;-6",$BR$4:$BR$200,"&gt;=70",$C$4:$C$200,"&lt;20190630",$K$4:$K$200,"&lt;=30"))</f>
        <v>-</v>
      </c>
      <c r="BD199" s="20">
        <v>8.3333333333333329E-2</v>
      </c>
      <c r="BE199" s="19" t="str">
        <f>IFERROR(RANK(BD199,BD:BD)&amp;"/"&amp;COUNT(BD:BD),"-")</f>
        <v>196/197</v>
      </c>
      <c r="BF199" s="26">
        <f>IFERROR(RANK(BD199,BD:BD)/COUNT(BD:BD),"-")</f>
        <v>0.99492385786802029</v>
      </c>
      <c r="BG199" s="34" t="str">
        <f>IF(OR($C199&gt;20190630,$K199&gt;30,BD199="-",$D199="是",$E199="封闭期",$H199&lt;10,$BN199&lt;-6,$BR199&lt;70),"-",COUNTIFS(BD$4:BD$200,"&lt;&gt;-",$D$4:$D$200,"&lt;&gt;是",$E$4:$E$200,"&lt;&gt;封闭期",$H$4:$H$200,"&gt;10",$BN$4:$BN$200,"&gt;-6",$BR$4:$BR$200,"&gt;=70",$K$4:$K$200,"&lt;=30",$C$4:$C$200,"&lt;20190630",BD$4:BD$200,"&gt;="&amp;BD199)&amp;"/"&amp;COUNTIFS(BD$4:BD$200,"&lt;&gt;-",$D$4:$D$200,"&lt;&gt;是",$E$4:$E$200,"&lt;&gt;封闭期",$H$4:$H$200,"&gt;10",$BN$4:$BN$200,"&gt;-6",$BR$4:$BR$200,"&gt;=70",$C$4:$C$200,"&lt;20190630",$K$4:$K$200,"&lt;=30"))</f>
        <v>-</v>
      </c>
      <c r="BH199" s="33" t="str">
        <f>IF(OR($C199&gt;20190630,$K199&gt;30,BD199="-",$D199="是",$E199="封闭期",$H199&lt;10,$BN199&lt;-6,$BR199&lt;70),"-",COUNTIFS(BD$4:BD$200,"&lt;&gt;-",$D$4:$D$200,"&lt;&gt;是",$E$4:$E$200,"&lt;&gt;封闭期",$H$4:$H$200,"&gt;10",$BN$4:$BN$200,"&gt;-6",$BR$4:$BR$200,"&gt;=70",$K$4:$K$200,"&lt;=30",$C$4:$C$200,"&lt;20190630",BD$4:BD$200,"&gt;="&amp;BD199)/COUNTIFS(BD$4:BD$200,"&lt;&gt;-",$D$4:$D$200,"&lt;&gt;是",$E$4:$E$200,"&lt;&gt;封闭期",$H$4:$H$200,"&gt;10",$BN$4:$BN$200,"&gt;-6",$BR$4:$BR$200,"&gt;=70",$C$4:$C$200,"&lt;20190630",$K$4:$K$200,"&lt;=30"))</f>
        <v>-</v>
      </c>
      <c r="BI199" s="21">
        <f>[1]!f_risk_maxdownside(A199,$AM$2,$L$2)</f>
        <v>-0.93264248704663288</v>
      </c>
      <c r="BJ199" s="19" t="str">
        <f>IFERROR(RANK(BI199,BI:BI)&amp;"/"&amp;COUNT(BI:BI),"-")</f>
        <v>3/197</v>
      </c>
      <c r="BK199" s="26">
        <f>IFERROR(RANK(BI199,BI:BI)/COUNT(BI:BI),"-")</f>
        <v>1.5228426395939087E-2</v>
      </c>
      <c r="BL199" s="34" t="str">
        <f>IF(OR($C199&gt;20190630,$K199&gt;30,BI199="-",$D199="是",$E199="封闭期",$H199&lt;10,$BN199&lt;-6,$BR199&lt;70),"-",COUNTIFS(BI$4:BI$200,"&lt;&gt;-",$D$4:$D$200,"&lt;&gt;是",$E$4:$E$200,"&lt;&gt;封闭期",$H$4:$H$200,"&gt;10",$BN$4:$BN$200,"&gt;-6",$BR$4:$BR$200,"&gt;=70",$K$4:$K$200,"&lt;=30",$C$4:$C$200,"&lt;20190630",BI$4:BI$200,"&gt;="&amp;BI199)&amp;"/"&amp;COUNTIFS(BI$4:BI$200,"&lt;&gt;-",$D$4:$D$200,"&lt;&gt;是",$E$4:$E$200,"&lt;&gt;封闭期",$H$4:$H$200,"&gt;10",$BN$4:$BN$200,"&gt;-6",$BR$4:$BR$200,"&gt;=70",$C$4:$C$200,"&lt;20190630",$K$4:$K$200,"&lt;=30"))</f>
        <v>-</v>
      </c>
      <c r="BM199" s="33" t="str">
        <f>IF(OR($C199&gt;20190630,$K199&gt;30,BI199="-",$D199="是",$E199="封闭期",$H199&lt;10,$BN199&lt;-6,$BR199&lt;70),"-",COUNTIFS(BI$4:BI$200,"&lt;&gt;-",$D$4:$D$200,"&lt;&gt;是",$E$4:$E$200,"&lt;&gt;封闭期",$H$4:$H$200,"&gt;10",$BN$4:$BN$200,"&gt;-6",$BR$4:$BR$200,"&gt;=70",$K$4:$K$200,"&lt;=30",$C$4:$C$200,"&lt;20190630",BI$4:BI$200,"&gt;="&amp;BI199)/COUNTIFS(BI$4:BI$200,"&lt;&gt;-",$D$4:$D$200,"&lt;&gt;是",$E$4:$E$200,"&lt;&gt;封闭期",$H$4:$H$200,"&gt;10",$BN$4:$BN$200,"&gt;-6",$BR$4:$BR$200,"&gt;=70",$C$4:$C$200,"&lt;20190630",$K$4:$K$200,"&lt;=30"))</f>
        <v>-</v>
      </c>
      <c r="BN199" s="21">
        <f>[1]!f_risk_maxdownside(A199,$AM$2,$E$1)</f>
        <v>-1.6580310880829032</v>
      </c>
      <c r="BO199" s="21">
        <f>IF(C199&lt;20190930,[1]!f_return_2y(A199,"0","20210930"),"-")</f>
        <v>-1.6580310880829032</v>
      </c>
      <c r="BP199" s="19" t="str">
        <f>IFERROR(RANK(BO199,BO:BO)&amp;"/"&amp;COUNT(BO:BO),"-")</f>
        <v>195/197</v>
      </c>
      <c r="BQ199" s="25">
        <f>IFERROR(RANK(BO199,BO:BO)/COUNT(BO:BO),"-")</f>
        <v>0.98984771573604058</v>
      </c>
      <c r="BR199" s="19">
        <f>IF(C199&lt;20190930,[1]!f_absolute_profitmonthper(A199,"20190930","20210930"),"-")</f>
        <v>8.3333333333333321</v>
      </c>
      <c r="BS199" s="19" t="str">
        <f>IFERROR(RANK(BR199,BR:BR)&amp;"/"&amp;COUNT(BR:BR),"-")</f>
        <v>198/198</v>
      </c>
      <c r="BT199" s="25">
        <f>IFERROR(RANK(BR199,BR:BR)/COUNT(BR:BR),"-")</f>
        <v>1</v>
      </c>
      <c r="BV199" s="12">
        <f>X199-3/M199</f>
        <v>-7.1628920593096375</v>
      </c>
      <c r="BW199" s="76">
        <f>IFERROR(RANK(BV199,BV:BV)/COUNT(BV:BV),"-")</f>
        <v>1</v>
      </c>
      <c r="BX199" s="76">
        <f>IFERROR(RANK(L199,L:L)/COUNT(L:L),"-")</f>
        <v>0.95959595959595956</v>
      </c>
      <c r="BY199" s="12">
        <f>AY199-3/AN199</f>
        <v>-6.1355353693124783</v>
      </c>
      <c r="BZ199" s="76">
        <f>IFERROR(RANK(BY199,BY:BY)/COUNT(BY:BY),"-")</f>
        <v>1</v>
      </c>
      <c r="CA199" s="76">
        <f>IFERROR(RANK(AM199,AM:AM)/COUNT(AM:AM),"-")</f>
        <v>0.99494949494949492</v>
      </c>
      <c r="CB199" s="2"/>
      <c r="CC199" s="77">
        <f>AV199+BF199+BZ199+CA199</f>
        <v>3.989873352817515</v>
      </c>
      <c r="CD199" s="77">
        <f>BW199+BX199+AE199+U199</f>
        <v>3.9595959595959593</v>
      </c>
      <c r="CE199" s="77">
        <f>CC199+CD199</f>
        <v>7.9494693124134743</v>
      </c>
    </row>
    <row r="200" spans="1:83" s="17" customFormat="1" hidden="1" x14ac:dyDescent="0.35">
      <c r="A200" s="15" t="s">
        <v>173</v>
      </c>
      <c r="B200" s="15" t="s">
        <v>174</v>
      </c>
      <c r="C200" s="16">
        <v>20140128</v>
      </c>
      <c r="D200" s="16" t="str">
        <f>[1]!f_info_regulopenfundornot(A200)</f>
        <v>否</v>
      </c>
      <c r="E200" s="16" t="str">
        <f>[1]!f_dq_status(A200,$E$1)</f>
        <v>暂停申购|开放赎回</v>
      </c>
      <c r="F200" s="17" t="str">
        <f>[1]!f_info_fundmanager(A200)</f>
        <v>厉骞</v>
      </c>
      <c r="G200" s="16">
        <v>20200310</v>
      </c>
      <c r="H200" s="18">
        <f>[1]!f_netasset_total(A200,$E$1,100000000)</f>
        <v>2.1123892725999998</v>
      </c>
      <c r="I200" s="18">
        <f>[1]!f_prt_convertiblebondtonav(A200,$E$1)</f>
        <v>10.846078872680664</v>
      </c>
      <c r="J200" s="18">
        <f>[1]!f_prt_stocktonav(A200,$E$1)+0.5*I200</f>
        <v>22.18097972869873</v>
      </c>
      <c r="K200" s="19">
        <v>30.608654161748081</v>
      </c>
      <c r="L200" s="19">
        <f>[1]!f_return($A200,"1",L$2,$E$1)</f>
        <v>-11.535882573279865</v>
      </c>
      <c r="M200" s="19">
        <f>[1]!f_risk_stdevyearly($A200,L$2,$E$1,1,1)</f>
        <v>10.965258931795663</v>
      </c>
      <c r="N200" s="19">
        <f>IFERROR(L200/M200,"-")</f>
        <v>-1.0520392309049429</v>
      </c>
      <c r="O200" s="19" t="str">
        <f>IFERROR(RANK(N200,N:N)&amp;"/"&amp;COUNT(N:N),"-")</f>
        <v>196/197</v>
      </c>
      <c r="P200" s="26">
        <f>IF(O200="-","-",RANK(N200,N:N)/COUNT(N:N))</f>
        <v>0.99492385786802029</v>
      </c>
      <c r="Q200" s="56">
        <v>1</v>
      </c>
      <c r="R200" s="33" t="str">
        <f>IF(OR($C200&gt;20190630,$K200&gt;30,N200="-",$D200="是",$E200="封闭期",$H200&lt;10,$BN200&lt;-6,$BR200&lt;70),"-",COUNTIFS(N$4:N$200,"&lt;&gt;-",$D$4:$D$200,"&lt;&gt;是",$E$4:$E$200,"&lt;&gt;封闭期",$H$4:$H$200,"&gt;10",$BN$4:$BN$200,"&gt;-6",$BR$4:$BR$200,"&gt;=70",$K$4:$K$200,"&lt;=30",$C$4:$C$200,"&lt;20190630",N$4:N$200,"&gt;="&amp;N200)/COUNTIFS(N$4:N$200,"&lt;&gt;-",$D$4:$D$200,"&lt;&gt;是",$E$4:$E$200,"&lt;&gt;封闭期",$H$4:$H$200,"&gt;10",$BN$4:$BN$200,"&gt;-6",$BR$4:$BR$200,"&gt;=70",$C$4:$C$200,"&lt;20190630",$K$4:$K$200,"&lt;=30"))</f>
        <v>-</v>
      </c>
      <c r="S200" s="19">
        <f>IFERROR((L200-3)/M200,"-")</f>
        <v>-1.325630581429369</v>
      </c>
      <c r="T200" s="19" t="str">
        <f>IFERROR(RANK(S200,S:S)&amp;"/"&amp;COUNT(S:S),"-")</f>
        <v>194/197</v>
      </c>
      <c r="U200" s="26">
        <f>IFERROR(RANK(S200,S:S)/COUNT(S:S),"-")</f>
        <v>0.98477157360406087</v>
      </c>
      <c r="V200" s="34" t="str">
        <f>IF(OR($C200&gt;20190630,$K200&gt;30,S200="-",$D200="是",$E200="封闭期",$H200&lt;10,$BN200&lt;-6,$BR200&lt;70),"-",COUNTIFS(S$4:S$200,"&lt;&gt;-",$D$4:$D$200,"&lt;&gt;是",$E$4:$E$200,"&lt;&gt;封闭期",$H$4:$H$200,"&gt;10",$BN$4:$BN$200,"&gt;-6",$BR$4:$BR$200,"&gt;=70",$K$4:$K$200,"&lt;=30",$C$4:$C$200,"&lt;20190630",S$4:S$200,"&gt;="&amp;S200)&amp;"/"&amp;COUNTIFS(S$4:S$200,"&lt;&gt;-",$D$4:$D$200,"&lt;&gt;是",$E$4:$E$200,"&lt;&gt;封闭期",$H$4:$H$200,"&gt;10",$BN$4:$BN$200,"&gt;-6",$BR$4:$BR$200,"&gt;=70",$C$4:$C$200,"&lt;20190630",$K$4:$K$200,"&lt;=30"))</f>
        <v>-</v>
      </c>
      <c r="W200" s="33" t="str">
        <f>IF(OR($C200&gt;20190630,$K200&gt;30,S200="-",$D200="是",$E200="封闭期",$H200&lt;10,$BN200&lt;-6,$BR200&lt;70),"-",COUNTIFS(S$4:S$200,"&lt;&gt;-",$D$4:$D$200,"&lt;&gt;是",$E$4:$E$200,"&lt;&gt;封闭期",$H$4:$H$200,"&gt;10",$BN$4:$BN$200,"&gt;-6",$BR$4:$BR$200,"&gt;=70",$K$4:$K$200,"&lt;=30",$C$4:$C$200,"&lt;20190630",S$4:S$200,"&gt;="&amp;S200)/COUNTIFS(S$4:S$200,"&lt;&gt;-",$D$4:$D$200,"&lt;&gt;是",$E$4:$E$200,"&lt;&gt;封闭期",$H$4:$H$200,"&gt;10",$BN$4:$BN$200,"&gt;-6",$BR$4:$BR$200,"&gt;=70",$C$4:$C$200,"&lt;20190630",$K$4:$K$200,"&lt;=30"))</f>
        <v>-</v>
      </c>
      <c r="X200" s="19">
        <f>[1]!f_risk_calmar(A200,$L$2,$E$1)</f>
        <v>-0.74773493406804947</v>
      </c>
      <c r="Y200" s="19" t="str">
        <f>IFERROR(RANK(X200,X:X)&amp;"/"&amp;COUNT(X:X),"-")</f>
        <v>196/197</v>
      </c>
      <c r="Z200" s="26">
        <f>IFERROR(RANK(X200,X:X)/COUNT(X:X),"-")</f>
        <v>0.99492385786802029</v>
      </c>
      <c r="AA200" s="34" t="str">
        <f>IF(OR($C200&gt;20190630,$K200&gt;30,X200="-",$D200="是",$E200="封闭期",$H200&lt;10,$BN200&lt;-6,$BR200&lt;70),"-",COUNTIFS(X$4:X$200,"&lt;&gt;-",$D$4:$D$200,"&lt;&gt;是",$E$4:$E$200,"&lt;&gt;封闭期",$H$4:$H$200,"&gt;10",$BN$4:$BN$200,"&gt;-6",$BR$4:$BR$200,"&gt;=70",$K$4:$K$200,"&lt;=30",$C$4:$C$200,"&lt;20190630",X$4:X$200,"&gt;="&amp;X200)&amp;"/"&amp;COUNTIFS(X$4:X$200,"&lt;&gt;-",$D$4:$D$200,"&lt;&gt;是",$E$4:$E$200,"&lt;&gt;封闭期",$H$4:$H$200,"&gt;10",$BN$4:$BN$200,"&gt;-6",$BR$4:$BR$200,"&gt;=70",$C$4:$C$200,"&lt;20190630",$K$4:$K$200,"&lt;=30"))</f>
        <v>-</v>
      </c>
      <c r="AB200" s="33" t="str">
        <f>IF(OR($C200&gt;20190630,$K200&gt;30,X200="-",$D200="是",$E200="封闭期",$H200&lt;10,$BN200&lt;-6,$BR200&lt;70),"-",COUNTIFS(X$4:X$200,"&lt;&gt;-",$D$4:$D$200,"&lt;&gt;是",$E$4:$E$200,"&lt;&gt;封闭期",$H$4:$H$200,"&gt;10",$BN$4:$BN$200,"&gt;-6",$BR$4:$BR$200,"&gt;=70",$K$4:$K$200,"&lt;=30",$C$4:$C$200,"&lt;20190630",X$4:X$200,"&gt;="&amp;X200)/COUNTIFS(X$4:X$200,"&lt;&gt;-",$D$4:$D$200,"&lt;&gt;是",$E$4:$E$200,"&lt;&gt;封闭期",$H$4:$H$200,"&gt;10",$BN$4:$BN$200,"&gt;-6",$BR$4:$BR$200,"&gt;=70",$C$4:$C$200,"&lt;20190630",$K$4:$K$200,"&lt;=30"))</f>
        <v>-</v>
      </c>
      <c r="AC200" s="20">
        <v>0.24369747899159661</v>
      </c>
      <c r="AD200" s="19" t="str">
        <f>IFERROR(RANK(AC200,AC:AC)&amp;"/"&amp;COUNT(AC:AC),"-")</f>
        <v>191/197</v>
      </c>
      <c r="AE200" s="26">
        <f>IFERROR(RANK(AC200,AC:AC)/COUNT(AC:AC),"-")</f>
        <v>0.96954314720812185</v>
      </c>
      <c r="AF200" s="34" t="str">
        <f>IF(OR($C200&gt;20190630,$K200&gt;30,AC200="-",$D200="是",$E200="封闭期",$H200&lt;10,$BN200&lt;-6,$BR200&lt;70),"-",COUNTIFS(AC$4:AC$200,"&lt;&gt;-",$D$4:$D$200,"&lt;&gt;是",$E$4:$E$200,"&lt;&gt;封闭期",$H$4:$H$200,"&gt;10",$BN$4:$BN$200,"&gt;-6",$BR$4:$BR$200,"&gt;=70",$K$4:$K$200,"&lt;=30",$C$4:$C$200,"&lt;20190630",AC$4:AC$200,"&gt;="&amp;AC200)&amp;"/"&amp;COUNTIFS(AC$4:AC$200,"&lt;&gt;-",$D$4:$D$200,"&lt;&gt;是",$E$4:$E$200,"&lt;&gt;封闭期",$H$4:$H$200,"&gt;10",$BN$4:$BN$200,"&gt;-6",$BR$4:$BR$200,"&gt;=70",$C$4:$C$200,"&lt;20190630",$K$4:$K$200,"&lt;=30"))</f>
        <v>-</v>
      </c>
      <c r="AG200" s="33" t="str">
        <f>IF(OR($C200&gt;20190630,$K200&gt;30,AC200="-",$D200="是",$E200="封闭期",$H200&lt;10,$BN200&lt;-6,$BR200&lt;70),"-",COUNTIFS(AC$4:AC$200,"&lt;&gt;-",$D$4:$D$200,"&lt;&gt;是",$E$4:$E$200,"&lt;&gt;封闭期",$H$4:$H$200,"&gt;10",$BN$4:$BN$200,"&gt;-6",$BR$4:$BR$200,"&gt;=70",$K$4:$K$200,"&lt;=30",$C$4:$C$200,"&lt;20190630",AC$4:AC$200,"&gt;="&amp;AC200)/COUNTIFS(AC$4:AC$200,"&lt;&gt;-",$D$4:$D$200,"&lt;&gt;是",$E$4:$E$200,"&lt;&gt;封闭期",$H$4:$H$200,"&gt;10",$BN$4:$BN$200,"&gt;-6",$BR$4:$BR$200,"&gt;=70",$C$4:$C$200,"&lt;20190630",$K$4:$K$200,"&lt;=30"))</f>
        <v>-</v>
      </c>
      <c r="AH200" s="21">
        <f>[1]!f_risk_maxdownside(A200,$L$2,$E$1)</f>
        <v>-15.427769985974754</v>
      </c>
      <c r="AI200" s="19" t="str">
        <f>IFERROR(RANK(AH200,AH:AH)&amp;"/"&amp;COUNT(AH:AH),"-")</f>
        <v>197/197</v>
      </c>
      <c r="AJ200" s="26">
        <f>IFERROR(RANK(AH200,AH:AH)/COUNT(AH:AH),"-")</f>
        <v>1</v>
      </c>
      <c r="AK200" s="34" t="str">
        <f>IF(OR($C200&gt;20190630,$K200&gt;30,AH200="-",$D200="是",$E200="封闭期",$H200&lt;10,$BN200&lt;-6,$BR200&lt;70),"-",COUNTIFS(AH$4:AH$200,"&lt;&gt;-",$D$4:$D$200,"&lt;&gt;是",$E$4:$E$200,"&lt;&gt;封闭期",$H$4:$H$200,"&gt;10",$BN$4:$BN$200,"&gt;-6",$BR$4:$BR$200,"&gt;=70",$K$4:$K$200,"&lt;=30",$C$4:$C$200,"&lt;20190630",AH$4:AH$200,"&gt;="&amp;AH200)&amp;"/"&amp;COUNTIFS(AH$4:AH$200,"&lt;&gt;-",$D$4:$D$200,"&lt;&gt;是",$E$4:$E$200,"&lt;&gt;封闭期",$H$4:$H$200,"&gt;10",$BN$4:$BN$200,"&gt;-6",$BR$4:$BR$200,"&gt;=70",$C$4:$C$200,"&lt;20190630",$K$4:$K$200,"&lt;=30"))</f>
        <v>-</v>
      </c>
      <c r="AL200" s="33" t="str">
        <f>IF(OR($C200&gt;20190630,$K200&gt;30,AH200="-",$D200="是",$E200="封闭期",$H200&lt;10,$BN200&lt;-6,$BR200&lt;70),"-",COUNTIFS(AH$4:AH$200,"&lt;&gt;-",$D$4:$D$200,"&lt;&gt;是",$E$4:$E$200,"&lt;&gt;封闭期",$H$4:$H$200,"&gt;10",$BN$4:$BN$200,"&gt;-6",$BR$4:$BR$200,"&gt;=70",$K$4:$K$200,"&lt;=30",$C$4:$C$200,"&lt;20190630",AH$4:AH$200,"&gt;="&amp;AH200)/COUNTIFS(AH$4:AH$200,"&lt;&gt;-",$D$4:$D$200,"&lt;&gt;是",$E$4:$E$200,"&lt;&gt;封闭期",$H$4:$H$200,"&gt;10",$BN$4:$BN$200,"&gt;-6",$BR$4:$BR$200,"&gt;=70",$C$4:$C$200,"&lt;20190630",$K$4:$K$200,"&lt;=30"))</f>
        <v>-</v>
      </c>
      <c r="AM200" s="19">
        <f>[1]!f_return($A200,"1",AM$2,$L$2)</f>
        <v>-17.184028071735181</v>
      </c>
      <c r="AN200" s="19">
        <f>[1]!f_risk_stdevyearly($A200,AM$2,$L$2,1,1)</f>
        <v>11.57977908739411</v>
      </c>
      <c r="AO200" s="19">
        <f>IFERROR(AM200/AN200,"-")</f>
        <v>-1.4839685577803401</v>
      </c>
      <c r="AP200" s="19" t="str">
        <f>IFERROR(RANK(AO200,AO:AO)&amp;"/"&amp;COUNT(AO:AO),"-")</f>
        <v>196/197</v>
      </c>
      <c r="AQ200" s="26">
        <f>IF(AP200="-","-",RANK(AO200,AO:AO)/COUNT(AO:AO))</f>
        <v>0.99492385786802029</v>
      </c>
      <c r="AR200" s="57">
        <v>1</v>
      </c>
      <c r="AS200" s="33" t="str">
        <f>IF(OR($C200&gt;20190630,$K200&gt;30,AO200="-",$D200="是",$E200="封闭期",$H200&lt;10,$BN200&lt;-6,$BR200&lt;70),"-",COUNTIFS(AO$4:AO$200,"&lt;&gt;-",$D$4:$D$200,"&lt;&gt;是",$E$4:$E$200,"&lt;&gt;封闭期",$H$4:$H$200,"&gt;10",$BN$4:$BN$200,"&gt;-6",$BR$4:$BR$200,"&gt;=70",$K$4:$K$200,"&lt;=30",$C$4:$C$200,"&lt;20190630",AO$4:AO$200,"&gt;="&amp;AO200)/COUNTIFS(AO$4:AO$200,"&lt;&gt;-",$D$4:$D$200,"&lt;&gt;是",$E$4:$E$200,"&lt;&gt;封闭期",$H$4:$H$200,"&gt;10",$BN$4:$BN$200,"&gt;-6",$BR$4:$BR$200,"&gt;=70",$C$4:$C$200,"&lt;20190630",$K$4:$K$200,"&lt;=30"))</f>
        <v>-</v>
      </c>
      <c r="AT200" s="19">
        <f>IFERROR((AM200-3)/AN200,"-")</f>
        <v>-1.7430408576367198</v>
      </c>
      <c r="AU200" s="19" t="str">
        <f>IFERROR(RANK(AT200,AT:AT)&amp;"/"&amp;COUNT(AT:AT),"-")</f>
        <v>196/197</v>
      </c>
      <c r="AV200" s="26">
        <f>IFERROR(RANK(AT200,AT:AT)/COUNT(AT:AT),"-")</f>
        <v>0.99492385786802029</v>
      </c>
      <c r="AW200" s="34" t="str">
        <f>IF(OR($C200&gt;20190630,$K200&gt;30,AT200="-",$D200="是",$E200="封闭期",$H200&lt;10,$BN200&lt;-6,$BR200&lt;70),"-",COUNTIFS(AT$4:AT$200,"&lt;&gt;-",$D$4:$D$200,"&lt;&gt;是",$E$4:$E$200,"&lt;&gt;封闭期",$H$4:$H$200,"&gt;10",$BN$4:$BN$200,"&gt;-6",$BR$4:$BR$200,"&gt;=70",$K$4:$K$200,"&lt;=30",$C$4:$C$200,"&lt;20190630",AT$4:AT$200,"&gt;="&amp;AT200)&amp;"/"&amp;COUNTIFS(AT$4:AT$200,"&lt;&gt;-",$D$4:$D$200,"&lt;&gt;是",$E$4:$E$200,"&lt;&gt;封闭期",$H$4:$H$200,"&gt;10",$BN$4:$BN$200,"&gt;-6",$BR$4:$BR$200,"&gt;=70",$C$4:$C$200,"&lt;20190630",$K$4:$K$200,"&lt;=30"))</f>
        <v>-</v>
      </c>
      <c r="AX200" s="33" t="str">
        <f>IF(OR($C200&gt;20190630,$K200&gt;30,AT200="-",$D200="是",$E200="封闭期",$H200&lt;10,$BN200&lt;-6,$BR200&lt;70),"-",COUNTIFS(AT$4:AT$200,"&lt;&gt;-",$D$4:$D$200,"&lt;&gt;是",$E$4:$E$200,"&lt;&gt;封闭期",$H$4:$H$200,"&gt;10",$BN$4:$BN$200,"&gt;-6",$BR$4:$BR$200,"&gt;=70",$K$4:$K$200,"&lt;=30",$C$4:$C$200,"&lt;20190630",AT$4:AT$200,"&gt;="&amp;AT200)/COUNTIFS(AT$4:AT$200,"&lt;&gt;-",$D$4:$D$200,"&lt;&gt;是",$E$4:$E$200,"&lt;&gt;封闭期",$H$4:$H$200,"&gt;10",$BN$4:$BN$200,"&gt;-6",$BR$4:$BR$200,"&gt;=70",$C$4:$C$200,"&lt;20190630",$K$4:$K$200,"&lt;=30"))</f>
        <v>-</v>
      </c>
      <c r="AY200" s="19">
        <f>[1]!f_risk_calmar(A200,$AM$2,$L$2)</f>
        <v>-0.94676333006693769</v>
      </c>
      <c r="AZ200" s="19" t="str">
        <f>IFERROR(RANK(AY200,AY:AY)&amp;"/"&amp;COUNT(AY:AY),"-")</f>
        <v>196/197</v>
      </c>
      <c r="BA200" s="26">
        <f>IFERROR(RANK(AY200,AY:AY)/COUNT(AY:AY),"-")</f>
        <v>0.99492385786802029</v>
      </c>
      <c r="BB200" s="34" t="str">
        <f>IF(OR($C200&gt;20190630,$K200&gt;30,AY200="-",$D200="是",$E200="封闭期",$H200&lt;10,$BN200&lt;-6,$BR200&lt;70),"-",COUNTIFS(AY$4:AY$200,"&lt;&gt;-",$D$4:$D$200,"&lt;&gt;是",$E$4:$E$200,"&lt;&gt;封闭期",$H$4:$H$200,"&gt;10",$BN$4:$BN$200,"&gt;-6",$BR$4:$BR$200,"&gt;=70",$K$4:$K$200,"&lt;=30",$C$4:$C$200,"&lt;20190630",AY$4:AY$200,"&gt;="&amp;AY200)&amp;"/"&amp;COUNTIFS(AY$4:AY$200,"&lt;&gt;-",$D$4:$D$200,"&lt;&gt;是",$E$4:$E$200,"&lt;&gt;封闭期",$H$4:$H$200,"&gt;10",$BN$4:$BN$200,"&gt;-6",$BR$4:$BR$200,"&gt;=70",$C$4:$C$200,"&lt;20190630",$K$4:$K$200,"&lt;=30"))</f>
        <v>-</v>
      </c>
      <c r="BC200" s="33" t="str">
        <f>IF(OR($C200&gt;20190630,$K200&gt;30,AY200="-",$D200="是",$E200="封闭期",$H200&lt;10,$BN200&lt;-6,$BR200&lt;70),"-",COUNTIFS(AY$4:AY$200,"&lt;&gt;-",$D$4:$D$200,"&lt;&gt;是",$E$4:$E$200,"&lt;&gt;封闭期",$H$4:$H$200,"&gt;10",$BN$4:$BN$200,"&gt;-6",$BR$4:$BR$200,"&gt;=70",$K$4:$K$200,"&lt;=30",$C$4:$C$200,"&lt;20190630",AY$4:AY$200,"&gt;="&amp;AY200)/COUNTIFS(AY$4:AY$200,"&lt;&gt;-",$D$4:$D$200,"&lt;&gt;是",$E$4:$E$200,"&lt;&gt;封闭期",$H$4:$H$200,"&gt;10",$BN$4:$BN$200,"&gt;-6",$BR$4:$BR$200,"&gt;=70",$C$4:$C$200,"&lt;20190630",$K$4:$K$200,"&lt;=30"))</f>
        <v>-</v>
      </c>
      <c r="BD200" s="20">
        <v>0</v>
      </c>
      <c r="BE200" s="19" t="str">
        <f>IFERROR(RANK(BD200,BD:BD)&amp;"/"&amp;COUNT(BD:BD),"-")</f>
        <v>197/197</v>
      </c>
      <c r="BF200" s="26">
        <f>IFERROR(RANK(BD200,BD:BD)/COUNT(BD:BD),"-")</f>
        <v>1</v>
      </c>
      <c r="BG200" s="34" t="str">
        <f>IF(OR($C200&gt;20190630,$K200&gt;30,BD200="-",$D200="是",$E200="封闭期",$H200&lt;10,$BN200&lt;-6,$BR200&lt;70),"-",COUNTIFS(BD$4:BD$200,"&lt;&gt;-",$D$4:$D$200,"&lt;&gt;是",$E$4:$E$200,"&lt;&gt;封闭期",$H$4:$H$200,"&gt;10",$BN$4:$BN$200,"&gt;-6",$BR$4:$BR$200,"&gt;=70",$K$4:$K$200,"&lt;=30",$C$4:$C$200,"&lt;20190630",BD$4:BD$200,"&gt;="&amp;BD200)&amp;"/"&amp;COUNTIFS(BD$4:BD$200,"&lt;&gt;-",$D$4:$D$200,"&lt;&gt;是",$E$4:$E$200,"&lt;&gt;封闭期",$H$4:$H$200,"&gt;10",$BN$4:$BN$200,"&gt;-6",$BR$4:$BR$200,"&gt;=70",$C$4:$C$200,"&lt;20190630",$K$4:$K$200,"&lt;=30"))</f>
        <v>-</v>
      </c>
      <c r="BH200" s="33" t="str">
        <f>IF(OR($C200&gt;20190630,$K200&gt;30,BD200="-",$D200="是",$E200="封闭期",$H200&lt;10,$BN200&lt;-6,$BR200&lt;70),"-",COUNTIFS(BD$4:BD$200,"&lt;&gt;-",$D$4:$D$200,"&lt;&gt;是",$E$4:$E$200,"&lt;&gt;封闭期",$H$4:$H$200,"&gt;10",$BN$4:$BN$200,"&gt;-6",$BR$4:$BR$200,"&gt;=70",$K$4:$K$200,"&lt;=30",$C$4:$C$200,"&lt;20190630",BD$4:BD$200,"&gt;="&amp;BD200)/COUNTIFS(BD$4:BD$200,"&lt;&gt;-",$D$4:$D$200,"&lt;&gt;是",$E$4:$E$200,"&lt;&gt;封闭期",$H$4:$H$200,"&gt;10",$BN$4:$BN$200,"&gt;-6",$BR$4:$BR$200,"&gt;=70",$C$4:$C$200,"&lt;20190630",$K$4:$K$200,"&lt;=30"))</f>
        <v>-</v>
      </c>
      <c r="BI200" s="21">
        <f>[1]!f_risk_maxdownside(A200,$AM$2,$L$2)</f>
        <v>-18.150289017341052</v>
      </c>
      <c r="BJ200" s="19" t="str">
        <f>IFERROR(RANK(BI200,BI:BI)&amp;"/"&amp;COUNT(BI:BI),"-")</f>
        <v>197/197</v>
      </c>
      <c r="BK200" s="26">
        <f>IFERROR(RANK(BI200,BI:BI)/COUNT(BI:BI),"-")</f>
        <v>1</v>
      </c>
      <c r="BL200" s="34" t="str">
        <f>IF(OR($C200&gt;20190630,$K200&gt;30,BI200="-",$D200="是",$E200="封闭期",$H200&lt;10,$BN200&lt;-6,$BR200&lt;70),"-",COUNTIFS(BI$4:BI$200,"&lt;&gt;-",$D$4:$D$200,"&lt;&gt;是",$E$4:$E$200,"&lt;&gt;封闭期",$H$4:$H$200,"&gt;10",$BN$4:$BN$200,"&gt;-6",$BR$4:$BR$200,"&gt;=70",$K$4:$K$200,"&lt;=30",$C$4:$C$200,"&lt;20190630",BI$4:BI$200,"&gt;="&amp;BI200)&amp;"/"&amp;COUNTIFS(BI$4:BI$200,"&lt;&gt;-",$D$4:$D$200,"&lt;&gt;是",$E$4:$E$200,"&lt;&gt;封闭期",$H$4:$H$200,"&gt;10",$BN$4:$BN$200,"&gt;-6",$BR$4:$BR$200,"&gt;=70",$C$4:$C$200,"&lt;20190630",$K$4:$K$200,"&lt;=30"))</f>
        <v>-</v>
      </c>
      <c r="BM200" s="33" t="str">
        <f>IF(OR($C200&gt;20190630,$K200&gt;30,BI200="-",$D200="是",$E200="封闭期",$H200&lt;10,$BN200&lt;-6,$BR200&lt;70),"-",COUNTIFS(BI$4:BI$200,"&lt;&gt;-",$D$4:$D$200,"&lt;&gt;是",$E$4:$E$200,"&lt;&gt;封闭期",$H$4:$H$200,"&gt;10",$BN$4:$BN$200,"&gt;-6",$BR$4:$BR$200,"&gt;=70",$K$4:$K$200,"&lt;=30",$C$4:$C$200,"&lt;20190630",BI$4:BI$200,"&gt;="&amp;BI200)/COUNTIFS(BI$4:BI$200,"&lt;&gt;-",$D$4:$D$200,"&lt;&gt;是",$E$4:$E$200,"&lt;&gt;封闭期",$H$4:$H$200,"&gt;10",$BN$4:$BN$200,"&gt;-6",$BR$4:$BR$200,"&gt;=70",$C$4:$C$200,"&lt;20190630",$K$4:$K$200,"&lt;=30"))</f>
        <v>-</v>
      </c>
      <c r="BN200" s="21">
        <f>[1]!f_risk_maxdownside(A200,$AM$2,$E$1)</f>
        <v>-30.28901734104047</v>
      </c>
      <c r="BO200" s="21">
        <f>IF(C200&lt;20190930,[1]!f_return_2y(A200,"0","20210930"),"-")</f>
        <v>-26.923076923076927</v>
      </c>
      <c r="BP200" s="19" t="str">
        <f>IFERROR(RANK(BO200,BO:BO)&amp;"/"&amp;COUNT(BO:BO),"-")</f>
        <v>197/197</v>
      </c>
      <c r="BQ200" s="25">
        <f>IFERROR(RANK(BO200,BO:BO)/COUNT(BO:BO),"-")</f>
        <v>1</v>
      </c>
      <c r="BR200" s="19">
        <f>IF(C200&lt;20190930,[1]!f_absolute_profitmonthper(A200,"20190930","20210930"),"-")</f>
        <v>45.833333333333329</v>
      </c>
      <c r="BS200" s="19" t="str">
        <f>IFERROR(RANK(BR200,BR:BR)&amp;"/"&amp;COUNT(BR:BR),"-")</f>
        <v>197/198</v>
      </c>
      <c r="BT200" s="25">
        <f>IFERROR(RANK(BR200,BR:BR)/COUNT(BR:BR),"-")</f>
        <v>0.99494949494949492</v>
      </c>
      <c r="BV200" s="12">
        <f>X200-3/M200</f>
        <v>-1.0213262845924755</v>
      </c>
      <c r="BW200" s="76">
        <f>IFERROR(RANK(BV200,BV:BV)/COUNT(BV:BV),"-")</f>
        <v>0.97969543147208127</v>
      </c>
      <c r="BX200" s="76">
        <f>IFERROR(RANK(L200,L:L)/COUNT(L:L),"-")</f>
        <v>1</v>
      </c>
      <c r="BY200" s="12">
        <f>AY200-3/AN200</f>
        <v>-1.2058356299233173</v>
      </c>
      <c r="BZ200" s="76">
        <f>IFERROR(RANK(BY200,BY:BY)/COUNT(BY:BY),"-")</f>
        <v>0.96446700507614214</v>
      </c>
      <c r="CA200" s="76">
        <f>IFERROR(RANK(AM200,AM:AM)/COUNT(AM:AM),"-")</f>
        <v>1</v>
      </c>
      <c r="CB200" s="2"/>
      <c r="CC200" s="77">
        <f>AV200+BF200+BZ200+CA200</f>
        <v>3.9593908629441623</v>
      </c>
      <c r="CD200" s="77">
        <f>BW200+BX200+AE200+U200</f>
        <v>3.9340101522842641</v>
      </c>
      <c r="CE200" s="77">
        <f>CC200+CD200</f>
        <v>7.8934010152284264</v>
      </c>
    </row>
  </sheetData>
  <autoFilter ref="A3:CE200" xr:uid="{00000000-0001-0000-0000-000000000000}">
    <filterColumn colId="7">
      <customFilters>
        <customFilter operator="greaterThanOrEqual" val="10"/>
      </customFilters>
    </filterColumn>
  </autoFilter>
  <mergeCells count="1">
    <mergeCell ref="A1:C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81B1-AAA9-4546-B756-40F0FE46E2A7}">
  <dimension ref="A2:N84"/>
  <sheetViews>
    <sheetView tabSelected="1" workbookViewId="0">
      <selection activeCell="B6" sqref="B6"/>
    </sheetView>
  </sheetViews>
  <sheetFormatPr defaultRowHeight="14.15" x14ac:dyDescent="0.35"/>
  <cols>
    <col min="1" max="1" width="9.5" bestFit="1" customWidth="1"/>
    <col min="2" max="2" width="18.35546875" bestFit="1" customWidth="1"/>
    <col min="5" max="5" width="21.35546875" bestFit="1" customWidth="1"/>
    <col min="6" max="6" width="20.35546875" bestFit="1" customWidth="1"/>
    <col min="7" max="7" width="20.5703125" bestFit="1" customWidth="1"/>
  </cols>
  <sheetData>
    <row r="2" spans="1:14" x14ac:dyDescent="0.35">
      <c r="A2" s="78" t="s">
        <v>3</v>
      </c>
      <c r="B2" s="78" t="s">
        <v>4</v>
      </c>
      <c r="C2" s="52" t="s">
        <v>5</v>
      </c>
      <c r="D2" s="52" t="s">
        <v>6</v>
      </c>
      <c r="E2" s="52" t="s">
        <v>7</v>
      </c>
      <c r="F2" s="79" t="s">
        <v>464</v>
      </c>
      <c r="G2" s="52" t="s">
        <v>10</v>
      </c>
      <c r="H2" s="79" t="s">
        <v>8</v>
      </c>
      <c r="I2" s="79" t="s">
        <v>9</v>
      </c>
      <c r="J2" s="79" t="s">
        <v>411</v>
      </c>
      <c r="K2" s="78" t="s">
        <v>16</v>
      </c>
      <c r="L2" s="78">
        <v>2020</v>
      </c>
      <c r="M2" s="78">
        <v>2021</v>
      </c>
      <c r="N2" s="78" t="s">
        <v>487</v>
      </c>
    </row>
    <row r="3" spans="1:14" x14ac:dyDescent="0.35">
      <c r="A3" s="80" t="s">
        <v>63</v>
      </c>
      <c r="B3" s="80" t="s">
        <v>64</v>
      </c>
      <c r="C3" s="52">
        <v>20190529</v>
      </c>
      <c r="D3" s="52" t="s">
        <v>488</v>
      </c>
      <c r="E3" s="52" t="s">
        <v>489</v>
      </c>
      <c r="F3" s="78" t="s">
        <v>498</v>
      </c>
      <c r="G3" s="52">
        <v>20190529</v>
      </c>
      <c r="H3" s="81">
        <v>79.972919173799994</v>
      </c>
      <c r="I3" s="81">
        <v>10.088583946228027</v>
      </c>
      <c r="J3" s="81">
        <v>19.394369602203369</v>
      </c>
      <c r="K3" s="82">
        <v>5.0016931247777228</v>
      </c>
      <c r="L3" s="83">
        <v>0.12654463415884737</v>
      </c>
      <c r="M3" s="83">
        <v>0.24850023073373328</v>
      </c>
      <c r="N3" s="83">
        <v>0.37504486489258065</v>
      </c>
    </row>
    <row r="4" spans="1:14" x14ac:dyDescent="0.35">
      <c r="A4" s="80" t="s">
        <v>225</v>
      </c>
      <c r="B4" s="80" t="s">
        <v>226</v>
      </c>
      <c r="C4" s="52">
        <v>20080418</v>
      </c>
      <c r="D4" s="52" t="s">
        <v>488</v>
      </c>
      <c r="E4" s="52" t="s">
        <v>491</v>
      </c>
      <c r="F4" s="78" t="s">
        <v>501</v>
      </c>
      <c r="G4" s="52">
        <v>20120803</v>
      </c>
      <c r="H4" s="81">
        <v>273.91725705990001</v>
      </c>
      <c r="I4" s="81">
        <v>7.3234648704528809</v>
      </c>
      <c r="J4" s="81">
        <v>13.971603155136108</v>
      </c>
      <c r="K4" s="82">
        <v>0</v>
      </c>
      <c r="L4" s="83">
        <v>0.11631543865046404</v>
      </c>
      <c r="M4" s="83">
        <v>0.28900681946367224</v>
      </c>
      <c r="N4" s="83">
        <v>0.40532225811413625</v>
      </c>
    </row>
    <row r="5" spans="1:14" x14ac:dyDescent="0.35">
      <c r="A5" s="80" t="s">
        <v>65</v>
      </c>
      <c r="B5" s="80" t="s">
        <v>66</v>
      </c>
      <c r="C5" s="52">
        <v>20161101</v>
      </c>
      <c r="D5" s="52" t="s">
        <v>488</v>
      </c>
      <c r="E5" s="52" t="s">
        <v>491</v>
      </c>
      <c r="F5" s="78" t="s">
        <v>502</v>
      </c>
      <c r="G5" s="52">
        <v>20190918</v>
      </c>
      <c r="H5" s="81">
        <v>11.674287405299999</v>
      </c>
      <c r="I5" s="81">
        <v>19.433507919311523</v>
      </c>
      <c r="J5" s="81">
        <v>27.409934043884277</v>
      </c>
      <c r="K5" s="82">
        <v>11.36154999403079</v>
      </c>
      <c r="L5" s="83">
        <v>0.2076603599446239</v>
      </c>
      <c r="M5" s="83">
        <v>0.66359021688970921</v>
      </c>
      <c r="N5" s="83">
        <v>0.87125057683433305</v>
      </c>
    </row>
    <row r="6" spans="1:14" x14ac:dyDescent="0.35">
      <c r="A6" s="80" t="s">
        <v>77</v>
      </c>
      <c r="B6" s="80" t="s">
        <v>78</v>
      </c>
      <c r="C6" s="52">
        <v>20130527</v>
      </c>
      <c r="D6" s="52" t="s">
        <v>488</v>
      </c>
      <c r="E6" s="52" t="s">
        <v>491</v>
      </c>
      <c r="F6" s="78" t="s">
        <v>504</v>
      </c>
      <c r="G6" s="52">
        <v>20180328</v>
      </c>
      <c r="H6" s="81">
        <v>47.222159078800004</v>
      </c>
      <c r="I6" s="81">
        <v>2.9510350227355957</v>
      </c>
      <c r="J6" s="81">
        <v>15.872415781021118</v>
      </c>
      <c r="K6" s="82">
        <v>11.54381778881281</v>
      </c>
      <c r="L6" s="83">
        <v>0.28882735989334973</v>
      </c>
      <c r="M6" s="83">
        <v>0.64882325796031382</v>
      </c>
      <c r="N6" s="83">
        <v>0.93765061785366355</v>
      </c>
    </row>
    <row r="7" spans="1:14" x14ac:dyDescent="0.35">
      <c r="A7" s="80" t="s">
        <v>169</v>
      </c>
      <c r="B7" s="80" t="s">
        <v>170</v>
      </c>
      <c r="C7" s="52">
        <v>20160122</v>
      </c>
      <c r="D7" s="52" t="s">
        <v>488</v>
      </c>
      <c r="E7" s="52" t="s">
        <v>489</v>
      </c>
      <c r="F7" s="78" t="s">
        <v>497</v>
      </c>
      <c r="G7" s="52">
        <v>20170728</v>
      </c>
      <c r="H7" s="81">
        <v>559.85691811749996</v>
      </c>
      <c r="I7" s="81">
        <v>5.0818696022033691</v>
      </c>
      <c r="J7" s="81">
        <v>21.082640886306763</v>
      </c>
      <c r="K7" s="82">
        <v>6.6685859889944981</v>
      </c>
      <c r="L7" s="83">
        <v>0.2636261088037738</v>
      </c>
      <c r="M7" s="83">
        <v>0.67917756242629335</v>
      </c>
      <c r="N7" s="83">
        <v>0.94280367123006714</v>
      </c>
    </row>
    <row r="8" spans="1:14" x14ac:dyDescent="0.35">
      <c r="A8" s="80" t="s">
        <v>345</v>
      </c>
      <c r="B8" s="80" t="s">
        <v>346</v>
      </c>
      <c r="C8" s="52">
        <v>20130605</v>
      </c>
      <c r="D8" s="52" t="s">
        <v>488</v>
      </c>
      <c r="E8" s="52" t="s">
        <v>491</v>
      </c>
      <c r="F8" s="78" t="s">
        <v>492</v>
      </c>
      <c r="G8" s="52">
        <v>20130712</v>
      </c>
      <c r="H8" s="81">
        <v>173.75107717900002</v>
      </c>
      <c r="I8" s="81">
        <v>19.110431671142578</v>
      </c>
      <c r="J8" s="81">
        <v>29.580024719238281</v>
      </c>
      <c r="K8" s="82">
        <v>1.753197763983803</v>
      </c>
      <c r="L8" s="83">
        <v>0.13690201507460392</v>
      </c>
      <c r="M8" s="83">
        <v>1.0240732195046918</v>
      </c>
      <c r="N8" s="83">
        <v>1.1609752345792956</v>
      </c>
    </row>
    <row r="9" spans="1:14" x14ac:dyDescent="0.35">
      <c r="A9" s="80" t="s">
        <v>215</v>
      </c>
      <c r="B9" s="80" t="s">
        <v>216</v>
      </c>
      <c r="C9" s="52">
        <v>20160113</v>
      </c>
      <c r="D9" s="52" t="s">
        <v>488</v>
      </c>
      <c r="E9" s="52" t="s">
        <v>489</v>
      </c>
      <c r="F9" s="78" t="s">
        <v>494</v>
      </c>
      <c r="G9" s="52">
        <v>20190219</v>
      </c>
      <c r="H9" s="81">
        <v>91.309690923199994</v>
      </c>
      <c r="I9" s="81">
        <v>12.009032249450684</v>
      </c>
      <c r="J9" s="81">
        <v>22.599681377410889</v>
      </c>
      <c r="K9" s="82">
        <v>5.3288976786621616</v>
      </c>
      <c r="L9" s="83">
        <v>0.33482028405886272</v>
      </c>
      <c r="M9" s="83">
        <v>0.84715172024816698</v>
      </c>
      <c r="N9" s="83">
        <v>1.1819720043070296</v>
      </c>
    </row>
    <row r="10" spans="1:14" x14ac:dyDescent="0.35">
      <c r="A10" s="80" t="s">
        <v>177</v>
      </c>
      <c r="B10" s="80" t="s">
        <v>178</v>
      </c>
      <c r="C10" s="52">
        <v>20141028</v>
      </c>
      <c r="D10" s="52" t="s">
        <v>488</v>
      </c>
      <c r="E10" s="52" t="s">
        <v>489</v>
      </c>
      <c r="F10" s="78" t="s">
        <v>496</v>
      </c>
      <c r="G10" s="52">
        <v>20190319</v>
      </c>
      <c r="H10" s="81">
        <v>96.804245157099984</v>
      </c>
      <c r="I10" s="81">
        <v>18.775739669799805</v>
      </c>
      <c r="J10" s="81">
        <v>26.847392082214355</v>
      </c>
      <c r="K10" s="82">
        <v>0</v>
      </c>
      <c r="L10" s="83">
        <v>0.77639337537814701</v>
      </c>
      <c r="M10" s="83">
        <v>0.5479669794390607</v>
      </c>
      <c r="N10" s="83">
        <v>1.3243603548172076</v>
      </c>
    </row>
    <row r="11" spans="1:14" x14ac:dyDescent="0.35">
      <c r="A11" s="80" t="s">
        <v>191</v>
      </c>
      <c r="B11" s="80" t="s">
        <v>192</v>
      </c>
      <c r="C11" s="52">
        <v>20150309</v>
      </c>
      <c r="D11" s="52" t="s">
        <v>488</v>
      </c>
      <c r="E11" s="52" t="s">
        <v>489</v>
      </c>
      <c r="F11" s="78" t="s">
        <v>495</v>
      </c>
      <c r="G11" s="52">
        <v>20180517</v>
      </c>
      <c r="H11" s="81">
        <v>21.614960825600001</v>
      </c>
      <c r="I11" s="81">
        <v>8.0083866119384766</v>
      </c>
      <c r="J11" s="81">
        <v>23.656107902526855</v>
      </c>
      <c r="K11" s="82">
        <v>0</v>
      </c>
      <c r="L11" s="83">
        <v>0.96931241347485009</v>
      </c>
      <c r="M11" s="83">
        <v>0.43136953289237556</v>
      </c>
      <c r="N11" s="83">
        <v>1.4006819463672255</v>
      </c>
    </row>
    <row r="12" spans="1:14" x14ac:dyDescent="0.35">
      <c r="A12" s="80" t="s">
        <v>79</v>
      </c>
      <c r="B12" s="80" t="s">
        <v>80</v>
      </c>
      <c r="C12" s="52">
        <v>20101103</v>
      </c>
      <c r="D12" s="52" t="s">
        <v>488</v>
      </c>
      <c r="E12" s="52" t="s">
        <v>489</v>
      </c>
      <c r="F12" s="78" t="s">
        <v>505</v>
      </c>
      <c r="G12" s="52">
        <v>20160624</v>
      </c>
      <c r="H12" s="81">
        <v>38.942273102800002</v>
      </c>
      <c r="I12" s="81">
        <v>24.236295700073242</v>
      </c>
      <c r="J12" s="81">
        <v>31.677865028381348</v>
      </c>
      <c r="K12" s="82">
        <v>0</v>
      </c>
      <c r="L12" s="83">
        <v>0.89781059324206525</v>
      </c>
      <c r="M12" s="83">
        <v>0.54294211147003024</v>
      </c>
      <c r="N12" s="83">
        <v>1.4407527047120956</v>
      </c>
    </row>
    <row r="13" spans="1:14" x14ac:dyDescent="0.35">
      <c r="A13" s="80" t="s">
        <v>99</v>
      </c>
      <c r="B13" s="80" t="s">
        <v>100</v>
      </c>
      <c r="C13" s="52">
        <v>20110621</v>
      </c>
      <c r="D13" s="52" t="s">
        <v>488</v>
      </c>
      <c r="E13" s="52" t="s">
        <v>489</v>
      </c>
      <c r="F13" s="78" t="s">
        <v>500</v>
      </c>
      <c r="G13" s="52">
        <v>20131223</v>
      </c>
      <c r="H13" s="81">
        <v>302.07685069029998</v>
      </c>
      <c r="I13" s="81">
        <v>28.497491836547852</v>
      </c>
      <c r="J13" s="81">
        <v>29.786260604858398</v>
      </c>
      <c r="K13" s="82">
        <v>0</v>
      </c>
      <c r="L13" s="83">
        <v>0.62903143106188786</v>
      </c>
      <c r="M13" s="83">
        <v>0.81672050453776346</v>
      </c>
      <c r="N13" s="83">
        <v>1.4457519355996513</v>
      </c>
    </row>
    <row r="14" spans="1:14" x14ac:dyDescent="0.35">
      <c r="A14" s="80" t="s">
        <v>223</v>
      </c>
      <c r="B14" s="80" t="s">
        <v>224</v>
      </c>
      <c r="C14" s="52">
        <v>20160217</v>
      </c>
      <c r="D14" s="52" t="s">
        <v>516</v>
      </c>
      <c r="E14" s="52" t="s">
        <v>517</v>
      </c>
      <c r="F14" s="78" t="s">
        <v>513</v>
      </c>
      <c r="G14" s="52">
        <v>20190828</v>
      </c>
      <c r="H14" s="81">
        <v>12.4351602995</v>
      </c>
      <c r="I14" s="81">
        <v>11.680988311767578</v>
      </c>
      <c r="J14" s="81">
        <v>22.64398193359375</v>
      </c>
      <c r="K14" s="82">
        <v>12.14057530131479</v>
      </c>
      <c r="L14" s="83">
        <v>0.49587242988258218</v>
      </c>
      <c r="M14" s="83">
        <v>1.0088191560272779</v>
      </c>
      <c r="N14" s="83">
        <v>1.50469158590986</v>
      </c>
    </row>
    <row r="15" spans="1:14" x14ac:dyDescent="0.35">
      <c r="A15" s="80" t="s">
        <v>89</v>
      </c>
      <c r="B15" s="80" t="s">
        <v>90</v>
      </c>
      <c r="C15" s="52">
        <v>20110315</v>
      </c>
      <c r="D15" s="52" t="s">
        <v>488</v>
      </c>
      <c r="E15" s="52" t="s">
        <v>489</v>
      </c>
      <c r="F15" s="78" t="s">
        <v>503</v>
      </c>
      <c r="G15" s="52">
        <v>20110315</v>
      </c>
      <c r="H15" s="81">
        <v>57.092019120600007</v>
      </c>
      <c r="I15" s="81">
        <v>29.997520446777344</v>
      </c>
      <c r="J15" s="81">
        <v>34.227504730224609</v>
      </c>
      <c r="K15" s="82">
        <v>10.12664307385463</v>
      </c>
      <c r="L15" s="83">
        <v>1.0045890375839615</v>
      </c>
      <c r="M15" s="83">
        <v>0.52271445418653539</v>
      </c>
      <c r="N15" s="83">
        <v>1.5273034917704968</v>
      </c>
    </row>
    <row r="16" spans="1:14" x14ac:dyDescent="0.35">
      <c r="A16" s="80" t="s">
        <v>155</v>
      </c>
      <c r="B16" s="80" t="s">
        <v>156</v>
      </c>
      <c r="C16" s="52">
        <v>20130823</v>
      </c>
      <c r="D16" s="52" t="s">
        <v>488</v>
      </c>
      <c r="E16" s="52" t="s">
        <v>489</v>
      </c>
      <c r="F16" s="78" t="s">
        <v>524</v>
      </c>
      <c r="G16" s="52">
        <v>20140109</v>
      </c>
      <c r="H16" s="81">
        <v>512.01381487440005</v>
      </c>
      <c r="I16" s="81">
        <v>6.361605167388916</v>
      </c>
      <c r="J16" s="81">
        <v>18.640601396560669</v>
      </c>
      <c r="K16" s="82">
        <v>0</v>
      </c>
      <c r="L16" s="83">
        <v>0.85143311285443257</v>
      </c>
      <c r="M16" s="83">
        <v>0.67951084448546384</v>
      </c>
      <c r="N16" s="83">
        <v>1.5309439573398964</v>
      </c>
    </row>
    <row r="17" spans="1:14" x14ac:dyDescent="0.35">
      <c r="A17" s="80" t="s">
        <v>73</v>
      </c>
      <c r="B17" s="80" t="s">
        <v>74</v>
      </c>
      <c r="C17" s="52">
        <v>20100908</v>
      </c>
      <c r="D17" s="52" t="s">
        <v>488</v>
      </c>
      <c r="E17" s="52" t="s">
        <v>489</v>
      </c>
      <c r="F17" s="78" t="s">
        <v>512</v>
      </c>
      <c r="G17" s="52">
        <v>20200710</v>
      </c>
      <c r="H17" s="81">
        <v>31.7399847585</v>
      </c>
      <c r="I17" s="81">
        <v>9.1009654998779297</v>
      </c>
      <c r="J17" s="81">
        <v>22.389313697814941</v>
      </c>
      <c r="K17" s="82">
        <v>6.2148738098298413</v>
      </c>
      <c r="L17" s="83">
        <v>0.44059888222324772</v>
      </c>
      <c r="M17" s="83">
        <v>1.15487360918833</v>
      </c>
      <c r="N17" s="83">
        <v>1.5954724914115777</v>
      </c>
    </row>
    <row r="18" spans="1:14" x14ac:dyDescent="0.35">
      <c r="A18" s="80" t="s">
        <v>199</v>
      </c>
      <c r="B18" s="80" t="s">
        <v>200</v>
      </c>
      <c r="C18" s="52">
        <v>20120820</v>
      </c>
      <c r="D18" s="52" t="s">
        <v>488</v>
      </c>
      <c r="E18" s="52" t="s">
        <v>491</v>
      </c>
      <c r="F18" s="78" t="s">
        <v>528</v>
      </c>
      <c r="G18" s="52">
        <v>20171230</v>
      </c>
      <c r="H18" s="81">
        <v>26.6603018472</v>
      </c>
      <c r="I18" s="81">
        <v>4.7040448188781738</v>
      </c>
      <c r="J18" s="81">
        <v>22.395654916763306</v>
      </c>
      <c r="K18" s="82">
        <v>17.18885264789786</v>
      </c>
      <c r="L18" s="83">
        <v>0.89163205660667599</v>
      </c>
      <c r="M18" s="83">
        <v>0.71450546069835408</v>
      </c>
      <c r="N18" s="83">
        <v>1.6061375173050301</v>
      </c>
    </row>
    <row r="19" spans="1:14" x14ac:dyDescent="0.35">
      <c r="A19" s="80" t="s">
        <v>67</v>
      </c>
      <c r="B19" s="80" t="s">
        <v>68</v>
      </c>
      <c r="C19" s="52">
        <v>20130918</v>
      </c>
      <c r="D19" s="52" t="s">
        <v>488</v>
      </c>
      <c r="E19" s="52" t="s">
        <v>491</v>
      </c>
      <c r="F19" s="78" t="s">
        <v>504</v>
      </c>
      <c r="G19" s="52">
        <v>20190724</v>
      </c>
      <c r="H19" s="81">
        <v>101.6690244583</v>
      </c>
      <c r="I19" s="81">
        <v>2.310142993927002</v>
      </c>
      <c r="J19" s="81">
        <v>15.813322305679321</v>
      </c>
      <c r="K19" s="82">
        <v>5.9330263392800351</v>
      </c>
      <c r="L19" s="83">
        <v>0.46100599907706502</v>
      </c>
      <c r="M19" s="83">
        <v>1.1506691278264882</v>
      </c>
      <c r="N19" s="83">
        <v>1.6116751269035532</v>
      </c>
    </row>
    <row r="20" spans="1:14" x14ac:dyDescent="0.35">
      <c r="A20" s="80" t="s">
        <v>301</v>
      </c>
      <c r="B20" s="80" t="s">
        <v>302</v>
      </c>
      <c r="C20" s="52">
        <v>20161118</v>
      </c>
      <c r="D20" s="52" t="s">
        <v>488</v>
      </c>
      <c r="E20" s="52" t="s">
        <v>489</v>
      </c>
      <c r="F20" s="78" t="s">
        <v>490</v>
      </c>
      <c r="G20" s="52">
        <v>20161118</v>
      </c>
      <c r="H20" s="81">
        <v>70.804104286599994</v>
      </c>
      <c r="I20" s="81">
        <v>18.963212966918945</v>
      </c>
      <c r="J20" s="81">
        <v>24.145084381103516</v>
      </c>
      <c r="K20" s="82">
        <v>9.1591724312333813</v>
      </c>
      <c r="L20" s="83">
        <v>0.18776598472029946</v>
      </c>
      <c r="M20" s="83">
        <v>1.5522483720453266</v>
      </c>
      <c r="N20" s="83">
        <v>1.7400143567656261</v>
      </c>
    </row>
    <row r="21" spans="1:14" x14ac:dyDescent="0.35">
      <c r="A21" s="80" t="s">
        <v>159</v>
      </c>
      <c r="B21" s="80" t="s">
        <v>160</v>
      </c>
      <c r="C21" s="52">
        <v>20141202</v>
      </c>
      <c r="D21" s="52" t="s">
        <v>488</v>
      </c>
      <c r="E21" s="52" t="s">
        <v>489</v>
      </c>
      <c r="F21" s="78" t="s">
        <v>545</v>
      </c>
      <c r="G21" s="52">
        <v>20141202</v>
      </c>
      <c r="H21" s="81">
        <v>28.690333243200001</v>
      </c>
      <c r="I21" s="81">
        <v>1.4119445085525513</v>
      </c>
      <c r="J21" s="81">
        <v>10.351875841617584</v>
      </c>
      <c r="K21" s="82">
        <v>0</v>
      </c>
      <c r="L21" s="83">
        <v>1.3777111213659436</v>
      </c>
      <c r="M21" s="83">
        <v>0.51117776752294519</v>
      </c>
      <c r="N21" s="83">
        <v>1.8888888888888888</v>
      </c>
    </row>
    <row r="22" spans="1:14" x14ac:dyDescent="0.35">
      <c r="A22" s="80" t="s">
        <v>217</v>
      </c>
      <c r="B22" s="80" t="s">
        <v>218</v>
      </c>
      <c r="C22" s="52">
        <v>20050919</v>
      </c>
      <c r="D22" s="52" t="s">
        <v>488</v>
      </c>
      <c r="E22" s="52" t="s">
        <v>489</v>
      </c>
      <c r="F22" s="78" t="s">
        <v>542</v>
      </c>
      <c r="G22" s="52">
        <v>20120229</v>
      </c>
      <c r="H22" s="81">
        <v>432.01732996319998</v>
      </c>
      <c r="I22" s="81">
        <v>6.5069394111633301</v>
      </c>
      <c r="J22" s="81">
        <v>14.902575731277466</v>
      </c>
      <c r="K22" s="82">
        <v>2.7553454860280642</v>
      </c>
      <c r="L22" s="83">
        <v>1.5758857611649488</v>
      </c>
      <c r="M22" s="83">
        <v>0.3239757985950879</v>
      </c>
      <c r="N22" s="83">
        <v>1.8998615597600368</v>
      </c>
    </row>
    <row r="23" spans="1:14" x14ac:dyDescent="0.35">
      <c r="A23" s="80" t="s">
        <v>137</v>
      </c>
      <c r="B23" s="80" t="s">
        <v>138</v>
      </c>
      <c r="C23" s="52">
        <v>20100531</v>
      </c>
      <c r="D23" s="52" t="s">
        <v>488</v>
      </c>
      <c r="E23" s="52" t="s">
        <v>489</v>
      </c>
      <c r="F23" s="78" t="s">
        <v>515</v>
      </c>
      <c r="G23" s="52">
        <v>20181010</v>
      </c>
      <c r="H23" s="81">
        <v>35.667470433699997</v>
      </c>
      <c r="I23" s="81">
        <v>5.1119799613952637</v>
      </c>
      <c r="J23" s="81">
        <v>22.446767568588257</v>
      </c>
      <c r="K23" s="82">
        <v>1.961198794011128</v>
      </c>
      <c r="L23" s="83">
        <v>0.85166384658770444</v>
      </c>
      <c r="M23" s="83">
        <v>1.140721940214326</v>
      </c>
      <c r="N23" s="83">
        <v>1.9923857868020305</v>
      </c>
    </row>
    <row r="24" spans="1:14" x14ac:dyDescent="0.35">
      <c r="A24" s="80" t="s">
        <v>189</v>
      </c>
      <c r="B24" s="80" t="s">
        <v>190</v>
      </c>
      <c r="C24" s="52">
        <v>20150130</v>
      </c>
      <c r="D24" s="52" t="s">
        <v>516</v>
      </c>
      <c r="E24" s="52" t="s">
        <v>517</v>
      </c>
      <c r="F24" s="78" t="s">
        <v>518</v>
      </c>
      <c r="G24" s="52">
        <v>20150130</v>
      </c>
      <c r="H24" s="81">
        <v>33.065689739500002</v>
      </c>
      <c r="I24" s="81">
        <v>0</v>
      </c>
      <c r="J24" s="81">
        <v>15.719645500183105</v>
      </c>
      <c r="K24" s="82">
        <v>13.70916510652696</v>
      </c>
      <c r="L24" s="83">
        <v>0.71965851407475778</v>
      </c>
      <c r="M24" s="83">
        <v>1.31300312772394</v>
      </c>
      <c r="N24" s="83">
        <v>2.0326616417986978</v>
      </c>
    </row>
    <row r="25" spans="1:14" x14ac:dyDescent="0.35">
      <c r="A25" s="80" t="s">
        <v>129</v>
      </c>
      <c r="B25" s="80" t="s">
        <v>130</v>
      </c>
      <c r="C25" s="52">
        <v>20121129</v>
      </c>
      <c r="D25" s="52" t="s">
        <v>488</v>
      </c>
      <c r="E25" s="52" t="s">
        <v>489</v>
      </c>
      <c r="F25" s="78" t="s">
        <v>493</v>
      </c>
      <c r="G25" s="52">
        <v>20170830</v>
      </c>
      <c r="H25" s="81">
        <v>16.744384396800001</v>
      </c>
      <c r="I25" s="81">
        <v>16.540004730224609</v>
      </c>
      <c r="J25" s="81">
        <v>18.586475372314453</v>
      </c>
      <c r="K25" s="82">
        <v>6.0620323563163359</v>
      </c>
      <c r="L25" s="83">
        <v>0.49728246936368758</v>
      </c>
      <c r="M25" s="83">
        <v>1.5475567861354662</v>
      </c>
      <c r="N25" s="83">
        <v>2.0448392554991539</v>
      </c>
    </row>
    <row r="26" spans="1:14" x14ac:dyDescent="0.35">
      <c r="A26" s="80" t="s">
        <v>133</v>
      </c>
      <c r="B26" s="80" t="s">
        <v>134</v>
      </c>
      <c r="C26" s="52">
        <v>20130521</v>
      </c>
      <c r="D26" s="52" t="s">
        <v>488</v>
      </c>
      <c r="E26" s="52" t="s">
        <v>489</v>
      </c>
      <c r="F26" s="78" t="s">
        <v>544</v>
      </c>
      <c r="G26" s="52">
        <v>20190313</v>
      </c>
      <c r="H26" s="81">
        <v>29.453997660999999</v>
      </c>
      <c r="I26" s="81">
        <v>5.1316652297973633</v>
      </c>
      <c r="J26" s="81">
        <v>17.174639225006104</v>
      </c>
      <c r="K26" s="82">
        <v>3.3910507208415721</v>
      </c>
      <c r="L26" s="83">
        <v>1.0376352356047787</v>
      </c>
      <c r="M26" s="83">
        <v>1.0637337845459673</v>
      </c>
      <c r="N26" s="83">
        <v>2.101369020150746</v>
      </c>
    </row>
    <row r="27" spans="1:14" x14ac:dyDescent="0.35">
      <c r="A27" s="80" t="s">
        <v>287</v>
      </c>
      <c r="B27" s="80" t="s">
        <v>288</v>
      </c>
      <c r="C27" s="52">
        <v>20080310</v>
      </c>
      <c r="D27" s="52" t="s">
        <v>488</v>
      </c>
      <c r="E27" s="52" t="s">
        <v>489</v>
      </c>
      <c r="F27" s="78" t="s">
        <v>551</v>
      </c>
      <c r="G27" s="52">
        <v>20170908</v>
      </c>
      <c r="H27" s="81">
        <v>35.695800965499998</v>
      </c>
      <c r="I27" s="81">
        <v>2.2299978733062744</v>
      </c>
      <c r="J27" s="81">
        <v>8.6122819185256958</v>
      </c>
      <c r="K27" s="82">
        <v>14.97940893711251</v>
      </c>
      <c r="L27" s="83">
        <v>1.4635953443060041</v>
      </c>
      <c r="M27" s="83">
        <v>0.74429574937189158</v>
      </c>
      <c r="N27" s="83">
        <v>2.2078910936778957</v>
      </c>
    </row>
    <row r="28" spans="1:14" x14ac:dyDescent="0.35">
      <c r="A28" s="80" t="s">
        <v>81</v>
      </c>
      <c r="B28" s="80" t="s">
        <v>82</v>
      </c>
      <c r="C28" s="52">
        <v>20140128</v>
      </c>
      <c r="D28" s="52" t="s">
        <v>488</v>
      </c>
      <c r="E28" s="52" t="s">
        <v>489</v>
      </c>
      <c r="F28" s="78" t="s">
        <v>513</v>
      </c>
      <c r="G28" s="52">
        <v>20180928</v>
      </c>
      <c r="H28" s="81">
        <v>229.56350590619999</v>
      </c>
      <c r="I28" s="81">
        <v>7.2582106590270996</v>
      </c>
      <c r="J28" s="81">
        <v>21.379938840866089</v>
      </c>
      <c r="K28" s="82">
        <v>1.9207059861690829</v>
      </c>
      <c r="L28" s="83">
        <v>0.36443111316207766</v>
      </c>
      <c r="M28" s="83">
        <v>1.8763267189663129</v>
      </c>
      <c r="N28" s="83">
        <v>2.2407578321283905</v>
      </c>
    </row>
    <row r="29" spans="1:14" x14ac:dyDescent="0.35">
      <c r="A29" s="80" t="s">
        <v>19</v>
      </c>
      <c r="B29" s="80" t="s">
        <v>20</v>
      </c>
      <c r="C29" s="52">
        <v>20090721</v>
      </c>
      <c r="D29" s="52" t="s">
        <v>488</v>
      </c>
      <c r="E29" s="52" t="s">
        <v>489</v>
      </c>
      <c r="F29" s="78" t="s">
        <v>525</v>
      </c>
      <c r="G29" s="52">
        <v>20210414</v>
      </c>
      <c r="H29" s="81">
        <v>15.630156550899999</v>
      </c>
      <c r="I29" s="81">
        <v>7.0513958930969238</v>
      </c>
      <c r="J29" s="81">
        <v>20.655365228652954</v>
      </c>
      <c r="K29" s="82">
        <v>12.911898824735649</v>
      </c>
      <c r="L29" s="83">
        <v>0.58234630569655943</v>
      </c>
      <c r="M29" s="83">
        <v>1.678049530841409</v>
      </c>
      <c r="N29" s="83">
        <v>2.2603958365379686</v>
      </c>
    </row>
    <row r="30" spans="1:14" x14ac:dyDescent="0.35">
      <c r="A30" s="80" t="s">
        <v>399</v>
      </c>
      <c r="B30" s="80" t="s">
        <v>400</v>
      </c>
      <c r="C30" s="52">
        <v>20101123</v>
      </c>
      <c r="D30" s="52" t="s">
        <v>488</v>
      </c>
      <c r="E30" s="52" t="s">
        <v>489</v>
      </c>
      <c r="F30" s="78" t="s">
        <v>543</v>
      </c>
      <c r="G30" s="52">
        <v>20151218</v>
      </c>
      <c r="H30" s="81">
        <v>16.924338517300001</v>
      </c>
      <c r="I30" s="81">
        <v>5.2762289047241211</v>
      </c>
      <c r="J30" s="81">
        <v>19.089824199676514</v>
      </c>
      <c r="K30" s="82">
        <v>5.9940304252543326</v>
      </c>
      <c r="L30" s="83">
        <v>1.6620776290827053</v>
      </c>
      <c r="M30" s="83">
        <v>0.61311080346613345</v>
      </c>
      <c r="N30" s="83">
        <v>2.2751884325488385</v>
      </c>
    </row>
    <row r="31" spans="1:14" x14ac:dyDescent="0.35">
      <c r="A31" s="80" t="s">
        <v>249</v>
      </c>
      <c r="B31" s="80" t="s">
        <v>250</v>
      </c>
      <c r="C31" s="52">
        <v>20130329</v>
      </c>
      <c r="D31" s="52" t="s">
        <v>488</v>
      </c>
      <c r="E31" s="52" t="s">
        <v>489</v>
      </c>
      <c r="F31" s="78" t="s">
        <v>541</v>
      </c>
      <c r="G31" s="52">
        <v>20130329</v>
      </c>
      <c r="H31" s="81">
        <v>200.61962545419999</v>
      </c>
      <c r="I31" s="81">
        <v>14.964287757873535</v>
      </c>
      <c r="J31" s="81">
        <v>21.638584613800049</v>
      </c>
      <c r="K31" s="82">
        <v>0</v>
      </c>
      <c r="L31" s="83">
        <v>1.2613187714710556</v>
      </c>
      <c r="M31" s="83">
        <v>1.0390709121673589</v>
      </c>
      <c r="N31" s="83">
        <v>2.3003896836384143</v>
      </c>
    </row>
    <row r="32" spans="1:14" x14ac:dyDescent="0.35">
      <c r="A32" s="80" t="s">
        <v>35</v>
      </c>
      <c r="B32" s="80" t="s">
        <v>36</v>
      </c>
      <c r="C32" s="52">
        <v>20131113</v>
      </c>
      <c r="D32" s="52" t="s">
        <v>488</v>
      </c>
      <c r="E32" s="52" t="s">
        <v>489</v>
      </c>
      <c r="F32" s="78" t="s">
        <v>548</v>
      </c>
      <c r="G32" s="52">
        <v>20201030</v>
      </c>
      <c r="H32" s="81">
        <v>206.29594375419998</v>
      </c>
      <c r="I32" s="81">
        <v>8.5740022659301758</v>
      </c>
      <c r="J32" s="81">
        <v>17.89761209487915</v>
      </c>
      <c r="K32" s="82">
        <v>6.7706081592385337</v>
      </c>
      <c r="L32" s="83">
        <v>2.0423780956775879</v>
      </c>
      <c r="M32" s="83">
        <v>0.26347228631492586</v>
      </c>
      <c r="N32" s="83">
        <v>2.3058503819925136</v>
      </c>
    </row>
    <row r="33" spans="1:14" x14ac:dyDescent="0.35">
      <c r="A33" s="80" t="s">
        <v>305</v>
      </c>
      <c r="B33" s="80" t="s">
        <v>306</v>
      </c>
      <c r="C33" s="52">
        <v>20161123</v>
      </c>
      <c r="D33" s="52" t="s">
        <v>488</v>
      </c>
      <c r="E33" s="52" t="s">
        <v>489</v>
      </c>
      <c r="F33" s="78" t="s">
        <v>500</v>
      </c>
      <c r="G33" s="52">
        <v>20161123</v>
      </c>
      <c r="H33" s="81">
        <v>242.53780423830003</v>
      </c>
      <c r="I33" s="81">
        <v>7.1638450622558594</v>
      </c>
      <c r="J33" s="81">
        <v>18.20801830291748</v>
      </c>
      <c r="K33" s="82">
        <v>0</v>
      </c>
      <c r="L33" s="83">
        <v>1.3940163051838179</v>
      </c>
      <c r="M33" s="83">
        <v>0.93826590780905506</v>
      </c>
      <c r="N33" s="83">
        <v>2.3322822129928729</v>
      </c>
    </row>
    <row r="34" spans="1:14" x14ac:dyDescent="0.35">
      <c r="A34" s="80" t="s">
        <v>143</v>
      </c>
      <c r="B34" s="80" t="s">
        <v>144</v>
      </c>
      <c r="C34" s="52">
        <v>20160204</v>
      </c>
      <c r="D34" s="52" t="s">
        <v>488</v>
      </c>
      <c r="E34" s="52" t="s">
        <v>489</v>
      </c>
      <c r="F34" s="78" t="s">
        <v>550</v>
      </c>
      <c r="G34" s="52">
        <v>20160204</v>
      </c>
      <c r="H34" s="81">
        <v>26.162112746799998</v>
      </c>
      <c r="I34" s="81">
        <v>11.298450469970703</v>
      </c>
      <c r="J34" s="81">
        <v>19.695982933044434</v>
      </c>
      <c r="K34" s="82">
        <v>0</v>
      </c>
      <c r="L34" s="83">
        <v>2.0321745372506794</v>
      </c>
      <c r="M34" s="83">
        <v>0.35456083679433936</v>
      </c>
      <c r="N34" s="83">
        <v>2.3867353740450188</v>
      </c>
    </row>
    <row r="35" spans="1:14" x14ac:dyDescent="0.35">
      <c r="A35" s="80" t="s">
        <v>97</v>
      </c>
      <c r="B35" s="80" t="s">
        <v>98</v>
      </c>
      <c r="C35" s="52">
        <v>20160715</v>
      </c>
      <c r="D35" s="52" t="s">
        <v>488</v>
      </c>
      <c r="E35" s="52" t="s">
        <v>489</v>
      </c>
      <c r="F35" s="78" t="s">
        <v>506</v>
      </c>
      <c r="G35" s="52">
        <v>20180912</v>
      </c>
      <c r="H35" s="81">
        <v>81.245127781199997</v>
      </c>
      <c r="I35" s="81">
        <v>0</v>
      </c>
      <c r="J35" s="81">
        <v>19.548446655273438</v>
      </c>
      <c r="K35" s="82">
        <v>7.8118161338760572</v>
      </c>
      <c r="L35" s="83">
        <v>0.2734194739270881</v>
      </c>
      <c r="M35" s="83">
        <v>2.1755883710198431</v>
      </c>
      <c r="N35" s="83">
        <v>2.449007844946931</v>
      </c>
    </row>
    <row r="36" spans="1:14" x14ac:dyDescent="0.35">
      <c r="A36" s="80" t="s">
        <v>207</v>
      </c>
      <c r="B36" s="80" t="s">
        <v>208</v>
      </c>
      <c r="C36" s="52">
        <v>20170905</v>
      </c>
      <c r="D36" s="52" t="s">
        <v>488</v>
      </c>
      <c r="E36" s="52" t="s">
        <v>489</v>
      </c>
      <c r="F36" s="78" t="s">
        <v>538</v>
      </c>
      <c r="G36" s="52">
        <v>20180319</v>
      </c>
      <c r="H36" s="81">
        <v>13.431332446400001</v>
      </c>
      <c r="I36" s="81">
        <v>25.523900985717773</v>
      </c>
      <c r="J36" s="81">
        <v>32.308991432189941</v>
      </c>
      <c r="K36" s="82">
        <v>0</v>
      </c>
      <c r="L36" s="83">
        <v>1.3680203045685277</v>
      </c>
      <c r="M36" s="83">
        <v>1.1866123160539404</v>
      </c>
      <c r="N36" s="83">
        <v>2.5546326206224679</v>
      </c>
    </row>
    <row r="37" spans="1:14" x14ac:dyDescent="0.35">
      <c r="A37" s="80" t="s">
        <v>37</v>
      </c>
      <c r="B37" s="80" t="s">
        <v>38</v>
      </c>
      <c r="C37" s="52">
        <v>20080910</v>
      </c>
      <c r="D37" s="52" t="s">
        <v>488</v>
      </c>
      <c r="E37" s="52" t="s">
        <v>489</v>
      </c>
      <c r="F37" s="78" t="s">
        <v>499</v>
      </c>
      <c r="G37" s="52">
        <v>20090213</v>
      </c>
      <c r="H37" s="81">
        <v>25.464360860599999</v>
      </c>
      <c r="I37" s="81">
        <v>20.778264999389648</v>
      </c>
      <c r="J37" s="81">
        <v>29.126181602478027</v>
      </c>
      <c r="K37" s="82">
        <v>0</v>
      </c>
      <c r="L37" s="83">
        <v>0.53261036763574832</v>
      </c>
      <c r="M37" s="83">
        <v>2.029021176229298</v>
      </c>
      <c r="N37" s="83">
        <v>2.5616315438650465</v>
      </c>
    </row>
    <row r="38" spans="1:14" x14ac:dyDescent="0.35">
      <c r="A38" s="80" t="s">
        <v>267</v>
      </c>
      <c r="B38" s="80" t="s">
        <v>268</v>
      </c>
      <c r="C38" s="52">
        <v>20020920</v>
      </c>
      <c r="D38" s="52" t="s">
        <v>488</v>
      </c>
      <c r="E38" s="52" t="s">
        <v>489</v>
      </c>
      <c r="F38" s="78" t="s">
        <v>507</v>
      </c>
      <c r="G38" s="52">
        <v>20160330</v>
      </c>
      <c r="H38" s="81">
        <v>173.1128148658</v>
      </c>
      <c r="I38" s="81">
        <v>1.4902511835098267</v>
      </c>
      <c r="J38" s="81">
        <v>27.282933056354523</v>
      </c>
      <c r="K38" s="82">
        <v>1.158435325284624</v>
      </c>
      <c r="L38" s="83">
        <v>0.56775880633748654</v>
      </c>
      <c r="M38" s="83">
        <v>2.1043941957647538</v>
      </c>
      <c r="N38" s="83">
        <v>2.6721530021022404</v>
      </c>
    </row>
    <row r="39" spans="1:14" x14ac:dyDescent="0.35">
      <c r="A39" s="80" t="s">
        <v>29</v>
      </c>
      <c r="B39" s="80" t="s">
        <v>30</v>
      </c>
      <c r="C39" s="52">
        <v>20170323</v>
      </c>
      <c r="D39" s="52" t="s">
        <v>488</v>
      </c>
      <c r="E39" s="52" t="s">
        <v>489</v>
      </c>
      <c r="F39" s="78" t="s">
        <v>556</v>
      </c>
      <c r="G39" s="52">
        <v>20210127</v>
      </c>
      <c r="H39" s="81">
        <v>10.2021456491</v>
      </c>
      <c r="I39" s="81">
        <v>0</v>
      </c>
      <c r="J39" s="81">
        <v>0</v>
      </c>
      <c r="K39" s="82">
        <v>0</v>
      </c>
      <c r="L39" s="83">
        <v>1.7576526688201815</v>
      </c>
      <c r="M39" s="83">
        <v>0.9965133569194482</v>
      </c>
      <c r="N39" s="83">
        <v>2.7541660257396297</v>
      </c>
    </row>
    <row r="40" spans="1:14" x14ac:dyDescent="0.35">
      <c r="A40" s="80" t="s">
        <v>117</v>
      </c>
      <c r="B40" s="80" t="s">
        <v>118</v>
      </c>
      <c r="C40" s="52">
        <v>20130204</v>
      </c>
      <c r="D40" s="52" t="s">
        <v>488</v>
      </c>
      <c r="E40" s="52" t="s">
        <v>489</v>
      </c>
      <c r="F40" s="78" t="s">
        <v>557</v>
      </c>
      <c r="G40" s="52">
        <v>20141231</v>
      </c>
      <c r="H40" s="81">
        <v>58.660637906800005</v>
      </c>
      <c r="I40" s="81">
        <v>3.3480691909790039</v>
      </c>
      <c r="J40" s="81">
        <v>4.5415358543395996</v>
      </c>
      <c r="K40" s="82">
        <v>5.6493248594827259</v>
      </c>
      <c r="L40" s="83">
        <v>2.0620417371686406</v>
      </c>
      <c r="M40" s="83">
        <v>0.74347536276470294</v>
      </c>
      <c r="N40" s="83">
        <v>2.8055170999333434</v>
      </c>
    </row>
    <row r="41" spans="1:14" x14ac:dyDescent="0.35">
      <c r="A41" s="80" t="s">
        <v>135</v>
      </c>
      <c r="B41" s="80" t="s">
        <v>136</v>
      </c>
      <c r="C41" s="52">
        <v>20130313</v>
      </c>
      <c r="D41" s="52" t="s">
        <v>488</v>
      </c>
      <c r="E41" s="52" t="s">
        <v>489</v>
      </c>
      <c r="F41" s="78" t="s">
        <v>521</v>
      </c>
      <c r="G41" s="52">
        <v>20210807</v>
      </c>
      <c r="H41" s="81">
        <v>18.3174994594</v>
      </c>
      <c r="I41" s="81">
        <v>0</v>
      </c>
      <c r="J41" s="81">
        <v>8.4121799468994141</v>
      </c>
      <c r="K41" s="82">
        <v>17.54185939583072</v>
      </c>
      <c r="L41" s="83">
        <v>1.1916371840229707</v>
      </c>
      <c r="M41" s="83">
        <v>1.6490027175306361</v>
      </c>
      <c r="N41" s="83">
        <v>2.8406399015536068</v>
      </c>
    </row>
    <row r="42" spans="1:14" x14ac:dyDescent="0.35">
      <c r="A42" s="80" t="s">
        <v>145</v>
      </c>
      <c r="B42" s="80" t="s">
        <v>146</v>
      </c>
      <c r="C42" s="52">
        <v>20161123</v>
      </c>
      <c r="D42" s="52" t="s">
        <v>488</v>
      </c>
      <c r="E42" s="52" t="s">
        <v>489</v>
      </c>
      <c r="F42" s="78" t="s">
        <v>527</v>
      </c>
      <c r="G42" s="52">
        <v>20170405</v>
      </c>
      <c r="H42" s="81">
        <v>95.90548736209999</v>
      </c>
      <c r="I42" s="81">
        <v>0.45830294489860535</v>
      </c>
      <c r="J42" s="81">
        <v>20.255421385169029</v>
      </c>
      <c r="K42" s="82">
        <v>14.364516962398699</v>
      </c>
      <c r="L42" s="83">
        <v>0.80046659488283856</v>
      </c>
      <c r="M42" s="83">
        <v>2.0487104548018253</v>
      </c>
      <c r="N42" s="83">
        <v>2.849177049684664</v>
      </c>
    </row>
    <row r="43" spans="1:14" x14ac:dyDescent="0.35">
      <c r="A43" s="80" t="s">
        <v>75</v>
      </c>
      <c r="B43" s="80" t="s">
        <v>76</v>
      </c>
      <c r="C43" s="52">
        <v>20100901</v>
      </c>
      <c r="D43" s="52" t="s">
        <v>488</v>
      </c>
      <c r="E43" s="52" t="s">
        <v>489</v>
      </c>
      <c r="F43" s="78" t="s">
        <v>520</v>
      </c>
      <c r="G43" s="52">
        <v>20150418</v>
      </c>
      <c r="H43" s="81">
        <v>50.138554453400005</v>
      </c>
      <c r="I43" s="81">
        <v>14.679477691650391</v>
      </c>
      <c r="J43" s="81">
        <v>22.547824859619141</v>
      </c>
      <c r="K43" s="82">
        <v>3.855077237610562</v>
      </c>
      <c r="L43" s="83">
        <v>0.8870942931856638</v>
      </c>
      <c r="M43" s="83">
        <v>1.983028252063785</v>
      </c>
      <c r="N43" s="83">
        <v>2.8701225452494485</v>
      </c>
    </row>
    <row r="44" spans="1:14" x14ac:dyDescent="0.35">
      <c r="A44" s="15" t="s">
        <v>49</v>
      </c>
      <c r="B44" s="15" t="s">
        <v>50</v>
      </c>
      <c r="C44" s="16">
        <v>20081229</v>
      </c>
      <c r="D44" s="16" t="s">
        <v>488</v>
      </c>
      <c r="E44" s="16" t="s">
        <v>489</v>
      </c>
      <c r="F44" s="17" t="s">
        <v>522</v>
      </c>
      <c r="G44" s="16">
        <v>20181204</v>
      </c>
      <c r="H44" s="18">
        <v>13.058647094100001</v>
      </c>
      <c r="I44" s="18">
        <v>4.8234286308288574</v>
      </c>
      <c r="J44" s="18">
        <v>21.017724752426147</v>
      </c>
      <c r="K44" s="19">
        <v>11.63099047746093</v>
      </c>
      <c r="L44" s="77">
        <v>0.81597702917499881</v>
      </c>
      <c r="M44" s="77">
        <v>2.1250320463518433</v>
      </c>
      <c r="N44" s="77">
        <v>2.9410090755268419</v>
      </c>
    </row>
    <row r="45" spans="1:14" x14ac:dyDescent="0.35">
      <c r="A45" s="15" t="s">
        <v>41</v>
      </c>
      <c r="B45" s="15" t="s">
        <v>42</v>
      </c>
      <c r="C45" s="16">
        <v>20080927</v>
      </c>
      <c r="D45" s="16" t="s">
        <v>488</v>
      </c>
      <c r="E45" s="16" t="s">
        <v>489</v>
      </c>
      <c r="F45" s="17" t="s">
        <v>519</v>
      </c>
      <c r="G45" s="16">
        <v>20140211</v>
      </c>
      <c r="H45" s="18">
        <v>20.1257658165</v>
      </c>
      <c r="I45" s="18">
        <v>1.113016065210104E-2</v>
      </c>
      <c r="J45" s="18">
        <v>16.346949968021363</v>
      </c>
      <c r="K45" s="19">
        <v>20.078242173955388</v>
      </c>
      <c r="L45" s="77">
        <v>0.46582577039429829</v>
      </c>
      <c r="M45" s="77">
        <v>2.479772342716505</v>
      </c>
      <c r="N45" s="77">
        <v>2.9455981131108033</v>
      </c>
    </row>
    <row r="46" spans="1:14" x14ac:dyDescent="0.35">
      <c r="A46" s="3" t="s">
        <v>303</v>
      </c>
      <c r="B46" s="3" t="s">
        <v>304</v>
      </c>
      <c r="C46" s="4">
        <v>20101124</v>
      </c>
      <c r="D46" s="4" t="s">
        <v>488</v>
      </c>
      <c r="E46" s="4" t="s">
        <v>489</v>
      </c>
      <c r="F46" s="17" t="s">
        <v>531</v>
      </c>
      <c r="G46" s="4">
        <v>20101124</v>
      </c>
      <c r="H46" s="11">
        <v>36.259752983200002</v>
      </c>
      <c r="I46" s="11">
        <v>5.124812126159668</v>
      </c>
      <c r="J46" s="11">
        <v>17.789594173431396</v>
      </c>
      <c r="K46" s="12">
        <v>8.5649507911400047</v>
      </c>
      <c r="L46" s="77">
        <v>1.5257139927190688</v>
      </c>
      <c r="M46" s="77">
        <v>1.5509408808901195</v>
      </c>
      <c r="N46" s="77">
        <v>3.0766548736091881</v>
      </c>
    </row>
    <row r="47" spans="1:14" x14ac:dyDescent="0.35">
      <c r="A47" s="3" t="s">
        <v>95</v>
      </c>
      <c r="B47" s="3" t="s">
        <v>96</v>
      </c>
      <c r="C47" s="4">
        <v>20101203</v>
      </c>
      <c r="D47" s="4" t="s">
        <v>488</v>
      </c>
      <c r="E47" s="4" t="s">
        <v>489</v>
      </c>
      <c r="F47" s="17" t="s">
        <v>514</v>
      </c>
      <c r="G47" s="4">
        <v>20190628</v>
      </c>
      <c r="H47" s="11">
        <v>27.903862555500002</v>
      </c>
      <c r="I47" s="11">
        <v>8.2375583648681641</v>
      </c>
      <c r="J47" s="11">
        <v>19.115042686462402</v>
      </c>
      <c r="K47" s="12">
        <v>18.493210356581521</v>
      </c>
      <c r="L47" s="77">
        <v>0.57760344562375021</v>
      </c>
      <c r="M47" s="77">
        <v>2.5095369943085677</v>
      </c>
      <c r="N47" s="77">
        <v>3.0871404399323179</v>
      </c>
    </row>
    <row r="48" spans="1:14" x14ac:dyDescent="0.35">
      <c r="A48" s="3" t="s">
        <v>275</v>
      </c>
      <c r="B48" s="3" t="s">
        <v>276</v>
      </c>
      <c r="C48" s="4">
        <v>20160401</v>
      </c>
      <c r="D48" s="4" t="s">
        <v>488</v>
      </c>
      <c r="E48" s="4" t="s">
        <v>489</v>
      </c>
      <c r="F48" s="17" t="s">
        <v>509</v>
      </c>
      <c r="G48" s="4">
        <v>20161222</v>
      </c>
      <c r="H48" s="11">
        <v>70.022850650899997</v>
      </c>
      <c r="I48" s="11">
        <v>8.6936807632446289</v>
      </c>
      <c r="J48" s="11">
        <v>19.790952205657959</v>
      </c>
      <c r="K48" s="12">
        <v>11.268521527834411</v>
      </c>
      <c r="L48" s="77">
        <v>0.64892580628621244</v>
      </c>
      <c r="M48" s="77">
        <v>2.4539301645900631</v>
      </c>
      <c r="N48" s="77">
        <v>3.1028559708762753</v>
      </c>
    </row>
    <row r="49" spans="1:14" x14ac:dyDescent="0.35">
      <c r="A49" s="15" t="s">
        <v>333</v>
      </c>
      <c r="B49" s="15" t="s">
        <v>334</v>
      </c>
      <c r="C49" s="16">
        <v>20170602</v>
      </c>
      <c r="D49" s="16" t="s">
        <v>488</v>
      </c>
      <c r="E49" s="16" t="s">
        <v>489</v>
      </c>
      <c r="F49" s="17" t="s">
        <v>559</v>
      </c>
      <c r="G49" s="16">
        <v>20170602</v>
      </c>
      <c r="H49" s="18">
        <v>63.798212188500003</v>
      </c>
      <c r="I49" s="18">
        <v>8.7225847244262695</v>
      </c>
      <c r="J49" s="18">
        <v>21.864965915679932</v>
      </c>
      <c r="K49" s="19">
        <v>0</v>
      </c>
      <c r="L49" s="77">
        <v>2.3461775111521304</v>
      </c>
      <c r="M49" s="77">
        <v>0.82000205096651801</v>
      </c>
      <c r="N49" s="77">
        <v>3.1661795621186481</v>
      </c>
    </row>
    <row r="50" spans="1:14" x14ac:dyDescent="0.35">
      <c r="A50" s="3" t="s">
        <v>141</v>
      </c>
      <c r="B50" s="3" t="s">
        <v>142</v>
      </c>
      <c r="C50" s="4">
        <v>20150116</v>
      </c>
      <c r="D50" s="4" t="s">
        <v>488</v>
      </c>
      <c r="E50" s="4" t="s">
        <v>491</v>
      </c>
      <c r="F50" s="17" t="s">
        <v>511</v>
      </c>
      <c r="G50" s="4">
        <v>20150611</v>
      </c>
      <c r="H50" s="11">
        <v>23.592101034499997</v>
      </c>
      <c r="I50" s="11">
        <v>20.202695846557617</v>
      </c>
      <c r="J50" s="11">
        <v>32.509869575500488</v>
      </c>
      <c r="K50" s="12">
        <v>0</v>
      </c>
      <c r="L50" s="77">
        <v>0.44570066143670206</v>
      </c>
      <c r="M50" s="77">
        <v>2.7274521868430499</v>
      </c>
      <c r="N50" s="77">
        <v>3.1731528482797522</v>
      </c>
    </row>
    <row r="51" spans="1:14" x14ac:dyDescent="0.35">
      <c r="A51" s="3" t="s">
        <v>185</v>
      </c>
      <c r="B51" s="3" t="s">
        <v>186</v>
      </c>
      <c r="C51" s="4">
        <v>20160526</v>
      </c>
      <c r="D51" s="4" t="s">
        <v>488</v>
      </c>
      <c r="E51" s="4" t="s">
        <v>489</v>
      </c>
      <c r="F51" s="17" t="s">
        <v>547</v>
      </c>
      <c r="G51" s="4">
        <v>20160805</v>
      </c>
      <c r="H51" s="11">
        <v>39.156031195300002</v>
      </c>
      <c r="I51" s="11">
        <v>12.689848899841309</v>
      </c>
      <c r="J51" s="11">
        <v>18.692248821258545</v>
      </c>
      <c r="K51" s="12">
        <v>0</v>
      </c>
      <c r="L51" s="77">
        <v>2.7125570425062815</v>
      </c>
      <c r="M51" s="77">
        <v>0.50087166077013801</v>
      </c>
      <c r="N51" s="77">
        <v>3.2134287032764197</v>
      </c>
    </row>
    <row r="52" spans="1:14" x14ac:dyDescent="0.35">
      <c r="A52" s="15" t="s">
        <v>385</v>
      </c>
      <c r="B52" s="15" t="s">
        <v>386</v>
      </c>
      <c r="C52" s="16">
        <v>20181212</v>
      </c>
      <c r="D52" s="16" t="s">
        <v>488</v>
      </c>
      <c r="E52" s="16" t="s">
        <v>489</v>
      </c>
      <c r="F52" s="17" t="s">
        <v>559</v>
      </c>
      <c r="G52" s="16">
        <v>20181212</v>
      </c>
      <c r="H52" s="18">
        <v>56.047685114399997</v>
      </c>
      <c r="I52" s="18">
        <v>5.618833065032959</v>
      </c>
      <c r="J52" s="18">
        <v>19.816021680831909</v>
      </c>
      <c r="K52" s="19">
        <v>0</v>
      </c>
      <c r="L52" s="77">
        <v>2.4019381633594832</v>
      </c>
      <c r="M52" s="77">
        <v>0.83528175152540629</v>
      </c>
      <c r="N52" s="77">
        <v>3.2372199148848892</v>
      </c>
    </row>
    <row r="53" spans="1:14" x14ac:dyDescent="0.35">
      <c r="A53" s="15" t="s">
        <v>381</v>
      </c>
      <c r="B53" s="15" t="s">
        <v>382</v>
      </c>
      <c r="C53" s="16">
        <v>20181012</v>
      </c>
      <c r="D53" s="16" t="s">
        <v>516</v>
      </c>
      <c r="E53" s="16" t="s">
        <v>517</v>
      </c>
      <c r="F53" s="17" t="s">
        <v>554</v>
      </c>
      <c r="G53" s="16">
        <v>20191230</v>
      </c>
      <c r="H53" s="18">
        <v>15.1577244277</v>
      </c>
      <c r="I53" s="18">
        <v>0.36143288016319275</v>
      </c>
      <c r="J53" s="18">
        <v>0.18071644008159637</v>
      </c>
      <c r="K53" s="19">
        <v>31.512922818882501</v>
      </c>
      <c r="L53" s="77">
        <v>1.68158744808491</v>
      </c>
      <c r="M53" s="77">
        <v>1.6662308362815974</v>
      </c>
      <c r="N53" s="77">
        <v>3.3478182843665074</v>
      </c>
    </row>
    <row r="54" spans="1:14" x14ac:dyDescent="0.35">
      <c r="A54" s="15" t="s">
        <v>307</v>
      </c>
      <c r="B54" s="15" t="s">
        <v>308</v>
      </c>
      <c r="C54" s="16">
        <v>20161128</v>
      </c>
      <c r="D54" s="16" t="s">
        <v>488</v>
      </c>
      <c r="E54" s="16" t="s">
        <v>489</v>
      </c>
      <c r="F54" s="17" t="s">
        <v>558</v>
      </c>
      <c r="G54" s="16">
        <v>20210312</v>
      </c>
      <c r="H54" s="18">
        <v>16.141036684100001</v>
      </c>
      <c r="I54" s="18">
        <v>0.39841094613075256</v>
      </c>
      <c r="J54" s="18">
        <v>20.50017936527729</v>
      </c>
      <c r="K54" s="19">
        <v>0</v>
      </c>
      <c r="L54" s="77">
        <v>3.102599600061529</v>
      </c>
      <c r="M54" s="77">
        <v>0.29933856329795416</v>
      </c>
      <c r="N54" s="77">
        <v>3.4019381633594832</v>
      </c>
    </row>
    <row r="55" spans="1:14" x14ac:dyDescent="0.35">
      <c r="A55" s="3" t="s">
        <v>85</v>
      </c>
      <c r="B55" s="3" t="s">
        <v>86</v>
      </c>
      <c r="C55" s="4">
        <v>20110531</v>
      </c>
      <c r="D55" s="4" t="s">
        <v>488</v>
      </c>
      <c r="E55" s="4" t="s">
        <v>489</v>
      </c>
      <c r="F55" s="17" t="s">
        <v>535</v>
      </c>
      <c r="G55" s="4">
        <v>20180202</v>
      </c>
      <c r="H55" s="11">
        <v>20.193188784300002</v>
      </c>
      <c r="I55" s="11">
        <v>0</v>
      </c>
      <c r="J55" s="11">
        <v>13.768885612487793</v>
      </c>
      <c r="K55" s="12">
        <v>0</v>
      </c>
      <c r="L55" s="77">
        <v>1.0230477362457058</v>
      </c>
      <c r="M55" s="77">
        <v>2.4373173357944928</v>
      </c>
      <c r="N55" s="77">
        <v>3.4603650720401986</v>
      </c>
    </row>
    <row r="56" spans="1:14" x14ac:dyDescent="0.35">
      <c r="A56" s="15" t="s">
        <v>379</v>
      </c>
      <c r="B56" s="15" t="s">
        <v>380</v>
      </c>
      <c r="C56" s="16">
        <v>20180906</v>
      </c>
      <c r="D56" s="16" t="s">
        <v>488</v>
      </c>
      <c r="E56" s="16" t="s">
        <v>489</v>
      </c>
      <c r="F56" s="17" t="s">
        <v>523</v>
      </c>
      <c r="G56" s="16">
        <v>20201024</v>
      </c>
      <c r="H56" s="18">
        <v>12.936793766500001</v>
      </c>
      <c r="I56" s="18">
        <v>9.8399925231933594</v>
      </c>
      <c r="J56" s="18">
        <v>22.632352828979492</v>
      </c>
      <c r="K56" s="19">
        <v>16.43676198585089</v>
      </c>
      <c r="L56" s="77">
        <v>0.31848946315951393</v>
      </c>
      <c r="M56" s="77">
        <v>3.1631287494231657</v>
      </c>
      <c r="N56" s="77">
        <v>3.4816182125826796</v>
      </c>
    </row>
    <row r="57" spans="1:14" x14ac:dyDescent="0.35">
      <c r="A57" s="3" t="s">
        <v>17</v>
      </c>
      <c r="B57" s="3" t="s">
        <v>18</v>
      </c>
      <c r="C57" s="4">
        <v>20110425</v>
      </c>
      <c r="D57" s="4" t="s">
        <v>488</v>
      </c>
      <c r="E57" s="4" t="s">
        <v>489</v>
      </c>
      <c r="F57" s="17" t="s">
        <v>529</v>
      </c>
      <c r="G57" s="4">
        <v>20210807</v>
      </c>
      <c r="H57" s="11">
        <v>41.5615881648</v>
      </c>
      <c r="I57" s="11">
        <v>1.4293267726898193</v>
      </c>
      <c r="J57" s="11">
        <v>16.070038676261902</v>
      </c>
      <c r="K57" s="12">
        <v>3.9274004485286849</v>
      </c>
      <c r="L57" s="77">
        <v>1.6984310106137519</v>
      </c>
      <c r="M57" s="77">
        <v>1.7856483617904939</v>
      </c>
      <c r="N57" s="77">
        <v>3.4840793724042456</v>
      </c>
    </row>
    <row r="58" spans="1:14" x14ac:dyDescent="0.35">
      <c r="A58" s="15" t="s">
        <v>261</v>
      </c>
      <c r="B58" s="15" t="s">
        <v>262</v>
      </c>
      <c r="C58" s="16">
        <v>20160727</v>
      </c>
      <c r="D58" s="16" t="s">
        <v>488</v>
      </c>
      <c r="E58" s="16" t="s">
        <v>489</v>
      </c>
      <c r="F58" s="17" t="s">
        <v>536</v>
      </c>
      <c r="G58" s="16">
        <v>20180103</v>
      </c>
      <c r="H58" s="18">
        <v>30.5517946127</v>
      </c>
      <c r="I58" s="18">
        <v>7.3848991394042969</v>
      </c>
      <c r="J58" s="18">
        <v>23.631065368652344</v>
      </c>
      <c r="K58" s="19">
        <v>10.10799214628225</v>
      </c>
      <c r="L58" s="77">
        <v>1.718325385838076</v>
      </c>
      <c r="M58" s="77">
        <v>1.7690098959134493</v>
      </c>
      <c r="N58" s="77">
        <v>3.4873352817515251</v>
      </c>
    </row>
    <row r="59" spans="1:14" x14ac:dyDescent="0.35">
      <c r="A59" s="3" t="s">
        <v>27</v>
      </c>
      <c r="B59" s="3" t="s">
        <v>28</v>
      </c>
      <c r="C59" s="4">
        <v>20080827</v>
      </c>
      <c r="D59" s="4" t="s">
        <v>488</v>
      </c>
      <c r="E59" s="4" t="s">
        <v>489</v>
      </c>
      <c r="F59" s="17" t="s">
        <v>564</v>
      </c>
      <c r="G59" s="4">
        <v>20200710</v>
      </c>
      <c r="H59" s="11">
        <v>12.4677163895</v>
      </c>
      <c r="I59" s="11">
        <v>0</v>
      </c>
      <c r="J59" s="11">
        <v>0</v>
      </c>
      <c r="K59" s="12">
        <v>28.605479051509189</v>
      </c>
      <c r="L59" s="77">
        <v>2.8685330461980207</v>
      </c>
      <c r="M59" s="77">
        <v>0.65671947905450456</v>
      </c>
      <c r="N59" s="77">
        <v>3.5252525252525251</v>
      </c>
    </row>
    <row r="60" spans="1:14" x14ac:dyDescent="0.35">
      <c r="A60" s="3" t="s">
        <v>239</v>
      </c>
      <c r="B60" s="3" t="s">
        <v>240</v>
      </c>
      <c r="C60" s="4">
        <v>20100816</v>
      </c>
      <c r="D60" s="4" t="s">
        <v>488</v>
      </c>
      <c r="E60" s="4" t="s">
        <v>491</v>
      </c>
      <c r="F60" s="17" t="s">
        <v>553</v>
      </c>
      <c r="G60" s="4">
        <v>20100816</v>
      </c>
      <c r="H60" s="11">
        <v>224.49455836439998</v>
      </c>
      <c r="I60" s="11">
        <v>1.6813770532608032</v>
      </c>
      <c r="J60" s="11">
        <v>16.571705639362335</v>
      </c>
      <c r="K60" s="12">
        <v>4.5686274423417972</v>
      </c>
      <c r="L60" s="77">
        <v>2.1538224888478696</v>
      </c>
      <c r="M60" s="77">
        <v>1.4030405578628928</v>
      </c>
      <c r="N60" s="77">
        <v>3.5568630467107623</v>
      </c>
    </row>
    <row r="61" spans="1:14" x14ac:dyDescent="0.35">
      <c r="A61" s="15" t="s">
        <v>295</v>
      </c>
      <c r="B61" s="15" t="s">
        <v>296</v>
      </c>
      <c r="C61" s="16">
        <v>20161111</v>
      </c>
      <c r="D61" s="16" t="s">
        <v>488</v>
      </c>
      <c r="E61" s="16" t="s">
        <v>489</v>
      </c>
      <c r="F61" s="17" t="s">
        <v>532</v>
      </c>
      <c r="G61" s="16">
        <v>20180209</v>
      </c>
      <c r="H61" s="18">
        <v>10.2829174579</v>
      </c>
      <c r="I61" s="18">
        <v>10.659097671508789</v>
      </c>
      <c r="J61" s="18">
        <v>13.437869071960449</v>
      </c>
      <c r="K61" s="19">
        <v>15.725303705104629</v>
      </c>
      <c r="L61" s="77">
        <v>0.83025688355637595</v>
      </c>
      <c r="M61" s="77">
        <v>2.7676767676767673</v>
      </c>
      <c r="N61" s="77">
        <v>3.5979336512331432</v>
      </c>
    </row>
    <row r="62" spans="1:14" x14ac:dyDescent="0.35">
      <c r="A62" s="3" t="s">
        <v>181</v>
      </c>
      <c r="B62" s="3" t="s">
        <v>182</v>
      </c>
      <c r="C62" s="4">
        <v>20160613</v>
      </c>
      <c r="D62" s="4" t="s">
        <v>488</v>
      </c>
      <c r="E62" s="4" t="s">
        <v>489</v>
      </c>
      <c r="F62" s="17" t="s">
        <v>547</v>
      </c>
      <c r="G62" s="4">
        <v>20160805</v>
      </c>
      <c r="H62" s="11">
        <v>31.2570689253</v>
      </c>
      <c r="I62" s="11">
        <v>11.43462085723877</v>
      </c>
      <c r="J62" s="11">
        <v>17.854176044464111</v>
      </c>
      <c r="K62" s="12">
        <v>0</v>
      </c>
      <c r="L62" s="77">
        <v>2.6770496846638974</v>
      </c>
      <c r="M62" s="77">
        <v>0.96290314310618874</v>
      </c>
      <c r="N62" s="77">
        <v>3.6399528277700863</v>
      </c>
    </row>
    <row r="63" spans="1:14" x14ac:dyDescent="0.35">
      <c r="A63" s="3" t="s">
        <v>221</v>
      </c>
      <c r="B63" s="3" t="s">
        <v>222</v>
      </c>
      <c r="C63" s="4">
        <v>20160922</v>
      </c>
      <c r="D63" s="4" t="s">
        <v>488</v>
      </c>
      <c r="E63" s="4" t="s">
        <v>489</v>
      </c>
      <c r="F63" s="17" t="s">
        <v>546</v>
      </c>
      <c r="G63" s="4">
        <v>20180126</v>
      </c>
      <c r="H63" s="11">
        <v>20.929110575799999</v>
      </c>
      <c r="I63" s="11">
        <v>2.9992146492004395</v>
      </c>
      <c r="J63" s="11">
        <v>16.966816186904907</v>
      </c>
      <c r="K63" s="12">
        <v>8.6971684410933108</v>
      </c>
      <c r="L63" s="77">
        <v>2.8040814233707634</v>
      </c>
      <c r="M63" s="77">
        <v>0.83669179100651181</v>
      </c>
      <c r="N63" s="77">
        <v>3.6407732143772753</v>
      </c>
    </row>
    <row r="64" spans="1:14" x14ac:dyDescent="0.35">
      <c r="A64" s="15" t="s">
        <v>33</v>
      </c>
      <c r="B64" s="15" t="s">
        <v>34</v>
      </c>
      <c r="C64" s="16">
        <v>20080528</v>
      </c>
      <c r="D64" s="16" t="s">
        <v>488</v>
      </c>
      <c r="E64" s="16" t="s">
        <v>489</v>
      </c>
      <c r="F64" s="17" t="s">
        <v>534</v>
      </c>
      <c r="G64" s="16">
        <v>20160804</v>
      </c>
      <c r="H64" s="18">
        <v>27.8075567355</v>
      </c>
      <c r="I64" s="18">
        <v>3.133962869644165</v>
      </c>
      <c r="J64" s="18">
        <v>16.560962796211243</v>
      </c>
      <c r="K64" s="19">
        <v>3.9530621494576068</v>
      </c>
      <c r="L64" s="77">
        <v>1.7794185509921552</v>
      </c>
      <c r="M64" s="77">
        <v>1.9581090088704303</v>
      </c>
      <c r="N64" s="77">
        <v>3.7375275598625857</v>
      </c>
    </row>
    <row r="65" spans="1:14" x14ac:dyDescent="0.35">
      <c r="A65" s="15" t="s">
        <v>311</v>
      </c>
      <c r="B65" s="15" t="s">
        <v>312</v>
      </c>
      <c r="C65" s="16">
        <v>20170105</v>
      </c>
      <c r="D65" s="16" t="s">
        <v>488</v>
      </c>
      <c r="E65" s="16" t="s">
        <v>489</v>
      </c>
      <c r="F65" s="17" t="s">
        <v>526</v>
      </c>
      <c r="G65" s="16">
        <v>20201024</v>
      </c>
      <c r="H65" s="18">
        <v>17.911396910499999</v>
      </c>
      <c r="I65" s="18">
        <v>1.8998696804046631</v>
      </c>
      <c r="J65" s="18">
        <v>14.094784617424011</v>
      </c>
      <c r="K65" s="19">
        <v>22.679582281037181</v>
      </c>
      <c r="L65" s="77">
        <v>0.38937599343690715</v>
      </c>
      <c r="M65" s="77">
        <v>3.3558426908680716</v>
      </c>
      <c r="N65" s="77">
        <v>3.7452186843049788</v>
      </c>
    </row>
    <row r="66" spans="1:14" x14ac:dyDescent="0.35">
      <c r="A66" s="3" t="s">
        <v>161</v>
      </c>
      <c r="B66" s="3" t="s">
        <v>162</v>
      </c>
      <c r="C66" s="4">
        <v>20160824</v>
      </c>
      <c r="D66" s="4" t="s">
        <v>488</v>
      </c>
      <c r="E66" s="4" t="s">
        <v>489</v>
      </c>
      <c r="F66" s="17" t="s">
        <v>539</v>
      </c>
      <c r="G66" s="4">
        <v>20160824</v>
      </c>
      <c r="H66" s="11">
        <v>17.966698532399999</v>
      </c>
      <c r="I66" s="11">
        <v>4.823972225189209</v>
      </c>
      <c r="J66" s="11">
        <v>16.261102437973022</v>
      </c>
      <c r="K66" s="12">
        <v>0</v>
      </c>
      <c r="L66" s="77">
        <v>1.2410654771060861</v>
      </c>
      <c r="M66" s="77">
        <v>2.5756037532687279</v>
      </c>
      <c r="N66" s="77">
        <v>3.816669230374814</v>
      </c>
    </row>
    <row r="67" spans="1:14" x14ac:dyDescent="0.35">
      <c r="A67" s="3" t="s">
        <v>83</v>
      </c>
      <c r="B67" s="3" t="s">
        <v>84</v>
      </c>
      <c r="C67" s="4">
        <v>20090610</v>
      </c>
      <c r="D67" s="4" t="s">
        <v>488</v>
      </c>
      <c r="E67" s="4" t="s">
        <v>489</v>
      </c>
      <c r="F67" s="17" t="s">
        <v>496</v>
      </c>
      <c r="G67" s="4">
        <v>20190319</v>
      </c>
      <c r="H67" s="11">
        <v>42.144380172300004</v>
      </c>
      <c r="I67" s="11">
        <v>6.1661076545715332</v>
      </c>
      <c r="J67" s="11">
        <v>14.83527684211731</v>
      </c>
      <c r="K67" s="12">
        <v>4.7470148850710183</v>
      </c>
      <c r="L67" s="77">
        <v>2.7634466492334511</v>
      </c>
      <c r="M67" s="77">
        <v>1.1706404142952367</v>
      </c>
      <c r="N67" s="77">
        <v>3.934087063528688</v>
      </c>
    </row>
    <row r="68" spans="1:14" x14ac:dyDescent="0.35">
      <c r="A68" s="15" t="s">
        <v>373</v>
      </c>
      <c r="B68" s="15" t="s">
        <v>374</v>
      </c>
      <c r="C68" s="16">
        <v>20180719</v>
      </c>
      <c r="D68" s="16" t="s">
        <v>516</v>
      </c>
      <c r="E68" s="16" t="s">
        <v>517</v>
      </c>
      <c r="F68" s="17" t="s">
        <v>566</v>
      </c>
      <c r="G68" s="16">
        <v>20180719</v>
      </c>
      <c r="H68" s="18">
        <v>21.408652636599999</v>
      </c>
      <c r="I68" s="18">
        <v>0</v>
      </c>
      <c r="J68" s="18">
        <v>0</v>
      </c>
      <c r="K68" s="19">
        <v>26.876282677235281</v>
      </c>
      <c r="L68" s="77">
        <v>3.7820591703840436</v>
      </c>
      <c r="M68" s="77">
        <v>0.36389273445111014</v>
      </c>
      <c r="N68" s="77">
        <v>4.1459519048351536</v>
      </c>
    </row>
    <row r="69" spans="1:14" x14ac:dyDescent="0.35">
      <c r="A69" s="15" t="s">
        <v>109</v>
      </c>
      <c r="B69" s="15" t="s">
        <v>110</v>
      </c>
      <c r="C69" s="16">
        <v>20120229</v>
      </c>
      <c r="D69" s="16" t="s">
        <v>488</v>
      </c>
      <c r="E69" s="16" t="s">
        <v>489</v>
      </c>
      <c r="F69" s="17" t="s">
        <v>510</v>
      </c>
      <c r="G69" s="16">
        <v>20180319</v>
      </c>
      <c r="H69" s="18">
        <v>14.988705746099999</v>
      </c>
      <c r="I69" s="18">
        <v>12.19511604309082</v>
      </c>
      <c r="J69" s="18">
        <v>22.173418998718262</v>
      </c>
      <c r="K69" s="19">
        <v>6.7017127230038982</v>
      </c>
      <c r="L69" s="77">
        <v>0.49148848895041786</v>
      </c>
      <c r="M69" s="77">
        <v>3.7565246372352972</v>
      </c>
      <c r="N69" s="77">
        <v>4.2480131261857146</v>
      </c>
    </row>
    <row r="70" spans="1:14" x14ac:dyDescent="0.35">
      <c r="A70" s="15" t="s">
        <v>69</v>
      </c>
      <c r="B70" s="15" t="s">
        <v>70</v>
      </c>
      <c r="C70" s="16">
        <v>20100727</v>
      </c>
      <c r="D70" s="16" t="s">
        <v>488</v>
      </c>
      <c r="E70" s="16" t="s">
        <v>489</v>
      </c>
      <c r="F70" s="17" t="s">
        <v>508</v>
      </c>
      <c r="G70" s="16">
        <v>20150522</v>
      </c>
      <c r="H70" s="18">
        <v>21.595035079200002</v>
      </c>
      <c r="I70" s="18">
        <v>0.13666696846485138</v>
      </c>
      <c r="J70" s="18">
        <v>18.754465915262699</v>
      </c>
      <c r="K70" s="19">
        <v>10.177293030271001</v>
      </c>
      <c r="L70" s="77">
        <v>0.50174332154027579</v>
      </c>
      <c r="M70" s="77">
        <v>3.771727426549762</v>
      </c>
      <c r="N70" s="77">
        <v>4.2734707480900376</v>
      </c>
    </row>
    <row r="71" spans="1:14" x14ac:dyDescent="0.35">
      <c r="A71" s="15" t="s">
        <v>125</v>
      </c>
      <c r="B71" s="15" t="s">
        <v>126</v>
      </c>
      <c r="C71" s="16">
        <v>20121009</v>
      </c>
      <c r="D71" s="16" t="s">
        <v>488</v>
      </c>
      <c r="E71" s="16" t="s">
        <v>489</v>
      </c>
      <c r="F71" s="17" t="s">
        <v>533</v>
      </c>
      <c r="G71" s="16">
        <v>20180813</v>
      </c>
      <c r="H71" s="18">
        <v>10.086237795800001</v>
      </c>
      <c r="I71" s="18">
        <v>19.759283065795898</v>
      </c>
      <c r="J71" s="18">
        <v>26.033555030822754</v>
      </c>
      <c r="K71" s="19">
        <v>11.04980888378511</v>
      </c>
      <c r="L71" s="77">
        <v>1.571322360662462</v>
      </c>
      <c r="M71" s="77">
        <v>2.8144131672050454</v>
      </c>
      <c r="N71" s="77">
        <v>4.3857355278675074</v>
      </c>
    </row>
    <row r="72" spans="1:14" x14ac:dyDescent="0.35">
      <c r="A72" s="15" t="s">
        <v>351</v>
      </c>
      <c r="B72" s="15" t="s">
        <v>352</v>
      </c>
      <c r="C72" s="16">
        <v>20171124</v>
      </c>
      <c r="D72" s="16" t="s">
        <v>516</v>
      </c>
      <c r="E72" s="16" t="s">
        <v>517</v>
      </c>
      <c r="F72" s="17" t="s">
        <v>563</v>
      </c>
      <c r="G72" s="16">
        <v>20210227</v>
      </c>
      <c r="H72" s="18">
        <v>31.113495730900002</v>
      </c>
      <c r="I72" s="18">
        <v>0</v>
      </c>
      <c r="J72" s="18">
        <v>0</v>
      </c>
      <c r="K72" s="19">
        <v>19.320876226806782</v>
      </c>
      <c r="L72" s="77">
        <v>3.6097267087114799</v>
      </c>
      <c r="M72" s="77">
        <v>0.89475978054658267</v>
      </c>
      <c r="N72" s="77">
        <v>4.5044864892580625</v>
      </c>
    </row>
    <row r="73" spans="1:14" x14ac:dyDescent="0.35">
      <c r="A73" s="15" t="s">
        <v>265</v>
      </c>
      <c r="B73" s="15" t="s">
        <v>266</v>
      </c>
      <c r="C73" s="16">
        <v>20160816</v>
      </c>
      <c r="D73" s="16" t="s">
        <v>488</v>
      </c>
      <c r="E73" s="16" t="s">
        <v>489</v>
      </c>
      <c r="F73" s="17" t="s">
        <v>552</v>
      </c>
      <c r="G73" s="16">
        <v>20160816</v>
      </c>
      <c r="H73" s="18">
        <v>21.641248206100002</v>
      </c>
      <c r="I73" s="18">
        <v>0</v>
      </c>
      <c r="J73" s="18">
        <v>13.062355041503906</v>
      </c>
      <c r="K73" s="19">
        <v>10.872820735620779</v>
      </c>
      <c r="L73" s="77">
        <v>1.9508024406501563</v>
      </c>
      <c r="M73" s="77">
        <v>2.5551197251704867</v>
      </c>
      <c r="N73" s="77">
        <v>4.5059221658206425</v>
      </c>
    </row>
    <row r="74" spans="1:14" x14ac:dyDescent="0.35">
      <c r="A74" s="15" t="s">
        <v>237</v>
      </c>
      <c r="B74" s="15" t="s">
        <v>238</v>
      </c>
      <c r="C74" s="16">
        <v>20160525</v>
      </c>
      <c r="D74" s="16" t="s">
        <v>488</v>
      </c>
      <c r="E74" s="16" t="s">
        <v>489</v>
      </c>
      <c r="F74" s="17" t="s">
        <v>537</v>
      </c>
      <c r="G74" s="16">
        <v>20171201</v>
      </c>
      <c r="H74" s="18">
        <v>37.416196148000004</v>
      </c>
      <c r="I74" s="18">
        <v>4.7801867127418518E-2</v>
      </c>
      <c r="J74" s="18">
        <v>19.593309350311756</v>
      </c>
      <c r="K74" s="19">
        <v>9.1544046499314931</v>
      </c>
      <c r="L74" s="77">
        <v>1.6167769061170076</v>
      </c>
      <c r="M74" s="77">
        <v>3.0927549607752653</v>
      </c>
      <c r="N74" s="77">
        <v>4.7095318668922728</v>
      </c>
    </row>
    <row r="75" spans="1:14" x14ac:dyDescent="0.35">
      <c r="A75" s="15" t="s">
        <v>327</v>
      </c>
      <c r="B75" s="15" t="s">
        <v>328</v>
      </c>
      <c r="C75" s="16">
        <v>20170330</v>
      </c>
      <c r="D75" s="16" t="s">
        <v>488</v>
      </c>
      <c r="E75" s="16" t="s">
        <v>489</v>
      </c>
      <c r="F75" s="17" t="s">
        <v>552</v>
      </c>
      <c r="G75" s="16">
        <v>20180209</v>
      </c>
      <c r="H75" s="18">
        <v>12.509841591800001</v>
      </c>
      <c r="I75" s="18">
        <v>0</v>
      </c>
      <c r="J75" s="18">
        <v>13.127395629882813</v>
      </c>
      <c r="K75" s="19">
        <v>24.351067738513869</v>
      </c>
      <c r="L75" s="77">
        <v>2.0674255242783159</v>
      </c>
      <c r="M75" s="77">
        <v>2.6514126031892529</v>
      </c>
      <c r="N75" s="77">
        <v>4.7188381274675688</v>
      </c>
    </row>
    <row r="76" spans="1:14" x14ac:dyDescent="0.35">
      <c r="A76" s="15" t="s">
        <v>229</v>
      </c>
      <c r="B76" s="15" t="s">
        <v>230</v>
      </c>
      <c r="C76" s="16">
        <v>20160421</v>
      </c>
      <c r="D76" s="16" t="s">
        <v>488</v>
      </c>
      <c r="E76" s="16" t="s">
        <v>491</v>
      </c>
      <c r="F76" s="17" t="s">
        <v>562</v>
      </c>
      <c r="G76" s="16">
        <v>20210928</v>
      </c>
      <c r="H76" s="18">
        <v>10.5007985018</v>
      </c>
      <c r="I76" s="18">
        <v>0</v>
      </c>
      <c r="J76" s="18">
        <v>0</v>
      </c>
      <c r="K76" s="19">
        <v>44.960580847168053</v>
      </c>
      <c r="L76" s="77">
        <v>3.6757421935086909</v>
      </c>
      <c r="M76" s="77">
        <v>1.0977285545813464</v>
      </c>
      <c r="N76" s="77">
        <v>4.7734707480900376</v>
      </c>
    </row>
    <row r="77" spans="1:14" x14ac:dyDescent="0.35">
      <c r="A77" s="15" t="s">
        <v>157</v>
      </c>
      <c r="B77" s="15" t="s">
        <v>158</v>
      </c>
      <c r="C77" s="16">
        <v>20130911</v>
      </c>
      <c r="D77" s="16" t="s">
        <v>488</v>
      </c>
      <c r="E77" s="16" t="s">
        <v>491</v>
      </c>
      <c r="F77" s="17" t="s">
        <v>565</v>
      </c>
      <c r="G77" s="16">
        <v>20210917</v>
      </c>
      <c r="H77" s="18">
        <v>20.7924894047</v>
      </c>
      <c r="I77" s="18">
        <v>0</v>
      </c>
      <c r="J77" s="18">
        <v>0</v>
      </c>
      <c r="K77" s="19">
        <v>42.211588180567048</v>
      </c>
      <c r="L77" s="77">
        <v>3.685766292365277</v>
      </c>
      <c r="M77" s="77">
        <v>1.1838947854176278</v>
      </c>
      <c r="N77" s="77">
        <v>4.8696610777829044</v>
      </c>
    </row>
    <row r="78" spans="1:14" x14ac:dyDescent="0.35">
      <c r="A78" s="15" t="s">
        <v>119</v>
      </c>
      <c r="B78" s="15" t="s">
        <v>120</v>
      </c>
      <c r="C78" s="16">
        <v>20120828</v>
      </c>
      <c r="D78" s="16" t="s">
        <v>488</v>
      </c>
      <c r="E78" s="16" t="s">
        <v>491</v>
      </c>
      <c r="F78" s="17" t="s">
        <v>530</v>
      </c>
      <c r="G78" s="16">
        <v>20120828</v>
      </c>
      <c r="H78" s="18">
        <v>11.911457782100001</v>
      </c>
      <c r="I78" s="18">
        <v>19.021020889282227</v>
      </c>
      <c r="J78" s="18">
        <v>24.740480422973633</v>
      </c>
      <c r="K78" s="19">
        <v>21.624389282315772</v>
      </c>
      <c r="L78" s="77">
        <v>1.5409680561964827</v>
      </c>
      <c r="M78" s="77">
        <v>3.5586832794954626</v>
      </c>
      <c r="N78" s="77">
        <v>5.0996513356919451</v>
      </c>
    </row>
    <row r="79" spans="1:14" x14ac:dyDescent="0.35">
      <c r="A79" s="15" t="s">
        <v>213</v>
      </c>
      <c r="B79" s="15" t="s">
        <v>214</v>
      </c>
      <c r="C79" s="16">
        <v>20151217</v>
      </c>
      <c r="D79" s="16" t="s">
        <v>488</v>
      </c>
      <c r="E79" s="16" t="s">
        <v>489</v>
      </c>
      <c r="F79" s="17" t="s">
        <v>540</v>
      </c>
      <c r="G79" s="16">
        <v>20210619</v>
      </c>
      <c r="H79" s="18">
        <v>28.813703916399998</v>
      </c>
      <c r="I79" s="18">
        <v>0</v>
      </c>
      <c r="J79" s="18">
        <v>1.5007185935974121</v>
      </c>
      <c r="K79" s="19">
        <v>11.407168635925441</v>
      </c>
      <c r="L79" s="77">
        <v>2.09890786032918</v>
      </c>
      <c r="M79" s="77">
        <v>3.5891657693688153</v>
      </c>
      <c r="N79" s="77">
        <v>5.6880736296979952</v>
      </c>
    </row>
    <row r="80" spans="1:14" x14ac:dyDescent="0.35">
      <c r="A80" s="15" t="s">
        <v>55</v>
      </c>
      <c r="B80" s="15" t="s">
        <v>56</v>
      </c>
      <c r="C80" s="16">
        <v>20090323</v>
      </c>
      <c r="D80" s="16" t="s">
        <v>488</v>
      </c>
      <c r="E80" s="16" t="s">
        <v>489</v>
      </c>
      <c r="F80" s="17" t="s">
        <v>549</v>
      </c>
      <c r="G80" s="16">
        <v>20180126</v>
      </c>
      <c r="H80" s="18">
        <v>32.030452746900004</v>
      </c>
      <c r="I80" s="18">
        <v>3.030303955078125</v>
      </c>
      <c r="J80" s="18">
        <v>16.219552993774414</v>
      </c>
      <c r="K80" s="19">
        <v>3.8587340921043358</v>
      </c>
      <c r="L80" s="77">
        <v>2.9611341844844383</v>
      </c>
      <c r="M80" s="77">
        <v>3.0161513613290265</v>
      </c>
      <c r="N80" s="77">
        <v>5.9772855458134648</v>
      </c>
    </row>
    <row r="81" spans="1:14" x14ac:dyDescent="0.35">
      <c r="A81" s="15" t="s">
        <v>355</v>
      </c>
      <c r="B81" s="15" t="s">
        <v>356</v>
      </c>
      <c r="C81" s="16">
        <v>20171228</v>
      </c>
      <c r="D81" s="16" t="s">
        <v>516</v>
      </c>
      <c r="E81" s="16" t="s">
        <v>517</v>
      </c>
      <c r="F81" s="17" t="s">
        <v>555</v>
      </c>
      <c r="G81" s="16">
        <v>20181204</v>
      </c>
      <c r="H81" s="18">
        <v>13.5294834432</v>
      </c>
      <c r="I81" s="18">
        <v>10.900949478149414</v>
      </c>
      <c r="J81" s="18">
        <v>23.254460334777832</v>
      </c>
      <c r="K81" s="19">
        <v>0</v>
      </c>
      <c r="L81" s="77">
        <v>2.8135415064349076</v>
      </c>
      <c r="M81" s="77">
        <v>3.8783007742398605</v>
      </c>
      <c r="N81" s="77">
        <v>6.6918422806747682</v>
      </c>
    </row>
    <row r="82" spans="1:14" x14ac:dyDescent="0.35">
      <c r="A82" s="15" t="s">
        <v>329</v>
      </c>
      <c r="B82" s="15" t="s">
        <v>330</v>
      </c>
      <c r="C82" s="16">
        <v>20170330</v>
      </c>
      <c r="D82" s="16" t="s">
        <v>488</v>
      </c>
      <c r="E82" s="16" t="s">
        <v>491</v>
      </c>
      <c r="F82" s="17" t="s">
        <v>560</v>
      </c>
      <c r="G82" s="16">
        <v>20170405</v>
      </c>
      <c r="H82" s="18">
        <v>27.6143811102</v>
      </c>
      <c r="I82" s="18">
        <v>0</v>
      </c>
      <c r="J82" s="18">
        <v>0</v>
      </c>
      <c r="K82" s="19">
        <v>0</v>
      </c>
      <c r="L82" s="77">
        <v>3.3509972824693635</v>
      </c>
      <c r="M82" s="77">
        <v>3.5842434497256832</v>
      </c>
      <c r="N82" s="77">
        <v>6.9352407321950462</v>
      </c>
    </row>
    <row r="83" spans="1:14" x14ac:dyDescent="0.35">
      <c r="A83" s="15" t="s">
        <v>149</v>
      </c>
      <c r="B83" s="15" t="s">
        <v>150</v>
      </c>
      <c r="C83" s="16">
        <v>20130730</v>
      </c>
      <c r="D83" s="16" t="s">
        <v>488</v>
      </c>
      <c r="E83" s="16" t="s">
        <v>489</v>
      </c>
      <c r="F83" s="17" t="s">
        <v>561</v>
      </c>
      <c r="G83" s="16">
        <v>20210402</v>
      </c>
      <c r="H83" s="18">
        <v>16.402167647399999</v>
      </c>
      <c r="I83" s="18">
        <v>0</v>
      </c>
      <c r="J83" s="18">
        <v>0</v>
      </c>
      <c r="K83" s="19">
        <v>24.435123979697369</v>
      </c>
      <c r="L83" s="77">
        <v>3.4625954981284934</v>
      </c>
      <c r="M83" s="77">
        <v>3.635107419371379</v>
      </c>
      <c r="N83" s="77">
        <v>7.0977029174998725</v>
      </c>
    </row>
    <row r="84" spans="1:14" x14ac:dyDescent="0.35">
      <c r="A84" s="15" t="s">
        <v>319</v>
      </c>
      <c r="B84" s="15" t="s">
        <v>320</v>
      </c>
      <c r="C84" s="16">
        <v>20170204</v>
      </c>
      <c r="D84" s="16" t="s">
        <v>488</v>
      </c>
      <c r="E84" s="16" t="s">
        <v>491</v>
      </c>
      <c r="F84" s="17" t="s">
        <v>567</v>
      </c>
      <c r="G84" s="16">
        <v>20200728</v>
      </c>
      <c r="H84" s="18">
        <v>20.163522780000001</v>
      </c>
      <c r="I84" s="18">
        <v>4.4341985136270523E-2</v>
      </c>
      <c r="J84" s="18">
        <v>2.6261305529624224</v>
      </c>
      <c r="K84" s="19">
        <v>4.82108216211215</v>
      </c>
      <c r="L84" s="77">
        <v>3.8580987540378402</v>
      </c>
      <c r="M84" s="77">
        <v>3.6552838024919243</v>
      </c>
      <c r="N84" s="77">
        <v>7.5133825565297645</v>
      </c>
    </row>
  </sheetData>
  <autoFilter ref="A2:N84" xr:uid="{49F681B1-AAA9-4546-B756-40F0FE46E2A7}">
    <sortState xmlns:xlrd2="http://schemas.microsoft.com/office/spreadsheetml/2017/richdata2" ref="A3:N84">
      <sortCondition ref="N3:N84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打分</vt:lpstr>
      <vt:lpstr>二级筛选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2021-11-19T06:37:35Z</dcterms:modified>
</cp:coreProperties>
</file>