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Engineering\01_Designs\5132\"/>
    </mc:Choice>
  </mc:AlternateContent>
  <xr:revisionPtr revIDLastSave="0" documentId="13_ncr:1_{8E60997F-37FB-4D45-A368-B432BD0CFA3E}" xr6:coauthVersionLast="47" xr6:coauthVersionMax="47" xr10:uidLastSave="{00000000-0000-0000-0000-000000000000}"/>
  <bookViews>
    <workbookView xWindow="-120" yWindow="-120" windowWidth="29040" windowHeight="15840" xr2:uid="{791D5801-A38D-4E62-8CCF-36F49301157D}"/>
  </bookViews>
  <sheets>
    <sheet name="Roadmap" sheetId="1" r:id="rId1"/>
    <sheet name="Data Entry" sheetId="2" r:id="rId2"/>
  </sheets>
  <definedNames>
    <definedName name="_xlnm.Print_Area" localSheetId="0">Roadmap!$B$2:$P$76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R9" i="2"/>
  <c r="N10" i="1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P10" i="1" l="1"/>
  <c r="O10" i="1"/>
  <c r="Q27" i="2" l="1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N19" i="1"/>
  <c r="N27" i="1"/>
  <c r="K27" i="1"/>
  <c r="I27" i="1"/>
  <c r="H27" i="1"/>
  <c r="F27" i="1"/>
  <c r="E27" i="1"/>
  <c r="D27" i="1"/>
  <c r="C27" i="1"/>
  <c r="B27" i="1"/>
  <c r="N26" i="1"/>
  <c r="K26" i="1"/>
  <c r="I26" i="1"/>
  <c r="H26" i="1"/>
  <c r="F26" i="1"/>
  <c r="E26" i="1"/>
  <c r="D26" i="1"/>
  <c r="C26" i="1"/>
  <c r="B26" i="1"/>
  <c r="N25" i="1"/>
  <c r="K25" i="1"/>
  <c r="I25" i="1"/>
  <c r="H25" i="1"/>
  <c r="F25" i="1"/>
  <c r="E25" i="1"/>
  <c r="D25" i="1"/>
  <c r="C25" i="1"/>
  <c r="B25" i="1"/>
  <c r="N24" i="1"/>
  <c r="K24" i="1"/>
  <c r="I24" i="1"/>
  <c r="H24" i="1"/>
  <c r="F24" i="1"/>
  <c r="E24" i="1"/>
  <c r="D24" i="1"/>
  <c r="C24" i="1"/>
  <c r="B24" i="1"/>
  <c r="N23" i="1"/>
  <c r="K23" i="1"/>
  <c r="I23" i="1"/>
  <c r="H23" i="1"/>
  <c r="F23" i="1"/>
  <c r="E23" i="1"/>
  <c r="D23" i="1"/>
  <c r="C23" i="1"/>
  <c r="B23" i="1"/>
  <c r="N22" i="1"/>
  <c r="K22" i="1"/>
  <c r="I22" i="1"/>
  <c r="H22" i="1"/>
  <c r="F22" i="1"/>
  <c r="E22" i="1"/>
  <c r="D22" i="1"/>
  <c r="C22" i="1"/>
  <c r="B22" i="1"/>
  <c r="N21" i="1"/>
  <c r="K21" i="1"/>
  <c r="I21" i="1"/>
  <c r="H21" i="1"/>
  <c r="F21" i="1"/>
  <c r="E21" i="1"/>
  <c r="D21" i="1"/>
  <c r="C21" i="1"/>
  <c r="B21" i="1"/>
  <c r="N20" i="1"/>
  <c r="K20" i="1"/>
  <c r="I20" i="1"/>
  <c r="H20" i="1"/>
  <c r="F20" i="1"/>
  <c r="E20" i="1"/>
  <c r="D20" i="1"/>
  <c r="C20" i="1"/>
  <c r="B20" i="1"/>
  <c r="K19" i="1"/>
  <c r="I19" i="1"/>
  <c r="H19" i="1"/>
  <c r="F19" i="1"/>
  <c r="E19" i="1"/>
  <c r="D19" i="1"/>
  <c r="C19" i="1"/>
  <c r="B19" i="1"/>
  <c r="N18" i="1"/>
  <c r="K18" i="1"/>
  <c r="I18" i="1"/>
  <c r="H18" i="1"/>
  <c r="F18" i="1"/>
  <c r="E18" i="1"/>
  <c r="D18" i="1"/>
  <c r="C18" i="1"/>
  <c r="B18" i="1"/>
  <c r="N17" i="1"/>
  <c r="K17" i="1"/>
  <c r="I17" i="1"/>
  <c r="H17" i="1"/>
  <c r="F17" i="1"/>
  <c r="E17" i="1"/>
  <c r="D17" i="1"/>
  <c r="C17" i="1"/>
  <c r="B17" i="1"/>
  <c r="N16" i="1"/>
  <c r="K16" i="1"/>
  <c r="I16" i="1"/>
  <c r="H16" i="1"/>
  <c r="F16" i="1"/>
  <c r="E16" i="1"/>
  <c r="D16" i="1"/>
  <c r="C16" i="1"/>
  <c r="B16" i="1"/>
  <c r="N15" i="1"/>
  <c r="K15" i="1"/>
  <c r="I15" i="1"/>
  <c r="H15" i="1"/>
  <c r="F15" i="1"/>
  <c r="E15" i="1"/>
  <c r="D15" i="1"/>
  <c r="C15" i="1"/>
  <c r="B15" i="1"/>
  <c r="N14" i="1"/>
  <c r="K14" i="1"/>
  <c r="I14" i="1"/>
  <c r="H14" i="1"/>
  <c r="F14" i="1"/>
  <c r="E14" i="1"/>
  <c r="D14" i="1"/>
  <c r="C14" i="1"/>
  <c r="B14" i="1"/>
  <c r="N13" i="1"/>
  <c r="K13" i="1"/>
  <c r="I13" i="1"/>
  <c r="H13" i="1"/>
  <c r="F13" i="1"/>
  <c r="E13" i="1"/>
  <c r="D13" i="1"/>
  <c r="C13" i="1"/>
  <c r="B13" i="1"/>
  <c r="N12" i="1"/>
  <c r="K12" i="1"/>
  <c r="I12" i="1"/>
  <c r="H12" i="1"/>
  <c r="F12" i="1"/>
  <c r="E12" i="1"/>
  <c r="D12" i="1"/>
  <c r="C12" i="1"/>
  <c r="B12" i="1"/>
  <c r="N11" i="1"/>
  <c r="K11" i="1"/>
  <c r="I11" i="1"/>
  <c r="H11" i="1"/>
  <c r="F11" i="1"/>
  <c r="E11" i="1"/>
  <c r="D11" i="1"/>
  <c r="C11" i="1"/>
  <c r="B11" i="1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P74" i="1"/>
  <c r="B5" i="1"/>
  <c r="B2" i="1"/>
  <c r="H7" i="1"/>
  <c r="H10" i="1"/>
  <c r="D10" i="1"/>
  <c r="C10" i="1"/>
  <c r="Q10" i="2"/>
  <c r="Q9" i="2"/>
  <c r="F10" i="1"/>
  <c r="B10" i="1"/>
  <c r="I10" i="1"/>
  <c r="E10" i="1"/>
  <c r="G17" i="1" l="1"/>
  <c r="G16" i="1"/>
  <c r="M16" i="1"/>
  <c r="M24" i="1"/>
  <c r="G20" i="1"/>
  <c r="M20" i="1"/>
  <c r="M23" i="1"/>
  <c r="G19" i="1"/>
  <c r="M19" i="1"/>
  <c r="G12" i="1"/>
  <c r="M12" i="1"/>
  <c r="M27" i="1"/>
  <c r="G13" i="1"/>
  <c r="M13" i="1"/>
  <c r="M17" i="1"/>
  <c r="M26" i="1"/>
  <c r="G22" i="1"/>
  <c r="M22" i="1"/>
  <c r="M10" i="1"/>
  <c r="G14" i="1"/>
  <c r="N28" i="1"/>
  <c r="P28" i="1" s="1"/>
  <c r="M28" i="1" s="1"/>
  <c r="P13" i="1"/>
  <c r="O11" i="1"/>
  <c r="S11" i="2" s="1"/>
  <c r="O15" i="1"/>
  <c r="G18" i="1"/>
  <c r="M18" i="1"/>
  <c r="M25" i="1"/>
  <c r="G21" i="1"/>
  <c r="M21" i="1"/>
  <c r="G11" i="1"/>
  <c r="M11" i="1"/>
  <c r="G15" i="1"/>
  <c r="M15" i="1"/>
  <c r="G27" i="1"/>
  <c r="G26" i="1"/>
  <c r="G25" i="1"/>
  <c r="G24" i="1"/>
  <c r="G23" i="1"/>
  <c r="P27" i="1"/>
  <c r="O12" i="1"/>
  <c r="S12" i="2" s="1"/>
  <c r="O14" i="1"/>
  <c r="S14" i="2" s="1"/>
  <c r="O16" i="1"/>
  <c r="S16" i="2" s="1"/>
  <c r="O18" i="1"/>
  <c r="S18" i="2" s="1"/>
  <c r="O20" i="1"/>
  <c r="S20" i="2" s="1"/>
  <c r="O22" i="1"/>
  <c r="S22" i="2" s="1"/>
  <c r="O24" i="1"/>
  <c r="S24" i="2" s="1"/>
  <c r="O26" i="1"/>
  <c r="S26" i="2" s="1"/>
  <c r="P12" i="1"/>
  <c r="P14" i="1"/>
  <c r="P16" i="1"/>
  <c r="P18" i="1"/>
  <c r="P20" i="1"/>
  <c r="P22" i="1"/>
  <c r="P24" i="1"/>
  <c r="P26" i="1"/>
  <c r="O13" i="1"/>
  <c r="S13" i="2" s="1"/>
  <c r="N13" i="2" s="1"/>
  <c r="S15" i="2"/>
  <c r="O17" i="1"/>
  <c r="S17" i="2" s="1"/>
  <c r="O19" i="1"/>
  <c r="S19" i="2" s="1"/>
  <c r="O21" i="1"/>
  <c r="S21" i="2" s="1"/>
  <c r="N21" i="2" s="1"/>
  <c r="O23" i="1"/>
  <c r="S23" i="2" s="1"/>
  <c r="O25" i="1"/>
  <c r="S25" i="2" s="1"/>
  <c r="O27" i="1"/>
  <c r="S27" i="2" s="1"/>
  <c r="P11" i="1"/>
  <c r="P15" i="1"/>
  <c r="P17" i="1"/>
  <c r="P19" i="1"/>
  <c r="P21" i="1"/>
  <c r="P23" i="1"/>
  <c r="P25" i="1"/>
  <c r="S10" i="2"/>
  <c r="N10" i="2" s="1"/>
  <c r="G10" i="1"/>
  <c r="K10" i="1"/>
  <c r="N19" i="2" l="1"/>
  <c r="N27" i="2"/>
  <c r="N17" i="2"/>
  <c r="N25" i="2"/>
  <c r="N14" i="2"/>
  <c r="N11" i="2"/>
  <c r="N18" i="2"/>
  <c r="N15" i="2"/>
  <c r="N16" i="2"/>
  <c r="N12" i="2"/>
  <c r="N26" i="2"/>
  <c r="N24" i="2"/>
  <c r="N22" i="2"/>
  <c r="N20" i="2"/>
  <c r="N23" i="2"/>
  <c r="N29" i="1"/>
</calcChain>
</file>

<file path=xl/sharedStrings.xml><?xml version="1.0" encoding="utf-8"?>
<sst xmlns="http://schemas.openxmlformats.org/spreadsheetml/2006/main" count="86" uniqueCount="68">
  <si>
    <t>WOB</t>
  </si>
  <si>
    <t>Characteristics</t>
  </si>
  <si>
    <t>Expected ROP</t>
  </si>
  <si>
    <t>(ft)</t>
  </si>
  <si>
    <t>Depth</t>
  </si>
  <si>
    <t>(KLBS)</t>
  </si>
  <si>
    <t>(rpm)</t>
  </si>
  <si>
    <t>(GPM)</t>
  </si>
  <si>
    <t>Flow</t>
  </si>
  <si>
    <t>(ft/hr)</t>
  </si>
  <si>
    <t>Rotary</t>
  </si>
  <si>
    <t>Formation</t>
  </si>
  <si>
    <t>Low</t>
  </si>
  <si>
    <t>High</t>
  </si>
  <si>
    <t>Cumulative</t>
  </si>
  <si>
    <t>On Bottom</t>
  </si>
  <si>
    <t>Limestone</t>
  </si>
  <si>
    <t>ROP</t>
  </si>
  <si>
    <t>hrs</t>
  </si>
  <si>
    <t>Section</t>
  </si>
  <si>
    <t>Glorietta</t>
  </si>
  <si>
    <t>Clearfork</t>
  </si>
  <si>
    <t>Sprayberry</t>
  </si>
  <si>
    <t>Dean</t>
  </si>
  <si>
    <t>Wolfcamp</t>
  </si>
  <si>
    <t>in</t>
  </si>
  <si>
    <t>out</t>
  </si>
  <si>
    <t>Hole Depth</t>
  </si>
  <si>
    <t>Rotary rpm</t>
  </si>
  <si>
    <t>Σ rpm</t>
  </si>
  <si>
    <t>Calc. for Chart</t>
  </si>
  <si>
    <t>DO NOT MODIFY</t>
  </si>
  <si>
    <t>Total</t>
  </si>
  <si>
    <t>(hrs)</t>
  </si>
  <si>
    <t>San Andres</t>
  </si>
  <si>
    <t>Pennsylvanian</t>
  </si>
  <si>
    <t>Mississipian</t>
  </si>
  <si>
    <t>Barnett</t>
  </si>
  <si>
    <t>Dolomite-Hard Cap at Grayburg</t>
  </si>
  <si>
    <t>Cherty Dolomite, Limestone,Sands</t>
  </si>
  <si>
    <t>Shaly Sand</t>
  </si>
  <si>
    <t>Sand Shale</t>
  </si>
  <si>
    <t>Limey Shale</t>
  </si>
  <si>
    <t>Limestone,Shale</t>
  </si>
  <si>
    <t>Shaly Limestone</t>
  </si>
  <si>
    <t>Some Shaly Limestone,Shale</t>
  </si>
  <si>
    <t>Barnett Lateral</t>
  </si>
  <si>
    <t>Midland Basin ---VCL Run</t>
  </si>
  <si>
    <t>Roadmap --- Ø 8-1/2" 613-XR(K)(BR)</t>
  </si>
  <si>
    <t>Dockum</t>
  </si>
  <si>
    <t>Red bed, Sand</t>
  </si>
  <si>
    <t>Santa Rosa</t>
  </si>
  <si>
    <t>Sand</t>
  </si>
  <si>
    <t>Rustler</t>
  </si>
  <si>
    <t>Sand, Anyhydrite</t>
  </si>
  <si>
    <t>Salado</t>
  </si>
  <si>
    <t>Salt, Anyhydrite Stringers</t>
  </si>
  <si>
    <t>Tansill</t>
  </si>
  <si>
    <t>Anyhydrite</t>
  </si>
  <si>
    <t>Yates</t>
  </si>
  <si>
    <t>Seven Rivers</t>
  </si>
  <si>
    <t>Queen</t>
  </si>
  <si>
    <t>Sand with Anyhydrite Stringers</t>
  </si>
  <si>
    <t>Limey Anyhydrite and Salt Stringers</t>
  </si>
  <si>
    <t>Sand, Anyhydrite Stringers, Shale</t>
  </si>
  <si>
    <t>DOC</t>
  </si>
  <si>
    <t>(in/rev)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</si>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</sst>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#,##0.0\ &quot;hrs&quot;"/>
    <numFmt numFmtId="166" formatCode="#,##0.00\ &quot;days&quot;"/>
    <numFmt numFmtId="167" formatCode="#,##0\ &quot;ROP&quot;"/>
    <numFmt numFmtId="170" formatCode="\≈#,##0.000"/>
    <numFmt numFmtId="171" formatCode="#,##0.000"/>
    <numFmt numFmtId="172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rgb="FFEF412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4123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 style="medium">
        <color auto="1"/>
      </right>
      <top style="double">
        <color rgb="FFFF0000"/>
      </top>
      <bottom style="medium">
        <color auto="1"/>
      </bottom>
      <diagonal/>
    </border>
    <border>
      <left/>
      <right style="thin">
        <color auto="1"/>
      </right>
      <top style="double">
        <color rgb="FFFF0000"/>
      </top>
      <bottom style="medium">
        <color auto="1"/>
      </bottom>
      <diagonal/>
    </border>
    <border>
      <left style="thin">
        <color auto="1"/>
      </left>
      <right style="double">
        <color rgb="FFFF0000"/>
      </right>
      <top style="double">
        <color rgb="FFFF0000"/>
      </top>
      <bottom style="medium">
        <color auto="1"/>
      </bottom>
      <diagonal/>
    </border>
    <border>
      <left style="double">
        <color rgb="FFFF0000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rgb="FFFF0000"/>
      </right>
      <top/>
      <bottom style="thin">
        <color auto="1"/>
      </bottom>
      <diagonal/>
    </border>
    <border>
      <left style="double">
        <color rgb="FFFF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3" fontId="10" fillId="0" borderId="36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3" fontId="10" fillId="0" borderId="38" xfId="0" applyNumberFormat="1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3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7" fillId="2" borderId="40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 wrapText="1"/>
    </xf>
    <xf numFmtId="164" fontId="11" fillId="0" borderId="46" xfId="0" applyNumberFormat="1" applyFont="1" applyBorder="1" applyAlignment="1">
      <alignment horizontal="center" vertical="center"/>
    </xf>
    <xf numFmtId="3" fontId="2" fillId="0" borderId="44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 wrapText="1"/>
    </xf>
    <xf numFmtId="164" fontId="11" fillId="0" borderId="49" xfId="0" applyNumberFormat="1" applyFont="1" applyBorder="1" applyAlignment="1">
      <alignment horizontal="center" vertical="center"/>
    </xf>
    <xf numFmtId="3" fontId="2" fillId="0" borderId="48" xfId="0" applyNumberFormat="1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3" fontId="0" fillId="0" borderId="55" xfId="0" applyNumberForma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/>
    </xf>
    <xf numFmtId="164" fontId="0" fillId="0" borderId="56" xfId="0" applyNumberFormat="1" applyBorder="1" applyAlignment="1">
      <alignment horizontal="center" vertical="center" wrapText="1"/>
    </xf>
    <xf numFmtId="164" fontId="11" fillId="0" borderId="54" xfId="0" applyNumberFormat="1" applyFont="1" applyBorder="1" applyAlignment="1">
      <alignment horizontal="center" vertical="center"/>
    </xf>
    <xf numFmtId="3" fontId="2" fillId="0" borderId="52" xfId="0" applyNumberFormat="1" applyFont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6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1" fillId="3" borderId="1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170" fontId="0" fillId="0" borderId="60" xfId="0" applyNumberFormat="1" applyBorder="1" applyAlignment="1">
      <alignment horizontal="center" vertical="center" wrapText="1"/>
    </xf>
    <xf numFmtId="171" fontId="0" fillId="0" borderId="0" xfId="0" applyNumberFormat="1"/>
    <xf numFmtId="172" fontId="0" fillId="0" borderId="0" xfId="0" applyNumberFormat="1"/>
    <xf numFmtId="0" fontId="1" fillId="3" borderId="2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 wrapText="1"/>
    </xf>
    <xf numFmtId="170" fontId="0" fillId="0" borderId="5" xfId="0" applyNumberFormat="1" applyBorder="1" applyAlignment="1">
      <alignment horizontal="center" vertical="center" wrapText="1"/>
    </xf>
    <xf numFmtId="170" fontId="0" fillId="0" borderId="50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4123"/>
      <color rgb="FFFFBDBD"/>
      <color rgb="FFFF0000"/>
      <color rgb="FFD9D9D9"/>
      <color rgb="FFF4AF80"/>
      <color rgb="FFED7D31"/>
      <color rgb="FFF9D6BF"/>
      <color rgb="FFAABFE4"/>
      <color rgb="FFFFC1C1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ROP</c:v>
          </c:tx>
          <c:spPr>
            <a:ln w="25400" cap="rnd" cmpd="sng" algn="ctr">
              <a:solidFill>
                <a:srgbClr val="EF4123"/>
              </a:solidFill>
              <a:round/>
            </a:ln>
            <a:effectLst/>
          </c:spPr>
          <c:marker>
            <c:symbol val="none"/>
          </c:marker>
          <c:cat>
            <c:numRef>
              <c:f>'Data Entry'!$Q$9:$Q$27</c:f>
              <c:numCache>
                <c:formatCode>#,##0</c:formatCode>
                <c:ptCount val="19"/>
                <c:pt idx="0">
                  <c:v>700</c:v>
                </c:pt>
                <c:pt idx="1">
                  <c:v>1520</c:v>
                </c:pt>
                <c:pt idx="2">
                  <c:v>1750</c:v>
                </c:pt>
                <c:pt idx="3">
                  <c:v>2750</c:v>
                </c:pt>
                <c:pt idx="4">
                  <c:v>2800</c:v>
                </c:pt>
                <c:pt idx="5">
                  <c:v>3050</c:v>
                </c:pt>
                <c:pt idx="6">
                  <c:v>3200</c:v>
                </c:pt>
                <c:pt idx="7">
                  <c:v>3750</c:v>
                </c:pt>
                <c:pt idx="8">
                  <c:v>5500</c:v>
                </c:pt>
                <c:pt idx="9">
                  <c:v>5800</c:v>
                </c:pt>
                <c:pt idx="10">
                  <c:v>6015</c:v>
                </c:pt>
                <c:pt idx="11">
                  <c:v>7795</c:v>
                </c:pt>
                <c:pt idx="12">
                  <c:v>9154</c:v>
                </c:pt>
                <c:pt idx="13">
                  <c:v>9320</c:v>
                </c:pt>
                <c:pt idx="14">
                  <c:v>10630</c:v>
                </c:pt>
                <c:pt idx="15">
                  <c:v>11279</c:v>
                </c:pt>
                <c:pt idx="16">
                  <c:v>11868</c:v>
                </c:pt>
                <c:pt idx="17">
                  <c:v>11924</c:v>
                </c:pt>
                <c:pt idx="18">
                  <c:v>20000</c:v>
                </c:pt>
              </c:numCache>
            </c:numRef>
          </c:cat>
          <c:val>
            <c:numRef>
              <c:f>'Data Entry'!$R$9:$R$27</c:f>
              <c:numCache>
                <c:formatCode>General</c:formatCode>
                <c:ptCount val="19"/>
                <c:pt idx="0">
                  <c:v>300</c:v>
                </c:pt>
                <c:pt idx="1">
                  <c:v>300</c:v>
                </c:pt>
                <c:pt idx="2">
                  <c:v>225</c:v>
                </c:pt>
                <c:pt idx="3">
                  <c:v>225</c:v>
                </c:pt>
                <c:pt idx="4">
                  <c:v>187.5</c:v>
                </c:pt>
                <c:pt idx="5">
                  <c:v>187.5</c:v>
                </c:pt>
                <c:pt idx="6">
                  <c:v>167.5</c:v>
                </c:pt>
                <c:pt idx="7">
                  <c:v>167.5</c:v>
                </c:pt>
                <c:pt idx="8">
                  <c:v>167.5</c:v>
                </c:pt>
                <c:pt idx="9">
                  <c:v>155</c:v>
                </c:pt>
                <c:pt idx="10">
                  <c:v>142.5</c:v>
                </c:pt>
                <c:pt idx="11">
                  <c:v>155</c:v>
                </c:pt>
                <c:pt idx="12">
                  <c:v>170</c:v>
                </c:pt>
                <c:pt idx="13">
                  <c:v>150</c:v>
                </c:pt>
                <c:pt idx="14">
                  <c:v>155</c:v>
                </c:pt>
                <c:pt idx="15">
                  <c:v>140</c:v>
                </c:pt>
                <c:pt idx="16">
                  <c:v>110</c:v>
                </c:pt>
                <c:pt idx="17">
                  <c:v>142.5</c:v>
                </c:pt>
                <c:pt idx="18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D-4497-B8E9-4E53CBA8D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29173224"/>
        <c:axId val="1129175744"/>
      </c:lineChart>
      <c:lineChart>
        <c:grouping val="standard"/>
        <c:varyColors val="0"/>
        <c:ser>
          <c:idx val="1"/>
          <c:order val="1"/>
          <c:tx>
            <c:strRef>
              <c:f>Roadmap!$O$9</c:f>
              <c:strCache>
                <c:ptCount val="1"/>
                <c:pt idx="0">
                  <c:v>(hrs)</c:v>
                </c:pt>
              </c:strCache>
            </c:strRef>
          </c:tx>
          <c:spPr>
            <a:ln w="25400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Entry'!$S$9:$S$27</c:f>
              <c:numCache>
                <c:formatCode>#,##0.0</c:formatCode>
                <c:ptCount val="19"/>
                <c:pt idx="0" formatCode="General">
                  <c:v>0</c:v>
                </c:pt>
                <c:pt idx="1">
                  <c:v>2.7333333333333334</c:v>
                </c:pt>
                <c:pt idx="2">
                  <c:v>3.7555555555555555</c:v>
                </c:pt>
                <c:pt idx="3">
                  <c:v>8.1999999999999993</c:v>
                </c:pt>
                <c:pt idx="4">
                  <c:v>8.4666666666666668</c:v>
                </c:pt>
                <c:pt idx="5">
                  <c:v>9.8000000000000007</c:v>
                </c:pt>
                <c:pt idx="6">
                  <c:v>10.695522388059702</c:v>
                </c:pt>
                <c:pt idx="7">
                  <c:v>13.979104477611941</c:v>
                </c:pt>
                <c:pt idx="8">
                  <c:v>24.426865671641792</c:v>
                </c:pt>
                <c:pt idx="9">
                  <c:v>26.362349542609536</c:v>
                </c:pt>
                <c:pt idx="10">
                  <c:v>27.871121472434098</c:v>
                </c:pt>
                <c:pt idx="11">
                  <c:v>39.354992440176034</c:v>
                </c:pt>
                <c:pt idx="12">
                  <c:v>47.349110087234855</c:v>
                </c:pt>
                <c:pt idx="13">
                  <c:v>48.455776753901525</c:v>
                </c:pt>
                <c:pt idx="14">
                  <c:v>56.907389657127332</c:v>
                </c:pt>
                <c:pt idx="15">
                  <c:v>61.543103942841618</c:v>
                </c:pt>
                <c:pt idx="16">
                  <c:v>66.89764939738707</c:v>
                </c:pt>
                <c:pt idx="17">
                  <c:v>67.290631853527415</c:v>
                </c:pt>
                <c:pt idx="18">
                  <c:v>107.67063185352742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D-4497-B8E9-4E53CBA8D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540384"/>
        <c:axId val="1124540744"/>
      </c:lineChart>
      <c:catAx>
        <c:axId val="1129173224"/>
        <c:scaling>
          <c:orientation val="minMax"/>
        </c:scaling>
        <c:delete val="0"/>
        <c:axPos val="b"/>
        <c:numFmt formatCode="#,##0\'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75744"/>
        <c:crosses val="autoZero"/>
        <c:auto val="1"/>
        <c:lblAlgn val="ctr"/>
        <c:lblOffset val="0"/>
        <c:noMultiLvlLbl val="0"/>
      </c:catAx>
      <c:valAx>
        <c:axId val="1129175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ln w="0">
                      <a:noFill/>
                    </a:ln>
                    <a:solidFill>
                      <a:srgbClr val="EF412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 w="0">
                      <a:noFill/>
                    </a:ln>
                    <a:solidFill>
                      <a:srgbClr val="EF4123"/>
                    </a:solidFill>
                  </a:rPr>
                  <a:t>ROP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ln w="0">
                    <a:noFill/>
                  </a:ln>
                  <a:solidFill>
                    <a:srgbClr val="EF412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EF41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73224"/>
        <c:crosses val="autoZero"/>
        <c:crossBetween val="between"/>
      </c:valAx>
      <c:valAx>
        <c:axId val="1124540744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/>
                    </a:solidFill>
                  </a:rPr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ln>
                  <a:noFill/>
                </a:ln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40384"/>
        <c:crosses val="max"/>
        <c:crossBetween val="between"/>
      </c:valAx>
      <c:catAx>
        <c:axId val="1124540384"/>
        <c:scaling>
          <c:orientation val="minMax"/>
        </c:scaling>
        <c:delete val="1"/>
        <c:axPos val="b"/>
        <c:majorTickMark val="out"/>
        <c:minorTickMark val="none"/>
        <c:tickLblPos val="nextTo"/>
        <c:crossAx val="1124540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  <a:scene3d>
      <a:camera prst="orthographicFront"/>
      <a:lightRig rig="threePt" dir="t"/>
    </a:scene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52</xdr:row>
      <xdr:rowOff>123825</xdr:rowOff>
    </xdr:from>
    <xdr:to>
      <xdr:col>16</xdr:col>
      <xdr:colOff>161925</xdr:colOff>
      <xdr:row>71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E764AE-280C-DB06-30B1-752DF292D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1</xdr:row>
      <xdr:rowOff>0</xdr:rowOff>
    </xdr:from>
    <xdr:to>
      <xdr:col>2</xdr:col>
      <xdr:colOff>9525</xdr:colOff>
      <xdr:row>1</xdr:row>
      <xdr:rowOff>923925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0871E7-2B8E-D805-2F6C-03FBD9A37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0"/>
          <a:ext cx="923925" cy="923925"/>
        </a:xfrm>
        <a:prstGeom prst="rect">
          <a:avLst/>
        </a:prstGeom>
      </xdr:spPr>
    </xdr:pic>
    <xdr:clientData/>
  </xdr:twoCellAnchor>
  <xdr:twoCellAnchor editAs="oneCell">
    <xdr:from>
      <xdr:col>10</xdr:col>
      <xdr:colOff>311150</xdr:colOff>
      <xdr:row>73</xdr:row>
      <xdr:rowOff>187326</xdr:rowOff>
    </xdr:from>
    <xdr:to>
      <xdr:col>14</xdr:col>
      <xdr:colOff>361950</xdr:colOff>
      <xdr:row>75</xdr:row>
      <xdr:rowOff>141660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895CBE-8098-22DC-925C-E658B61E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1075" y="14189076"/>
          <a:ext cx="2584450" cy="335334"/>
        </a:xfrm>
        <a:prstGeom prst="rect">
          <a:avLst/>
        </a:prstGeom>
      </xdr:spPr>
    </xdr:pic>
    <xdr:clientData/>
  </xdr:twoCellAnchor>
  <xdr:twoCellAnchor editAs="oneCell">
    <xdr:from>
      <xdr:col>5</xdr:col>
      <xdr:colOff>390241</xdr:colOff>
      <xdr:row>33</xdr:row>
      <xdr:rowOff>97641</xdr:rowOff>
    </xdr:from>
    <xdr:to>
      <xdr:col>13</xdr:col>
      <xdr:colOff>199825</xdr:colOff>
      <xdr:row>60</xdr:row>
      <xdr:rowOff>13426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EF03AEA-4FB5-6519-0D26-86438DCAD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608611">
          <a:off x="5257516" y="6622266"/>
          <a:ext cx="3924384" cy="5059285"/>
        </a:xfrm>
        <a:prstGeom prst="rect">
          <a:avLst/>
        </a:prstGeom>
      </xdr:spPr>
    </xdr:pic>
    <xdr:clientData/>
  </xdr:twoCellAnchor>
  <xdr:twoCellAnchor editAs="oneCell">
    <xdr:from>
      <xdr:col>1</xdr:col>
      <xdr:colOff>235330</xdr:colOff>
      <xdr:row>28</xdr:row>
      <xdr:rowOff>104775</xdr:rowOff>
    </xdr:from>
    <xdr:to>
      <xdr:col>5</xdr:col>
      <xdr:colOff>269495</xdr:colOff>
      <xdr:row>53</xdr:row>
      <xdr:rowOff>160260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58E9EF8-82E5-C7DF-86D0-71A068C9C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6305" y="5676900"/>
          <a:ext cx="4720465" cy="4817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814D-C38C-4078-87BE-028EAC078353}">
  <sheetPr>
    <pageSetUpPr fitToPage="1"/>
  </sheetPr>
  <dimension ref="B2:P74"/>
  <sheetViews>
    <sheetView showGridLines="0" tabSelected="1" zoomScaleNormal="100" workbookViewId="0">
      <selection activeCell="S13" sqref="S13"/>
    </sheetView>
  </sheetViews>
  <sheetFormatPr defaultColWidth="9" defaultRowHeight="15" x14ac:dyDescent="0.25"/>
  <cols>
    <col min="1" max="1" width="2.7109375" style="1" customWidth="1"/>
    <col min="2" max="2" width="13.85546875" style="1" bestFit="1" customWidth="1"/>
    <col min="3" max="3" width="17" style="1" bestFit="1" customWidth="1"/>
    <col min="4" max="4" width="32.85546875" style="1" bestFit="1" customWidth="1"/>
    <col min="5" max="5" width="6.5703125" style="1" customWidth="1"/>
    <col min="6" max="6" width="6.5703125" style="1" bestFit="1" customWidth="1"/>
    <col min="7" max="7" width="8.5703125" style="1" bestFit="1" customWidth="1"/>
    <col min="8" max="8" width="8.5703125" style="1" customWidth="1"/>
    <col min="9" max="9" width="8.5703125" style="1" bestFit="1" customWidth="1"/>
    <col min="10" max="10" width="0.42578125" style="1" customWidth="1"/>
    <col min="11" max="11" width="20.7109375" style="1" customWidth="1"/>
    <col min="12" max="12" width="0.42578125" style="1" customWidth="1"/>
    <col min="13" max="13" width="7.85546875" style="1" bestFit="1" customWidth="1"/>
    <col min="14" max="14" width="9" style="1" bestFit="1" customWidth="1"/>
    <col min="15" max="15" width="7.7109375" style="1" bestFit="1" customWidth="1"/>
    <col min="16" max="16" width="8.140625" style="1" bestFit="1" customWidth="1"/>
    <col min="17" max="17" width="2.7109375" style="1" customWidth="1"/>
    <col min="18" max="16384" width="9" style="1"/>
  </cols>
  <sheetData>
    <row r="2" spans="2:16" ht="73.5" customHeight="1" x14ac:dyDescent="0.45">
      <c r="B2" s="91" t="str">
        <f>IF('Data Entry'!$B$2="","",'Data Entry'!$B$2)</f>
        <v>Roadmap --- Ø 8-1/2" 613-XR(K)(BR)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2:16" ht="8.1" customHeight="1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3.95" customHeight="1" x14ac:dyDescent="0.25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2:16" ht="25.5" customHeight="1" x14ac:dyDescent="0.25">
      <c r="B5" s="90" t="str">
        <f>IF('Data Entry'!$B$4="","",'Data Entry'!$B$4)</f>
        <v>Midland Basin ---VCL Run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</row>
    <row r="6" spans="2:16" ht="15" customHeight="1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2:16" ht="15" customHeight="1" x14ac:dyDescent="0.25">
      <c r="H7" s="1">
        <f>IF('Data Entry'!O7="","",'Data Entry'!O7)</f>
        <v>0.4</v>
      </c>
      <c r="N7" s="87" t="s">
        <v>15</v>
      </c>
      <c r="O7" s="88"/>
      <c r="P7" s="89"/>
    </row>
    <row r="8" spans="2:16" x14ac:dyDescent="0.25">
      <c r="B8" s="2" t="s">
        <v>4</v>
      </c>
      <c r="C8" s="93" t="s">
        <v>11</v>
      </c>
      <c r="D8" s="95" t="s">
        <v>1</v>
      </c>
      <c r="E8" s="6" t="s">
        <v>0</v>
      </c>
      <c r="F8" s="52" t="s">
        <v>10</v>
      </c>
      <c r="G8" s="53" t="s">
        <v>32</v>
      </c>
      <c r="H8" s="11" t="s">
        <v>8</v>
      </c>
      <c r="I8" s="97" t="s">
        <v>2</v>
      </c>
      <c r="J8" s="97"/>
      <c r="K8" s="97"/>
      <c r="L8" s="6"/>
      <c r="M8" s="2" t="s">
        <v>65</v>
      </c>
      <c r="N8" s="3" t="s">
        <v>19</v>
      </c>
      <c r="O8" s="98" t="s">
        <v>14</v>
      </c>
      <c r="P8" s="98"/>
    </row>
    <row r="9" spans="2:16" ht="12" customHeight="1" thickBot="1" x14ac:dyDescent="0.3">
      <c r="B9" s="7" t="s">
        <v>3</v>
      </c>
      <c r="C9" s="94"/>
      <c r="D9" s="96"/>
      <c r="E9" s="50" t="s">
        <v>5</v>
      </c>
      <c r="F9" s="54" t="s">
        <v>6</v>
      </c>
      <c r="G9" s="8" t="s">
        <v>6</v>
      </c>
      <c r="H9" s="51" t="s">
        <v>7</v>
      </c>
      <c r="I9" s="92" t="s">
        <v>9</v>
      </c>
      <c r="J9" s="92"/>
      <c r="K9" s="92"/>
      <c r="L9" s="85"/>
      <c r="M9" s="7" t="s">
        <v>66</v>
      </c>
      <c r="N9" s="12" t="s">
        <v>33</v>
      </c>
      <c r="O9" s="13" t="s">
        <v>33</v>
      </c>
      <c r="P9" s="14" t="s">
        <v>17</v>
      </c>
    </row>
    <row r="10" spans="2:16" ht="15" customHeight="1" x14ac:dyDescent="0.25">
      <c r="B10" s="42" t="str">
        <f>CONCATENATE('Data Entry'!B10, " - ",'Data Entry'!C10)</f>
        <v>700 - 1520</v>
      </c>
      <c r="C10" s="57" t="str">
        <f>IF('Data Entry'!D10="","",'Data Entry'!D10)</f>
        <v>Dockum</v>
      </c>
      <c r="D10" s="58" t="str">
        <f>IF('Data Entry'!E10="","",'Data Entry'!E10)</f>
        <v>Red bed, Sand</v>
      </c>
      <c r="E10" s="59" t="str">
        <f>IF(AND('Data Entry'!F10&gt;0,'Data Entry'!G10&gt;0),CONCATENATE('Data Entry'!F10," - ",'Data Entry'!G10),CONCATENATE('Data Entry'!F10,'Data Entry'!G10))</f>
        <v>30 - 45</v>
      </c>
      <c r="F10" s="60" t="str">
        <f>IF(AND('Data Entry'!H10&gt;0,'Data Entry'!I10&gt;0),CONCATENATE('Data Entry'!H10," - ",'Data Entry'!I10),CONCATENATE('Data Entry'!H10,'Data Entry'!I10))</f>
        <v>65 - 75</v>
      </c>
      <c r="G10" s="58" t="str">
        <f>IF(AND('Data Entry'!J10&gt;0,'Data Entry'!K10&gt;0),CONCATENATE('Data Entry'!J10," - ",'Data Entry'!K10),CONCATENATE('Data Entry'!J10,'Data Entry'!K10))</f>
        <v>345 - 355</v>
      </c>
      <c r="H10" s="61">
        <f>IF('Data Entry'!O10="","",'Data Entry'!O10)</f>
        <v>700</v>
      </c>
      <c r="I10" s="113" t="str">
        <f>IF(AND('Data Entry'!L10&gt;0,'Data Entry'!M10&gt;0),CONCATENATE('Data Entry'!L10," - ",'Data Entry'!M10),CONCATENATE('Data Entry'!L10,'Data Entry'!M10))</f>
        <v>250 - 350</v>
      </c>
      <c r="J10" s="62"/>
      <c r="K10" s="59">
        <f>IFERROR(AVERAGE('Data Entry'!L10,'Data Entry'!M10),"")</f>
        <v>300</v>
      </c>
      <c r="L10" s="59"/>
      <c r="M10" s="122">
        <f>AVERAGE('Data Entry'!L10,'Data Entry'!M10)/AVERAGE('Data Entry'!J10,'Data Entry'!K10)/5</f>
        <v>0.17142857142857143</v>
      </c>
      <c r="N10" s="63">
        <f>IFERROR(IF(AND('Data Entry'!$B10&gt;0,'Data Entry'!$C10&gt;0,'Data Entry'!$L10&gt;0,'Data Entry'!M10&gt;0),('Data Entry'!$C10-'Data Entry'!$B10)/AVERAGE('Data Entry'!$L10,'Data Entry'!$M10),""),"")</f>
        <v>2.7333333333333334</v>
      </c>
      <c r="O10" s="64">
        <f>SUM($N$10:$N10)</f>
        <v>2.7333333333333334</v>
      </c>
      <c r="P10" s="65">
        <f>('Data Entry'!$C10-'Data Entry'!$B$10)/(SUM($N$10:$N10))</f>
        <v>300</v>
      </c>
    </row>
    <row r="11" spans="2:16" x14ac:dyDescent="0.25">
      <c r="B11" s="46" t="str">
        <f>CONCATENATE('Data Entry'!B11, " - ",'Data Entry'!C11)</f>
        <v>1520 - 1750</v>
      </c>
      <c r="C11" s="66" t="str">
        <f>IF('Data Entry'!D11="","",'Data Entry'!D11)</f>
        <v>Santa Rosa</v>
      </c>
      <c r="D11" s="67" t="str">
        <f>IF('Data Entry'!E11="","",'Data Entry'!E11)</f>
        <v>Sand</v>
      </c>
      <c r="E11" s="68" t="str">
        <f>IF(AND('Data Entry'!F11&gt;0,'Data Entry'!G11&gt;0),CONCATENATE('Data Entry'!F11," - ",'Data Entry'!G11),CONCATENATE('Data Entry'!F11,'Data Entry'!G11))</f>
        <v>30 - 45</v>
      </c>
      <c r="F11" s="69" t="str">
        <f>IF(AND('Data Entry'!H11&gt;0,'Data Entry'!I11&gt;0),CONCATENATE('Data Entry'!H11," - ",'Data Entry'!I11),CONCATENATE('Data Entry'!H11,'Data Entry'!I11))</f>
        <v>65 - 75</v>
      </c>
      <c r="G11" s="67" t="str">
        <f>IF(AND('Data Entry'!J11&gt;0,'Data Entry'!K11&gt;0),CONCATENATE('Data Entry'!J11," - ",'Data Entry'!K11),CONCATENATE('Data Entry'!J11,'Data Entry'!K11))</f>
        <v>345 - 355</v>
      </c>
      <c r="H11" s="70">
        <f>IF('Data Entry'!O11="","",'Data Entry'!O11)</f>
        <v>700</v>
      </c>
      <c r="I11" s="114" t="str">
        <f>IF(AND('Data Entry'!L11&gt;0,'Data Entry'!M11&gt;0),CONCATENATE('Data Entry'!L11," - ",'Data Entry'!M11),CONCATENATE('Data Entry'!L11,'Data Entry'!M11))</f>
        <v>200 - 250</v>
      </c>
      <c r="J11" s="71"/>
      <c r="K11" s="68">
        <f>IFERROR(AVERAGE('Data Entry'!L11,'Data Entry'!M11),"")</f>
        <v>225</v>
      </c>
      <c r="L11" s="68"/>
      <c r="M11" s="123">
        <f>AVERAGE('Data Entry'!L11,'Data Entry'!M11)/AVERAGE('Data Entry'!J11,'Data Entry'!K11)/5</f>
        <v>0.12857142857142859</v>
      </c>
      <c r="N11" s="72">
        <f>IFERROR(IF(AND('Data Entry'!$B11&gt;0,'Data Entry'!$C11&gt;0,'Data Entry'!$L11&gt;0,'Data Entry'!M11&gt;0),('Data Entry'!$C11-'Data Entry'!$B11)/AVERAGE('Data Entry'!$L11,'Data Entry'!$M11),""),"")</f>
        <v>1.0222222222222221</v>
      </c>
      <c r="O11" s="73">
        <f>SUM($N$10:$N11)</f>
        <v>3.7555555555555555</v>
      </c>
      <c r="P11" s="74">
        <f>('Data Entry'!$C11-'Data Entry'!$B$10)/(SUM($N$10:$N11))</f>
        <v>279.58579881656806</v>
      </c>
    </row>
    <row r="12" spans="2:16" x14ac:dyDescent="0.25">
      <c r="B12" s="46" t="str">
        <f>CONCATENATE('Data Entry'!B12, " - ",'Data Entry'!C12)</f>
        <v>1750 - 2750</v>
      </c>
      <c r="C12" s="66" t="str">
        <f>IF('Data Entry'!D12="","",'Data Entry'!D12)</f>
        <v>Rustler</v>
      </c>
      <c r="D12" s="67" t="str">
        <f>IF('Data Entry'!E12="","",'Data Entry'!E12)</f>
        <v>Sand, Anyhydrite</v>
      </c>
      <c r="E12" s="68" t="str">
        <f>IF(AND('Data Entry'!F12&gt;0,'Data Entry'!G12&gt;0),CONCATENATE('Data Entry'!F12," - ",'Data Entry'!G12),CONCATENATE('Data Entry'!F12,'Data Entry'!G12))</f>
        <v>30 - 45</v>
      </c>
      <c r="F12" s="69" t="str">
        <f>IF(AND('Data Entry'!H12&gt;0,'Data Entry'!I12&gt;0),CONCATENATE('Data Entry'!H12," - ",'Data Entry'!I12),CONCATENATE('Data Entry'!H12,'Data Entry'!I12))</f>
        <v>65 - 75</v>
      </c>
      <c r="G12" s="67" t="str">
        <f>IF(AND('Data Entry'!J12&gt;0,'Data Entry'!K12&gt;0),CONCATENATE('Data Entry'!J12," - ",'Data Entry'!K12),CONCATENATE('Data Entry'!J12,'Data Entry'!K12))</f>
        <v>345 - 355</v>
      </c>
      <c r="H12" s="70">
        <f>IF('Data Entry'!O12="","",'Data Entry'!O12)</f>
        <v>700</v>
      </c>
      <c r="I12" s="114" t="str">
        <f>IF(AND('Data Entry'!L12&gt;0,'Data Entry'!M12&gt;0),CONCATENATE('Data Entry'!L12," - ",'Data Entry'!M12),CONCATENATE('Data Entry'!L12,'Data Entry'!M12))</f>
        <v>200 - 250</v>
      </c>
      <c r="J12" s="71"/>
      <c r="K12" s="68">
        <f>IFERROR(AVERAGE('Data Entry'!L12,'Data Entry'!M12),"")</f>
        <v>225</v>
      </c>
      <c r="L12" s="68"/>
      <c r="M12" s="123">
        <f>AVERAGE('Data Entry'!L12,'Data Entry'!M12)/AVERAGE('Data Entry'!J12,'Data Entry'!K12)/5</f>
        <v>0.12857142857142859</v>
      </c>
      <c r="N12" s="72">
        <f>IFERROR(IF(AND('Data Entry'!$B12&gt;0,'Data Entry'!$C12&gt;0,'Data Entry'!$L12&gt;0,'Data Entry'!M12&gt;0),('Data Entry'!$C12-'Data Entry'!$B12)/AVERAGE('Data Entry'!$L12,'Data Entry'!$M12),""),"")</f>
        <v>4.4444444444444446</v>
      </c>
      <c r="O12" s="73">
        <f>SUM($N$10:$N12)</f>
        <v>8.1999999999999993</v>
      </c>
      <c r="P12" s="74">
        <f>('Data Entry'!$C12-'Data Entry'!$B$10)/(SUM($N$10:$N12))</f>
        <v>250.00000000000003</v>
      </c>
    </row>
    <row r="13" spans="2:16" x14ac:dyDescent="0.25">
      <c r="B13" s="46" t="str">
        <f>CONCATENATE('Data Entry'!B13, " - ",'Data Entry'!C13)</f>
        <v>2750 - 2800</v>
      </c>
      <c r="C13" s="66" t="str">
        <f>IF('Data Entry'!D13="","",'Data Entry'!D13)</f>
        <v>Salado</v>
      </c>
      <c r="D13" s="67" t="str">
        <f>IF('Data Entry'!E13="","",'Data Entry'!E13)</f>
        <v>Salt, Anyhydrite Stringers</v>
      </c>
      <c r="E13" s="68" t="str">
        <f>IF(AND('Data Entry'!F13&gt;0,'Data Entry'!G13&gt;0),CONCATENATE('Data Entry'!F13," - ",'Data Entry'!G13),CONCATENATE('Data Entry'!F13,'Data Entry'!G13))</f>
        <v>30 - 45</v>
      </c>
      <c r="F13" s="69" t="str">
        <f>IF(AND('Data Entry'!H13&gt;0,'Data Entry'!I13&gt;0),CONCATENATE('Data Entry'!H13," - ",'Data Entry'!I13),CONCATENATE('Data Entry'!H13,'Data Entry'!I13))</f>
        <v>65 - 75</v>
      </c>
      <c r="G13" s="67" t="str">
        <f>IF(AND('Data Entry'!J13&gt;0,'Data Entry'!K13&gt;0),CONCATENATE('Data Entry'!J13," - ",'Data Entry'!K13),CONCATENATE('Data Entry'!J13,'Data Entry'!K13))</f>
        <v>345 - 355</v>
      </c>
      <c r="H13" s="70">
        <f>IF('Data Entry'!O13="","",'Data Entry'!O13)</f>
        <v>700</v>
      </c>
      <c r="I13" s="114" t="str">
        <f>IF(AND('Data Entry'!L13&gt;0,'Data Entry'!M13&gt;0),CONCATENATE('Data Entry'!L13," - ",'Data Entry'!M13),CONCATENATE('Data Entry'!L13,'Data Entry'!M13))</f>
        <v>175 - 200</v>
      </c>
      <c r="J13" s="71"/>
      <c r="K13" s="68">
        <f>IFERROR(AVERAGE('Data Entry'!L13,'Data Entry'!M13),"")</f>
        <v>187.5</v>
      </c>
      <c r="L13" s="68"/>
      <c r="M13" s="123">
        <f>AVERAGE('Data Entry'!L13,'Data Entry'!M13)/AVERAGE('Data Entry'!J13,'Data Entry'!K13)/5</f>
        <v>0.10714285714285714</v>
      </c>
      <c r="N13" s="72">
        <f>IFERROR(IF(AND('Data Entry'!$B13&gt;0,'Data Entry'!$C13&gt;0,'Data Entry'!$L13&gt;0,'Data Entry'!M13&gt;0),('Data Entry'!$C13-'Data Entry'!$B13)/AVERAGE('Data Entry'!$L13,'Data Entry'!$M13),""),"")</f>
        <v>0.26666666666666666</v>
      </c>
      <c r="O13" s="73">
        <f>SUM($N$10:$N13)</f>
        <v>8.4666666666666668</v>
      </c>
      <c r="P13" s="74">
        <f>('Data Entry'!$C13-'Data Entry'!$B$10)/(SUM($N$10:$N13))</f>
        <v>248.03149606299212</v>
      </c>
    </row>
    <row r="14" spans="2:16" x14ac:dyDescent="0.25">
      <c r="B14" s="46" t="str">
        <f>CONCATENATE('Data Entry'!B14, " - ",'Data Entry'!C14)</f>
        <v>2800 - 3050</v>
      </c>
      <c r="C14" s="66" t="str">
        <f>IF('Data Entry'!D14="","",'Data Entry'!D14)</f>
        <v>Tansill</v>
      </c>
      <c r="D14" s="67" t="str">
        <f>IF('Data Entry'!E14="","",'Data Entry'!E14)</f>
        <v>Anyhydrite</v>
      </c>
      <c r="E14" s="68" t="str">
        <f>IF(AND('Data Entry'!F14&gt;0,'Data Entry'!G14&gt;0),CONCATENATE('Data Entry'!F14," - ",'Data Entry'!G14),CONCATENATE('Data Entry'!F14,'Data Entry'!G14))</f>
        <v>30 - 45</v>
      </c>
      <c r="F14" s="69" t="str">
        <f>IF(AND('Data Entry'!H14&gt;0,'Data Entry'!I14&gt;0),CONCATENATE('Data Entry'!H14," - ",'Data Entry'!I14),CONCATENATE('Data Entry'!H14,'Data Entry'!I14))</f>
        <v>65 - 75</v>
      </c>
      <c r="G14" s="67" t="str">
        <f>IF(AND('Data Entry'!J14&gt;0,'Data Entry'!K14&gt;0),CONCATENATE('Data Entry'!J14," - ",'Data Entry'!K14),CONCATENATE('Data Entry'!J14,'Data Entry'!K14))</f>
        <v>345 - 355</v>
      </c>
      <c r="H14" s="70">
        <f>IF('Data Entry'!O14="","",'Data Entry'!O14)</f>
        <v>700</v>
      </c>
      <c r="I14" s="114" t="str">
        <f>IF(AND('Data Entry'!L14&gt;0,'Data Entry'!M14&gt;0),CONCATENATE('Data Entry'!L14," - ",'Data Entry'!M14),CONCATENATE('Data Entry'!L14,'Data Entry'!M14))</f>
        <v>175 - 200</v>
      </c>
      <c r="J14" s="71"/>
      <c r="K14" s="68">
        <f>IFERROR(AVERAGE('Data Entry'!L14,'Data Entry'!M14),"")</f>
        <v>187.5</v>
      </c>
      <c r="L14" s="68"/>
      <c r="M14" s="123">
        <f>AVERAGE('Data Entry'!L14,'Data Entry'!M14)/AVERAGE('Data Entry'!J14,'Data Entry'!K14)/5</f>
        <v>0.10714285714285714</v>
      </c>
      <c r="N14" s="72">
        <f>IFERROR(IF(AND('Data Entry'!$B14&gt;0,'Data Entry'!$C14&gt;0,'Data Entry'!$L14&gt;0,'Data Entry'!M14&gt;0),('Data Entry'!$C14-'Data Entry'!$B14)/AVERAGE('Data Entry'!$L14,'Data Entry'!$M14),""),"")</f>
        <v>1.3333333333333333</v>
      </c>
      <c r="O14" s="73">
        <f>SUM($N$10:$N14)</f>
        <v>9.8000000000000007</v>
      </c>
      <c r="P14" s="74">
        <f>('Data Entry'!$C14-'Data Entry'!$B$10)/(SUM($N$10:$N14))</f>
        <v>239.79591836734693</v>
      </c>
    </row>
    <row r="15" spans="2:16" x14ac:dyDescent="0.25">
      <c r="B15" s="46" t="str">
        <f>CONCATENATE('Data Entry'!B15, " - ",'Data Entry'!C15)</f>
        <v>3050 - 3200</v>
      </c>
      <c r="C15" s="66" t="str">
        <f>IF('Data Entry'!D15="","",'Data Entry'!D15)</f>
        <v>Yates</v>
      </c>
      <c r="D15" s="67" t="str">
        <f>IF('Data Entry'!E15="","",'Data Entry'!E15)</f>
        <v>Sand, Anyhydrite Stringers, Shale</v>
      </c>
      <c r="E15" s="68" t="str">
        <f>IF(AND('Data Entry'!F15&gt;0,'Data Entry'!G15&gt;0),CONCATENATE('Data Entry'!F15," - ",'Data Entry'!G15),CONCATENATE('Data Entry'!F15,'Data Entry'!G15))</f>
        <v>30 - 45</v>
      </c>
      <c r="F15" s="69" t="str">
        <f>IF(AND('Data Entry'!H15&gt;0,'Data Entry'!I15&gt;0),CONCATENATE('Data Entry'!H15," - ",'Data Entry'!I15),CONCATENATE('Data Entry'!H15,'Data Entry'!I15))</f>
        <v>65 - 75</v>
      </c>
      <c r="G15" s="67" t="str">
        <f>IF(AND('Data Entry'!J15&gt;0,'Data Entry'!K15&gt;0),CONCATENATE('Data Entry'!J15," - ",'Data Entry'!K15),CONCATENATE('Data Entry'!J15,'Data Entry'!K15))</f>
        <v>345 - 355</v>
      </c>
      <c r="H15" s="70">
        <f>IF('Data Entry'!O15="","",'Data Entry'!O15)</f>
        <v>700</v>
      </c>
      <c r="I15" s="114" t="str">
        <f>IF(AND('Data Entry'!L15&gt;0,'Data Entry'!M15&gt;0),CONCATENATE('Data Entry'!L15," - ",'Data Entry'!M15),CONCATENATE('Data Entry'!L15,'Data Entry'!M15))</f>
        <v>160 - 175</v>
      </c>
      <c r="J15" s="71"/>
      <c r="K15" s="68">
        <f>IFERROR(AVERAGE('Data Entry'!L15,'Data Entry'!M15),"")</f>
        <v>167.5</v>
      </c>
      <c r="L15" s="68"/>
      <c r="M15" s="123">
        <f>AVERAGE('Data Entry'!L15,'Data Entry'!M15)/AVERAGE('Data Entry'!J15,'Data Entry'!K15)/5</f>
        <v>9.5714285714285724E-2</v>
      </c>
      <c r="N15" s="72">
        <f>IFERROR(IF(AND('Data Entry'!$B15&gt;0,'Data Entry'!$C15&gt;0,'Data Entry'!$L15&gt;0,'Data Entry'!M15&gt;0),('Data Entry'!$C15-'Data Entry'!$B15)/AVERAGE('Data Entry'!$L15,'Data Entry'!$M15),""),"")</f>
        <v>0.89552238805970152</v>
      </c>
      <c r="O15" s="73">
        <f>SUM($N$10:$N15)</f>
        <v>10.695522388059702</v>
      </c>
      <c r="P15" s="74">
        <f>('Data Entry'!$C15-'Data Entry'!$B$10)/(SUM($N$10:$N15))</f>
        <v>233.74267373709182</v>
      </c>
    </row>
    <row r="16" spans="2:16" x14ac:dyDescent="0.25">
      <c r="B16" s="46" t="str">
        <f>CONCATENATE('Data Entry'!B16, " - ",'Data Entry'!C16)</f>
        <v>3200 - 3750</v>
      </c>
      <c r="C16" s="66" t="str">
        <f>IF('Data Entry'!D16="","",'Data Entry'!D16)</f>
        <v>Seven Rivers</v>
      </c>
      <c r="D16" s="67" t="str">
        <f>IF('Data Entry'!E16="","",'Data Entry'!E16)</f>
        <v>Limey Anyhydrite and Salt Stringers</v>
      </c>
      <c r="E16" s="68" t="str">
        <f>IF(AND('Data Entry'!F16&gt;0,'Data Entry'!G16&gt;0),CONCATENATE('Data Entry'!F16," - ",'Data Entry'!G16),CONCATENATE('Data Entry'!F16,'Data Entry'!G16))</f>
        <v>30 - 45</v>
      </c>
      <c r="F16" s="69" t="str">
        <f>IF(AND('Data Entry'!H16&gt;0,'Data Entry'!I16&gt;0),CONCATENATE('Data Entry'!H16," - ",'Data Entry'!I16),CONCATENATE('Data Entry'!H16,'Data Entry'!I16))</f>
        <v>65 - 75</v>
      </c>
      <c r="G16" s="67" t="str">
        <f>IF(AND('Data Entry'!J16&gt;0,'Data Entry'!K16&gt;0),CONCATENATE('Data Entry'!J16," - ",'Data Entry'!K16),CONCATENATE('Data Entry'!J16,'Data Entry'!K16))</f>
        <v>345 - 355</v>
      </c>
      <c r="H16" s="70">
        <f>IF('Data Entry'!O16="","",'Data Entry'!O16)</f>
        <v>700</v>
      </c>
      <c r="I16" s="114" t="str">
        <f>IF(AND('Data Entry'!L16&gt;0,'Data Entry'!M16&gt;0),CONCATENATE('Data Entry'!L16," - ",'Data Entry'!M16),CONCATENATE('Data Entry'!L16,'Data Entry'!M16))</f>
        <v>160 - 175</v>
      </c>
      <c r="J16" s="71"/>
      <c r="K16" s="68">
        <f>IFERROR(AVERAGE('Data Entry'!L16,'Data Entry'!M16),"")</f>
        <v>167.5</v>
      </c>
      <c r="L16" s="68"/>
      <c r="M16" s="123">
        <f>AVERAGE('Data Entry'!L16,'Data Entry'!M16)/AVERAGE('Data Entry'!J16,'Data Entry'!K16)/5</f>
        <v>9.5714285714285724E-2</v>
      </c>
      <c r="N16" s="72">
        <f>IFERROR(IF(AND('Data Entry'!$B16&gt;0,'Data Entry'!$C16&gt;0,'Data Entry'!$L16&gt;0,'Data Entry'!M16&gt;0),('Data Entry'!$C16-'Data Entry'!$B16)/AVERAGE('Data Entry'!$L16,'Data Entry'!$M16),""),"")</f>
        <v>3.283582089552239</v>
      </c>
      <c r="O16" s="73">
        <f>SUM($N$10:$N16)</f>
        <v>13.979104477611941</v>
      </c>
      <c r="P16" s="74">
        <f>('Data Entry'!$C16-'Data Entry'!$B$10)/(SUM($N$10:$N16))</f>
        <v>218.18278881059149</v>
      </c>
    </row>
    <row r="17" spans="2:16" x14ac:dyDescent="0.25">
      <c r="B17" s="46" t="str">
        <f>CONCATENATE('Data Entry'!B17, " - ",'Data Entry'!C17)</f>
        <v>3750 - 5500</v>
      </c>
      <c r="C17" s="66" t="str">
        <f>IF('Data Entry'!D17="","",'Data Entry'!D17)</f>
        <v>Queen</v>
      </c>
      <c r="D17" s="67" t="str">
        <f>IF('Data Entry'!E17="","",'Data Entry'!E17)</f>
        <v>Sand with Anyhydrite Stringers</v>
      </c>
      <c r="E17" s="68" t="str">
        <f>IF(AND('Data Entry'!F17&gt;0,'Data Entry'!G17&gt;0),CONCATENATE('Data Entry'!F17," - ",'Data Entry'!G17),CONCATENATE('Data Entry'!F17,'Data Entry'!G17))</f>
        <v>30 - 45</v>
      </c>
      <c r="F17" s="69" t="str">
        <f>IF(AND('Data Entry'!H17&gt;0,'Data Entry'!I17&gt;0),CONCATENATE('Data Entry'!H17," - ",'Data Entry'!I17),CONCATENATE('Data Entry'!H17,'Data Entry'!I17))</f>
        <v>65 - 75</v>
      </c>
      <c r="G17" s="67" t="str">
        <f>IF(AND('Data Entry'!J17&gt;0,'Data Entry'!K17&gt;0),CONCATENATE('Data Entry'!J17," - ",'Data Entry'!K17),CONCATENATE('Data Entry'!J17,'Data Entry'!K17))</f>
        <v>345 - 355</v>
      </c>
      <c r="H17" s="70">
        <f>IF('Data Entry'!O17="","",'Data Entry'!O17)</f>
        <v>700</v>
      </c>
      <c r="I17" s="114" t="str">
        <f>IF(AND('Data Entry'!L17&gt;0,'Data Entry'!M17&gt;0),CONCATENATE('Data Entry'!L17," - ",'Data Entry'!M17),CONCATENATE('Data Entry'!L17,'Data Entry'!M17))</f>
        <v>160 - 175</v>
      </c>
      <c r="J17" s="71"/>
      <c r="K17" s="68">
        <f>IFERROR(AVERAGE('Data Entry'!L17,'Data Entry'!M17),"")</f>
        <v>167.5</v>
      </c>
      <c r="L17" s="68"/>
      <c r="M17" s="123">
        <f>AVERAGE('Data Entry'!L17,'Data Entry'!M17)/AVERAGE('Data Entry'!J17,'Data Entry'!K17)/5</f>
        <v>9.5714285714285724E-2</v>
      </c>
      <c r="N17" s="72">
        <f>IFERROR(IF(AND('Data Entry'!$B17&gt;0,'Data Entry'!$C17&gt;0,'Data Entry'!$L17&gt;0,'Data Entry'!M17&gt;0),('Data Entry'!$C17-'Data Entry'!$B17)/AVERAGE('Data Entry'!$L17,'Data Entry'!$M17),""),"")</f>
        <v>10.447761194029852</v>
      </c>
      <c r="O17" s="73">
        <f>SUM($N$10:$N17)</f>
        <v>24.426865671641792</v>
      </c>
      <c r="P17" s="74">
        <f>('Data Entry'!$C17-'Data Entry'!$B$10)/(SUM($N$10:$N17))</f>
        <v>196.50494928510327</v>
      </c>
    </row>
    <row r="18" spans="2:16" x14ac:dyDescent="0.25">
      <c r="B18" s="46" t="str">
        <f>CONCATENATE('Data Entry'!B18, " - ",'Data Entry'!C18)</f>
        <v>5500 - 5800</v>
      </c>
      <c r="C18" s="66" t="str">
        <f>IF('Data Entry'!D18="","",'Data Entry'!D18)</f>
        <v>San Andres</v>
      </c>
      <c r="D18" s="67" t="str">
        <f>IF('Data Entry'!E18="","",'Data Entry'!E18)</f>
        <v>Dolomite-Hard Cap at Grayburg</v>
      </c>
      <c r="E18" s="68" t="str">
        <f>IF(AND('Data Entry'!F18&gt;0,'Data Entry'!G18&gt;0),CONCATENATE('Data Entry'!F18," - ",'Data Entry'!G18),CONCATENATE('Data Entry'!F18,'Data Entry'!G18))</f>
        <v>35 - 45</v>
      </c>
      <c r="F18" s="69" t="str">
        <f>IF(AND('Data Entry'!H18&gt;0,'Data Entry'!I18&gt;0),CONCATENATE('Data Entry'!H18," - ",'Data Entry'!I18),CONCATENATE('Data Entry'!H18,'Data Entry'!I18))</f>
        <v>50 - 60</v>
      </c>
      <c r="G18" s="67" t="str">
        <f>IF(AND('Data Entry'!J18&gt;0,'Data Entry'!K18&gt;0),CONCATENATE('Data Entry'!J18," - ",'Data Entry'!K18),CONCATENATE('Data Entry'!J18,'Data Entry'!K18))</f>
        <v>330 - 340</v>
      </c>
      <c r="H18" s="70">
        <f>IF('Data Entry'!O18="","",'Data Entry'!O18)</f>
        <v>700</v>
      </c>
      <c r="I18" s="114" t="str">
        <f>IF(AND('Data Entry'!L18&gt;0,'Data Entry'!M18&gt;0),CONCATENATE('Data Entry'!L18," - ",'Data Entry'!M18),CONCATENATE('Data Entry'!L18,'Data Entry'!M18))</f>
        <v>150 - 160</v>
      </c>
      <c r="J18" s="71"/>
      <c r="K18" s="68">
        <f>IFERROR(AVERAGE('Data Entry'!L18,'Data Entry'!M18),"")</f>
        <v>155</v>
      </c>
      <c r="L18" s="68"/>
      <c r="M18" s="123">
        <f>AVERAGE('Data Entry'!L18,'Data Entry'!M18)/AVERAGE('Data Entry'!J18,'Data Entry'!K18)/5</f>
        <v>9.2537313432835819E-2</v>
      </c>
      <c r="N18" s="72">
        <f>IFERROR(IF(AND('Data Entry'!$B18&gt;0,'Data Entry'!$C18&gt;0,'Data Entry'!$L18&gt;0,'Data Entry'!M18&gt;0),('Data Entry'!$C18-'Data Entry'!$B18)/AVERAGE('Data Entry'!$L18,'Data Entry'!$M18),""),"")</f>
        <v>1.935483870967742</v>
      </c>
      <c r="O18" s="73">
        <f>SUM($N$10:$N18)</f>
        <v>26.362349542609536</v>
      </c>
      <c r="P18" s="74">
        <f>('Data Entry'!$C18-'Data Entry'!$B$10)/(SUM($N$10:$N18))</f>
        <v>193.45771862090123</v>
      </c>
    </row>
    <row r="19" spans="2:16" x14ac:dyDescent="0.25">
      <c r="B19" s="46" t="str">
        <f>CONCATENATE('Data Entry'!B19, " - ",'Data Entry'!C19)</f>
        <v>5800 - 6015</v>
      </c>
      <c r="C19" s="66" t="str">
        <f>IF('Data Entry'!D19="","",'Data Entry'!D19)</f>
        <v>Glorietta</v>
      </c>
      <c r="D19" s="67" t="str">
        <f>IF('Data Entry'!E19="","",'Data Entry'!E19)</f>
        <v>Cherty Dolomite, Limestone,Sands</v>
      </c>
      <c r="E19" s="68" t="str">
        <f>IF(AND('Data Entry'!F19&gt;0,'Data Entry'!G19&gt;0),CONCATENATE('Data Entry'!F19," - ",'Data Entry'!G19),CONCATENATE('Data Entry'!F19,'Data Entry'!G19))</f>
        <v>35 - 38</v>
      </c>
      <c r="F19" s="69" t="str">
        <f>IF(AND('Data Entry'!H19&gt;0,'Data Entry'!I19&gt;0),CONCATENATE('Data Entry'!H19," - ",'Data Entry'!I19),CONCATENATE('Data Entry'!H19,'Data Entry'!I19))</f>
        <v>60 - 80</v>
      </c>
      <c r="G19" s="67" t="str">
        <f>IF(AND('Data Entry'!J19&gt;0,'Data Entry'!K19&gt;0),CONCATENATE('Data Entry'!J19," - ",'Data Entry'!K19),CONCATENATE('Data Entry'!J19,'Data Entry'!K19))</f>
        <v>340 - 360</v>
      </c>
      <c r="H19" s="70">
        <f>IF('Data Entry'!O19="","",'Data Entry'!O19)</f>
        <v>700</v>
      </c>
      <c r="I19" s="114" t="str">
        <f>IF(AND('Data Entry'!L19&gt;0,'Data Entry'!M19&gt;0),CONCATENATE('Data Entry'!L19," - ",'Data Entry'!M19),CONCATENATE('Data Entry'!L19,'Data Entry'!M19))</f>
        <v>125 - 160</v>
      </c>
      <c r="J19" s="71"/>
      <c r="K19" s="68">
        <f>IFERROR(AVERAGE('Data Entry'!L19,'Data Entry'!M19),"")</f>
        <v>142.5</v>
      </c>
      <c r="L19" s="68"/>
      <c r="M19" s="123">
        <f>AVERAGE('Data Entry'!L19,'Data Entry'!M19)/AVERAGE('Data Entry'!J19,'Data Entry'!K19)/5</f>
        <v>8.1428571428571433E-2</v>
      </c>
      <c r="N19" s="72">
        <f>IFERROR(IF(AND('Data Entry'!$B19&gt;0,'Data Entry'!$C19&gt;0,'Data Entry'!$L19&gt;0,'Data Entry'!M19&gt;0),('Data Entry'!$C19-'Data Entry'!$B19)/AVERAGE('Data Entry'!$L19,'Data Entry'!$M19),""),"")</f>
        <v>1.5087719298245614</v>
      </c>
      <c r="O19" s="73">
        <f>SUM($N$10:$N19)</f>
        <v>27.871121472434098</v>
      </c>
      <c r="P19" s="74">
        <f>('Data Entry'!$C19-'Data Entry'!$B$10)/(SUM($N$10:$N19))</f>
        <v>190.69917962421408</v>
      </c>
    </row>
    <row r="20" spans="2:16" x14ac:dyDescent="0.25">
      <c r="B20" s="46" t="str">
        <f>CONCATENATE('Data Entry'!B20, " - ",'Data Entry'!C20)</f>
        <v>6015 - 7795</v>
      </c>
      <c r="C20" s="66" t="str">
        <f>IF('Data Entry'!D20="","",'Data Entry'!D20)</f>
        <v>Clearfork</v>
      </c>
      <c r="D20" s="67" t="str">
        <f>IF('Data Entry'!E20="","",'Data Entry'!E20)</f>
        <v>Limestone</v>
      </c>
      <c r="E20" s="68" t="str">
        <f>IF(AND('Data Entry'!F20&gt;0,'Data Entry'!G20&gt;0),CONCATENATE('Data Entry'!F20," - ",'Data Entry'!G20),CONCATENATE('Data Entry'!F20,'Data Entry'!G20))</f>
        <v>38 - 40</v>
      </c>
      <c r="F20" s="69" t="str">
        <f>IF(AND('Data Entry'!H20&gt;0,'Data Entry'!I20&gt;0),CONCATENATE('Data Entry'!H20," - ",'Data Entry'!I20),CONCATENATE('Data Entry'!H20,'Data Entry'!I20))</f>
        <v>60 - 70</v>
      </c>
      <c r="G20" s="67" t="str">
        <f>IF(AND('Data Entry'!J20&gt;0,'Data Entry'!K20&gt;0),CONCATENATE('Data Entry'!J20," - ",'Data Entry'!K20),CONCATENATE('Data Entry'!J20,'Data Entry'!K20))</f>
        <v>340 - 350</v>
      </c>
      <c r="H20" s="70">
        <f>IF('Data Entry'!O20="","",'Data Entry'!O20)</f>
        <v>700</v>
      </c>
      <c r="I20" s="114" t="str">
        <f>IF(AND('Data Entry'!L20&gt;0,'Data Entry'!M20&gt;0),CONCATENATE('Data Entry'!L20," - ",'Data Entry'!M20),CONCATENATE('Data Entry'!L20,'Data Entry'!M20))</f>
        <v>150 - 160</v>
      </c>
      <c r="J20" s="71"/>
      <c r="K20" s="68">
        <f>IFERROR(AVERAGE('Data Entry'!L20,'Data Entry'!M20),"")</f>
        <v>155</v>
      </c>
      <c r="L20" s="68"/>
      <c r="M20" s="123">
        <f>AVERAGE('Data Entry'!L20,'Data Entry'!M20)/AVERAGE('Data Entry'!J20,'Data Entry'!K20)/5</f>
        <v>8.9855072463768115E-2</v>
      </c>
      <c r="N20" s="72">
        <f>IFERROR(IF(AND('Data Entry'!$B20&gt;0,'Data Entry'!$C20&gt;0,'Data Entry'!$L20&gt;0,'Data Entry'!M20&gt;0),('Data Entry'!$C20-'Data Entry'!$B20)/AVERAGE('Data Entry'!$L20,'Data Entry'!$M20),""),"")</f>
        <v>11.483870967741936</v>
      </c>
      <c r="O20" s="73">
        <f>SUM($N$10:$N20)</f>
        <v>39.354992440176034</v>
      </c>
      <c r="P20" s="74">
        <f>('Data Entry'!$C20-'Data Entry'!$B$10)/(SUM($N$10:$N20))</f>
        <v>180.28208265533755</v>
      </c>
    </row>
    <row r="21" spans="2:16" x14ac:dyDescent="0.25">
      <c r="B21" s="46" t="str">
        <f>CONCATENATE('Data Entry'!B21, " - ",'Data Entry'!C21)</f>
        <v>7795 - 9154</v>
      </c>
      <c r="C21" s="66" t="str">
        <f>IF('Data Entry'!D21="","",'Data Entry'!D21)</f>
        <v>Sprayberry</v>
      </c>
      <c r="D21" s="67" t="str">
        <f>IF('Data Entry'!E21="","",'Data Entry'!E21)</f>
        <v>Shaly Sand</v>
      </c>
      <c r="E21" s="68" t="str">
        <f>IF(AND('Data Entry'!F21&gt;0,'Data Entry'!G21&gt;0),CONCATENATE('Data Entry'!F21," - ",'Data Entry'!G21),CONCATENATE('Data Entry'!F21,'Data Entry'!G21))</f>
        <v>25 - 35</v>
      </c>
      <c r="F21" s="69" t="str">
        <f>IF(AND('Data Entry'!H21&gt;0,'Data Entry'!I21&gt;0),CONCATENATE('Data Entry'!H21," - ",'Data Entry'!I21),CONCATENATE('Data Entry'!H21,'Data Entry'!I21))</f>
        <v>60 - 70</v>
      </c>
      <c r="G21" s="67" t="str">
        <f>IF(AND('Data Entry'!J21&gt;0,'Data Entry'!K21&gt;0),CONCATENATE('Data Entry'!J21," - ",'Data Entry'!K21),CONCATENATE('Data Entry'!J21,'Data Entry'!K21))</f>
        <v>340 - 350</v>
      </c>
      <c r="H21" s="70">
        <f>IF('Data Entry'!O21="","",'Data Entry'!O21)</f>
        <v>700</v>
      </c>
      <c r="I21" s="114" t="str">
        <f>IF(AND('Data Entry'!L21&gt;0,'Data Entry'!M21&gt;0),CONCATENATE('Data Entry'!L21," - ",'Data Entry'!M21),CONCATENATE('Data Entry'!L21,'Data Entry'!M21))</f>
        <v>165 - 175</v>
      </c>
      <c r="J21" s="71"/>
      <c r="K21" s="68">
        <f>IFERROR(AVERAGE('Data Entry'!L21,'Data Entry'!M21),"")</f>
        <v>170</v>
      </c>
      <c r="L21" s="68"/>
      <c r="M21" s="123">
        <f>AVERAGE('Data Entry'!L21,'Data Entry'!M21)/AVERAGE('Data Entry'!J21,'Data Entry'!K21)/5</f>
        <v>9.8550724637681164E-2</v>
      </c>
      <c r="N21" s="72">
        <f>IFERROR(IF(AND('Data Entry'!$B21&gt;0,'Data Entry'!$C21&gt;0,'Data Entry'!$L21&gt;0,'Data Entry'!M21&gt;0),('Data Entry'!$C21-'Data Entry'!$B21)/AVERAGE('Data Entry'!$L21,'Data Entry'!$M21),""),"")</f>
        <v>7.9941176470588236</v>
      </c>
      <c r="O21" s="73">
        <f>SUM($N$10:$N21)</f>
        <v>47.349110087234855</v>
      </c>
      <c r="P21" s="74">
        <f>('Data Entry'!$C21-'Data Entry'!$B$10)/(SUM($N$10:$N21))</f>
        <v>178.54612229088477</v>
      </c>
    </row>
    <row r="22" spans="2:16" x14ac:dyDescent="0.25">
      <c r="B22" s="46" t="str">
        <f>CONCATENATE('Data Entry'!B22, " - ",'Data Entry'!C22)</f>
        <v>9154 - 9320</v>
      </c>
      <c r="C22" s="66" t="str">
        <f>IF('Data Entry'!D22="","",'Data Entry'!D22)</f>
        <v>Dean</v>
      </c>
      <c r="D22" s="67" t="str">
        <f>IF('Data Entry'!E22="","",'Data Entry'!E22)</f>
        <v>Sand Shale</v>
      </c>
      <c r="E22" s="68" t="str">
        <f>IF(AND('Data Entry'!F22&gt;0,'Data Entry'!G22&gt;0),CONCATENATE('Data Entry'!F22," - ",'Data Entry'!G22),CONCATENATE('Data Entry'!F22,'Data Entry'!G22))</f>
        <v>30 - 35</v>
      </c>
      <c r="F22" s="69" t="str">
        <f>IF(AND('Data Entry'!H22&gt;0,'Data Entry'!I22&gt;0),CONCATENATE('Data Entry'!H22," - ",'Data Entry'!I22),CONCATENATE('Data Entry'!H22,'Data Entry'!I22))</f>
        <v>40 - 60</v>
      </c>
      <c r="G22" s="67" t="str">
        <f>IF(AND('Data Entry'!J22&gt;0,'Data Entry'!K22&gt;0),CONCATENATE('Data Entry'!J22," - ",'Data Entry'!K22),CONCATENATE('Data Entry'!J22,'Data Entry'!K22))</f>
        <v>320 - 340</v>
      </c>
      <c r="H22" s="70">
        <f>IF('Data Entry'!O22="","",'Data Entry'!O22)</f>
        <v>700</v>
      </c>
      <c r="I22" s="114" t="str">
        <f>IF(AND('Data Entry'!L22&gt;0,'Data Entry'!M22&gt;0),CONCATENATE('Data Entry'!L22," - ",'Data Entry'!M22),CONCATENATE('Data Entry'!L22,'Data Entry'!M22))</f>
        <v>145 - 155</v>
      </c>
      <c r="J22" s="71"/>
      <c r="K22" s="68">
        <f>IFERROR(AVERAGE('Data Entry'!L22,'Data Entry'!M22),"")</f>
        <v>150</v>
      </c>
      <c r="L22" s="68"/>
      <c r="M22" s="123">
        <f>AVERAGE('Data Entry'!L22,'Data Entry'!M22)/AVERAGE('Data Entry'!J22,'Data Entry'!K22)/5</f>
        <v>9.0909090909090912E-2</v>
      </c>
      <c r="N22" s="72">
        <f>IFERROR(IF(AND('Data Entry'!$B22&gt;0,'Data Entry'!$C22&gt;0,'Data Entry'!$L22&gt;0,'Data Entry'!M22&gt;0),('Data Entry'!$C22-'Data Entry'!$B22)/AVERAGE('Data Entry'!$L22,'Data Entry'!$M22),""),"")</f>
        <v>1.1066666666666667</v>
      </c>
      <c r="O22" s="73">
        <f>SUM($N$10:$N22)</f>
        <v>48.455776753901525</v>
      </c>
      <c r="P22" s="74">
        <f>('Data Entry'!$C22-'Data Entry'!$B$10)/(SUM($N$10:$N22))</f>
        <v>177.89416613378179</v>
      </c>
    </row>
    <row r="23" spans="2:16" x14ac:dyDescent="0.25">
      <c r="B23" s="46" t="str">
        <f>CONCATENATE('Data Entry'!B23, " - ",'Data Entry'!C23)</f>
        <v>9320 - 10630</v>
      </c>
      <c r="C23" s="66" t="str">
        <f>IF('Data Entry'!D23="","",'Data Entry'!D23)</f>
        <v>Wolfcamp</v>
      </c>
      <c r="D23" s="67" t="str">
        <f>IF('Data Entry'!E23="","",'Data Entry'!E23)</f>
        <v>Limey Shale</v>
      </c>
      <c r="E23" s="68" t="str">
        <f>IF(AND('Data Entry'!F23&gt;0,'Data Entry'!G23&gt;0),CONCATENATE('Data Entry'!F23," - ",'Data Entry'!G23),CONCATENATE('Data Entry'!F23,'Data Entry'!G23))</f>
        <v>35 - 38</v>
      </c>
      <c r="F23" s="69" t="str">
        <f>IF(AND('Data Entry'!H23&gt;0,'Data Entry'!I23&gt;0),CONCATENATE('Data Entry'!H23," - ",'Data Entry'!I23),CONCATENATE('Data Entry'!H23,'Data Entry'!I23))</f>
        <v>50 - 60</v>
      </c>
      <c r="G23" s="67" t="str">
        <f>IF(AND('Data Entry'!J23&gt;0,'Data Entry'!K23&gt;0),CONCATENATE('Data Entry'!J23," - ",'Data Entry'!K23),CONCATENATE('Data Entry'!J23,'Data Entry'!K23))</f>
        <v>330 - 340</v>
      </c>
      <c r="H23" s="70">
        <f>IF('Data Entry'!O23="","",'Data Entry'!O23)</f>
        <v>700</v>
      </c>
      <c r="I23" s="114" t="str">
        <f>IF(AND('Data Entry'!L23&gt;0,'Data Entry'!M23&gt;0),CONCATENATE('Data Entry'!L23," - ",'Data Entry'!M23),CONCATENATE('Data Entry'!L23,'Data Entry'!M23))</f>
        <v>150 - 160</v>
      </c>
      <c r="J23" s="71"/>
      <c r="K23" s="68">
        <f>IFERROR(AVERAGE('Data Entry'!L23,'Data Entry'!M23),"")</f>
        <v>155</v>
      </c>
      <c r="L23" s="68"/>
      <c r="M23" s="123">
        <f>AVERAGE('Data Entry'!L23,'Data Entry'!M23)/AVERAGE('Data Entry'!J23,'Data Entry'!K23)/5</f>
        <v>9.2537313432835819E-2</v>
      </c>
      <c r="N23" s="72">
        <f>IFERROR(IF(AND('Data Entry'!$B23&gt;0,'Data Entry'!$C23&gt;0,'Data Entry'!$L23&gt;0,'Data Entry'!M23&gt;0),('Data Entry'!$C23-'Data Entry'!$B23)/AVERAGE('Data Entry'!$L23,'Data Entry'!$M23),""),"")</f>
        <v>8.4516129032258061</v>
      </c>
      <c r="O23" s="73">
        <f>SUM($N$10:$N23)</f>
        <v>56.907389657127332</v>
      </c>
      <c r="P23" s="74">
        <f>('Data Entry'!$C23-'Data Entry'!$B$10)/(SUM($N$10:$N23))</f>
        <v>174.49403425160133</v>
      </c>
    </row>
    <row r="24" spans="2:16" x14ac:dyDescent="0.25">
      <c r="B24" s="46" t="str">
        <f>CONCATENATE('Data Entry'!B24, " - ",'Data Entry'!C24)</f>
        <v>10630 - 11279</v>
      </c>
      <c r="C24" s="66" t="str">
        <f>IF('Data Entry'!D24="","",'Data Entry'!D24)</f>
        <v>Pennsylvanian</v>
      </c>
      <c r="D24" s="67" t="str">
        <f>IF('Data Entry'!E24="","",'Data Entry'!E24)</f>
        <v>Limestone,Shale</v>
      </c>
      <c r="E24" s="68" t="str">
        <f>IF(AND('Data Entry'!F24&gt;0,'Data Entry'!G24&gt;0),CONCATENATE('Data Entry'!F24," - ",'Data Entry'!G24),CONCATENATE('Data Entry'!F24,'Data Entry'!G24))</f>
        <v>35 - 40</v>
      </c>
      <c r="F24" s="69" t="str">
        <f>IF(AND('Data Entry'!H24&gt;0,'Data Entry'!I24&gt;0),CONCATENATE('Data Entry'!H24," - ",'Data Entry'!I24),CONCATENATE('Data Entry'!H24,'Data Entry'!I24))</f>
        <v>50 - 60</v>
      </c>
      <c r="G24" s="67" t="str">
        <f>IF(AND('Data Entry'!J24&gt;0,'Data Entry'!K24&gt;0),CONCATENATE('Data Entry'!J24," - ",'Data Entry'!K24),CONCATENATE('Data Entry'!J24,'Data Entry'!K24))</f>
        <v>330 - 340</v>
      </c>
      <c r="H24" s="70">
        <f>IF('Data Entry'!O24="","",'Data Entry'!O24)</f>
        <v>700</v>
      </c>
      <c r="I24" s="114" t="str">
        <f>IF(AND('Data Entry'!L24&gt;0,'Data Entry'!M24&gt;0),CONCATENATE('Data Entry'!L24," - ",'Data Entry'!M24),CONCATENATE('Data Entry'!L24,'Data Entry'!M24))</f>
        <v>130 - 150</v>
      </c>
      <c r="J24" s="71"/>
      <c r="K24" s="68">
        <f>IFERROR(AVERAGE('Data Entry'!L24,'Data Entry'!M24),"")</f>
        <v>140</v>
      </c>
      <c r="L24" s="68"/>
      <c r="M24" s="123">
        <f>AVERAGE('Data Entry'!L24,'Data Entry'!M24)/AVERAGE('Data Entry'!J24,'Data Entry'!K24)/5</f>
        <v>8.3582089552238809E-2</v>
      </c>
      <c r="N24" s="72">
        <f>IFERROR(IF(AND('Data Entry'!$B24&gt;0,'Data Entry'!$C24&gt;0,'Data Entry'!$L24&gt;0,'Data Entry'!M24&gt;0),('Data Entry'!$C24-'Data Entry'!$B24)/AVERAGE('Data Entry'!$L24,'Data Entry'!$M24),""),"")</f>
        <v>4.6357142857142861</v>
      </c>
      <c r="O24" s="73">
        <f>SUM($N$10:$N24)</f>
        <v>61.543103942841618</v>
      </c>
      <c r="P24" s="74">
        <f>('Data Entry'!$C24-'Data Entry'!$B$10)/(SUM($N$10:$N24))</f>
        <v>171.895782341841</v>
      </c>
    </row>
    <row r="25" spans="2:16" x14ac:dyDescent="0.25">
      <c r="B25" s="46" t="str">
        <f>CONCATENATE('Data Entry'!B25, " - ",'Data Entry'!C25)</f>
        <v>11279 - 11868</v>
      </c>
      <c r="C25" s="66" t="str">
        <f>IF('Data Entry'!D25="","",'Data Entry'!D25)</f>
        <v>Mississipian</v>
      </c>
      <c r="D25" s="67" t="str">
        <f>IF('Data Entry'!E25="","",'Data Entry'!E25)</f>
        <v>Shaly Limestone</v>
      </c>
      <c r="E25" s="68" t="str">
        <f>IF(AND('Data Entry'!F25&gt;0,'Data Entry'!G25&gt;0),CONCATENATE('Data Entry'!F25," - ",'Data Entry'!G25),CONCATENATE('Data Entry'!F25,'Data Entry'!G25))</f>
        <v>38 - 40</v>
      </c>
      <c r="F25" s="69" t="str">
        <f>IF(AND('Data Entry'!H25&gt;0,'Data Entry'!I25&gt;0),CONCATENATE('Data Entry'!H25," - ",'Data Entry'!I25),CONCATENATE('Data Entry'!H25,'Data Entry'!I25))</f>
        <v>50 - 70</v>
      </c>
      <c r="G25" s="67" t="str">
        <f>IF(AND('Data Entry'!J25&gt;0,'Data Entry'!K25&gt;0),CONCATENATE('Data Entry'!J25," - ",'Data Entry'!K25),CONCATENATE('Data Entry'!J25,'Data Entry'!K25))</f>
        <v>330 - 350</v>
      </c>
      <c r="H25" s="70">
        <f>IF('Data Entry'!O25="","",'Data Entry'!O25)</f>
        <v>700</v>
      </c>
      <c r="I25" s="114" t="str">
        <f>IF(AND('Data Entry'!L25&gt;0,'Data Entry'!M25&gt;0),CONCATENATE('Data Entry'!L25," - ",'Data Entry'!M25),CONCATENATE('Data Entry'!L25,'Data Entry'!M25))</f>
        <v>100 - 120</v>
      </c>
      <c r="J25" s="71"/>
      <c r="K25" s="68">
        <f>IFERROR(AVERAGE('Data Entry'!L25,'Data Entry'!M25),"")</f>
        <v>110</v>
      </c>
      <c r="L25" s="68"/>
      <c r="M25" s="123">
        <f>AVERAGE('Data Entry'!L25,'Data Entry'!M25)/AVERAGE('Data Entry'!J25,'Data Entry'!K25)/5</f>
        <v>6.4705882352941183E-2</v>
      </c>
      <c r="N25" s="72">
        <f>IFERROR(IF(AND('Data Entry'!$B25&gt;0,'Data Entry'!$C25&gt;0,'Data Entry'!$L25&gt;0,'Data Entry'!M25&gt;0),('Data Entry'!$C25-'Data Entry'!$B25)/AVERAGE('Data Entry'!$L25,'Data Entry'!$M25),""),"")</f>
        <v>5.3545454545454545</v>
      </c>
      <c r="O25" s="73">
        <f>SUM($N$10:$N25)</f>
        <v>66.89764939738707</v>
      </c>
      <c r="P25" s="74">
        <f>('Data Entry'!$C25-'Data Entry'!$B$10)/(SUM($N$10:$N25))</f>
        <v>166.94159063287216</v>
      </c>
    </row>
    <row r="26" spans="2:16" x14ac:dyDescent="0.25">
      <c r="B26" s="46" t="str">
        <f>CONCATENATE('Data Entry'!B26, " - ",'Data Entry'!C26)</f>
        <v>11868 - 11924</v>
      </c>
      <c r="C26" s="66" t="str">
        <f>IF('Data Entry'!D26="","",'Data Entry'!D26)</f>
        <v>Barnett</v>
      </c>
      <c r="D26" s="67" t="str">
        <f>IF('Data Entry'!E26="","",'Data Entry'!E26)</f>
        <v>Some Shaly Limestone,Shale</v>
      </c>
      <c r="E26" s="68" t="str">
        <f>IF(AND('Data Entry'!F26&gt;0,'Data Entry'!G26&gt;0),CONCATENATE('Data Entry'!F26," - ",'Data Entry'!G26),CONCATENATE('Data Entry'!F26,'Data Entry'!G26))</f>
        <v>35 - 40</v>
      </c>
      <c r="F26" s="69" t="str">
        <f>IF(AND('Data Entry'!H26&gt;0,'Data Entry'!I26&gt;0),CONCATENATE('Data Entry'!H26," - ",'Data Entry'!I26),CONCATENATE('Data Entry'!H26,'Data Entry'!I26))</f>
        <v>50 - 70</v>
      </c>
      <c r="G26" s="67" t="str">
        <f>IF(AND('Data Entry'!J26&gt;0,'Data Entry'!K26&gt;0),CONCATENATE('Data Entry'!J26," - ",'Data Entry'!K26),CONCATENATE('Data Entry'!J26,'Data Entry'!K26))</f>
        <v>330 - 350</v>
      </c>
      <c r="H26" s="70">
        <f>IF('Data Entry'!O26="","",'Data Entry'!O26)</f>
        <v>700</v>
      </c>
      <c r="I26" s="114" t="str">
        <f>IF(AND('Data Entry'!L26&gt;0,'Data Entry'!M26&gt;0),CONCATENATE('Data Entry'!L26," - ",'Data Entry'!M26),CONCATENATE('Data Entry'!L26,'Data Entry'!M26))</f>
        <v>125 - 160</v>
      </c>
      <c r="J26" s="71"/>
      <c r="K26" s="68">
        <f>IFERROR(AVERAGE('Data Entry'!L26,'Data Entry'!M26),"")</f>
        <v>142.5</v>
      </c>
      <c r="L26" s="68"/>
      <c r="M26" s="123">
        <f>AVERAGE('Data Entry'!L26,'Data Entry'!M26)/AVERAGE('Data Entry'!J26,'Data Entry'!K26)/5</f>
        <v>8.3823529411764713E-2</v>
      </c>
      <c r="N26" s="72">
        <f>IFERROR(IF(AND('Data Entry'!$B26&gt;0,'Data Entry'!$C26&gt;0,'Data Entry'!$L26&gt;0,'Data Entry'!M26&gt;0),('Data Entry'!$C26-'Data Entry'!$B26)/AVERAGE('Data Entry'!$L26,'Data Entry'!$M26),""),"")</f>
        <v>0.39298245614035088</v>
      </c>
      <c r="O26" s="73">
        <f>SUM($N$10:$N26)</f>
        <v>67.290631853527415</v>
      </c>
      <c r="P26" s="74">
        <f>('Data Entry'!$C26-'Data Entry'!$B$10)/(SUM($N$10:$N26))</f>
        <v>166.79884986711758</v>
      </c>
    </row>
    <row r="27" spans="2:16" ht="15.75" thickBot="1" x14ac:dyDescent="0.3">
      <c r="B27" s="75" t="str">
        <f>CONCATENATE('Data Entry'!B27, " - ",'Data Entry'!C27)</f>
        <v>11924 - 20000</v>
      </c>
      <c r="C27" s="76" t="str">
        <f>IF('Data Entry'!D27="","",'Data Entry'!D27)</f>
        <v>Barnett Lateral</v>
      </c>
      <c r="D27" s="77" t="str">
        <f>IF('Data Entry'!E27="","",'Data Entry'!E27)</f>
        <v>Limestone</v>
      </c>
      <c r="E27" s="78" t="str">
        <f>IF(AND('Data Entry'!F27&gt;0,'Data Entry'!G27&gt;0),CONCATENATE('Data Entry'!F27," - ",'Data Entry'!G27),CONCATENATE('Data Entry'!F27,'Data Entry'!G27))</f>
        <v>40 - 45</v>
      </c>
      <c r="F27" s="79" t="str">
        <f>IF(AND('Data Entry'!H27&gt;0,'Data Entry'!I27&gt;0),CONCATENATE('Data Entry'!H27," - ",'Data Entry'!I27),CONCATENATE('Data Entry'!H27,'Data Entry'!I27))</f>
        <v>50 - 70</v>
      </c>
      <c r="G27" s="77" t="str">
        <f>IF(AND('Data Entry'!J27&gt;0,'Data Entry'!K27&gt;0),CONCATENATE('Data Entry'!J27," - ",'Data Entry'!K27),CONCATENATE('Data Entry'!J27,'Data Entry'!K27))</f>
        <v>330 - 350</v>
      </c>
      <c r="H27" s="80">
        <f>IF('Data Entry'!O27="","",'Data Entry'!O27)</f>
        <v>700</v>
      </c>
      <c r="I27" s="115" t="str">
        <f>IF(AND('Data Entry'!L27&gt;0,'Data Entry'!M27&gt;0),CONCATENATE('Data Entry'!L27," - ",'Data Entry'!M27),CONCATENATE('Data Entry'!L27,'Data Entry'!M27))</f>
        <v>175 - 225</v>
      </c>
      <c r="J27" s="81"/>
      <c r="K27" s="78">
        <f>IFERROR(AVERAGE('Data Entry'!L27,'Data Entry'!M27),"")</f>
        <v>200</v>
      </c>
      <c r="L27" s="78"/>
      <c r="M27" s="124">
        <f>AVERAGE('Data Entry'!L27,'Data Entry'!M27)/AVERAGE('Data Entry'!J27,'Data Entry'!K27)/5</f>
        <v>0.11764705882352941</v>
      </c>
      <c r="N27" s="82">
        <f>IFERROR(IF(AND('Data Entry'!$B27&gt;0,'Data Entry'!$C27&gt;0,'Data Entry'!$L27&gt;0,'Data Entry'!M27&gt;0),('Data Entry'!$C27-'Data Entry'!$B27)/AVERAGE('Data Entry'!$L27,'Data Entry'!$M27),""),"")</f>
        <v>40.380000000000003</v>
      </c>
      <c r="O27" s="83">
        <f>SUM($N$10:$N27)</f>
        <v>107.67063185352742</v>
      </c>
      <c r="P27" s="84">
        <f>('Data Entry'!$C27-'Data Entry'!$B$10)/(SUM($N$10:$N27))</f>
        <v>179.25036444715272</v>
      </c>
    </row>
    <row r="28" spans="2:16" ht="15.75" thickTop="1" x14ac:dyDescent="0.25">
      <c r="M28" s="116">
        <f>P28/AVERAGE('Data Entry'!J27,'Data Entry'!K27)/5</f>
        <v>0.10544139085126632</v>
      </c>
      <c r="N28" s="9">
        <f>SUM(N$10:N$27)</f>
        <v>107.67063185352742</v>
      </c>
      <c r="P28" s="16">
        <f>('Data Entry'!$C$27-'Data Entry'!$B$10)/$N$28</f>
        <v>179.25036444715272</v>
      </c>
    </row>
    <row r="29" spans="2:16" x14ac:dyDescent="0.25">
      <c r="N29" s="10">
        <f>$N$28/24</f>
        <v>4.4862763272303097</v>
      </c>
    </row>
    <row r="72" spans="2:16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</row>
    <row r="73" spans="2:16" ht="3.95" customHeight="1" x14ac:dyDescent="0.25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</row>
    <row r="74" spans="2:16" x14ac:dyDescent="0.25">
      <c r="P74" s="15">
        <f>IF('Data Entry'!$B$5="","",'Data Entry'!$B$5)</f>
        <v>5132</v>
      </c>
    </row>
  </sheetData>
  <mergeCells count="8">
    <mergeCell ref="N7:P7"/>
    <mergeCell ref="B5:P5"/>
    <mergeCell ref="B2:P2"/>
    <mergeCell ref="I9:K9"/>
    <mergeCell ref="C8:C9"/>
    <mergeCell ref="D8:D9"/>
    <mergeCell ref="I8:K8"/>
    <mergeCell ref="O8:P8"/>
  </mergeCells>
  <conditionalFormatting sqref="I10:J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:L27">
    <cfRule type="dataBar" priority="7">
      <dataBar showValue="0">
        <cfvo type="min"/>
        <cfvo type="max"/>
        <color rgb="FFEF4123"/>
      </dataBar>
      <extLst>
        <ext xmlns:x14="http://schemas.microsoft.com/office/spreadsheetml/2009/9/main" uri="{B025F937-C7B1-47D3-B67F-A62EFF666E3E}">
          <x14:id>{06D989B7-E5D0-4FA2-9FB4-1072EAE50395}</x14:id>
        </ext>
      </extLst>
    </cfRule>
  </conditionalFormatting>
  <pageMargins left="0.25" right="0.25" top="0.25" bottom="0.25" header="0.3" footer="0.3"/>
  <pageSetup scale="64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D989B7-E5D0-4FA2-9FB4-1072EAE50395}">
            <x14:dataBar minLength="0" maxLength="100" border="1" gradient="0" direction="leftToRight">
              <x14:cfvo type="autoMin"/>
              <x14:cfvo type="autoMax"/>
              <x14:borderColor theme="1"/>
              <x14:negativeFillColor rgb="FFFF0000"/>
              <x14:axisColor rgb="FF000000"/>
            </x14:dataBar>
          </x14:cfRule>
          <xm:sqref>K10:L27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364D-FCA6-41A7-A7C5-43EF9CA8AAD8}">
  <dimension ref="B2:W27"/>
  <sheetViews>
    <sheetView workbookViewId="0">
      <selection activeCell="W29" sqref="W29"/>
    </sheetView>
  </sheetViews>
  <sheetFormatPr defaultRowHeight="15" x14ac:dyDescent="0.25"/>
  <cols>
    <col min="1" max="1" width="2.7109375" customWidth="1"/>
    <col min="2" max="2" width="6.28515625" bestFit="1" customWidth="1"/>
    <col min="3" max="3" width="6.5703125" bestFit="1" customWidth="1"/>
    <col min="4" max="4" width="17" bestFit="1" customWidth="1"/>
    <col min="5" max="5" width="33.28515625" bestFit="1" customWidth="1"/>
    <col min="6" max="14" width="5.7109375" customWidth="1"/>
    <col min="15" max="15" width="6.5703125" bestFit="1" customWidth="1"/>
    <col min="16" max="16" width="2.7109375" customWidth="1"/>
    <col min="17" max="17" width="6.5703125" bestFit="1" customWidth="1"/>
    <col min="18" max="18" width="4.7109375" bestFit="1" customWidth="1"/>
    <col min="19" max="19" width="5.5703125" bestFit="1" customWidth="1"/>
    <col min="20" max="20" width="2.7109375" customWidth="1"/>
  </cols>
  <sheetData>
    <row r="2" spans="2:23" x14ac:dyDescent="0.25">
      <c r="B2" s="91" t="s">
        <v>48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</row>
    <row r="3" spans="2:23" x14ac:dyDescent="0.25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</row>
    <row r="4" spans="2:23" ht="15.75" thickBot="1" x14ac:dyDescent="0.3">
      <c r="B4" s="99" t="s">
        <v>47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</row>
    <row r="5" spans="2:23" ht="15.75" thickTop="1" x14ac:dyDescent="0.25">
      <c r="B5" s="99">
        <v>5132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Q5" s="100" t="s">
        <v>30</v>
      </c>
      <c r="R5" s="101"/>
      <c r="S5" s="102"/>
    </row>
    <row r="6" spans="2:23" ht="15.75" thickBot="1" x14ac:dyDescent="0.3">
      <c r="Q6" s="103" t="s">
        <v>31</v>
      </c>
      <c r="R6" s="104"/>
      <c r="S6" s="105"/>
    </row>
    <row r="7" spans="2:23" ht="16.5" thickTop="1" thickBot="1" x14ac:dyDescent="0.3">
      <c r="O7" s="1">
        <v>0.4</v>
      </c>
      <c r="P7" s="1"/>
    </row>
    <row r="8" spans="2:23" ht="16.5" thickTop="1" thickBot="1" x14ac:dyDescent="0.3">
      <c r="B8" s="108" t="s">
        <v>27</v>
      </c>
      <c r="C8" s="107"/>
      <c r="D8" s="109" t="s">
        <v>11</v>
      </c>
      <c r="E8" s="111" t="s">
        <v>1</v>
      </c>
      <c r="F8" s="106" t="s">
        <v>0</v>
      </c>
      <c r="G8" s="107"/>
      <c r="H8" s="106" t="s">
        <v>28</v>
      </c>
      <c r="I8" s="107"/>
      <c r="J8" s="106" t="s">
        <v>29</v>
      </c>
      <c r="K8" s="107"/>
      <c r="L8" s="106" t="s">
        <v>17</v>
      </c>
      <c r="M8" s="107"/>
      <c r="N8" s="86" t="s">
        <v>65</v>
      </c>
      <c r="O8" s="119" t="s">
        <v>8</v>
      </c>
      <c r="P8" s="17"/>
      <c r="Q8" s="47" t="s">
        <v>4</v>
      </c>
      <c r="R8" s="48" t="s">
        <v>17</v>
      </c>
      <c r="S8" s="49" t="s">
        <v>18</v>
      </c>
    </row>
    <row r="9" spans="2:23" ht="15.75" thickBot="1" x14ac:dyDescent="0.3">
      <c r="B9" s="35" t="s">
        <v>25</v>
      </c>
      <c r="C9" s="36" t="s">
        <v>26</v>
      </c>
      <c r="D9" s="110"/>
      <c r="E9" s="112"/>
      <c r="F9" s="37" t="s">
        <v>12</v>
      </c>
      <c r="G9" s="38" t="s">
        <v>13</v>
      </c>
      <c r="H9" s="37" t="s">
        <v>12</v>
      </c>
      <c r="I9" s="38" t="s">
        <v>13</v>
      </c>
      <c r="J9" s="37" t="s">
        <v>12</v>
      </c>
      <c r="K9" s="38" t="s">
        <v>13</v>
      </c>
      <c r="L9" s="37" t="s">
        <v>12</v>
      </c>
      <c r="M9" s="38" t="s">
        <v>13</v>
      </c>
      <c r="N9" s="37" t="s">
        <v>67</v>
      </c>
      <c r="O9" s="120" t="s">
        <v>7</v>
      </c>
      <c r="P9" s="18"/>
      <c r="Q9" s="22">
        <f>'Data Entry'!B10</f>
        <v>700</v>
      </c>
      <c r="R9" s="20">
        <f>AVERAGE(L10,M10)</f>
        <v>300</v>
      </c>
      <c r="S9" s="23">
        <v>0</v>
      </c>
    </row>
    <row r="10" spans="2:23" x14ac:dyDescent="0.25">
      <c r="B10" s="39">
        <v>700</v>
      </c>
      <c r="C10" s="40">
        <v>1520</v>
      </c>
      <c r="D10" s="41" t="s">
        <v>49</v>
      </c>
      <c r="E10" s="42" t="s">
        <v>50</v>
      </c>
      <c r="F10" s="29">
        <v>30</v>
      </c>
      <c r="G10" s="30">
        <v>45</v>
      </c>
      <c r="H10" s="33">
        <v>65</v>
      </c>
      <c r="I10" s="34">
        <v>75</v>
      </c>
      <c r="J10" s="55">
        <f>ROUND('Data Entry'!$H10+('Data Entry'!$O10*'Data Entry'!$O$7),0)</f>
        <v>345</v>
      </c>
      <c r="K10" s="56">
        <f>ROUND('Data Entry'!$I10+('Data Entry'!$O10*'Data Entry'!$O$7),0)</f>
        <v>355</v>
      </c>
      <c r="L10" s="41">
        <v>250</v>
      </c>
      <c r="M10" s="42">
        <v>350</v>
      </c>
      <c r="N10" s="121">
        <f>((C10-B10)*12)/(AVERAGE(J10,K10)*60*(S10-S9))</f>
        <v>0.17142857142857143</v>
      </c>
      <c r="O10" s="70">
        <v>700</v>
      </c>
      <c r="P10" s="19"/>
      <c r="Q10" s="24">
        <f>'Data Entry'!C10</f>
        <v>1520</v>
      </c>
      <c r="R10" s="21">
        <f>AVERAGE(L10,M10)</f>
        <v>300</v>
      </c>
      <c r="S10" s="25">
        <f>Roadmap!O10</f>
        <v>2.7333333333333334</v>
      </c>
      <c r="V10" s="117"/>
      <c r="W10" s="118"/>
    </row>
    <row r="11" spans="2:23" x14ac:dyDescent="0.25">
      <c r="B11" s="43">
        <v>1520</v>
      </c>
      <c r="C11" s="44">
        <v>1750</v>
      </c>
      <c r="D11" s="31" t="s">
        <v>51</v>
      </c>
      <c r="E11" s="32" t="s">
        <v>52</v>
      </c>
      <c r="F11" s="33">
        <v>30</v>
      </c>
      <c r="G11" s="34">
        <v>45</v>
      </c>
      <c r="H11" s="33">
        <v>65</v>
      </c>
      <c r="I11" s="34">
        <v>75</v>
      </c>
      <c r="J11" s="55">
        <f>ROUND('Data Entry'!$H11+('Data Entry'!$O11*'Data Entry'!$O$7),0)</f>
        <v>345</v>
      </c>
      <c r="K11" s="56">
        <f>ROUND('Data Entry'!$I11+('Data Entry'!$O11*'Data Entry'!$O$7),0)</f>
        <v>355</v>
      </c>
      <c r="L11" s="45">
        <v>200</v>
      </c>
      <c r="M11" s="46">
        <v>250</v>
      </c>
      <c r="N11" s="55">
        <f>((C11-B11)*12)/(AVERAGE(J11,K11)*60*(S11-S10))</f>
        <v>0.12857142857142859</v>
      </c>
      <c r="O11" s="70">
        <v>700</v>
      </c>
      <c r="P11" s="19"/>
      <c r="Q11" s="24">
        <f>'Data Entry'!C11</f>
        <v>1750</v>
      </c>
      <c r="R11" s="21">
        <f t="shared" ref="R11:R27" si="0">AVERAGE(L11,M11)</f>
        <v>225</v>
      </c>
      <c r="S11" s="25">
        <f>Roadmap!O11</f>
        <v>3.7555555555555555</v>
      </c>
      <c r="V11" s="117"/>
      <c r="W11" s="118"/>
    </row>
    <row r="12" spans="2:23" x14ac:dyDescent="0.25">
      <c r="B12" s="43">
        <v>1750</v>
      </c>
      <c r="C12" s="44">
        <v>2750</v>
      </c>
      <c r="D12" s="45" t="s">
        <v>53</v>
      </c>
      <c r="E12" s="46" t="s">
        <v>54</v>
      </c>
      <c r="F12" s="33">
        <v>30</v>
      </c>
      <c r="G12" s="34">
        <v>45</v>
      </c>
      <c r="H12" s="33">
        <v>65</v>
      </c>
      <c r="I12" s="34">
        <v>75</v>
      </c>
      <c r="J12" s="55">
        <f>ROUND('Data Entry'!$H12+('Data Entry'!$O12*'Data Entry'!$O$7),0)</f>
        <v>345</v>
      </c>
      <c r="K12" s="56">
        <f>ROUND('Data Entry'!$I12+('Data Entry'!$O12*'Data Entry'!$O$7),0)</f>
        <v>355</v>
      </c>
      <c r="L12" s="45">
        <v>200</v>
      </c>
      <c r="M12" s="46">
        <v>250</v>
      </c>
      <c r="N12" s="55">
        <f>((C12-B12)*12)/(AVERAGE(J12,K12)*60*(S12-S11))</f>
        <v>0.12857142857142859</v>
      </c>
      <c r="O12" s="70">
        <v>700</v>
      </c>
      <c r="P12" s="19"/>
      <c r="Q12" s="24">
        <f>'Data Entry'!C12</f>
        <v>2750</v>
      </c>
      <c r="R12" s="21">
        <f t="shared" si="0"/>
        <v>225</v>
      </c>
      <c r="S12" s="25">
        <f>Roadmap!O12</f>
        <v>8.1999999999999993</v>
      </c>
      <c r="V12" s="117"/>
      <c r="W12" s="118"/>
    </row>
    <row r="13" spans="2:23" x14ac:dyDescent="0.25">
      <c r="B13" s="43">
        <v>2750</v>
      </c>
      <c r="C13" s="44">
        <v>2800</v>
      </c>
      <c r="D13" s="45" t="s">
        <v>55</v>
      </c>
      <c r="E13" s="46" t="s">
        <v>56</v>
      </c>
      <c r="F13" s="33">
        <v>30</v>
      </c>
      <c r="G13" s="34">
        <v>45</v>
      </c>
      <c r="H13" s="33">
        <v>65</v>
      </c>
      <c r="I13" s="34">
        <v>75</v>
      </c>
      <c r="J13" s="55">
        <f>ROUND('Data Entry'!$H13+('Data Entry'!$O13*'Data Entry'!$O$7),0)</f>
        <v>345</v>
      </c>
      <c r="K13" s="56">
        <f>ROUND('Data Entry'!$I13+('Data Entry'!$O13*'Data Entry'!$O$7),0)</f>
        <v>355</v>
      </c>
      <c r="L13" s="45">
        <v>175</v>
      </c>
      <c r="M13" s="46">
        <v>200</v>
      </c>
      <c r="N13" s="55">
        <f>((C13-B13)*12)/(AVERAGE(J13,K13)*60*(S13-S12))</f>
        <v>0.10714285714285682</v>
      </c>
      <c r="O13" s="70">
        <v>700</v>
      </c>
      <c r="P13" s="19"/>
      <c r="Q13" s="24">
        <f>'Data Entry'!C13</f>
        <v>2800</v>
      </c>
      <c r="R13" s="21">
        <f t="shared" si="0"/>
        <v>187.5</v>
      </c>
      <c r="S13" s="25">
        <f>Roadmap!O13</f>
        <v>8.4666666666666668</v>
      </c>
      <c r="V13" s="117"/>
      <c r="W13" s="118"/>
    </row>
    <row r="14" spans="2:23" x14ac:dyDescent="0.25">
      <c r="B14" s="43">
        <v>2800</v>
      </c>
      <c r="C14" s="44">
        <v>3050</v>
      </c>
      <c r="D14" s="45" t="s">
        <v>57</v>
      </c>
      <c r="E14" s="46" t="s">
        <v>58</v>
      </c>
      <c r="F14" s="33">
        <v>30</v>
      </c>
      <c r="G14" s="34">
        <v>45</v>
      </c>
      <c r="H14" s="33">
        <v>65</v>
      </c>
      <c r="I14" s="34">
        <v>75</v>
      </c>
      <c r="J14" s="55">
        <f>ROUND('Data Entry'!$H14+('Data Entry'!$O14*'Data Entry'!$O$7),0)</f>
        <v>345</v>
      </c>
      <c r="K14" s="56">
        <f>ROUND('Data Entry'!$I14+('Data Entry'!$O14*'Data Entry'!$O$7),0)</f>
        <v>355</v>
      </c>
      <c r="L14" s="45">
        <v>175</v>
      </c>
      <c r="M14" s="46">
        <v>200</v>
      </c>
      <c r="N14" s="55">
        <f>((C14-B14)*12)/(AVERAGE(J14,K14)*60*(S14-S13))</f>
        <v>0.1071428571428571</v>
      </c>
      <c r="O14" s="70">
        <v>700</v>
      </c>
      <c r="P14" s="19"/>
      <c r="Q14" s="24">
        <f>'Data Entry'!C14</f>
        <v>3050</v>
      </c>
      <c r="R14" s="21">
        <f t="shared" si="0"/>
        <v>187.5</v>
      </c>
      <c r="S14" s="25">
        <f>Roadmap!O14</f>
        <v>9.8000000000000007</v>
      </c>
      <c r="V14" s="117"/>
      <c r="W14" s="118"/>
    </row>
    <row r="15" spans="2:23" x14ac:dyDescent="0.25">
      <c r="B15" s="43">
        <v>3050</v>
      </c>
      <c r="C15" s="44">
        <v>3200</v>
      </c>
      <c r="D15" s="31" t="s">
        <v>59</v>
      </c>
      <c r="E15" s="46" t="s">
        <v>64</v>
      </c>
      <c r="F15" s="33">
        <v>30</v>
      </c>
      <c r="G15" s="34">
        <v>45</v>
      </c>
      <c r="H15" s="33">
        <v>65</v>
      </c>
      <c r="I15" s="34">
        <v>75</v>
      </c>
      <c r="J15" s="55">
        <f>ROUND('Data Entry'!$H15+('Data Entry'!$O15*'Data Entry'!$O$7),0)</f>
        <v>345</v>
      </c>
      <c r="K15" s="56">
        <f>ROUND('Data Entry'!$I15+('Data Entry'!$O15*'Data Entry'!$O$7),0)</f>
        <v>355</v>
      </c>
      <c r="L15" s="45">
        <v>160</v>
      </c>
      <c r="M15" s="46">
        <v>175</v>
      </c>
      <c r="N15" s="55">
        <f>((C15-B15)*12)/(AVERAGE(J15,K15)*60*(S15-S14))</f>
        <v>9.5714285714285738E-2</v>
      </c>
      <c r="O15" s="70">
        <v>700</v>
      </c>
      <c r="P15" s="19"/>
      <c r="Q15" s="24">
        <f>'Data Entry'!C15</f>
        <v>3200</v>
      </c>
      <c r="R15" s="21">
        <f t="shared" si="0"/>
        <v>167.5</v>
      </c>
      <c r="S15" s="25">
        <f>Roadmap!O15</f>
        <v>10.695522388059702</v>
      </c>
      <c r="V15" s="117"/>
      <c r="W15" s="118"/>
    </row>
    <row r="16" spans="2:23" x14ac:dyDescent="0.25">
      <c r="B16" s="43">
        <v>3200</v>
      </c>
      <c r="C16" s="44">
        <v>3750</v>
      </c>
      <c r="D16" s="31" t="s">
        <v>60</v>
      </c>
      <c r="E16" s="46" t="s">
        <v>63</v>
      </c>
      <c r="F16" s="33">
        <v>30</v>
      </c>
      <c r="G16" s="34">
        <v>45</v>
      </c>
      <c r="H16" s="33">
        <v>65</v>
      </c>
      <c r="I16" s="34">
        <v>75</v>
      </c>
      <c r="J16" s="55">
        <f>ROUND('Data Entry'!$H16+('Data Entry'!$O16*'Data Entry'!$O$7),0)</f>
        <v>345</v>
      </c>
      <c r="K16" s="56">
        <f>ROUND('Data Entry'!$I16+('Data Entry'!$O16*'Data Entry'!$O$7),0)</f>
        <v>355</v>
      </c>
      <c r="L16" s="45">
        <v>160</v>
      </c>
      <c r="M16" s="46">
        <v>175</v>
      </c>
      <c r="N16" s="55">
        <f>((C16-B16)*12)/(AVERAGE(J16,K16)*60*(S16-S15))</f>
        <v>9.5714285714285724E-2</v>
      </c>
      <c r="O16" s="70">
        <v>700</v>
      </c>
      <c r="P16" s="19"/>
      <c r="Q16" s="24">
        <f>'Data Entry'!C16</f>
        <v>3750</v>
      </c>
      <c r="R16" s="21">
        <f t="shared" si="0"/>
        <v>167.5</v>
      </c>
      <c r="S16" s="25">
        <f>Roadmap!O16</f>
        <v>13.979104477611941</v>
      </c>
      <c r="V16" s="117"/>
      <c r="W16" s="118"/>
    </row>
    <row r="17" spans="2:23" x14ac:dyDescent="0.25">
      <c r="B17" s="43">
        <v>3750</v>
      </c>
      <c r="C17" s="44">
        <v>5500</v>
      </c>
      <c r="D17" s="31" t="s">
        <v>61</v>
      </c>
      <c r="E17" s="46" t="s">
        <v>62</v>
      </c>
      <c r="F17" s="33">
        <v>30</v>
      </c>
      <c r="G17" s="34">
        <v>45</v>
      </c>
      <c r="H17" s="33">
        <v>65</v>
      </c>
      <c r="I17" s="34">
        <v>75</v>
      </c>
      <c r="J17" s="55">
        <f>ROUND('Data Entry'!$H17+('Data Entry'!$O17*'Data Entry'!$O$7),0)</f>
        <v>345</v>
      </c>
      <c r="K17" s="56">
        <f>ROUND('Data Entry'!$I17+('Data Entry'!$O17*'Data Entry'!$O$7),0)</f>
        <v>355</v>
      </c>
      <c r="L17" s="45">
        <v>160</v>
      </c>
      <c r="M17" s="46">
        <v>175</v>
      </c>
      <c r="N17" s="55">
        <f>((C17-B17)*12)/(AVERAGE(J17,K17)*60*(S17-S16))</f>
        <v>9.5714285714285696E-2</v>
      </c>
      <c r="O17" s="70">
        <v>700</v>
      </c>
      <c r="P17" s="19"/>
      <c r="Q17" s="24">
        <f>'Data Entry'!C17</f>
        <v>5500</v>
      </c>
      <c r="R17" s="21">
        <f t="shared" si="0"/>
        <v>167.5</v>
      </c>
      <c r="S17" s="25">
        <f>Roadmap!O17</f>
        <v>24.426865671641792</v>
      </c>
      <c r="V17" s="117"/>
      <c r="W17" s="118"/>
    </row>
    <row r="18" spans="2:23" x14ac:dyDescent="0.25">
      <c r="B18" s="43">
        <v>5500</v>
      </c>
      <c r="C18" s="44">
        <v>5800</v>
      </c>
      <c r="D18" s="45" t="s">
        <v>34</v>
      </c>
      <c r="E18" s="46" t="s">
        <v>38</v>
      </c>
      <c r="F18" s="33">
        <v>35</v>
      </c>
      <c r="G18" s="34">
        <v>45</v>
      </c>
      <c r="H18" s="33">
        <v>50</v>
      </c>
      <c r="I18" s="34">
        <v>60</v>
      </c>
      <c r="J18" s="55">
        <f>ROUND('Data Entry'!$H18+('Data Entry'!$O18*'Data Entry'!$O$7),0)</f>
        <v>330</v>
      </c>
      <c r="K18" s="56">
        <f>ROUND('Data Entry'!$I18+('Data Entry'!$O18*'Data Entry'!$O$7),0)</f>
        <v>340</v>
      </c>
      <c r="L18" s="45">
        <v>150</v>
      </c>
      <c r="M18" s="46">
        <v>160</v>
      </c>
      <c r="N18" s="55">
        <f>((C18-B18)*12)/(AVERAGE(J18,K18)*60*(S18-S17))</f>
        <v>9.2537313432835736E-2</v>
      </c>
      <c r="O18" s="70">
        <v>700</v>
      </c>
      <c r="P18" s="19"/>
      <c r="Q18" s="24">
        <f>'Data Entry'!C18</f>
        <v>5800</v>
      </c>
      <c r="R18" s="21">
        <f t="shared" si="0"/>
        <v>155</v>
      </c>
      <c r="S18" s="25">
        <f>Roadmap!O18</f>
        <v>26.362349542609536</v>
      </c>
      <c r="V18" s="117"/>
      <c r="W18" s="118"/>
    </row>
    <row r="19" spans="2:23" x14ac:dyDescent="0.25">
      <c r="B19" s="43">
        <v>5800</v>
      </c>
      <c r="C19" s="44">
        <v>6015</v>
      </c>
      <c r="D19" s="31" t="s">
        <v>20</v>
      </c>
      <c r="E19" s="32" t="s">
        <v>39</v>
      </c>
      <c r="F19" s="33">
        <v>35</v>
      </c>
      <c r="G19" s="34">
        <v>38</v>
      </c>
      <c r="H19" s="33">
        <v>60</v>
      </c>
      <c r="I19" s="34">
        <v>80</v>
      </c>
      <c r="J19" s="55">
        <f>ROUND('Data Entry'!$H19+('Data Entry'!$O19*'Data Entry'!$O$7),0)</f>
        <v>340</v>
      </c>
      <c r="K19" s="56">
        <f>ROUND('Data Entry'!$I19+('Data Entry'!$O19*'Data Entry'!$O$7),0)</f>
        <v>360</v>
      </c>
      <c r="L19" s="45">
        <v>125</v>
      </c>
      <c r="M19" s="46">
        <v>160</v>
      </c>
      <c r="N19" s="55">
        <f>((C19-B19)*12)/(AVERAGE(J19,K19)*60*(S19-S18))</f>
        <v>8.142857142857142E-2</v>
      </c>
      <c r="O19" s="70">
        <v>700</v>
      </c>
      <c r="P19" s="19"/>
      <c r="Q19" s="24">
        <f>'Data Entry'!C19</f>
        <v>6015</v>
      </c>
      <c r="R19" s="21">
        <f t="shared" si="0"/>
        <v>142.5</v>
      </c>
      <c r="S19" s="25">
        <f>Roadmap!O19</f>
        <v>27.871121472434098</v>
      </c>
      <c r="V19" s="117"/>
      <c r="W19" s="118"/>
    </row>
    <row r="20" spans="2:23" x14ac:dyDescent="0.25">
      <c r="B20" s="43">
        <v>6015</v>
      </c>
      <c r="C20" s="44">
        <v>7795</v>
      </c>
      <c r="D20" s="45" t="s">
        <v>21</v>
      </c>
      <c r="E20" s="46" t="s">
        <v>16</v>
      </c>
      <c r="F20" s="33">
        <v>38</v>
      </c>
      <c r="G20" s="34">
        <v>40</v>
      </c>
      <c r="H20" s="33">
        <v>60</v>
      </c>
      <c r="I20" s="34">
        <v>70</v>
      </c>
      <c r="J20" s="55">
        <f>ROUND('Data Entry'!$H20+('Data Entry'!$O20*'Data Entry'!$O$7),0)</f>
        <v>340</v>
      </c>
      <c r="K20" s="56">
        <f>ROUND('Data Entry'!$I20+('Data Entry'!$O20*'Data Entry'!$O$7),0)</f>
        <v>350</v>
      </c>
      <c r="L20" s="45">
        <v>150</v>
      </c>
      <c r="M20" s="46">
        <v>160</v>
      </c>
      <c r="N20" s="55">
        <f>((C20-B20)*12)/(AVERAGE(J20,K20)*60*(S20-S19))</f>
        <v>8.9855072463768115E-2</v>
      </c>
      <c r="O20" s="70">
        <v>700</v>
      </c>
      <c r="P20" s="19"/>
      <c r="Q20" s="24">
        <f>'Data Entry'!C20</f>
        <v>7795</v>
      </c>
      <c r="R20" s="21">
        <f t="shared" si="0"/>
        <v>155</v>
      </c>
      <c r="S20" s="25">
        <f>Roadmap!O20</f>
        <v>39.354992440176034</v>
      </c>
      <c r="V20" s="117"/>
      <c r="W20" s="118"/>
    </row>
    <row r="21" spans="2:23" x14ac:dyDescent="0.25">
      <c r="B21" s="43">
        <v>7795</v>
      </c>
      <c r="C21" s="44">
        <v>9154</v>
      </c>
      <c r="D21" s="45" t="s">
        <v>22</v>
      </c>
      <c r="E21" s="46" t="s">
        <v>40</v>
      </c>
      <c r="F21" s="33">
        <v>25</v>
      </c>
      <c r="G21" s="34">
        <v>35</v>
      </c>
      <c r="H21" s="33">
        <v>60</v>
      </c>
      <c r="I21" s="34">
        <v>70</v>
      </c>
      <c r="J21" s="55">
        <f>ROUND('Data Entry'!$H21+('Data Entry'!$O21*'Data Entry'!$O$7),0)</f>
        <v>340</v>
      </c>
      <c r="K21" s="56">
        <f>ROUND('Data Entry'!$I21+('Data Entry'!$O21*'Data Entry'!$O$7),0)</f>
        <v>350</v>
      </c>
      <c r="L21" s="45">
        <v>165</v>
      </c>
      <c r="M21" s="46">
        <v>175</v>
      </c>
      <c r="N21" s="55">
        <f>((C21-B21)*12)/(AVERAGE(J21,K21)*60*(S21-S20))</f>
        <v>9.8550724637681178E-2</v>
      </c>
      <c r="O21" s="70">
        <v>700</v>
      </c>
      <c r="P21" s="19"/>
      <c r="Q21" s="24">
        <f>'Data Entry'!C21</f>
        <v>9154</v>
      </c>
      <c r="R21" s="21">
        <f t="shared" si="0"/>
        <v>170</v>
      </c>
      <c r="S21" s="25">
        <f>Roadmap!O21</f>
        <v>47.349110087234855</v>
      </c>
      <c r="V21" s="117"/>
      <c r="W21" s="118"/>
    </row>
    <row r="22" spans="2:23" x14ac:dyDescent="0.25">
      <c r="B22" s="43">
        <v>9154</v>
      </c>
      <c r="C22" s="44">
        <v>9320</v>
      </c>
      <c r="D22" s="31" t="s">
        <v>23</v>
      </c>
      <c r="E22" s="32" t="s">
        <v>41</v>
      </c>
      <c r="F22" s="33">
        <v>30</v>
      </c>
      <c r="G22" s="34">
        <v>35</v>
      </c>
      <c r="H22" s="33">
        <v>40</v>
      </c>
      <c r="I22" s="34">
        <v>60</v>
      </c>
      <c r="J22" s="55">
        <f>ROUND('Data Entry'!$H22+('Data Entry'!$O22*'Data Entry'!$O$7),0)</f>
        <v>320</v>
      </c>
      <c r="K22" s="56">
        <f>ROUND('Data Entry'!$I22+('Data Entry'!$O22*'Data Entry'!$O$7),0)</f>
        <v>340</v>
      </c>
      <c r="L22" s="45">
        <v>145</v>
      </c>
      <c r="M22" s="46">
        <v>155</v>
      </c>
      <c r="N22" s="55">
        <f>((C22-B22)*12)/(AVERAGE(J22,K22)*60*(S22-S21))</f>
        <v>9.0909090909090717E-2</v>
      </c>
      <c r="O22" s="70">
        <v>700</v>
      </c>
      <c r="P22" s="19"/>
      <c r="Q22" s="24">
        <f>'Data Entry'!C22</f>
        <v>9320</v>
      </c>
      <c r="R22" s="21">
        <f t="shared" si="0"/>
        <v>150</v>
      </c>
      <c r="S22" s="25">
        <f>Roadmap!O22</f>
        <v>48.455776753901525</v>
      </c>
      <c r="V22" s="117"/>
      <c r="W22" s="118"/>
    </row>
    <row r="23" spans="2:23" x14ac:dyDescent="0.25">
      <c r="B23" s="43">
        <v>9320</v>
      </c>
      <c r="C23" s="44">
        <v>10630</v>
      </c>
      <c r="D23" s="45" t="s">
        <v>24</v>
      </c>
      <c r="E23" s="46" t="s">
        <v>42</v>
      </c>
      <c r="F23" s="33">
        <v>35</v>
      </c>
      <c r="G23" s="34">
        <v>38</v>
      </c>
      <c r="H23" s="33">
        <v>50</v>
      </c>
      <c r="I23" s="34">
        <v>60</v>
      </c>
      <c r="J23" s="55">
        <f>ROUND('Data Entry'!$H23+('Data Entry'!$O23*'Data Entry'!$O$7),0)</f>
        <v>330</v>
      </c>
      <c r="K23" s="56">
        <f>ROUND('Data Entry'!$I23+('Data Entry'!$O23*'Data Entry'!$O$7),0)</f>
        <v>340</v>
      </c>
      <c r="L23" s="45">
        <v>150</v>
      </c>
      <c r="M23" s="46">
        <v>160</v>
      </c>
      <c r="N23" s="55">
        <f>((C23-B23)*12)/(AVERAGE(J23,K23)*60*(S23-S22))</f>
        <v>9.2537313432835805E-2</v>
      </c>
      <c r="O23" s="70">
        <v>700</v>
      </c>
      <c r="P23" s="19"/>
      <c r="Q23" s="24">
        <f>'Data Entry'!C23</f>
        <v>10630</v>
      </c>
      <c r="R23" s="21">
        <f t="shared" si="0"/>
        <v>155</v>
      </c>
      <c r="S23" s="25">
        <f>Roadmap!O23</f>
        <v>56.907389657127332</v>
      </c>
      <c r="V23" s="117"/>
      <c r="W23" s="118"/>
    </row>
    <row r="24" spans="2:23" x14ac:dyDescent="0.25">
      <c r="B24" s="43">
        <v>10630</v>
      </c>
      <c r="C24" s="44">
        <v>11279</v>
      </c>
      <c r="D24" s="31" t="s">
        <v>35</v>
      </c>
      <c r="E24" s="32" t="s">
        <v>43</v>
      </c>
      <c r="F24" s="33">
        <v>35</v>
      </c>
      <c r="G24" s="34">
        <v>40</v>
      </c>
      <c r="H24" s="33">
        <v>50</v>
      </c>
      <c r="I24" s="34">
        <v>60</v>
      </c>
      <c r="J24" s="55">
        <f>ROUND('Data Entry'!$H24+('Data Entry'!$O24*'Data Entry'!$O$7),0)</f>
        <v>330</v>
      </c>
      <c r="K24" s="56">
        <f>ROUND('Data Entry'!$I24+('Data Entry'!$O24*'Data Entry'!$O$7),0)</f>
        <v>340</v>
      </c>
      <c r="L24" s="45">
        <v>130</v>
      </c>
      <c r="M24" s="46">
        <v>150</v>
      </c>
      <c r="N24" s="55">
        <f>((C24-B24)*12)/(AVERAGE(J24,K24)*60*(S24-S23))</f>
        <v>8.3582089552238809E-2</v>
      </c>
      <c r="O24" s="70">
        <v>700</v>
      </c>
      <c r="P24" s="19"/>
      <c r="Q24" s="24">
        <f>'Data Entry'!C24</f>
        <v>11279</v>
      </c>
      <c r="R24" s="21">
        <f t="shared" si="0"/>
        <v>140</v>
      </c>
      <c r="S24" s="25">
        <f>Roadmap!O24</f>
        <v>61.543103942841618</v>
      </c>
      <c r="V24" s="117"/>
      <c r="W24" s="118"/>
    </row>
    <row r="25" spans="2:23" x14ac:dyDescent="0.25">
      <c r="B25" s="43">
        <v>11279</v>
      </c>
      <c r="C25" s="44">
        <v>11868</v>
      </c>
      <c r="D25" s="45" t="s">
        <v>36</v>
      </c>
      <c r="E25" s="32" t="s">
        <v>44</v>
      </c>
      <c r="F25" s="33">
        <v>38</v>
      </c>
      <c r="G25" s="34">
        <v>40</v>
      </c>
      <c r="H25" s="33">
        <v>50</v>
      </c>
      <c r="I25" s="34">
        <v>70</v>
      </c>
      <c r="J25" s="55">
        <f>ROUND('Data Entry'!$H25+('Data Entry'!$O25*'Data Entry'!$O$7),0)</f>
        <v>330</v>
      </c>
      <c r="K25" s="56">
        <f>ROUND('Data Entry'!$I25+('Data Entry'!$O25*'Data Entry'!$O$7),0)</f>
        <v>350</v>
      </c>
      <c r="L25" s="45">
        <v>100</v>
      </c>
      <c r="M25" s="46">
        <v>120</v>
      </c>
      <c r="N25" s="55">
        <f>((C25-B25)*12)/(AVERAGE(J25,K25)*60*(S25-S24))</f>
        <v>6.470588235294121E-2</v>
      </c>
      <c r="O25" s="70">
        <v>700</v>
      </c>
      <c r="P25" s="19"/>
      <c r="Q25" s="24">
        <f>'Data Entry'!C25</f>
        <v>11868</v>
      </c>
      <c r="R25" s="21">
        <f t="shared" si="0"/>
        <v>110</v>
      </c>
      <c r="S25" s="25">
        <f>Roadmap!O25</f>
        <v>66.89764939738707</v>
      </c>
      <c r="V25" s="117"/>
      <c r="W25" s="118"/>
    </row>
    <row r="26" spans="2:23" x14ac:dyDescent="0.25">
      <c r="B26" s="43">
        <v>11868</v>
      </c>
      <c r="C26" s="44">
        <v>11924</v>
      </c>
      <c r="D26" s="45" t="s">
        <v>37</v>
      </c>
      <c r="E26" s="46" t="s">
        <v>45</v>
      </c>
      <c r="F26" s="33">
        <v>35</v>
      </c>
      <c r="G26" s="34">
        <v>40</v>
      </c>
      <c r="H26" s="33">
        <v>50</v>
      </c>
      <c r="I26" s="34">
        <v>70</v>
      </c>
      <c r="J26" s="55">
        <f>ROUND('Data Entry'!$H26+('Data Entry'!$O26*'Data Entry'!$O$7),0)</f>
        <v>330</v>
      </c>
      <c r="K26" s="56">
        <f>ROUND('Data Entry'!$I26+('Data Entry'!$O26*'Data Entry'!$O$7),0)</f>
        <v>350</v>
      </c>
      <c r="L26" s="45">
        <v>125</v>
      </c>
      <c r="M26" s="46">
        <v>160</v>
      </c>
      <c r="N26" s="55">
        <f>((C26-B26)*12)/(AVERAGE(J26,K26)*60*(S26-S25))</f>
        <v>8.3823529411765962E-2</v>
      </c>
      <c r="O26" s="70">
        <v>700</v>
      </c>
      <c r="P26" s="19"/>
      <c r="Q26" s="24">
        <f>'Data Entry'!C26</f>
        <v>11924</v>
      </c>
      <c r="R26" s="21">
        <f t="shared" si="0"/>
        <v>142.5</v>
      </c>
      <c r="S26" s="25">
        <f>Roadmap!O26</f>
        <v>67.290631853527415</v>
      </c>
      <c r="V26" s="117"/>
      <c r="W26" s="118"/>
    </row>
    <row r="27" spans="2:23" x14ac:dyDescent="0.25">
      <c r="B27" s="43">
        <v>11924</v>
      </c>
      <c r="C27" s="44">
        <v>20000</v>
      </c>
      <c r="D27" s="45" t="s">
        <v>46</v>
      </c>
      <c r="E27" s="46" t="s">
        <v>16</v>
      </c>
      <c r="F27" s="33">
        <v>40</v>
      </c>
      <c r="G27" s="34">
        <v>45</v>
      </c>
      <c r="H27" s="33">
        <v>50</v>
      </c>
      <c r="I27" s="34">
        <v>70</v>
      </c>
      <c r="J27" s="55">
        <f>ROUND('Data Entry'!$H27+('Data Entry'!$O27*'Data Entry'!$O$7),0)</f>
        <v>330</v>
      </c>
      <c r="K27" s="56">
        <f>ROUND('Data Entry'!$I27+('Data Entry'!$O27*'Data Entry'!$O$7),0)</f>
        <v>350</v>
      </c>
      <c r="L27" s="45">
        <v>175</v>
      </c>
      <c r="M27" s="46">
        <v>225</v>
      </c>
      <c r="N27" s="55">
        <f>((C27-B27)*12)/(AVERAGE(J27,K27)*60*(S27-S26))</f>
        <v>0.11764705882352938</v>
      </c>
      <c r="O27" s="70">
        <v>700</v>
      </c>
      <c r="P27" s="19"/>
      <c r="Q27" s="24">
        <f>'Data Entry'!C27</f>
        <v>20000</v>
      </c>
      <c r="R27" s="21">
        <f t="shared" si="0"/>
        <v>200</v>
      </c>
      <c r="S27" s="25">
        <f>Roadmap!O27</f>
        <v>107.67063185352742</v>
      </c>
      <c r="V27" s="117"/>
      <c r="W27" s="118"/>
    </row>
  </sheetData>
  <mergeCells count="12">
    <mergeCell ref="F8:G8"/>
    <mergeCell ref="B8:C8"/>
    <mergeCell ref="H8:I8"/>
    <mergeCell ref="J8:K8"/>
    <mergeCell ref="L8:M8"/>
    <mergeCell ref="D8:D9"/>
    <mergeCell ref="E8:E9"/>
    <mergeCell ref="B2:O3"/>
    <mergeCell ref="B4:O4"/>
    <mergeCell ref="B5:O5"/>
    <mergeCell ref="Q5:S5"/>
    <mergeCell ref="Q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Roadmap</vt:lpstr>
      <vt:lpstr>Data Entry</vt:lpstr>
      <vt:lpstr>Roadmap!Print_Area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Butch Bawcom</dc:creator>
  <cp:lastModifiedBy>Curtis B. Stephens</cp:lastModifiedBy>
  <cp:lastPrinted>2025-01-14T20:21:20Z</cp:lastPrinted>
  <dcterms:created xsi:type="dcterms:W3CDTF">2022-10-04T00:11:39Z</dcterms:created>
  <dcterms:modified xsi:type="dcterms:W3CDTF">2025-01-14T20:26:10Z</dcterms:modified>
</cp:coreProperties>
</file>