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Engineering\01_Designs\5749\"/>
    </mc:Choice>
  </mc:AlternateContent>
  <xr:revisionPtr revIDLastSave="0" documentId="13_ncr:1_{27B92305-5E24-495A-ADE9-D03C231B1D60}" xr6:coauthVersionLast="47" xr6:coauthVersionMax="47" xr10:uidLastSave="{00000000-0000-0000-0000-000000000000}"/>
  <bookViews>
    <workbookView xWindow="-120" yWindow="-120" windowWidth="29040" windowHeight="15840" xr2:uid="{791D5801-A38D-4E62-8CCF-36F49301157D}"/>
  </bookViews>
  <sheets>
    <sheet name="Roadmap" sheetId="1" r:id="rId1"/>
    <sheet name="Data Entry" sheetId="2" r:id="rId2"/>
  </sheets>
  <definedNames>
    <definedName name="_xlnm.Print_Area" localSheetId="0">Roadmap!$B$2:$Q$51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J22" i="2"/>
  <c r="V9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U9" i="2"/>
  <c r="U21" i="2"/>
  <c r="U20" i="2"/>
  <c r="U19" i="2"/>
  <c r="U18" i="2"/>
  <c r="U17" i="2"/>
  <c r="U16" i="2"/>
  <c r="U15" i="2"/>
  <c r="U14" i="2"/>
  <c r="U13" i="2"/>
  <c r="U12" i="2"/>
  <c r="U11" i="2"/>
  <c r="U10" i="2"/>
  <c r="U22" i="2"/>
  <c r="Q14" i="2"/>
  <c r="O14" i="1" s="1"/>
  <c r="K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B22" i="2"/>
  <c r="Q22" i="2" s="1"/>
  <c r="O22" i="1" s="1"/>
  <c r="B21" i="2"/>
  <c r="Q21" i="2" s="1"/>
  <c r="B20" i="2"/>
  <c r="Q20" i="2" s="1"/>
  <c r="B19" i="2"/>
  <c r="Q19" i="2" s="1"/>
  <c r="O19" i="1" s="1"/>
  <c r="B18" i="2"/>
  <c r="Q18" i="2" s="1"/>
  <c r="O18" i="1" s="1"/>
  <c r="B17" i="2"/>
  <c r="Q17" i="2" s="1"/>
  <c r="O17" i="1" s="1"/>
  <c r="B16" i="2"/>
  <c r="Q16" i="2" s="1"/>
  <c r="O16" i="1" s="1"/>
  <c r="B15" i="2"/>
  <c r="B14" i="2"/>
  <c r="B13" i="2"/>
  <c r="Q13" i="2" s="1"/>
  <c r="O13" i="1" s="1"/>
  <c r="K22" i="1"/>
  <c r="I22" i="1"/>
  <c r="H22" i="1"/>
  <c r="F22" i="1"/>
  <c r="E22" i="1"/>
  <c r="D22" i="1"/>
  <c r="C22" i="1"/>
  <c r="B22" i="1"/>
  <c r="K21" i="1"/>
  <c r="I21" i="1"/>
  <c r="H21" i="1"/>
  <c r="F21" i="1"/>
  <c r="E21" i="1"/>
  <c r="D21" i="1"/>
  <c r="C21" i="1"/>
  <c r="Q10" i="2"/>
  <c r="R10" i="2" s="1"/>
  <c r="P10" i="1" s="1"/>
  <c r="O22" i="2" l="1"/>
  <c r="M22" i="1" s="1"/>
  <c r="P16" i="2"/>
  <c r="O21" i="2"/>
  <c r="M21" i="1" s="1"/>
  <c r="P20" i="2"/>
  <c r="O16" i="2"/>
  <c r="M16" i="1" s="1"/>
  <c r="P14" i="2"/>
  <c r="O14" i="2"/>
  <c r="M14" i="1" s="1"/>
  <c r="G22" i="1"/>
  <c r="O13" i="2"/>
  <c r="M13" i="1" s="1"/>
  <c r="P13" i="2"/>
  <c r="O21" i="1"/>
  <c r="P21" i="2"/>
  <c r="P18" i="2"/>
  <c r="P19" i="2"/>
  <c r="W10" i="2"/>
  <c r="P22" i="2"/>
  <c r="O10" i="1"/>
  <c r="P17" i="2"/>
  <c r="Q15" i="2"/>
  <c r="O15" i="1" s="1"/>
  <c r="O20" i="1"/>
  <c r="O17" i="2"/>
  <c r="M17" i="1" s="1"/>
  <c r="O18" i="2"/>
  <c r="M18" i="1" s="1"/>
  <c r="O19" i="2"/>
  <c r="M19" i="1" s="1"/>
  <c r="O20" i="2"/>
  <c r="M20" i="1" s="1"/>
  <c r="B21" i="1"/>
  <c r="S10" i="2"/>
  <c r="Q10" i="1" s="1"/>
  <c r="O15" i="2" l="1"/>
  <c r="M15" i="1" s="1"/>
  <c r="P15" i="2"/>
  <c r="H7" i="1" l="1"/>
  <c r="B12" i="2" l="1"/>
  <c r="B11" i="2"/>
  <c r="Q11" i="2" l="1"/>
  <c r="O11" i="1" s="1"/>
  <c r="Q12" i="2"/>
  <c r="O12" i="1" s="1"/>
  <c r="B16" i="1"/>
  <c r="R22" i="2" l="1"/>
  <c r="W22" i="2" s="1"/>
  <c r="R16" i="2"/>
  <c r="W16" i="2" s="1"/>
  <c r="R12" i="2"/>
  <c r="W12" i="2" s="1"/>
  <c r="R17" i="2"/>
  <c r="W17" i="2" s="1"/>
  <c r="R11" i="2"/>
  <c r="W11" i="2" s="1"/>
  <c r="Q24" i="2" a="1"/>
  <c r="Q24" i="2" s="1"/>
  <c r="O24" i="1" s="1"/>
  <c r="R15" i="2"/>
  <c r="W15" i="2" s="1"/>
  <c r="R18" i="2"/>
  <c r="W18" i="2" s="1"/>
  <c r="R14" i="2"/>
  <c r="W14" i="2" s="1"/>
  <c r="R13" i="2"/>
  <c r="W13" i="2" s="1"/>
  <c r="Q23" i="2"/>
  <c r="O23" i="1" s="1"/>
  <c r="R19" i="2"/>
  <c r="W19" i="2" s="1"/>
  <c r="R21" i="2"/>
  <c r="W21" i="2" s="1"/>
  <c r="R20" i="2"/>
  <c r="S20" i="2" s="1"/>
  <c r="Q20" i="1" s="1"/>
  <c r="S11" i="2"/>
  <c r="Q11" i="1" s="1"/>
  <c r="P11" i="1"/>
  <c r="S16" i="2" l="1"/>
  <c r="Q16" i="1" s="1"/>
  <c r="P17" i="1"/>
  <c r="S17" i="2"/>
  <c r="Q17" i="1" s="1"/>
  <c r="S22" i="2"/>
  <c r="Q22" i="1" s="1"/>
  <c r="P13" i="1"/>
  <c r="S13" i="2"/>
  <c r="Q13" i="1" s="1"/>
  <c r="P16" i="1"/>
  <c r="S18" i="2"/>
  <c r="Q18" i="1" s="1"/>
  <c r="P18" i="1"/>
  <c r="S23" i="2"/>
  <c r="Q23" i="1" s="1"/>
  <c r="S12" i="2"/>
  <c r="Q12" i="1" s="1"/>
  <c r="P12" i="1"/>
  <c r="P22" i="1"/>
  <c r="P14" i="1"/>
  <c r="S14" i="2"/>
  <c r="Q14" i="1" s="1"/>
  <c r="S15" i="2"/>
  <c r="Q15" i="1" s="1"/>
  <c r="P15" i="1"/>
  <c r="P21" i="1"/>
  <c r="S21" i="2"/>
  <c r="Q21" i="1" s="1"/>
  <c r="P19" i="1"/>
  <c r="S19" i="2"/>
  <c r="Q19" i="1" s="1"/>
  <c r="P20" i="1"/>
  <c r="W20" i="2"/>
  <c r="K20" i="1"/>
  <c r="I20" i="1"/>
  <c r="H20" i="1"/>
  <c r="F20" i="1"/>
  <c r="E20" i="1"/>
  <c r="D20" i="1"/>
  <c r="C20" i="1"/>
  <c r="B20" i="1"/>
  <c r="K19" i="1"/>
  <c r="I19" i="1"/>
  <c r="H19" i="1"/>
  <c r="F19" i="1"/>
  <c r="E19" i="1"/>
  <c r="D19" i="1"/>
  <c r="C19" i="1"/>
  <c r="B19" i="1"/>
  <c r="K18" i="1"/>
  <c r="I18" i="1"/>
  <c r="H18" i="1"/>
  <c r="F18" i="1"/>
  <c r="E18" i="1"/>
  <c r="D18" i="1"/>
  <c r="C18" i="1"/>
  <c r="B18" i="1"/>
  <c r="K17" i="1"/>
  <c r="I17" i="1"/>
  <c r="H17" i="1"/>
  <c r="F17" i="1"/>
  <c r="E17" i="1"/>
  <c r="D17" i="1"/>
  <c r="B17" i="1"/>
  <c r="K16" i="1"/>
  <c r="I16" i="1"/>
  <c r="H16" i="1"/>
  <c r="F16" i="1"/>
  <c r="E16" i="1"/>
  <c r="D16" i="1"/>
  <c r="C16" i="1"/>
  <c r="K15" i="1"/>
  <c r="I15" i="1"/>
  <c r="H15" i="1"/>
  <c r="F15" i="1"/>
  <c r="E15" i="1"/>
  <c r="D15" i="1"/>
  <c r="C15" i="1"/>
  <c r="B15" i="1"/>
  <c r="K14" i="1"/>
  <c r="I14" i="1"/>
  <c r="H14" i="1"/>
  <c r="F14" i="1"/>
  <c r="E14" i="1"/>
  <c r="D14" i="1"/>
  <c r="C14" i="1"/>
  <c r="B14" i="1"/>
  <c r="K13" i="1"/>
  <c r="I13" i="1"/>
  <c r="H13" i="1"/>
  <c r="F13" i="1"/>
  <c r="E13" i="1"/>
  <c r="D13" i="1"/>
  <c r="C13" i="1"/>
  <c r="B13" i="1"/>
  <c r="K12" i="1"/>
  <c r="I12" i="1"/>
  <c r="H12" i="1"/>
  <c r="F12" i="1"/>
  <c r="E12" i="1"/>
  <c r="D12" i="1"/>
  <c r="C12" i="1"/>
  <c r="B12" i="1"/>
  <c r="K11" i="1"/>
  <c r="I11" i="1"/>
  <c r="H11" i="1"/>
  <c r="F11" i="1"/>
  <c r="E11" i="1"/>
  <c r="D11" i="1"/>
  <c r="C11" i="1"/>
  <c r="B11" i="1"/>
  <c r="K12" i="2"/>
  <c r="J12" i="2"/>
  <c r="K11" i="2"/>
  <c r="J11" i="2"/>
  <c r="K10" i="2"/>
  <c r="J10" i="2"/>
  <c r="Q49" i="1"/>
  <c r="B5" i="1"/>
  <c r="B2" i="1"/>
  <c r="H10" i="1"/>
  <c r="D10" i="1"/>
  <c r="C10" i="1"/>
  <c r="F10" i="1"/>
  <c r="B10" i="1"/>
  <c r="I10" i="1"/>
  <c r="E10" i="1"/>
  <c r="P10" i="2" l="1"/>
  <c r="O10" i="2"/>
  <c r="M10" i="1" s="1"/>
  <c r="P11" i="2"/>
  <c r="O11" i="2"/>
  <c r="M11" i="1" s="1"/>
  <c r="P12" i="2"/>
  <c r="O12" i="2"/>
  <c r="M12" i="1" s="1"/>
  <c r="G21" i="1"/>
  <c r="G17" i="1"/>
  <c r="G16" i="1"/>
  <c r="G20" i="1"/>
  <c r="G19" i="1"/>
  <c r="G12" i="1"/>
  <c r="G13" i="1"/>
  <c r="G14" i="1"/>
  <c r="G18" i="1"/>
  <c r="G11" i="1"/>
  <c r="G15" i="1"/>
  <c r="G10" i="1"/>
  <c r="K10" i="1"/>
  <c r="P23" i="2" l="1"/>
  <c r="O23" i="2" l="1"/>
  <c r="M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<sst xmlns="http://schemas.openxmlformats.org/spreadsheetml/2006/main" count="100" uniqueCount="72">
  <si>
    <t>WOB</t>
  </si>
  <si>
    <t>Characteristics</t>
  </si>
  <si>
    <t>Expected ROP</t>
  </si>
  <si>
    <t>(ft)</t>
  </si>
  <si>
    <t>Depth</t>
  </si>
  <si>
    <t>(KLBS)</t>
  </si>
  <si>
    <t>(rpm)</t>
  </si>
  <si>
    <t>(GPM)</t>
  </si>
  <si>
    <t>Flow</t>
  </si>
  <si>
    <t>(ft/hr)</t>
  </si>
  <si>
    <t>Rotary</t>
  </si>
  <si>
    <t>Formation</t>
  </si>
  <si>
    <t>Low</t>
  </si>
  <si>
    <t>High</t>
  </si>
  <si>
    <t>Cumulative</t>
  </si>
  <si>
    <t>On Bottom</t>
  </si>
  <si>
    <t>ROP</t>
  </si>
  <si>
    <t>hrs</t>
  </si>
  <si>
    <t>Section</t>
  </si>
  <si>
    <t>in</t>
  </si>
  <si>
    <t>out</t>
  </si>
  <si>
    <t>Rotary rpm</t>
  </si>
  <si>
    <t>Σ rpm</t>
  </si>
  <si>
    <t>Calc. for Chart</t>
  </si>
  <si>
    <t>DO NOT MODIFY</t>
  </si>
  <si>
    <t>Total</t>
  </si>
  <si>
    <t>(hrs)</t>
  </si>
  <si>
    <t>Limey Shale</t>
  </si>
  <si>
    <t>DOC</t>
  </si>
  <si>
    <t>(in/rev)</t>
  </si>
  <si>
    <t>Avg</t>
  </si>
  <si>
    <t>Roadmap --- Ø 9-7/8" 616-XR9(K)(BR)</t>
  </si>
  <si>
    <t>Delaware --- Intermediate</t>
  </si>
  <si>
    <t>Rustler (Salt)</t>
  </si>
  <si>
    <t>Cherry Canyon</t>
  </si>
  <si>
    <t>Upper Avalon</t>
  </si>
  <si>
    <t>Avalon Lime</t>
  </si>
  <si>
    <t>2 Bone Springs Lime</t>
  </si>
  <si>
    <t>2 Bone Springs Sand</t>
  </si>
  <si>
    <t>3 Bone Springs Lime</t>
  </si>
  <si>
    <t>3 Bone Springs Sand</t>
  </si>
  <si>
    <t>Sandstone</t>
  </si>
  <si>
    <t>Shale / Sandstone / Pyritic Limestone</t>
  </si>
  <si>
    <t>Sandstone / Siltstone / Shale</t>
  </si>
  <si>
    <t>Intercalated Limestone &amp; Shale</t>
  </si>
  <si>
    <t>Σ Measured Depth</t>
  </si>
  <si>
    <t>Anhydrite / Limestone / Red Shale and Limestone</t>
  </si>
  <si>
    <t>Lamar (Delaware)</t>
  </si>
  <si>
    <t>Bell Canyon</t>
  </si>
  <si>
    <t>Brushy Canyon</t>
  </si>
  <si>
    <t>Harkey Sand</t>
  </si>
  <si>
    <t>Massive Blocky Limestone</t>
  </si>
  <si>
    <t>Carbonate Sandstone / Siltstone / Shale</t>
  </si>
  <si>
    <t>Rotations</t>
  </si>
  <si>
    <t>UCS</t>
  </si>
  <si>
    <t>kpsi</t>
  </si>
  <si>
    <t>18-25</t>
  </si>
  <si>
    <t>17-18</t>
  </si>
  <si>
    <t>15-18</t>
  </si>
  <si>
    <t>16-29</t>
  </si>
  <si>
    <t>*1 Bone Springs Sand</t>
  </si>
  <si>
    <r>
      <rPr>
        <sz val="11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If you enter the 1 Bone Springs Sand at ≈ 100 ROP then the bit should still be green</t>
    </r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</si>
  <si>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1 Bone Springs Sand</t>
    </r>
  </si>
  <si>
    <t>17-22</t>
  </si>
  <si>
    <t>20-28</t>
  </si>
  <si>
    <t>21-25</t>
  </si>
  <si>
    <t>24-27</t>
  </si>
  <si>
    <t>24-26</t>
  </si>
  <si>
    <t>23-26</t>
  </si>
  <si>
    <t>23-25</t>
  </si>
  <si>
    <t>19-22</t>
  </si>
  <si>
    <t>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</si>
</sst>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#,##0.0\ &quot;hrs&quot;"/>
    <numFmt numFmtId="166" formatCode="#,##0.00\ &quot;days&quot;"/>
    <numFmt numFmtId="167" formatCode="#,##0\ &quot;ROP&quot;"/>
    <numFmt numFmtId="168" formatCode="#,##0.000"/>
    <numFmt numFmtId="169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rgb="FFEF4123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41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 style="medium">
        <color auto="1"/>
      </right>
      <top style="double">
        <color rgb="FFFF0000"/>
      </top>
      <bottom style="medium">
        <color auto="1"/>
      </bottom>
      <diagonal/>
    </border>
    <border>
      <left/>
      <right style="thin">
        <color auto="1"/>
      </right>
      <top style="double">
        <color rgb="FFFF0000"/>
      </top>
      <bottom style="medium">
        <color auto="1"/>
      </bottom>
      <diagonal/>
    </border>
    <border>
      <left style="thin">
        <color auto="1"/>
      </left>
      <right style="double">
        <color rgb="FFFF0000"/>
      </right>
      <top style="double">
        <color rgb="FFFF0000"/>
      </top>
      <bottom style="medium">
        <color auto="1"/>
      </bottom>
      <diagonal/>
    </border>
    <border>
      <left style="double">
        <color rgb="FFFF0000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rgb="FFFF0000"/>
      </right>
      <top/>
      <bottom style="thin">
        <color auto="1"/>
      </bottom>
      <diagonal/>
    </border>
    <border>
      <left style="double">
        <color rgb="FFFF000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double">
        <color rgb="FFFF0000"/>
      </left>
      <right style="medium">
        <color auto="1"/>
      </right>
      <top style="thin">
        <color auto="1"/>
      </top>
      <bottom style="double">
        <color rgb="FFFF0000"/>
      </bottom>
      <diagonal/>
    </border>
    <border>
      <left/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double">
        <color rgb="FFFF0000"/>
      </right>
      <top style="thin">
        <color auto="1"/>
      </top>
      <bottom style="double">
        <color rgb="FFFF000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3" fontId="10" fillId="0" borderId="36" xfId="0" applyNumberFormat="1" applyFont="1" applyBorder="1" applyAlignment="1">
      <alignment horizontal="center" vertical="center"/>
    </xf>
    <xf numFmtId="3" fontId="10" fillId="0" borderId="38" xfId="0" applyNumberFormat="1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2" fillId="3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7" fillId="2" borderId="40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 wrapText="1"/>
    </xf>
    <xf numFmtId="164" fontId="11" fillId="0" borderId="46" xfId="0" applyNumberFormat="1" applyFont="1" applyBorder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164" fontId="11" fillId="0" borderId="49" xfId="0" applyNumberFormat="1" applyFont="1" applyBorder="1" applyAlignment="1">
      <alignment horizontal="center" vertical="center"/>
    </xf>
    <xf numFmtId="3" fontId="2" fillId="0" borderId="48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3" fontId="0" fillId="0" borderId="54" xfId="0" applyNumberFormat="1" applyBorder="1" applyAlignment="1">
      <alignment horizontal="center" vertical="center" wrapText="1"/>
    </xf>
    <xf numFmtId="0" fontId="6" fillId="2" borderId="40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169" fontId="10" fillId="0" borderId="16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65" fontId="1" fillId="0" borderId="58" xfId="0" applyNumberFormat="1" applyFont="1" applyBorder="1" applyAlignment="1">
      <alignment horizontal="center" vertical="center"/>
    </xf>
    <xf numFmtId="167" fontId="9" fillId="0" borderId="58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49" fontId="2" fillId="0" borderId="47" xfId="0" applyNumberFormat="1" applyFont="1" applyBorder="1" applyAlignment="1">
      <alignment horizontal="center" vertical="center"/>
    </xf>
    <xf numFmtId="49" fontId="2" fillId="0" borderId="62" xfId="0" applyNumberFormat="1" applyFont="1" applyBorder="1" applyAlignment="1">
      <alignment horizontal="center" vertical="center"/>
    </xf>
    <xf numFmtId="3" fontId="0" fillId="5" borderId="13" xfId="0" applyNumberForma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168" fontId="0" fillId="0" borderId="14" xfId="0" applyNumberFormat="1" applyBorder="1" applyAlignment="1">
      <alignment horizontal="center" vertical="center" wrapText="1"/>
    </xf>
    <xf numFmtId="168" fontId="0" fillId="0" borderId="5" xfId="0" applyNumberFormat="1" applyBorder="1" applyAlignment="1">
      <alignment horizontal="center" vertical="center" wrapText="1"/>
    </xf>
    <xf numFmtId="168" fontId="1" fillId="0" borderId="58" xfId="0" applyNumberFormat="1" applyFont="1" applyBorder="1" applyAlignment="1">
      <alignment horizontal="center" vertical="center" wrapText="1"/>
    </xf>
    <xf numFmtId="164" fontId="10" fillId="0" borderId="16" xfId="0" applyNumberFormat="1" applyFont="1" applyBorder="1" applyAlignment="1">
      <alignment horizontal="center"/>
    </xf>
    <xf numFmtId="1" fontId="10" fillId="0" borderId="48" xfId="0" applyNumberFormat="1" applyFont="1" applyBorder="1" applyAlignment="1">
      <alignment horizontal="center"/>
    </xf>
    <xf numFmtId="1" fontId="10" fillId="0" borderId="52" xfId="0" applyNumberFormat="1" applyFont="1" applyBorder="1" applyAlignment="1">
      <alignment horizontal="center"/>
    </xf>
    <xf numFmtId="3" fontId="10" fillId="6" borderId="0" xfId="0" applyNumberFormat="1" applyFont="1" applyFill="1" applyAlignment="1">
      <alignment horizontal="center"/>
    </xf>
    <xf numFmtId="3" fontId="14" fillId="0" borderId="54" xfId="0" applyNumberFormat="1" applyFont="1" applyBorder="1" applyAlignment="1">
      <alignment horizontal="center" vertical="center"/>
    </xf>
    <xf numFmtId="3" fontId="0" fillId="5" borderId="50" xfId="0" applyNumberFormat="1" applyFill="1" applyBorder="1" applyAlignment="1">
      <alignment horizontal="center" vertical="center"/>
    </xf>
    <xf numFmtId="49" fontId="2" fillId="0" borderId="51" xfId="0" applyNumberFormat="1" applyFont="1" applyBorder="1" applyAlignment="1">
      <alignment horizontal="center" vertical="center"/>
    </xf>
    <xf numFmtId="49" fontId="2" fillId="0" borderId="63" xfId="0" applyNumberFormat="1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9" fontId="10" fillId="0" borderId="55" xfId="0" applyNumberFormat="1" applyFont="1" applyBorder="1" applyAlignment="1">
      <alignment horizontal="center" vertical="center"/>
    </xf>
    <xf numFmtId="3" fontId="10" fillId="6" borderId="59" xfId="0" applyNumberFormat="1" applyFont="1" applyFill="1" applyBorder="1" applyAlignment="1">
      <alignment horizontal="center"/>
    </xf>
    <xf numFmtId="164" fontId="10" fillId="0" borderId="55" xfId="0" applyNumberFormat="1" applyFont="1" applyBorder="1" applyAlignment="1">
      <alignment horizontal="center"/>
    </xf>
    <xf numFmtId="0" fontId="0" fillId="0" borderId="58" xfId="0" applyBorder="1"/>
    <xf numFmtId="169" fontId="10" fillId="0" borderId="58" xfId="0" applyNumberFormat="1" applyFont="1" applyBorder="1" applyAlignment="1">
      <alignment horizontal="center" vertical="center"/>
    </xf>
    <xf numFmtId="3" fontId="10" fillId="6" borderId="58" xfId="0" applyNumberFormat="1" applyFont="1" applyFill="1" applyBorder="1" applyAlignment="1">
      <alignment horizontal="center"/>
    </xf>
    <xf numFmtId="0" fontId="2" fillId="0" borderId="37" xfId="0" applyFont="1" applyBorder="1" applyAlignment="1">
      <alignment horizontal="center" vertical="center"/>
    </xf>
    <xf numFmtId="3" fontId="10" fillId="0" borderId="64" xfId="0" applyNumberFormat="1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164" fontId="10" fillId="0" borderId="66" xfId="0" applyNumberFormat="1" applyFont="1" applyBorder="1" applyAlignment="1">
      <alignment horizontal="center" vertical="center"/>
    </xf>
    <xf numFmtId="164" fontId="10" fillId="0" borderId="49" xfId="0" applyNumberFormat="1" applyFont="1" applyBorder="1" applyAlignment="1">
      <alignment horizontal="center" vertical="center"/>
    </xf>
    <xf numFmtId="164" fontId="10" fillId="0" borderId="53" xfId="0" applyNumberFormat="1" applyFont="1" applyBorder="1" applyAlignment="1">
      <alignment horizontal="center" vertical="center"/>
    </xf>
    <xf numFmtId="49" fontId="0" fillId="0" borderId="45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168" fontId="0" fillId="0" borderId="50" xfId="0" applyNumberFormat="1" applyBorder="1" applyAlignment="1">
      <alignment horizontal="center" vertical="center" wrapText="1"/>
    </xf>
    <xf numFmtId="49" fontId="0" fillId="0" borderId="67" xfId="0" applyNumberFormat="1" applyBorder="1" applyAlignment="1">
      <alignment horizontal="center" vertical="center" wrapText="1"/>
    </xf>
    <xf numFmtId="164" fontId="0" fillId="0" borderId="55" xfId="0" applyNumberFormat="1" applyBorder="1" applyAlignment="1">
      <alignment horizontal="center" vertical="center" wrapText="1"/>
    </xf>
    <xf numFmtId="164" fontId="11" fillId="0" borderId="53" xfId="0" applyNumberFormat="1" applyFont="1" applyBorder="1" applyAlignment="1">
      <alignment horizontal="center" vertical="center"/>
    </xf>
    <xf numFmtId="3" fontId="2" fillId="0" borderId="52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6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1" fillId="3" borderId="1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1" fillId="3" borderId="61" xfId="0" applyFont="1" applyFill="1" applyBorder="1" applyAlignment="1">
      <alignment horizontal="center" vertical="center"/>
    </xf>
    <xf numFmtId="3" fontId="0" fillId="0" borderId="69" xfId="0" applyNumberFormat="1" applyBorder="1" applyAlignment="1">
      <alignment horizontal="center" vertical="center" wrapText="1"/>
    </xf>
    <xf numFmtId="0" fontId="16" fillId="0" borderId="5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F5F5F"/>
      <color rgb="FF4472C4"/>
      <color rgb="FFEF4123"/>
      <color rgb="FFFFBDBD"/>
      <color rgb="FFFF0000"/>
      <color rgb="FFD9D9D9"/>
      <color rgb="FFF4AF80"/>
      <color rgb="FFED7D31"/>
      <color rgb="FFF9D6BF"/>
      <color rgb="FFAAB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Entry'!$V$8</c:f>
              <c:strCache>
                <c:ptCount val="1"/>
                <c:pt idx="0">
                  <c:v>ROP</c:v>
                </c:pt>
              </c:strCache>
            </c:strRef>
          </c:tx>
          <c:spPr>
            <a:ln w="25400" cap="rnd" cmpd="sng" algn="ctr">
              <a:solidFill>
                <a:srgbClr val="EF412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F4123"/>
              </a:solidFill>
              <a:ln w="25400" cap="flat" cmpd="sng" algn="ctr">
                <a:solidFill>
                  <a:srgbClr val="EF4123"/>
                </a:solidFill>
                <a:round/>
              </a:ln>
              <a:effectLst/>
            </c:spPr>
          </c:marker>
          <c:xVal>
            <c:numRef>
              <c:f>'Data Entry'!$U$9:$U$22</c:f>
              <c:numCache>
                <c:formatCode>#,##0</c:formatCode>
                <c:ptCount val="14"/>
                <c:pt idx="0">
                  <c:v>2000</c:v>
                </c:pt>
                <c:pt idx="1">
                  <c:v>4855</c:v>
                </c:pt>
                <c:pt idx="2">
                  <c:v>4880</c:v>
                </c:pt>
                <c:pt idx="3">
                  <c:v>5901</c:v>
                </c:pt>
                <c:pt idx="4">
                  <c:v>7303</c:v>
                </c:pt>
                <c:pt idx="5">
                  <c:v>9067</c:v>
                </c:pt>
                <c:pt idx="6">
                  <c:v>9186</c:v>
                </c:pt>
                <c:pt idx="7">
                  <c:v>10007</c:v>
                </c:pt>
                <c:pt idx="8">
                  <c:v>10232</c:v>
                </c:pt>
                <c:pt idx="9">
                  <c:v>10524</c:v>
                </c:pt>
                <c:pt idx="10">
                  <c:v>10996</c:v>
                </c:pt>
                <c:pt idx="11">
                  <c:v>11170</c:v>
                </c:pt>
                <c:pt idx="12">
                  <c:v>11628</c:v>
                </c:pt>
                <c:pt idx="13">
                  <c:v>11800</c:v>
                </c:pt>
              </c:numCache>
            </c:numRef>
          </c:xVal>
          <c:yVal>
            <c:numRef>
              <c:f>'Data Entry'!$V$9:$V$22</c:f>
              <c:numCache>
                <c:formatCode>General</c:formatCode>
                <c:ptCount val="14"/>
                <c:pt idx="0">
                  <c:v>365</c:v>
                </c:pt>
                <c:pt idx="1">
                  <c:v>365</c:v>
                </c:pt>
                <c:pt idx="2">
                  <c:v>377.5</c:v>
                </c:pt>
                <c:pt idx="3">
                  <c:v>365</c:v>
                </c:pt>
                <c:pt idx="4">
                  <c:v>262.5</c:v>
                </c:pt>
                <c:pt idx="5">
                  <c:v>105</c:v>
                </c:pt>
                <c:pt idx="6">
                  <c:v>115</c:v>
                </c:pt>
                <c:pt idx="7">
                  <c:v>55</c:v>
                </c:pt>
                <c:pt idx="8">
                  <c:v>100</c:v>
                </c:pt>
                <c:pt idx="9">
                  <c:v>45</c:v>
                </c:pt>
                <c:pt idx="10">
                  <c:v>90</c:v>
                </c:pt>
                <c:pt idx="11">
                  <c:v>75</c:v>
                </c:pt>
                <c:pt idx="12">
                  <c:v>100</c:v>
                </c:pt>
                <c:pt idx="1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20-480A-B7BB-093504417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173224"/>
        <c:axId val="1129175744"/>
      </c:scatterChart>
      <c:scatterChart>
        <c:scatterStyle val="lineMarker"/>
        <c:varyColors val="0"/>
        <c:ser>
          <c:idx val="1"/>
          <c:order val="1"/>
          <c:tx>
            <c:strRef>
              <c:f>'Data Entry'!$W$8</c:f>
              <c:strCache>
                <c:ptCount val="1"/>
                <c:pt idx="0">
                  <c:v>hrs</c:v>
                </c:pt>
              </c:strCache>
            </c:strRef>
          </c:tx>
          <c:spPr>
            <a:ln w="25400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'Data Entry'!$U$9:$U$22</c:f>
              <c:numCache>
                <c:formatCode>#,##0</c:formatCode>
                <c:ptCount val="14"/>
                <c:pt idx="0">
                  <c:v>2000</c:v>
                </c:pt>
                <c:pt idx="1">
                  <c:v>4855</c:v>
                </c:pt>
                <c:pt idx="2">
                  <c:v>4880</c:v>
                </c:pt>
                <c:pt idx="3">
                  <c:v>5901</c:v>
                </c:pt>
                <c:pt idx="4">
                  <c:v>7303</c:v>
                </c:pt>
                <c:pt idx="5">
                  <c:v>9067</c:v>
                </c:pt>
                <c:pt idx="6">
                  <c:v>9186</c:v>
                </c:pt>
                <c:pt idx="7">
                  <c:v>10007</c:v>
                </c:pt>
                <c:pt idx="8">
                  <c:v>10232</c:v>
                </c:pt>
                <c:pt idx="9">
                  <c:v>10524</c:v>
                </c:pt>
                <c:pt idx="10">
                  <c:v>10996</c:v>
                </c:pt>
                <c:pt idx="11">
                  <c:v>11170</c:v>
                </c:pt>
                <c:pt idx="12">
                  <c:v>11628</c:v>
                </c:pt>
                <c:pt idx="13">
                  <c:v>11800</c:v>
                </c:pt>
              </c:numCache>
            </c:numRef>
          </c:xVal>
          <c:yVal>
            <c:numRef>
              <c:f>'Data Entry'!$W$9:$W$22</c:f>
              <c:numCache>
                <c:formatCode>#,##0.0</c:formatCode>
                <c:ptCount val="14"/>
                <c:pt idx="0" formatCode="General">
                  <c:v>0</c:v>
                </c:pt>
                <c:pt idx="1">
                  <c:v>7.8219178082191778</c:v>
                </c:pt>
                <c:pt idx="2">
                  <c:v>7.8881429737820916</c:v>
                </c:pt>
                <c:pt idx="3">
                  <c:v>10.685403247754694</c:v>
                </c:pt>
                <c:pt idx="4">
                  <c:v>16.026355628707076</c:v>
                </c:pt>
                <c:pt idx="5">
                  <c:v>32.826355628707077</c:v>
                </c:pt>
                <c:pt idx="6">
                  <c:v>33.861138237402727</c:v>
                </c:pt>
                <c:pt idx="7">
                  <c:v>48.788410964675457</c:v>
                </c:pt>
                <c:pt idx="8">
                  <c:v>51.038410964675457</c:v>
                </c:pt>
                <c:pt idx="9">
                  <c:v>57.527299853564344</c:v>
                </c:pt>
                <c:pt idx="10">
                  <c:v>62.771744298008791</c:v>
                </c:pt>
                <c:pt idx="11">
                  <c:v>65.091744298008791</c:v>
                </c:pt>
                <c:pt idx="12">
                  <c:v>69.67174429800879</c:v>
                </c:pt>
                <c:pt idx="13">
                  <c:v>70.994821221085715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20-480A-B7BB-093504417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505832"/>
        <c:axId val="1219506912"/>
      </c:scatterChart>
      <c:valAx>
        <c:axId val="1129173224"/>
        <c:scaling>
          <c:orientation val="minMax"/>
          <c:max val="12000"/>
          <c:min val="2000"/>
        </c:scaling>
        <c:delete val="0"/>
        <c:axPos val="b"/>
        <c:numFmt formatCode="#,##0\'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75744"/>
        <c:crosses val="autoZero"/>
        <c:crossBetween val="midCat"/>
        <c:majorUnit val="500"/>
      </c:valAx>
      <c:valAx>
        <c:axId val="1129175744"/>
        <c:scaling>
          <c:orientation val="minMax"/>
        </c:scaling>
        <c:delete val="0"/>
        <c:axPos val="l"/>
        <c:numFmt formatCode="#,##0\ &quot;ft/hr&quot;" sourceLinked="0"/>
        <c:majorTickMark val="in"/>
        <c:minorTickMark val="none"/>
        <c:tickLblPos val="nextTo"/>
        <c:spPr>
          <a:noFill/>
          <a:ln>
            <a:solidFill>
              <a:srgbClr val="EF4123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rgbClr val="EF41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173224"/>
        <c:crosses val="autoZero"/>
        <c:crossBetween val="midCat"/>
        <c:majorUnit val="25"/>
      </c:valAx>
      <c:valAx>
        <c:axId val="1219506912"/>
        <c:scaling>
          <c:orientation val="minMax"/>
        </c:scaling>
        <c:delete val="0"/>
        <c:axPos val="r"/>
        <c:numFmt formatCode="#,##0\ &quot;Σ hrs&quot;" sourceLinked="0"/>
        <c:majorTickMark val="in"/>
        <c:minorTickMark val="none"/>
        <c:tickLblPos val="nextTo"/>
        <c:spPr>
          <a:noFill/>
          <a:ln>
            <a:solidFill>
              <a:srgbClr val="4472C4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05832"/>
        <c:crosses val="max"/>
        <c:crossBetween val="midCat"/>
      </c:valAx>
      <c:valAx>
        <c:axId val="1219505832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2195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1</xdr:col>
      <xdr:colOff>938212</xdr:colOff>
      <xdr:row>1</xdr:row>
      <xdr:rowOff>923925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0871E7-2B8E-D805-2F6C-03FBD9A37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81000"/>
          <a:ext cx="923925" cy="923925"/>
        </a:xfrm>
        <a:prstGeom prst="rect">
          <a:avLst/>
        </a:prstGeom>
      </xdr:spPr>
    </xdr:pic>
    <xdr:clientData/>
  </xdr:twoCellAnchor>
  <xdr:twoCellAnchor editAs="oneCell">
    <xdr:from>
      <xdr:col>10</xdr:col>
      <xdr:colOff>311150</xdr:colOff>
      <xdr:row>48</xdr:row>
      <xdr:rowOff>187326</xdr:rowOff>
    </xdr:from>
    <xdr:to>
      <xdr:col>14</xdr:col>
      <xdr:colOff>573881</xdr:colOff>
      <xdr:row>50</xdr:row>
      <xdr:rowOff>141660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895CBE-8098-22DC-925C-E658B61E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1075" y="14189076"/>
          <a:ext cx="2584450" cy="335334"/>
        </a:xfrm>
        <a:prstGeom prst="rect">
          <a:avLst/>
        </a:prstGeom>
      </xdr:spPr>
    </xdr:pic>
    <xdr:clientData/>
  </xdr:twoCellAnchor>
  <xdr:twoCellAnchor editAs="oneCell">
    <xdr:from>
      <xdr:col>7</xdr:col>
      <xdr:colOff>45812</xdr:colOff>
      <xdr:row>25</xdr:row>
      <xdr:rowOff>98667</xdr:rowOff>
    </xdr:from>
    <xdr:to>
      <xdr:col>12</xdr:col>
      <xdr:colOff>54180</xdr:colOff>
      <xdr:row>45</xdr:row>
      <xdr:rowOff>175804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EF03AEA-4FB5-6519-0D26-86438DCAD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608611">
          <a:off x="7170512" y="5480292"/>
          <a:ext cx="2456293" cy="3887137"/>
        </a:xfrm>
        <a:prstGeom prst="rect">
          <a:avLst/>
        </a:prstGeom>
      </xdr:spPr>
    </xdr:pic>
    <xdr:clientData/>
  </xdr:twoCellAnchor>
  <xdr:twoCellAnchor editAs="oneCell">
    <xdr:from>
      <xdr:col>2</xdr:col>
      <xdr:colOff>249520</xdr:colOff>
      <xdr:row>28</xdr:row>
      <xdr:rowOff>47624</xdr:rowOff>
    </xdr:from>
    <xdr:to>
      <xdr:col>3</xdr:col>
      <xdr:colOff>1573083</xdr:colOff>
      <xdr:row>42</xdr:row>
      <xdr:rowOff>40127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58E9EF8-82E5-C7DF-86D0-71A068C9C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02070" y="6000749"/>
          <a:ext cx="2647538" cy="265950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152400</xdr:rowOff>
    </xdr:from>
    <xdr:to>
      <xdr:col>17</xdr:col>
      <xdr:colOff>0</xdr:colOff>
      <xdr:row>45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489DE-391E-40E0-BE84-608684444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814D-C38C-4078-87BE-028EAC078353}">
  <sheetPr>
    <pageSetUpPr fitToPage="1"/>
  </sheetPr>
  <dimension ref="B2:Q49"/>
  <sheetViews>
    <sheetView showGridLines="0" tabSelected="1" zoomScaleNormal="100" workbookViewId="0"/>
  </sheetViews>
  <sheetFormatPr defaultColWidth="9" defaultRowHeight="15" x14ac:dyDescent="0.25"/>
  <cols>
    <col min="1" max="1" width="2.7109375" style="1" customWidth="1"/>
    <col min="2" max="2" width="17.5703125" style="1" bestFit="1" customWidth="1"/>
    <col min="3" max="3" width="19.85546875" style="1" bestFit="1" customWidth="1"/>
    <col min="4" max="4" width="45.85546875" style="1" bestFit="1" customWidth="1"/>
    <col min="5" max="5" width="6.5703125" style="1" bestFit="1" customWidth="1"/>
    <col min="6" max="6" width="6.7109375" style="1" bestFit="1" customWidth="1"/>
    <col min="7" max="7" width="8.5703125" style="1" bestFit="1" customWidth="1"/>
    <col min="8" max="8" width="6.5703125" style="1" bestFit="1" customWidth="1"/>
    <col min="9" max="9" width="8.5703125" style="1" bestFit="1" customWidth="1"/>
    <col min="10" max="10" width="0.42578125" style="1" customWidth="1"/>
    <col min="11" max="11" width="20.7109375" style="1" customWidth="1"/>
    <col min="12" max="12" width="0.42578125" style="1" customWidth="1"/>
    <col min="13" max="13" width="7.85546875" style="1" bestFit="1" customWidth="1"/>
    <col min="14" max="14" width="5.7109375" style="1" bestFit="1" customWidth="1"/>
    <col min="15" max="15" width="9" style="1" bestFit="1" customWidth="1"/>
    <col min="16" max="16" width="5.140625" style="1" bestFit="1" customWidth="1"/>
    <col min="17" max="17" width="8.140625" style="1" bestFit="1" customWidth="1"/>
    <col min="18" max="18" width="2.7109375" style="1" customWidth="1"/>
    <col min="19" max="16384" width="9" style="1"/>
  </cols>
  <sheetData>
    <row r="2" spans="2:17" ht="73.5" customHeight="1" x14ac:dyDescent="0.45">
      <c r="B2" s="129" t="str">
        <f>IF('Data Entry'!$B$2="","",'Data Entry'!$B$2)</f>
        <v>Roadmap --- Ø 9-7/8" 616-XR9(K)(BR)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</row>
    <row r="3" spans="2:17" ht="8.1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3.95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2:17" ht="25.5" customHeight="1" x14ac:dyDescent="0.25">
      <c r="B5" s="128" t="str">
        <f>IF('Data Entry'!$B$4="","",'Data Entry'!$B$4)</f>
        <v>Delaware --- Intermediate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2:17" ht="15" customHeight="1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2:17" ht="15" customHeight="1" x14ac:dyDescent="0.25">
      <c r="H7" s="1">
        <f>'Data Entry'!L7</f>
        <v>0.13</v>
      </c>
      <c r="O7" s="125" t="s">
        <v>15</v>
      </c>
      <c r="P7" s="126"/>
      <c r="Q7" s="127"/>
    </row>
    <row r="8" spans="2:17" x14ac:dyDescent="0.25">
      <c r="B8" s="2" t="s">
        <v>45</v>
      </c>
      <c r="C8" s="131" t="s">
        <v>11</v>
      </c>
      <c r="D8" s="133" t="s">
        <v>1</v>
      </c>
      <c r="E8" s="6" t="s">
        <v>0</v>
      </c>
      <c r="F8" s="41" t="s">
        <v>10</v>
      </c>
      <c r="G8" s="42" t="s">
        <v>25</v>
      </c>
      <c r="H8" s="10" t="s">
        <v>8</v>
      </c>
      <c r="I8" s="135" t="s">
        <v>2</v>
      </c>
      <c r="J8" s="135"/>
      <c r="K8" s="135"/>
      <c r="L8" s="6"/>
      <c r="M8" s="2" t="s">
        <v>28</v>
      </c>
      <c r="N8" s="6" t="s">
        <v>54</v>
      </c>
      <c r="O8" s="3" t="s">
        <v>18</v>
      </c>
      <c r="P8" s="136" t="s">
        <v>14</v>
      </c>
      <c r="Q8" s="136"/>
    </row>
    <row r="9" spans="2:17" ht="12" customHeight="1" thickBot="1" x14ac:dyDescent="0.3">
      <c r="B9" s="7" t="s">
        <v>3</v>
      </c>
      <c r="C9" s="132"/>
      <c r="D9" s="134"/>
      <c r="E9" s="39" t="s">
        <v>5</v>
      </c>
      <c r="F9" s="43" t="s">
        <v>6</v>
      </c>
      <c r="G9" s="8" t="s">
        <v>6</v>
      </c>
      <c r="H9" s="40" t="s">
        <v>7</v>
      </c>
      <c r="I9" s="130" t="s">
        <v>9</v>
      </c>
      <c r="J9" s="130"/>
      <c r="K9" s="130"/>
      <c r="L9" s="60"/>
      <c r="M9" s="7" t="s">
        <v>29</v>
      </c>
      <c r="N9" s="60" t="s">
        <v>55</v>
      </c>
      <c r="O9" s="11" t="s">
        <v>26</v>
      </c>
      <c r="P9" s="12" t="s">
        <v>26</v>
      </c>
      <c r="Q9" s="13" t="s">
        <v>16</v>
      </c>
    </row>
    <row r="10" spans="2:17" ht="15" customHeight="1" x14ac:dyDescent="0.25">
      <c r="B10" s="32" t="str">
        <f>CONCATENATE('Data Entry'!B10, " - ",'Data Entry'!C10)</f>
        <v>2000 - 4855</v>
      </c>
      <c r="C10" s="72" t="str">
        <f>IF('Data Entry'!D10="","",'Data Entry'!D10)</f>
        <v>Rustler (Salt)</v>
      </c>
      <c r="D10" s="73" t="str">
        <f>IF('Data Entry'!E10="","",'Data Entry'!E10)</f>
        <v>Anhydrite / Limestone / Red Shale and Limestone</v>
      </c>
      <c r="E10" s="46" t="str">
        <f>IF(AND('Data Entry'!F10&gt;0,'Data Entry'!G10&gt;0),CONCATENATE('Data Entry'!F10," - ",'Data Entry'!G10),CONCATENATE('Data Entry'!F10,'Data Entry'!G10))</f>
        <v>40 - 45</v>
      </c>
      <c r="F10" s="74" t="str">
        <f>IF(AND('Data Entry'!H10&gt;0,'Data Entry'!I10&gt;0),CONCATENATE('Data Entry'!H10," - ",'Data Entry'!I10),CONCATENATE('Data Entry'!H10,'Data Entry'!I10))</f>
        <v>70 - 80</v>
      </c>
      <c r="G10" s="73" t="str">
        <f>IF(AND('Data Entry'!J10&gt;0,'Data Entry'!K10&gt;0),CONCATENATE('Data Entry'!J10," - ",'Data Entry'!K10),CONCATENATE('Data Entry'!J10,'Data Entry'!K10))</f>
        <v>194 - 204</v>
      </c>
      <c r="H10" s="75">
        <f>IF('Data Entry'!L10="","",'Data Entry'!L10)</f>
        <v>950</v>
      </c>
      <c r="I10" s="63" t="str">
        <f>IF(AND('Data Entry'!M10&gt;0,'Data Entry'!N10&gt;0),CONCATENATE('Data Entry'!M10," - ",'Data Entry'!N10),CONCATENATE('Data Entry'!M10,'Data Entry'!N10))</f>
        <v>350 - 380</v>
      </c>
      <c r="J10" s="47"/>
      <c r="K10" s="46">
        <f>IFERROR(AVERAGE('Data Entry'!M10,'Data Entry'!N10),"")</f>
        <v>365</v>
      </c>
      <c r="L10" s="46"/>
      <c r="M10" s="84">
        <f>'Data Entry'!O10</f>
        <v>0.36683417085427139</v>
      </c>
      <c r="N10" s="112" t="s">
        <v>71</v>
      </c>
      <c r="O10" s="48">
        <f>'Data Entry'!Q10</f>
        <v>7.8219178082191778</v>
      </c>
      <c r="P10" s="49">
        <f>'Data Entry'!R10</f>
        <v>7.8219178082191778</v>
      </c>
      <c r="Q10" s="50">
        <f>'Data Entry'!S10</f>
        <v>365</v>
      </c>
    </row>
    <row r="11" spans="2:17" x14ac:dyDescent="0.25">
      <c r="B11" s="35" t="str">
        <f>CONCATENATE('Data Entry'!B11, " - ",'Data Entry'!C11)</f>
        <v>4855 - 4880</v>
      </c>
      <c r="C11" s="51" t="str">
        <f>IF('Data Entry'!D11="","",'Data Entry'!D11)</f>
        <v>Lamar (Delaware)</v>
      </c>
      <c r="D11" s="76" t="str">
        <f>IF('Data Entry'!E11="","",'Data Entry'!E11)</f>
        <v>Limey Shale</v>
      </c>
      <c r="E11" s="52" t="str">
        <f>IF(AND('Data Entry'!F11&gt;0,'Data Entry'!G11&gt;0),CONCATENATE('Data Entry'!F11," - ",'Data Entry'!G11),CONCATENATE('Data Entry'!F11,'Data Entry'!G11))</f>
        <v>45 - 50</v>
      </c>
      <c r="F11" s="77" t="str">
        <f>IF(AND('Data Entry'!H11&gt;0,'Data Entry'!I11&gt;0),CONCATENATE('Data Entry'!H11," - ",'Data Entry'!I11),CONCATENATE('Data Entry'!H11,'Data Entry'!I11))</f>
        <v>60 - 80</v>
      </c>
      <c r="G11" s="76" t="str">
        <f>IF(AND('Data Entry'!J11&gt;0,'Data Entry'!K11&gt;0),CONCATENATE('Data Entry'!J11," - ",'Data Entry'!K11),CONCATENATE('Data Entry'!J11,'Data Entry'!K11))</f>
        <v>184 - 204</v>
      </c>
      <c r="H11" s="53">
        <f>IF('Data Entry'!L11="","",'Data Entry'!L11)</f>
        <v>950</v>
      </c>
      <c r="I11" s="64" t="str">
        <f>IF(AND('Data Entry'!M11&gt;0,'Data Entry'!N11&gt;0),CONCATENATE('Data Entry'!M11," - ",'Data Entry'!N11),CONCATENATE('Data Entry'!M11,'Data Entry'!N11))</f>
        <v>375 - 380</v>
      </c>
      <c r="J11" s="54"/>
      <c r="K11" s="52">
        <f>IFERROR(AVERAGE('Data Entry'!M11,'Data Entry'!N11),"")</f>
        <v>377.5</v>
      </c>
      <c r="L11" s="52"/>
      <c r="M11" s="85">
        <f>'Data Entry'!O11</f>
        <v>0.38917525773195877</v>
      </c>
      <c r="N11" s="113" t="s">
        <v>57</v>
      </c>
      <c r="O11" s="55">
        <f>'Data Entry'!Q11</f>
        <v>6.6225165562913912E-2</v>
      </c>
      <c r="P11" s="56">
        <f>'Data Entry'!R11</f>
        <v>7.8881429737820916</v>
      </c>
      <c r="Q11" s="57">
        <f>'Data Entry'!S11</f>
        <v>365.10494416395443</v>
      </c>
    </row>
    <row r="12" spans="2:17" x14ac:dyDescent="0.25">
      <c r="B12" s="35" t="str">
        <f>CONCATENATE('Data Entry'!B12, " - ",'Data Entry'!C12)</f>
        <v>4880 - 5901</v>
      </c>
      <c r="C12" s="51" t="str">
        <f>IF('Data Entry'!D12="","",'Data Entry'!D12)</f>
        <v>Bell Canyon</v>
      </c>
      <c r="D12" s="76" t="str">
        <f>IF('Data Entry'!E12="","",'Data Entry'!E12)</f>
        <v>Sandstone</v>
      </c>
      <c r="E12" s="52" t="str">
        <f>IF(AND('Data Entry'!F12&gt;0,'Data Entry'!G12&gt;0),CONCATENATE('Data Entry'!F12," - ",'Data Entry'!G12),CONCATENATE('Data Entry'!F12,'Data Entry'!G12))</f>
        <v>50 - 55</v>
      </c>
      <c r="F12" s="77" t="str">
        <f>IF(AND('Data Entry'!H12&gt;0,'Data Entry'!I12&gt;0),CONCATENATE('Data Entry'!H12," - ",'Data Entry'!I12),CONCATENATE('Data Entry'!H12,'Data Entry'!I12))</f>
        <v>60 - 70</v>
      </c>
      <c r="G12" s="76" t="str">
        <f>IF(AND('Data Entry'!J12&gt;0,'Data Entry'!K12&gt;0),CONCATENATE('Data Entry'!J12," - ",'Data Entry'!K12),CONCATENATE('Data Entry'!J12,'Data Entry'!K12))</f>
        <v>184 - 194</v>
      </c>
      <c r="H12" s="53">
        <f>IF('Data Entry'!L12="","",'Data Entry'!L12)</f>
        <v>950</v>
      </c>
      <c r="I12" s="64" t="str">
        <f>IF(AND('Data Entry'!M12&gt;0,'Data Entry'!N12&gt;0),CONCATENATE('Data Entry'!M12," - ",'Data Entry'!N12),CONCATENATE('Data Entry'!M12,'Data Entry'!N12))</f>
        <v>350 - 380</v>
      </c>
      <c r="J12" s="54"/>
      <c r="K12" s="52">
        <f>IFERROR(AVERAGE('Data Entry'!M12,'Data Entry'!N12),"")</f>
        <v>365</v>
      </c>
      <c r="L12" s="52"/>
      <c r="M12" s="85">
        <f>'Data Entry'!O12</f>
        <v>0.38624338624338622</v>
      </c>
      <c r="N12" s="113" t="s">
        <v>58</v>
      </c>
      <c r="O12" s="55">
        <f>'Data Entry'!Q12</f>
        <v>2.7972602739726029</v>
      </c>
      <c r="P12" s="56">
        <f>'Data Entry'!R12</f>
        <v>10.685403247754694</v>
      </c>
      <c r="Q12" s="57">
        <f>'Data Entry'!S12</f>
        <v>365.07747153292604</v>
      </c>
    </row>
    <row r="13" spans="2:17" x14ac:dyDescent="0.25">
      <c r="B13" s="35" t="str">
        <f>CONCATENATE('Data Entry'!B13, " - ",'Data Entry'!C13)</f>
        <v>5901 - 7303</v>
      </c>
      <c r="C13" s="51" t="str">
        <f>IF('Data Entry'!D13="","",'Data Entry'!D13)</f>
        <v>Cherry Canyon</v>
      </c>
      <c r="D13" s="76" t="str">
        <f>IF('Data Entry'!E13="","",'Data Entry'!E13)</f>
        <v>Sandstone</v>
      </c>
      <c r="E13" s="52" t="str">
        <f>IF(AND('Data Entry'!F13&gt;0,'Data Entry'!G13&gt;0),CONCATENATE('Data Entry'!F13," - ",'Data Entry'!G13),CONCATENATE('Data Entry'!F13,'Data Entry'!G13))</f>
        <v>50 - 55</v>
      </c>
      <c r="F13" s="77" t="str">
        <f>IF(AND('Data Entry'!H13&gt;0,'Data Entry'!I13&gt;0),CONCATENATE('Data Entry'!H13," - ",'Data Entry'!I13),CONCATENATE('Data Entry'!H13,'Data Entry'!I13))</f>
        <v>60 - 65</v>
      </c>
      <c r="G13" s="76" t="str">
        <f>IF(AND('Data Entry'!J13&gt;0,'Data Entry'!K13&gt;0),CONCATENATE('Data Entry'!J13," - ",'Data Entry'!K13),CONCATENATE('Data Entry'!J13,'Data Entry'!K13))</f>
        <v>184 - 189</v>
      </c>
      <c r="H13" s="53">
        <f>IF('Data Entry'!L13="","",'Data Entry'!L13)</f>
        <v>950</v>
      </c>
      <c r="I13" s="64" t="str">
        <f>IF(AND('Data Entry'!M13&gt;0,'Data Entry'!N13&gt;0),CONCATENATE('Data Entry'!M13," - ",'Data Entry'!N13),CONCATENATE('Data Entry'!M13,'Data Entry'!N13))</f>
        <v>250 - 275</v>
      </c>
      <c r="J13" s="54"/>
      <c r="K13" s="52">
        <f>IFERROR(AVERAGE('Data Entry'!M13,'Data Entry'!N13),"")</f>
        <v>262.5</v>
      </c>
      <c r="L13" s="52"/>
      <c r="M13" s="85">
        <f>'Data Entry'!O13</f>
        <v>0.28150134048257369</v>
      </c>
      <c r="N13" s="113" t="s">
        <v>56</v>
      </c>
      <c r="O13" s="55">
        <f>'Data Entry'!Q13</f>
        <v>5.3409523809523813</v>
      </c>
      <c r="P13" s="56">
        <f>'Data Entry'!R13</f>
        <v>16.026355628707076</v>
      </c>
      <c r="Q13" s="57">
        <f>'Data Entry'!S13</f>
        <v>330.89244509843803</v>
      </c>
    </row>
    <row r="14" spans="2:17" x14ac:dyDescent="0.25">
      <c r="B14" s="35" t="str">
        <f>CONCATENATE('Data Entry'!B14, " - ",'Data Entry'!C14)</f>
        <v>7303 - 9067</v>
      </c>
      <c r="C14" s="51" t="str">
        <f>IF('Data Entry'!D14="","",'Data Entry'!D14)</f>
        <v>Brushy Canyon</v>
      </c>
      <c r="D14" s="76" t="str">
        <f>IF('Data Entry'!E14="","",'Data Entry'!E14)</f>
        <v>Shale / Sandstone / Pyritic Limestone</v>
      </c>
      <c r="E14" s="52" t="str">
        <f>IF(AND('Data Entry'!F14&gt;0,'Data Entry'!G14&gt;0),CONCATENATE('Data Entry'!F14," - ",'Data Entry'!G14),CONCATENATE('Data Entry'!F14,'Data Entry'!G14))</f>
        <v>40 - 45</v>
      </c>
      <c r="F14" s="77" t="str">
        <f>IF(AND('Data Entry'!H14&gt;0,'Data Entry'!I14&gt;0),CONCATENATE('Data Entry'!H14," - ",'Data Entry'!I14),CONCATENATE('Data Entry'!H14,'Data Entry'!I14))</f>
        <v>50 - 60</v>
      </c>
      <c r="G14" s="76" t="str">
        <f>IF(AND('Data Entry'!J14&gt;0,'Data Entry'!K14&gt;0),CONCATENATE('Data Entry'!J14," - ",'Data Entry'!K14),CONCATENATE('Data Entry'!J14,'Data Entry'!K14))</f>
        <v>174 - 184</v>
      </c>
      <c r="H14" s="53">
        <f>IF('Data Entry'!L14="","",'Data Entry'!L14)</f>
        <v>950</v>
      </c>
      <c r="I14" s="64" t="str">
        <f>IF(AND('Data Entry'!M14&gt;0,'Data Entry'!N14&gt;0),CONCATENATE('Data Entry'!M14," - ",'Data Entry'!N14),CONCATENATE('Data Entry'!M14,'Data Entry'!N14))</f>
        <v>100 - 110</v>
      </c>
      <c r="J14" s="54"/>
      <c r="K14" s="52">
        <f>IFERROR(AVERAGE('Data Entry'!M14,'Data Entry'!N14),"")</f>
        <v>105</v>
      </c>
      <c r="L14" s="52"/>
      <c r="M14" s="85">
        <f>'Data Entry'!O14</f>
        <v>0.11731843575418995</v>
      </c>
      <c r="N14" s="113" t="s">
        <v>59</v>
      </c>
      <c r="O14" s="55">
        <f>'Data Entry'!Q14</f>
        <v>16.8</v>
      </c>
      <c r="P14" s="56">
        <f>'Data Entry'!R14</f>
        <v>32.826355628707077</v>
      </c>
      <c r="Q14" s="57">
        <f>'Data Entry'!S14</f>
        <v>215.28433067421642</v>
      </c>
    </row>
    <row r="15" spans="2:17" x14ac:dyDescent="0.25">
      <c r="B15" s="35" t="str">
        <f>CONCATENATE('Data Entry'!B15, " - ",'Data Entry'!C15)</f>
        <v>9067 - 9186</v>
      </c>
      <c r="C15" s="51" t="str">
        <f>IF('Data Entry'!D15="","",'Data Entry'!D15)</f>
        <v>Upper Avalon</v>
      </c>
      <c r="D15" s="76" t="str">
        <f>IF('Data Entry'!E15="","",'Data Entry'!E15)</f>
        <v>Massive Blocky Limestone</v>
      </c>
      <c r="E15" s="52" t="str">
        <f>IF(AND('Data Entry'!F15&gt;0,'Data Entry'!G15&gt;0),CONCATENATE('Data Entry'!F15," - ",'Data Entry'!G15),CONCATENATE('Data Entry'!F15,'Data Entry'!G15))</f>
        <v>40 - 45</v>
      </c>
      <c r="F15" s="77" t="str">
        <f>IF(AND('Data Entry'!H15&gt;0,'Data Entry'!I15&gt;0),CONCATENATE('Data Entry'!H15," - ",'Data Entry'!I15),CONCATENATE('Data Entry'!H15,'Data Entry'!I15))</f>
        <v>55 - 65</v>
      </c>
      <c r="G15" s="76" t="str">
        <f>IF(AND('Data Entry'!J15&gt;0,'Data Entry'!K15&gt;0),CONCATENATE('Data Entry'!J15," - ",'Data Entry'!K15),CONCATENATE('Data Entry'!J15,'Data Entry'!K15))</f>
        <v>179 - 189</v>
      </c>
      <c r="H15" s="53">
        <f>IF('Data Entry'!L15="","",'Data Entry'!L15)</f>
        <v>950</v>
      </c>
      <c r="I15" s="64" t="str">
        <f>IF(AND('Data Entry'!M15&gt;0,'Data Entry'!N15&gt;0),CONCATENATE('Data Entry'!M15," - ",'Data Entry'!N15),CONCATENATE('Data Entry'!M15,'Data Entry'!N15))</f>
        <v>110 - 120</v>
      </c>
      <c r="J15" s="54"/>
      <c r="K15" s="52">
        <f>IFERROR(AVERAGE('Data Entry'!M15,'Data Entry'!N15),"")</f>
        <v>115</v>
      </c>
      <c r="L15" s="52"/>
      <c r="M15" s="85">
        <f>'Data Entry'!O15</f>
        <v>0.125</v>
      </c>
      <c r="N15" s="113" t="s">
        <v>63</v>
      </c>
      <c r="O15" s="55">
        <f>'Data Entry'!Q15</f>
        <v>1.0347826086956522</v>
      </c>
      <c r="P15" s="56">
        <f>'Data Entry'!R15</f>
        <v>33.861138237402727</v>
      </c>
      <c r="Q15" s="57">
        <f>'Data Entry'!S15</f>
        <v>212.21968232781984</v>
      </c>
    </row>
    <row r="16" spans="2:17" x14ac:dyDescent="0.25">
      <c r="B16" s="35" t="str">
        <f>CONCATENATE('Data Entry'!B16, " - ",'Data Entry'!C16)</f>
        <v>9186 - 10007</v>
      </c>
      <c r="C16" s="51" t="str">
        <f>IF('Data Entry'!D16="","",'Data Entry'!D16)</f>
        <v>Avalon Lime</v>
      </c>
      <c r="D16" s="76" t="str">
        <f>IF('Data Entry'!E16="","",'Data Entry'!E16)</f>
        <v>Massive Blocky Limestone</v>
      </c>
      <c r="E16" s="52" t="str">
        <f>IF(AND('Data Entry'!F16&gt;0,'Data Entry'!G16&gt;0),CONCATENATE('Data Entry'!F16," - ",'Data Entry'!G16),CONCATENATE('Data Entry'!F16,'Data Entry'!G16))</f>
        <v>40 - 45</v>
      </c>
      <c r="F16" s="77" t="str">
        <f>IF(AND('Data Entry'!H16&gt;0,'Data Entry'!I16&gt;0),CONCATENATE('Data Entry'!H16," - ",'Data Entry'!I16),CONCATENATE('Data Entry'!H16,'Data Entry'!I16))</f>
        <v>50 - 60</v>
      </c>
      <c r="G16" s="76" t="str">
        <f>IF(AND('Data Entry'!J16&gt;0,'Data Entry'!K16&gt;0),CONCATENATE('Data Entry'!J16," - ",'Data Entry'!K16),CONCATENATE('Data Entry'!J16,'Data Entry'!K16))</f>
        <v>174 - 184</v>
      </c>
      <c r="H16" s="53">
        <f>IF('Data Entry'!L16="","",'Data Entry'!L16)</f>
        <v>950</v>
      </c>
      <c r="I16" s="64" t="str">
        <f>IF(AND('Data Entry'!M16&gt;0,'Data Entry'!N16&gt;0),CONCATENATE('Data Entry'!M16," - ",'Data Entry'!N16),CONCATENATE('Data Entry'!M16,'Data Entry'!N16))</f>
        <v>50 - 60</v>
      </c>
      <c r="J16" s="54"/>
      <c r="K16" s="52">
        <f>IFERROR(AVERAGE('Data Entry'!M16,'Data Entry'!N16),"")</f>
        <v>55</v>
      </c>
      <c r="L16" s="52"/>
      <c r="M16" s="85">
        <f>'Data Entry'!O16</f>
        <v>6.1452513966480445E-2</v>
      </c>
      <c r="N16" s="113" t="s">
        <v>64</v>
      </c>
      <c r="O16" s="55">
        <f>'Data Entry'!Q16</f>
        <v>14.927272727272728</v>
      </c>
      <c r="P16" s="56">
        <f>'Data Entry'!R16</f>
        <v>48.788410964675457</v>
      </c>
      <c r="Q16" s="57">
        <f>'Data Entry'!S16</f>
        <v>164.11684335850481</v>
      </c>
    </row>
    <row r="17" spans="2:17" x14ac:dyDescent="0.25">
      <c r="B17" s="35" t="str">
        <f>CONCATENATE('Data Entry'!B17, " - ",'Data Entry'!C17)</f>
        <v>10007 - 10232</v>
      </c>
      <c r="C17" s="51" t="s">
        <v>62</v>
      </c>
      <c r="D17" s="76" t="str">
        <f>IF('Data Entry'!E17="","",'Data Entry'!E17)</f>
        <v>Sandstone / Siltstone / Shale</v>
      </c>
      <c r="E17" s="52" t="str">
        <f>IF(AND('Data Entry'!F17&gt;0,'Data Entry'!G17&gt;0),CONCATENATE('Data Entry'!F17," - ",'Data Entry'!G17),CONCATENATE('Data Entry'!F17,'Data Entry'!G17))</f>
        <v>45 - 50</v>
      </c>
      <c r="F17" s="77" t="str">
        <f>IF(AND('Data Entry'!H17&gt;0,'Data Entry'!I17&gt;0),CONCATENATE('Data Entry'!H17," - ",'Data Entry'!I17),CONCATENATE('Data Entry'!H17,'Data Entry'!I17))</f>
        <v>60 - 70</v>
      </c>
      <c r="G17" s="76" t="str">
        <f>IF(AND('Data Entry'!J17&gt;0,'Data Entry'!K17&gt;0),CONCATENATE('Data Entry'!J17," - ",'Data Entry'!K17),CONCATENATE('Data Entry'!J17,'Data Entry'!K17))</f>
        <v>184 - 194</v>
      </c>
      <c r="H17" s="53">
        <f>IF('Data Entry'!L17="","",'Data Entry'!L17)</f>
        <v>950</v>
      </c>
      <c r="I17" s="64" t="str">
        <f>IF(AND('Data Entry'!M17&gt;0,'Data Entry'!N17&gt;0),CONCATENATE('Data Entry'!M17," - ",'Data Entry'!N17),CONCATENATE('Data Entry'!M17,'Data Entry'!N17))</f>
        <v>80 - 120</v>
      </c>
      <c r="J17" s="54"/>
      <c r="K17" s="52">
        <f>IFERROR(AVERAGE('Data Entry'!M17,'Data Entry'!N17),"")</f>
        <v>100</v>
      </c>
      <c r="L17" s="52"/>
      <c r="M17" s="85">
        <f>'Data Entry'!O17</f>
        <v>0.10582010582010581</v>
      </c>
      <c r="N17" s="113" t="s">
        <v>65</v>
      </c>
      <c r="O17" s="55">
        <f>'Data Entry'!Q17</f>
        <v>2.25</v>
      </c>
      <c r="P17" s="56">
        <f>'Data Entry'!R17</f>
        <v>51.038410964675457</v>
      </c>
      <c r="Q17" s="57">
        <f>'Data Entry'!S17</f>
        <v>161.29028793034928</v>
      </c>
    </row>
    <row r="18" spans="2:17" x14ac:dyDescent="0.25">
      <c r="B18" s="35" t="str">
        <f>CONCATENATE('Data Entry'!B18, " - ",'Data Entry'!C18)</f>
        <v>10232 - 10524</v>
      </c>
      <c r="C18" s="51" t="str">
        <f>IF('Data Entry'!D18="","",'Data Entry'!D18)</f>
        <v>2 Bone Springs Lime</v>
      </c>
      <c r="D18" s="76" t="str">
        <f>IF('Data Entry'!E18="","",'Data Entry'!E18)</f>
        <v>Intercalated Limestone &amp; Shale</v>
      </c>
      <c r="E18" s="52" t="str">
        <f>IF(AND('Data Entry'!F18&gt;0,'Data Entry'!G18&gt;0),CONCATENATE('Data Entry'!F18," - ",'Data Entry'!G18),CONCATENATE('Data Entry'!F18,'Data Entry'!G18))</f>
        <v>35 - 40</v>
      </c>
      <c r="F18" s="77" t="str">
        <f>IF(AND('Data Entry'!H18&gt;0,'Data Entry'!I18&gt;0),CONCATENATE('Data Entry'!H18," - ",'Data Entry'!I18),CONCATENATE('Data Entry'!H18,'Data Entry'!I18))</f>
        <v>55 - 60</v>
      </c>
      <c r="G18" s="76" t="str">
        <f>IF(AND('Data Entry'!J18&gt;0,'Data Entry'!K18&gt;0),CONCATENATE('Data Entry'!J18," - ",'Data Entry'!K18),CONCATENATE('Data Entry'!J18,'Data Entry'!K18))</f>
        <v>179 - 184</v>
      </c>
      <c r="H18" s="53">
        <f>IF('Data Entry'!L18="","",'Data Entry'!L18)</f>
        <v>950</v>
      </c>
      <c r="I18" s="64" t="str">
        <f>IF(AND('Data Entry'!M18&gt;0,'Data Entry'!N18&gt;0),CONCATENATE('Data Entry'!M18," - ",'Data Entry'!N18),CONCATENATE('Data Entry'!M18,'Data Entry'!N18))</f>
        <v>40 - 50</v>
      </c>
      <c r="J18" s="54"/>
      <c r="K18" s="52">
        <f>IFERROR(AVERAGE('Data Entry'!M18,'Data Entry'!N18),"")</f>
        <v>45</v>
      </c>
      <c r="L18" s="52"/>
      <c r="M18" s="85">
        <f>'Data Entry'!O18</f>
        <v>4.9586776859504134E-2</v>
      </c>
      <c r="N18" s="113" t="s">
        <v>66</v>
      </c>
      <c r="O18" s="55">
        <f>'Data Entry'!Q18</f>
        <v>6.4888888888888889</v>
      </c>
      <c r="P18" s="56">
        <f>'Data Entry'!R18</f>
        <v>57.527299853564344</v>
      </c>
      <c r="Q18" s="57">
        <f>'Data Entry'!S18</f>
        <v>148.17312861368131</v>
      </c>
    </row>
    <row r="19" spans="2:17" x14ac:dyDescent="0.25">
      <c r="B19" s="35" t="str">
        <f>CONCATENATE('Data Entry'!B19, " - ",'Data Entry'!C19)</f>
        <v>10524 - 10996</v>
      </c>
      <c r="C19" s="51" t="str">
        <f>IF('Data Entry'!D19="","",'Data Entry'!D19)</f>
        <v>2 Bone Springs Sand</v>
      </c>
      <c r="D19" s="76" t="str">
        <f>IF('Data Entry'!E19="","",'Data Entry'!E19)</f>
        <v>Sandstone / Siltstone / Shale</v>
      </c>
      <c r="E19" s="52" t="str">
        <f>IF(AND('Data Entry'!F19&gt;0,'Data Entry'!G19&gt;0),CONCATENATE('Data Entry'!F19," - ",'Data Entry'!G19),CONCATENATE('Data Entry'!F19,'Data Entry'!G19))</f>
        <v>20 - 30</v>
      </c>
      <c r="F19" s="77" t="str">
        <f>IF(AND('Data Entry'!H19&gt;0,'Data Entry'!I19&gt;0),CONCATENATE('Data Entry'!H19," - ",'Data Entry'!I19),CONCATENATE('Data Entry'!H19,'Data Entry'!I19))</f>
        <v>40 - 50</v>
      </c>
      <c r="G19" s="76" t="str">
        <f>IF(AND('Data Entry'!J19&gt;0,'Data Entry'!K19&gt;0),CONCATENATE('Data Entry'!J19," - ",'Data Entry'!K19),CONCATENATE('Data Entry'!J19,'Data Entry'!K19))</f>
        <v>164 - 174</v>
      </c>
      <c r="H19" s="53">
        <f>IF('Data Entry'!L19="","",'Data Entry'!L19)</f>
        <v>950</v>
      </c>
      <c r="I19" s="64" t="str">
        <f>IF(AND('Data Entry'!M19&gt;0,'Data Entry'!N19&gt;0),CONCATENATE('Data Entry'!M19," - ",'Data Entry'!N19),CONCATENATE('Data Entry'!M19,'Data Entry'!N19))</f>
        <v>80 - 100</v>
      </c>
      <c r="J19" s="54"/>
      <c r="K19" s="52">
        <f>IFERROR(AVERAGE('Data Entry'!M19,'Data Entry'!N19),"")</f>
        <v>90</v>
      </c>
      <c r="L19" s="52"/>
      <c r="M19" s="85">
        <f>'Data Entry'!O19</f>
        <v>0.10650887573964497</v>
      </c>
      <c r="N19" s="113" t="s">
        <v>67</v>
      </c>
      <c r="O19" s="55">
        <f>'Data Entry'!Q19</f>
        <v>5.2444444444444445</v>
      </c>
      <c r="P19" s="56">
        <f>'Data Entry'!R19</f>
        <v>62.771744298008791</v>
      </c>
      <c r="Q19" s="57">
        <f>'Data Entry'!S19</f>
        <v>143.31288863491667</v>
      </c>
    </row>
    <row r="20" spans="2:17" x14ac:dyDescent="0.25">
      <c r="B20" s="35" t="str">
        <f>CONCATENATE('Data Entry'!B20, " - ",'Data Entry'!C20)</f>
        <v>10996 - 11170</v>
      </c>
      <c r="C20" s="51" t="str">
        <f>IF('Data Entry'!D20="","",'Data Entry'!D20)</f>
        <v>3 Bone Springs Lime</v>
      </c>
      <c r="D20" s="76" t="str">
        <f>IF('Data Entry'!E20="","",'Data Entry'!E20)</f>
        <v>Intercalated Limestone &amp; Shale</v>
      </c>
      <c r="E20" s="52" t="str">
        <f>IF(AND('Data Entry'!F20&gt;0,'Data Entry'!G20&gt;0),CONCATENATE('Data Entry'!F20," - ",'Data Entry'!G20),CONCATENATE('Data Entry'!F20,'Data Entry'!G20))</f>
        <v>30 - 35</v>
      </c>
      <c r="F20" s="77" t="str">
        <f>IF(AND('Data Entry'!H20&gt;0,'Data Entry'!I20&gt;0),CONCATENATE('Data Entry'!H20," - ",'Data Entry'!I20),CONCATENATE('Data Entry'!H20,'Data Entry'!I20))</f>
        <v>70 - 80</v>
      </c>
      <c r="G20" s="76" t="str">
        <f>IF(AND('Data Entry'!J20&gt;0,'Data Entry'!K20&gt;0),CONCATENATE('Data Entry'!J20," - ",'Data Entry'!K20),CONCATENATE('Data Entry'!J20,'Data Entry'!K20))</f>
        <v>194 - 204</v>
      </c>
      <c r="H20" s="53">
        <f>IF('Data Entry'!L20="","",'Data Entry'!L20)</f>
        <v>950</v>
      </c>
      <c r="I20" s="64" t="str">
        <f>IF(AND('Data Entry'!M20&gt;0,'Data Entry'!N20&gt;0),CONCATENATE('Data Entry'!M20," - ",'Data Entry'!N20),CONCATENATE('Data Entry'!M20,'Data Entry'!N20))</f>
        <v>70 - 80</v>
      </c>
      <c r="J20" s="54"/>
      <c r="K20" s="52">
        <f>IFERROR(AVERAGE('Data Entry'!M20,'Data Entry'!N20),"")</f>
        <v>75</v>
      </c>
      <c r="L20" s="52"/>
      <c r="M20" s="85">
        <f>'Data Entry'!O20</f>
        <v>7.537688442211056E-2</v>
      </c>
      <c r="N20" s="113" t="s">
        <v>68</v>
      </c>
      <c r="O20" s="55">
        <f>'Data Entry'!Q20</f>
        <v>2.3199999999999998</v>
      </c>
      <c r="P20" s="56">
        <f>'Data Entry'!R20</f>
        <v>65.091744298008791</v>
      </c>
      <c r="Q20" s="57">
        <f>'Data Entry'!S20</f>
        <v>140.87808060599963</v>
      </c>
    </row>
    <row r="21" spans="2:17" x14ac:dyDescent="0.25">
      <c r="B21" s="35" t="str">
        <f>CONCATENATE('Data Entry'!B21, " - ",'Data Entry'!C21)</f>
        <v>11170 - 11628</v>
      </c>
      <c r="C21" s="51" t="str">
        <f>IF('Data Entry'!D21="","",'Data Entry'!D21)</f>
        <v>Harkey Sand</v>
      </c>
      <c r="D21" s="76" t="str">
        <f>IF('Data Entry'!E21="","",'Data Entry'!E21)</f>
        <v>Sandstone / Siltstone / Shale</v>
      </c>
      <c r="E21" s="52" t="str">
        <f>IF(AND('Data Entry'!F21&gt;0,'Data Entry'!G21&gt;0),CONCATENATE('Data Entry'!F21," - ",'Data Entry'!G21),CONCATENATE('Data Entry'!F21,'Data Entry'!G21))</f>
        <v>45 - 50</v>
      </c>
      <c r="F21" s="77" t="str">
        <f>IF(AND('Data Entry'!H21&gt;0,'Data Entry'!I21&gt;0),CONCATENATE('Data Entry'!H21," - ",'Data Entry'!I21),CONCATENATE('Data Entry'!H21,'Data Entry'!I21))</f>
        <v>60 - 70</v>
      </c>
      <c r="G21" s="76" t="str">
        <f>IF(AND('Data Entry'!J21&gt;0,'Data Entry'!K21&gt;0),CONCATENATE('Data Entry'!J21," - ",'Data Entry'!K21),CONCATENATE('Data Entry'!J21,'Data Entry'!K21))</f>
        <v>184 - 194</v>
      </c>
      <c r="H21" s="53">
        <f>IF('Data Entry'!L21="","",'Data Entry'!L21)</f>
        <v>950</v>
      </c>
      <c r="I21" s="64" t="str">
        <f>IF(AND('Data Entry'!M21&gt;0,'Data Entry'!N21&gt;0),CONCATENATE('Data Entry'!M21," - ",'Data Entry'!N21),CONCATENATE('Data Entry'!M21,'Data Entry'!N21))</f>
        <v>90 - 110</v>
      </c>
      <c r="J21" s="54"/>
      <c r="K21" s="52">
        <f>IFERROR(AVERAGE('Data Entry'!M21,'Data Entry'!N21),"")</f>
        <v>100</v>
      </c>
      <c r="L21" s="52"/>
      <c r="M21" s="85">
        <f>'Data Entry'!O21</f>
        <v>0.10582010582010581</v>
      </c>
      <c r="N21" s="113" t="s">
        <v>69</v>
      </c>
      <c r="O21" s="55">
        <f>'Data Entry'!Q21</f>
        <v>4.58</v>
      </c>
      <c r="P21" s="56">
        <f>'Data Entry'!R21</f>
        <v>69.67174429800879</v>
      </c>
      <c r="Q21" s="57">
        <f>'Data Entry'!S21</f>
        <v>138.19088494207784</v>
      </c>
    </row>
    <row r="22" spans="2:17" ht="15.75" thickBot="1" x14ac:dyDescent="0.3">
      <c r="B22" s="58" t="str">
        <f>CONCATENATE('Data Entry'!B22, " - ",'Data Entry'!C22)</f>
        <v>11628 - 11800</v>
      </c>
      <c r="C22" s="114" t="str">
        <f>IF('Data Entry'!D22="","",'Data Entry'!D22)</f>
        <v>3 Bone Springs Sand</v>
      </c>
      <c r="D22" s="115" t="str">
        <f>IF('Data Entry'!E22="","",'Data Entry'!E22)</f>
        <v>Carbonate Sandstone / Siltstone / Shale</v>
      </c>
      <c r="E22" s="116" t="str">
        <f>IF(AND('Data Entry'!F22&gt;0,'Data Entry'!G22&gt;0),CONCATENATE('Data Entry'!F22," - ",'Data Entry'!G22),CONCATENATE('Data Entry'!F22,'Data Entry'!G22))</f>
        <v>30 - 40</v>
      </c>
      <c r="F22" s="117" t="str">
        <f>IF(AND('Data Entry'!H22&gt;0,'Data Entry'!I22&gt;0),CONCATENATE('Data Entry'!H22," - ",'Data Entry'!I22),CONCATENATE('Data Entry'!H22,'Data Entry'!I22))</f>
        <v>60 - 70</v>
      </c>
      <c r="G22" s="115" t="str">
        <f>IF(AND('Data Entry'!J22&gt;0,'Data Entry'!K22&gt;0),CONCATENATE('Data Entry'!J22," - ",'Data Entry'!K22),CONCATENATE('Data Entry'!J22,'Data Entry'!K22))</f>
        <v>184 - 194</v>
      </c>
      <c r="H22" s="59">
        <f>IF('Data Entry'!L22="","",'Data Entry'!L22)</f>
        <v>950</v>
      </c>
      <c r="I22" s="118" t="str">
        <f>IF(AND('Data Entry'!M22&gt;0,'Data Entry'!N22&gt;0),CONCATENATE('Data Entry'!M22," - ",'Data Entry'!N22),CONCATENATE('Data Entry'!M22,'Data Entry'!N22))</f>
        <v>120 - 140</v>
      </c>
      <c r="J22" s="119"/>
      <c r="K22" s="116">
        <f>IFERROR(AVERAGE('Data Entry'!M22,'Data Entry'!N22),"")</f>
        <v>130</v>
      </c>
      <c r="L22" s="116"/>
      <c r="M22" s="120">
        <f>'Data Entry'!O22</f>
        <v>0.13756613756613759</v>
      </c>
      <c r="N22" s="121" t="s">
        <v>70</v>
      </c>
      <c r="O22" s="122">
        <f>'Data Entry'!Q22</f>
        <v>1.323076923076923</v>
      </c>
      <c r="P22" s="123">
        <f>'Data Entry'!R22</f>
        <v>70.994821221085715</v>
      </c>
      <c r="Q22" s="124">
        <f>'Data Entry'!S22</f>
        <v>138.03823759879214</v>
      </c>
    </row>
    <row r="23" spans="2:17" ht="15.75" thickTop="1" x14ac:dyDescent="0.25">
      <c r="B23" s="69"/>
      <c r="C23" s="152" t="str">
        <f>'Data Entry'!X17</f>
        <v>* If you enter the 1 Bone Springs Sand at ≈ 100 ROP then the bit should still be green</v>
      </c>
      <c r="D23" s="152"/>
      <c r="E23" s="152"/>
      <c r="F23" s="152"/>
      <c r="G23" s="152"/>
      <c r="H23" s="152"/>
      <c r="I23" s="152"/>
      <c r="J23" s="69"/>
      <c r="K23" s="69"/>
      <c r="L23" s="69"/>
      <c r="M23" s="86">
        <f>'Data Entry'!$O$23</f>
        <v>0.15041728974178389</v>
      </c>
      <c r="N23" s="86"/>
      <c r="O23" s="70">
        <f>'Data Entry'!$Q$23</f>
        <v>70.994821221085715</v>
      </c>
      <c r="P23" s="69"/>
      <c r="Q23" s="71">
        <f>'Data Entry'!$S$23</f>
        <v>138.03823759879214</v>
      </c>
    </row>
    <row r="24" spans="2:17" x14ac:dyDescent="0.25">
      <c r="O24" s="9">
        <f>'Data Entry'!$Q$24</f>
        <v>2.9581175508785713</v>
      </c>
    </row>
    <row r="48" spans="2:17" ht="3.95" customHeight="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7:17" x14ac:dyDescent="0.25">
      <c r="Q49" s="14">
        <f>IF('Data Entry'!$B$5="","",'Data Entry'!$B$5)</f>
        <v>5749</v>
      </c>
    </row>
  </sheetData>
  <mergeCells count="9">
    <mergeCell ref="C23:I23"/>
    <mergeCell ref="O7:Q7"/>
    <mergeCell ref="B5:Q5"/>
    <mergeCell ref="B2:Q2"/>
    <mergeCell ref="I9:K9"/>
    <mergeCell ref="C8:C9"/>
    <mergeCell ref="D8:D9"/>
    <mergeCell ref="I8:K8"/>
    <mergeCell ref="P8:Q8"/>
  </mergeCells>
  <conditionalFormatting sqref="I10:J2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L22">
    <cfRule type="dataBar" priority="11">
      <dataBar showValue="0">
        <cfvo type="min"/>
        <cfvo type="max"/>
        <color rgb="FFEF4123"/>
      </dataBar>
      <extLst>
        <ext xmlns:x14="http://schemas.microsoft.com/office/spreadsheetml/2009/9/main" uri="{B025F937-C7B1-47D3-B67F-A62EFF666E3E}">
          <x14:id>{06D989B7-E5D0-4FA2-9FB4-1072EAE50395}</x14:id>
        </ext>
      </extLst>
    </cfRule>
  </conditionalFormatting>
  <pageMargins left="0.25" right="0.25" top="0.25" bottom="0.25" header="0.3" footer="0.3"/>
  <pageSetup scale="7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D989B7-E5D0-4FA2-9FB4-1072EAE50395}">
            <x14:dataBar minLength="0" maxLength="100" border="1" gradient="0" direction="leftToRight">
              <x14:cfvo type="autoMin"/>
              <x14:cfvo type="autoMax"/>
              <x14:borderColor theme="1"/>
              <x14:negativeFillColor rgb="FFFF0000"/>
              <x14:axisColor rgb="FF000000"/>
            </x14:dataBar>
          </x14:cfRule>
          <xm:sqref>K10:L22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364D-FCA6-41A7-A7C5-43EF9CA8AAD8}">
  <dimension ref="B2:X24"/>
  <sheetViews>
    <sheetView showGridLines="0" zoomScaleNormal="100" workbookViewId="0">
      <selection activeCell="D17" sqref="D17"/>
    </sheetView>
  </sheetViews>
  <sheetFormatPr defaultRowHeight="15" x14ac:dyDescent="0.25"/>
  <cols>
    <col min="1" max="1" width="2.7109375" customWidth="1"/>
    <col min="2" max="3" width="8.7109375" customWidth="1"/>
    <col min="4" max="4" width="18.85546875" bestFit="1" customWidth="1"/>
    <col min="5" max="5" width="45.85546875" bestFit="1" customWidth="1"/>
    <col min="6" max="6" width="4.5703125" bestFit="1" customWidth="1"/>
    <col min="7" max="7" width="5" bestFit="1" customWidth="1"/>
    <col min="8" max="8" width="4.5703125" bestFit="1" customWidth="1"/>
    <col min="9" max="9" width="5" bestFit="1" customWidth="1"/>
    <col min="10" max="10" width="4.5703125" bestFit="1" customWidth="1"/>
    <col min="11" max="11" width="5" bestFit="1" customWidth="1"/>
    <col min="12" max="12" width="6.85546875" bestFit="1" customWidth="1"/>
    <col min="13" max="13" width="4.5703125" bestFit="1" customWidth="1"/>
    <col min="14" max="14" width="5" bestFit="1" customWidth="1"/>
    <col min="15" max="15" width="6.28515625" bestFit="1" customWidth="1"/>
    <col min="16" max="16" width="9" style="62" hidden="1" customWidth="1"/>
    <col min="17" max="17" width="9" bestFit="1" customWidth="1"/>
    <col min="18" max="18" width="5.140625" bestFit="1" customWidth="1"/>
    <col min="19" max="19" width="8.140625" bestFit="1" customWidth="1"/>
    <col min="20" max="20" width="2.7109375" customWidth="1"/>
  </cols>
  <sheetData>
    <row r="2" spans="2:23" x14ac:dyDescent="0.25">
      <c r="B2" s="129" t="s">
        <v>31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</row>
    <row r="3" spans="2:23" x14ac:dyDescent="0.25"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</row>
    <row r="4" spans="2:23" x14ac:dyDescent="0.25">
      <c r="B4" s="137" t="s">
        <v>32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</row>
    <row r="5" spans="2:23" ht="15.75" thickBot="1" x14ac:dyDescent="0.3">
      <c r="B5" s="137">
        <v>5749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</row>
    <row r="6" spans="2:23" ht="15.75" thickTop="1" x14ac:dyDescent="0.25">
      <c r="U6" s="138" t="s">
        <v>23</v>
      </c>
      <c r="V6" s="139"/>
      <c r="W6" s="140"/>
    </row>
    <row r="7" spans="2:23" ht="15.75" thickBot="1" x14ac:dyDescent="0.3">
      <c r="L7" s="1">
        <v>0.13</v>
      </c>
      <c r="Q7" s="125" t="s">
        <v>15</v>
      </c>
      <c r="R7" s="126"/>
      <c r="S7" s="127"/>
      <c r="U7" s="141" t="s">
        <v>24</v>
      </c>
      <c r="V7" s="142"/>
      <c r="W7" s="143"/>
    </row>
    <row r="8" spans="2:23" ht="16.5" thickTop="1" thickBot="1" x14ac:dyDescent="0.3">
      <c r="B8" s="146" t="s">
        <v>45</v>
      </c>
      <c r="C8" s="145"/>
      <c r="D8" s="147" t="s">
        <v>11</v>
      </c>
      <c r="E8" s="149" t="s">
        <v>1</v>
      </c>
      <c r="F8" s="144" t="s">
        <v>0</v>
      </c>
      <c r="G8" s="145"/>
      <c r="H8" s="144" t="s">
        <v>21</v>
      </c>
      <c r="I8" s="145"/>
      <c r="J8" s="144" t="s">
        <v>22</v>
      </c>
      <c r="K8" s="145"/>
      <c r="L8" s="65" t="s">
        <v>8</v>
      </c>
      <c r="M8" s="144" t="s">
        <v>16</v>
      </c>
      <c r="N8" s="145"/>
      <c r="O8" s="61" t="s">
        <v>28</v>
      </c>
      <c r="Q8" s="3" t="s">
        <v>18</v>
      </c>
      <c r="R8" s="136" t="s">
        <v>14</v>
      </c>
      <c r="S8" s="136"/>
      <c r="U8" s="36" t="s">
        <v>4</v>
      </c>
      <c r="V8" s="37" t="s">
        <v>16</v>
      </c>
      <c r="W8" s="38" t="s">
        <v>17</v>
      </c>
    </row>
    <row r="9" spans="2:23" ht="15.75" thickBot="1" x14ac:dyDescent="0.3">
      <c r="B9" s="26" t="s">
        <v>19</v>
      </c>
      <c r="C9" s="27" t="s">
        <v>20</v>
      </c>
      <c r="D9" s="148"/>
      <c r="E9" s="150"/>
      <c r="F9" s="28" t="s">
        <v>12</v>
      </c>
      <c r="G9" s="29" t="s">
        <v>13</v>
      </c>
      <c r="H9" s="28" t="s">
        <v>12</v>
      </c>
      <c r="I9" s="29" t="s">
        <v>13</v>
      </c>
      <c r="J9" s="28" t="s">
        <v>12</v>
      </c>
      <c r="K9" s="29" t="s">
        <v>13</v>
      </c>
      <c r="L9" s="66" t="s">
        <v>7</v>
      </c>
      <c r="M9" s="28" t="s">
        <v>12</v>
      </c>
      <c r="N9" s="29" t="s">
        <v>13</v>
      </c>
      <c r="O9" s="28" t="s">
        <v>30</v>
      </c>
      <c r="P9" s="83" t="s">
        <v>53</v>
      </c>
      <c r="Q9" s="11" t="s">
        <v>26</v>
      </c>
      <c r="R9" s="12" t="s">
        <v>26</v>
      </c>
      <c r="S9" s="13" t="s">
        <v>16</v>
      </c>
      <c r="U9" s="17">
        <f>'Data Entry'!$B$10</f>
        <v>2000</v>
      </c>
      <c r="V9" s="15">
        <f>AVERAGE($M$10,$N$10)</f>
        <v>365</v>
      </c>
      <c r="W9" s="106">
        <v>0</v>
      </c>
    </row>
    <row r="10" spans="2:23" x14ac:dyDescent="0.25">
      <c r="B10" s="81">
        <v>2000</v>
      </c>
      <c r="C10" s="30">
        <v>4855</v>
      </c>
      <c r="D10" s="51" t="s">
        <v>33</v>
      </c>
      <c r="E10" s="78" t="s">
        <v>46</v>
      </c>
      <c r="F10" s="22">
        <v>40</v>
      </c>
      <c r="G10" s="23">
        <v>45</v>
      </c>
      <c r="H10" s="24">
        <v>70</v>
      </c>
      <c r="I10" s="25">
        <v>80</v>
      </c>
      <c r="J10" s="44">
        <f>ROUND('Data Entry'!$H10+('Data Entry'!$L10*'Data Entry'!$L$7),0)</f>
        <v>194</v>
      </c>
      <c r="K10" s="45">
        <f>ROUND('Data Entry'!$I10+('Data Entry'!$L10*'Data Entry'!$L$7),0)</f>
        <v>204</v>
      </c>
      <c r="L10" s="53">
        <v>950</v>
      </c>
      <c r="M10" s="31">
        <v>350</v>
      </c>
      <c r="N10" s="32">
        <v>380</v>
      </c>
      <c r="O10" s="68">
        <f t="shared" ref="O10:O21" si="0">(($C10-$B10)*12)/(AVERAGE($J10,$K10)*60*$Q10)</f>
        <v>0.36683417085427139</v>
      </c>
      <c r="P10" s="90">
        <f t="shared" ref="P10:P22" si="1">(AVERAGE($J10,$K10)*60*$Q10)</f>
        <v>93393.698630136976</v>
      </c>
      <c r="Q10" s="87">
        <f t="shared" ref="Q10:Q22" si="2">IFERROR(IF(AND($B10&gt;0,$C10&gt;0,$M10&gt;0,N10&gt;0),($C10-$B10)/AVERAGE($M10,$N10),""),"")</f>
        <v>7.8219178082191778</v>
      </c>
      <c r="R10" s="110">
        <f>SUM($Q$10:$Q10)</f>
        <v>7.8219178082191778</v>
      </c>
      <c r="S10" s="88">
        <f t="shared" ref="S10:S22" si="3">($C10-$B$10)/$R10</f>
        <v>365</v>
      </c>
      <c r="U10" s="18">
        <f>'Data Entry'!$C10</f>
        <v>4855</v>
      </c>
      <c r="V10" s="16">
        <f>AVERAGE($M10,$N10)</f>
        <v>365</v>
      </c>
      <c r="W10" s="19">
        <f>$R10</f>
        <v>7.8219178082191778</v>
      </c>
    </row>
    <row r="11" spans="2:23" x14ac:dyDescent="0.25">
      <c r="B11" s="67">
        <f>C10</f>
        <v>4855</v>
      </c>
      <c r="C11" s="33">
        <v>4880</v>
      </c>
      <c r="D11" s="51" t="s">
        <v>47</v>
      </c>
      <c r="E11" s="78" t="s">
        <v>27</v>
      </c>
      <c r="F11" s="24">
        <v>45</v>
      </c>
      <c r="G11" s="25">
        <v>50</v>
      </c>
      <c r="H11" s="24">
        <v>60</v>
      </c>
      <c r="I11" s="25">
        <v>80</v>
      </c>
      <c r="J11" s="44">
        <f>ROUND('Data Entry'!$H11+('Data Entry'!$L11*'Data Entry'!$L$7),0)</f>
        <v>184</v>
      </c>
      <c r="K11" s="45">
        <f>ROUND('Data Entry'!$I11+('Data Entry'!$L11*'Data Entry'!$L$7),0)</f>
        <v>204</v>
      </c>
      <c r="L11" s="53">
        <v>950</v>
      </c>
      <c r="M11" s="34">
        <v>375</v>
      </c>
      <c r="N11" s="35">
        <v>380</v>
      </c>
      <c r="O11" s="68">
        <f t="shared" si="0"/>
        <v>0.38917525773195877</v>
      </c>
      <c r="P11" s="90">
        <f t="shared" si="1"/>
        <v>770.86092715231791</v>
      </c>
      <c r="Q11" s="87">
        <f t="shared" si="2"/>
        <v>6.6225165562913912E-2</v>
      </c>
      <c r="R11" s="110">
        <f>SUM($Q$10:$Q11)</f>
        <v>7.8881429737820916</v>
      </c>
      <c r="S11" s="88">
        <f t="shared" si="3"/>
        <v>365.10494416395443</v>
      </c>
      <c r="U11" s="18">
        <f>'Data Entry'!$C11</f>
        <v>4880</v>
      </c>
      <c r="V11" s="16">
        <f t="shared" ref="V11:V22" si="4">AVERAGE($M11,$N11)</f>
        <v>377.5</v>
      </c>
      <c r="W11" s="19">
        <f t="shared" ref="W11:W22" si="5">$R11</f>
        <v>7.8881429737820916</v>
      </c>
    </row>
    <row r="12" spans="2:23" x14ac:dyDescent="0.25">
      <c r="B12" s="67">
        <f t="shared" ref="B12:B22" si="6">C11</f>
        <v>4880</v>
      </c>
      <c r="C12" s="33">
        <v>5901</v>
      </c>
      <c r="D12" s="51" t="s">
        <v>48</v>
      </c>
      <c r="E12" s="78" t="s">
        <v>41</v>
      </c>
      <c r="F12" s="24">
        <v>50</v>
      </c>
      <c r="G12" s="25">
        <v>55</v>
      </c>
      <c r="H12" s="24">
        <v>60</v>
      </c>
      <c r="I12" s="25">
        <v>70</v>
      </c>
      <c r="J12" s="44">
        <f>ROUND('Data Entry'!$H12+('Data Entry'!$L12*'Data Entry'!$L$7),0)</f>
        <v>184</v>
      </c>
      <c r="K12" s="45">
        <f>ROUND('Data Entry'!$I12+('Data Entry'!$L12*'Data Entry'!$L$7),0)</f>
        <v>194</v>
      </c>
      <c r="L12" s="53">
        <v>950</v>
      </c>
      <c r="M12" s="34">
        <v>350</v>
      </c>
      <c r="N12" s="35">
        <v>380</v>
      </c>
      <c r="O12" s="68">
        <f t="shared" si="0"/>
        <v>0.38624338624338622</v>
      </c>
      <c r="P12" s="90">
        <f t="shared" si="1"/>
        <v>31720.931506849316</v>
      </c>
      <c r="Q12" s="87">
        <f t="shared" si="2"/>
        <v>2.7972602739726029</v>
      </c>
      <c r="R12" s="110">
        <f>SUM($Q$10:$Q12)</f>
        <v>10.685403247754694</v>
      </c>
      <c r="S12" s="88">
        <f t="shared" si="3"/>
        <v>365.07747153292604</v>
      </c>
      <c r="U12" s="18">
        <f>'Data Entry'!$C12</f>
        <v>5901</v>
      </c>
      <c r="V12" s="16">
        <f t="shared" si="4"/>
        <v>365</v>
      </c>
      <c r="W12" s="19">
        <f t="shared" si="5"/>
        <v>10.685403247754694</v>
      </c>
    </row>
    <row r="13" spans="2:23" x14ac:dyDescent="0.25">
      <c r="B13" s="67">
        <f t="shared" si="6"/>
        <v>5901</v>
      </c>
      <c r="C13" s="33">
        <v>7303</v>
      </c>
      <c r="D13" s="79" t="s">
        <v>34</v>
      </c>
      <c r="E13" s="78" t="s">
        <v>41</v>
      </c>
      <c r="F13" s="24">
        <v>50</v>
      </c>
      <c r="G13" s="25">
        <v>55</v>
      </c>
      <c r="H13" s="24">
        <v>60</v>
      </c>
      <c r="I13" s="25">
        <v>65</v>
      </c>
      <c r="J13" s="44">
        <f>ROUND('Data Entry'!$H13+('Data Entry'!$L13*'Data Entry'!$L$7),0)</f>
        <v>184</v>
      </c>
      <c r="K13" s="45">
        <f>ROUND('Data Entry'!$I13+('Data Entry'!$L13*'Data Entry'!$L$7),0)</f>
        <v>189</v>
      </c>
      <c r="L13" s="53">
        <v>950</v>
      </c>
      <c r="M13" s="34">
        <v>250</v>
      </c>
      <c r="N13" s="35">
        <v>275</v>
      </c>
      <c r="O13" s="68">
        <f t="shared" si="0"/>
        <v>0.28150134048257369</v>
      </c>
      <c r="P13" s="90">
        <f t="shared" si="1"/>
        <v>59765.257142857146</v>
      </c>
      <c r="Q13" s="87">
        <f t="shared" si="2"/>
        <v>5.3409523809523813</v>
      </c>
      <c r="R13" s="110">
        <f>SUM($Q$10:$Q13)</f>
        <v>16.026355628707076</v>
      </c>
      <c r="S13" s="88">
        <f t="shared" si="3"/>
        <v>330.89244509843803</v>
      </c>
      <c r="U13" s="18">
        <f>'Data Entry'!$C13</f>
        <v>7303</v>
      </c>
      <c r="V13" s="16">
        <f t="shared" si="4"/>
        <v>262.5</v>
      </c>
      <c r="W13" s="19">
        <f t="shared" si="5"/>
        <v>16.026355628707076</v>
      </c>
    </row>
    <row r="14" spans="2:23" x14ac:dyDescent="0.25">
      <c r="B14" s="67">
        <f t="shared" si="6"/>
        <v>7303</v>
      </c>
      <c r="C14" s="33">
        <v>9067</v>
      </c>
      <c r="D14" s="79" t="s">
        <v>49</v>
      </c>
      <c r="E14" s="78" t="s">
        <v>42</v>
      </c>
      <c r="F14" s="24">
        <v>40</v>
      </c>
      <c r="G14" s="25">
        <v>45</v>
      </c>
      <c r="H14" s="24">
        <v>50</v>
      </c>
      <c r="I14" s="25">
        <v>60</v>
      </c>
      <c r="J14" s="44">
        <f>ROUND('Data Entry'!$H14+('Data Entry'!$L14*'Data Entry'!$L$7),0)</f>
        <v>174</v>
      </c>
      <c r="K14" s="45">
        <f>ROUND('Data Entry'!$I14+('Data Entry'!$L14*'Data Entry'!$L$7),0)</f>
        <v>184</v>
      </c>
      <c r="L14" s="53">
        <v>950</v>
      </c>
      <c r="M14" s="34">
        <v>100</v>
      </c>
      <c r="N14" s="35">
        <v>110</v>
      </c>
      <c r="O14" s="68">
        <f t="shared" si="0"/>
        <v>0.11731843575418995</v>
      </c>
      <c r="P14" s="90">
        <f t="shared" si="1"/>
        <v>180432</v>
      </c>
      <c r="Q14" s="87">
        <f t="shared" si="2"/>
        <v>16.8</v>
      </c>
      <c r="R14" s="110">
        <f>SUM($Q$10:$Q14)</f>
        <v>32.826355628707077</v>
      </c>
      <c r="S14" s="88">
        <f t="shared" si="3"/>
        <v>215.28433067421642</v>
      </c>
      <c r="U14" s="18">
        <f>'Data Entry'!$C14</f>
        <v>9067</v>
      </c>
      <c r="V14" s="16">
        <f t="shared" si="4"/>
        <v>105</v>
      </c>
      <c r="W14" s="19">
        <f t="shared" si="5"/>
        <v>32.826355628707077</v>
      </c>
    </row>
    <row r="15" spans="2:23" x14ac:dyDescent="0.25">
      <c r="B15" s="67">
        <f t="shared" si="6"/>
        <v>9067</v>
      </c>
      <c r="C15" s="33">
        <v>9186</v>
      </c>
      <c r="D15" s="79" t="s">
        <v>35</v>
      </c>
      <c r="E15" s="80" t="s">
        <v>51</v>
      </c>
      <c r="F15" s="24">
        <v>40</v>
      </c>
      <c r="G15" s="25">
        <v>45</v>
      </c>
      <c r="H15" s="24">
        <v>55</v>
      </c>
      <c r="I15" s="25">
        <v>65</v>
      </c>
      <c r="J15" s="44">
        <f>ROUND('Data Entry'!$H15+('Data Entry'!$L15*'Data Entry'!$L$7),0)</f>
        <v>179</v>
      </c>
      <c r="K15" s="45">
        <f>ROUND('Data Entry'!$I15+('Data Entry'!$L15*'Data Entry'!$L$7),0)</f>
        <v>189</v>
      </c>
      <c r="L15" s="53">
        <v>950</v>
      </c>
      <c r="M15" s="34">
        <v>110</v>
      </c>
      <c r="N15" s="35">
        <v>120</v>
      </c>
      <c r="O15" s="68">
        <f t="shared" si="0"/>
        <v>0.125</v>
      </c>
      <c r="P15" s="90">
        <f t="shared" si="1"/>
        <v>11424</v>
      </c>
      <c r="Q15" s="87">
        <f t="shared" si="2"/>
        <v>1.0347826086956522</v>
      </c>
      <c r="R15" s="110">
        <f>SUM($Q$10:$Q15)</f>
        <v>33.861138237402727</v>
      </c>
      <c r="S15" s="88">
        <f t="shared" si="3"/>
        <v>212.21968232781984</v>
      </c>
      <c r="U15" s="18">
        <f>'Data Entry'!$C15</f>
        <v>9186</v>
      </c>
      <c r="V15" s="16">
        <f t="shared" si="4"/>
        <v>115</v>
      </c>
      <c r="W15" s="19">
        <f t="shared" si="5"/>
        <v>33.861138237402727</v>
      </c>
    </row>
    <row r="16" spans="2:23" x14ac:dyDescent="0.25">
      <c r="B16" s="67">
        <f t="shared" si="6"/>
        <v>9186</v>
      </c>
      <c r="C16" s="33">
        <v>10007</v>
      </c>
      <c r="D16" s="51" t="s">
        <v>36</v>
      </c>
      <c r="E16" s="80" t="s">
        <v>51</v>
      </c>
      <c r="F16" s="24">
        <v>40</v>
      </c>
      <c r="G16" s="25">
        <v>45</v>
      </c>
      <c r="H16" s="24">
        <v>50</v>
      </c>
      <c r="I16" s="25">
        <v>60</v>
      </c>
      <c r="J16" s="44">
        <f>ROUND('Data Entry'!$H16+('Data Entry'!$L16*'Data Entry'!$L$7),0)</f>
        <v>174</v>
      </c>
      <c r="K16" s="45">
        <f>ROUND('Data Entry'!$I16+('Data Entry'!$L16*'Data Entry'!$L$7),0)</f>
        <v>184</v>
      </c>
      <c r="L16" s="53">
        <v>950</v>
      </c>
      <c r="M16" s="34">
        <v>50</v>
      </c>
      <c r="N16" s="35">
        <v>60</v>
      </c>
      <c r="O16" s="68">
        <f t="shared" si="0"/>
        <v>6.1452513966480445E-2</v>
      </c>
      <c r="P16" s="90">
        <f t="shared" si="1"/>
        <v>160318.90909090909</v>
      </c>
      <c r="Q16" s="87">
        <f t="shared" si="2"/>
        <v>14.927272727272728</v>
      </c>
      <c r="R16" s="110">
        <f>SUM($Q$10:$Q16)</f>
        <v>48.788410964675457</v>
      </c>
      <c r="S16" s="88">
        <f t="shared" si="3"/>
        <v>164.11684335850481</v>
      </c>
      <c r="U16" s="18">
        <f>'Data Entry'!$C16</f>
        <v>10007</v>
      </c>
      <c r="V16" s="16">
        <f t="shared" si="4"/>
        <v>55</v>
      </c>
      <c r="W16" s="19">
        <f t="shared" si="5"/>
        <v>48.788410964675457</v>
      </c>
    </row>
    <row r="17" spans="2:24" x14ac:dyDescent="0.25">
      <c r="B17" s="67">
        <f t="shared" si="6"/>
        <v>10007</v>
      </c>
      <c r="C17" s="33">
        <v>10232</v>
      </c>
      <c r="D17" s="51" t="s">
        <v>60</v>
      </c>
      <c r="E17" s="78" t="s">
        <v>43</v>
      </c>
      <c r="F17" s="24">
        <v>45</v>
      </c>
      <c r="G17" s="25">
        <v>50</v>
      </c>
      <c r="H17" s="24">
        <v>60</v>
      </c>
      <c r="I17" s="25">
        <v>70</v>
      </c>
      <c r="J17" s="44">
        <f>ROUND('Data Entry'!$H17+('Data Entry'!$L17*'Data Entry'!$L$7),0)</f>
        <v>184</v>
      </c>
      <c r="K17" s="45">
        <f>ROUND('Data Entry'!$I17+('Data Entry'!$L17*'Data Entry'!$L$7),0)</f>
        <v>194</v>
      </c>
      <c r="L17" s="53">
        <v>950</v>
      </c>
      <c r="M17" s="34">
        <v>80</v>
      </c>
      <c r="N17" s="35">
        <v>120</v>
      </c>
      <c r="O17" s="68">
        <f t="shared" si="0"/>
        <v>0.10582010582010581</v>
      </c>
      <c r="P17" s="90">
        <f t="shared" si="1"/>
        <v>25515</v>
      </c>
      <c r="Q17" s="87">
        <f t="shared" si="2"/>
        <v>2.25</v>
      </c>
      <c r="R17" s="110">
        <f>SUM($Q$10:$Q17)</f>
        <v>51.038410964675457</v>
      </c>
      <c r="S17" s="88">
        <f t="shared" si="3"/>
        <v>161.29028793034928</v>
      </c>
      <c r="U17" s="18">
        <f>'Data Entry'!$C17</f>
        <v>10232</v>
      </c>
      <c r="V17" s="16">
        <f t="shared" si="4"/>
        <v>100</v>
      </c>
      <c r="W17" s="19">
        <f t="shared" si="5"/>
        <v>51.038410964675457</v>
      </c>
      <c r="X17" t="s">
        <v>61</v>
      </c>
    </row>
    <row r="18" spans="2:24" x14ac:dyDescent="0.25">
      <c r="B18" s="67">
        <f t="shared" si="6"/>
        <v>10232</v>
      </c>
      <c r="C18" s="33">
        <v>10524</v>
      </c>
      <c r="D18" s="51" t="s">
        <v>37</v>
      </c>
      <c r="E18" s="78" t="s">
        <v>44</v>
      </c>
      <c r="F18" s="24">
        <v>35</v>
      </c>
      <c r="G18" s="25">
        <v>40</v>
      </c>
      <c r="H18" s="24">
        <v>55</v>
      </c>
      <c r="I18" s="25">
        <v>60</v>
      </c>
      <c r="J18" s="44">
        <f>ROUND('Data Entry'!$H18+('Data Entry'!$L18*'Data Entry'!$L$7),0)</f>
        <v>179</v>
      </c>
      <c r="K18" s="45">
        <f>ROUND('Data Entry'!$I18+('Data Entry'!$L18*'Data Entry'!$L$7),0)</f>
        <v>184</v>
      </c>
      <c r="L18" s="53">
        <v>950</v>
      </c>
      <c r="M18" s="34">
        <v>40</v>
      </c>
      <c r="N18" s="35">
        <v>50</v>
      </c>
      <c r="O18" s="68">
        <f t="shared" si="0"/>
        <v>4.9586776859504134E-2</v>
      </c>
      <c r="P18" s="90">
        <f t="shared" si="1"/>
        <v>70664</v>
      </c>
      <c r="Q18" s="87">
        <f t="shared" si="2"/>
        <v>6.4888888888888889</v>
      </c>
      <c r="R18" s="110">
        <f>SUM($Q$10:$Q18)</f>
        <v>57.527299853564344</v>
      </c>
      <c r="S18" s="88">
        <f t="shared" si="3"/>
        <v>148.17312861368131</v>
      </c>
      <c r="U18" s="18">
        <f>'Data Entry'!$C18</f>
        <v>10524</v>
      </c>
      <c r="V18" s="16">
        <f t="shared" si="4"/>
        <v>45</v>
      </c>
      <c r="W18" s="19">
        <f t="shared" si="5"/>
        <v>57.527299853564344</v>
      </c>
    </row>
    <row r="19" spans="2:24" x14ac:dyDescent="0.25">
      <c r="B19" s="67">
        <f t="shared" si="6"/>
        <v>10524</v>
      </c>
      <c r="C19" s="33">
        <v>10996</v>
      </c>
      <c r="D19" s="79" t="s">
        <v>38</v>
      </c>
      <c r="E19" s="80" t="s">
        <v>43</v>
      </c>
      <c r="F19" s="24">
        <v>20</v>
      </c>
      <c r="G19" s="25">
        <v>30</v>
      </c>
      <c r="H19" s="24">
        <v>40</v>
      </c>
      <c r="I19" s="25">
        <v>50</v>
      </c>
      <c r="J19" s="44">
        <f>ROUND('Data Entry'!$H19+('Data Entry'!$L19*'Data Entry'!$L$7),0)</f>
        <v>164</v>
      </c>
      <c r="K19" s="45">
        <f>ROUND('Data Entry'!$I19+('Data Entry'!$L19*'Data Entry'!$L$7),0)</f>
        <v>174</v>
      </c>
      <c r="L19" s="53">
        <v>950</v>
      </c>
      <c r="M19" s="34">
        <v>80</v>
      </c>
      <c r="N19" s="35">
        <v>100</v>
      </c>
      <c r="O19" s="68">
        <f t="shared" si="0"/>
        <v>0.10650887573964497</v>
      </c>
      <c r="P19" s="90">
        <f t="shared" si="1"/>
        <v>53178.666666666664</v>
      </c>
      <c r="Q19" s="87">
        <f t="shared" si="2"/>
        <v>5.2444444444444445</v>
      </c>
      <c r="R19" s="110">
        <f>SUM($Q$10:$Q19)</f>
        <v>62.771744298008791</v>
      </c>
      <c r="S19" s="88">
        <f t="shared" si="3"/>
        <v>143.31288863491667</v>
      </c>
      <c r="U19" s="18">
        <f>'Data Entry'!$C19</f>
        <v>10996</v>
      </c>
      <c r="V19" s="16">
        <f t="shared" si="4"/>
        <v>90</v>
      </c>
      <c r="W19" s="19">
        <f t="shared" si="5"/>
        <v>62.771744298008791</v>
      </c>
    </row>
    <row r="20" spans="2:24" x14ac:dyDescent="0.25">
      <c r="B20" s="67">
        <f t="shared" si="6"/>
        <v>10996</v>
      </c>
      <c r="C20" s="33">
        <v>11170</v>
      </c>
      <c r="D20" s="51" t="s">
        <v>39</v>
      </c>
      <c r="E20" s="78" t="s">
        <v>44</v>
      </c>
      <c r="F20" s="24">
        <v>30</v>
      </c>
      <c r="G20" s="25">
        <v>35</v>
      </c>
      <c r="H20" s="24">
        <v>70</v>
      </c>
      <c r="I20" s="25">
        <v>80</v>
      </c>
      <c r="J20" s="44">
        <f>ROUND('Data Entry'!$H20+('Data Entry'!$L20*'Data Entry'!$L$7),0)</f>
        <v>194</v>
      </c>
      <c r="K20" s="45">
        <f>ROUND('Data Entry'!$I20+('Data Entry'!$L20*'Data Entry'!$L$7),0)</f>
        <v>204</v>
      </c>
      <c r="L20" s="53">
        <v>950</v>
      </c>
      <c r="M20" s="34">
        <v>70</v>
      </c>
      <c r="N20" s="35">
        <v>80</v>
      </c>
      <c r="O20" s="68">
        <f t="shared" si="0"/>
        <v>7.537688442211056E-2</v>
      </c>
      <c r="P20" s="90">
        <f t="shared" si="1"/>
        <v>27700.799999999999</v>
      </c>
      <c r="Q20" s="87">
        <f t="shared" si="2"/>
        <v>2.3199999999999998</v>
      </c>
      <c r="R20" s="110">
        <f>SUM($Q$10:$Q20)</f>
        <v>65.091744298008791</v>
      </c>
      <c r="S20" s="88">
        <f t="shared" si="3"/>
        <v>140.87808060599963</v>
      </c>
      <c r="U20" s="18">
        <f>'Data Entry'!$C20</f>
        <v>11170</v>
      </c>
      <c r="V20" s="16">
        <f t="shared" si="4"/>
        <v>75</v>
      </c>
      <c r="W20" s="19">
        <f t="shared" si="5"/>
        <v>65.091744298008791</v>
      </c>
    </row>
    <row r="21" spans="2:24" x14ac:dyDescent="0.25">
      <c r="B21" s="67">
        <f t="shared" si="6"/>
        <v>11170</v>
      </c>
      <c r="C21" s="33">
        <v>11628</v>
      </c>
      <c r="D21" s="79" t="s">
        <v>50</v>
      </c>
      <c r="E21" s="80" t="s">
        <v>43</v>
      </c>
      <c r="F21" s="24">
        <v>45</v>
      </c>
      <c r="G21" s="25">
        <v>50</v>
      </c>
      <c r="H21" s="24">
        <v>60</v>
      </c>
      <c r="I21" s="25">
        <v>70</v>
      </c>
      <c r="J21" s="44">
        <f>ROUND('Data Entry'!$H21+('Data Entry'!$L21*'Data Entry'!$L$7),0)</f>
        <v>184</v>
      </c>
      <c r="K21" s="45">
        <f>ROUND('Data Entry'!$I21+('Data Entry'!$L21*'Data Entry'!$L$7),0)</f>
        <v>194</v>
      </c>
      <c r="L21" s="53">
        <v>950</v>
      </c>
      <c r="M21" s="34">
        <v>90</v>
      </c>
      <c r="N21" s="35">
        <v>110</v>
      </c>
      <c r="O21" s="68">
        <f t="shared" si="0"/>
        <v>0.10582010582010581</v>
      </c>
      <c r="P21" s="90">
        <f t="shared" si="1"/>
        <v>51937.200000000004</v>
      </c>
      <c r="Q21" s="87">
        <f t="shared" si="2"/>
        <v>4.58</v>
      </c>
      <c r="R21" s="110">
        <f>SUM($Q$10:$Q21)</f>
        <v>69.67174429800879</v>
      </c>
      <c r="S21" s="88">
        <f t="shared" si="3"/>
        <v>138.19088494207784</v>
      </c>
      <c r="U21" s="18">
        <f>'Data Entry'!$C21</f>
        <v>11628</v>
      </c>
      <c r="V21" s="16">
        <f t="shared" si="4"/>
        <v>100</v>
      </c>
      <c r="W21" s="19">
        <f t="shared" si="5"/>
        <v>69.67174429800879</v>
      </c>
    </row>
    <row r="22" spans="2:24" ht="15.75" thickBot="1" x14ac:dyDescent="0.3">
      <c r="B22" s="91">
        <f t="shared" si="6"/>
        <v>11628</v>
      </c>
      <c r="C22" s="92">
        <v>11800</v>
      </c>
      <c r="D22" s="93" t="s">
        <v>40</v>
      </c>
      <c r="E22" s="94" t="s">
        <v>52</v>
      </c>
      <c r="F22" s="95">
        <v>30</v>
      </c>
      <c r="G22" s="96">
        <v>40</v>
      </c>
      <c r="H22" s="95">
        <v>60</v>
      </c>
      <c r="I22" s="96">
        <v>70</v>
      </c>
      <c r="J22" s="97">
        <f>ROUND($H22+($L22*$L$7),0)</f>
        <v>184</v>
      </c>
      <c r="K22" s="98">
        <f>ROUND('Data Entry'!$I22+('Data Entry'!$L22*'Data Entry'!$L$7),0)</f>
        <v>194</v>
      </c>
      <c r="L22" s="151">
        <v>950</v>
      </c>
      <c r="M22" s="99">
        <v>120</v>
      </c>
      <c r="N22" s="58">
        <v>140</v>
      </c>
      <c r="O22" s="100">
        <f>(($C22-$B22)*12)/(AVERAGE($J22,$K22)*60*$Q22)</f>
        <v>0.13756613756613759</v>
      </c>
      <c r="P22" s="101">
        <f t="shared" si="1"/>
        <v>15003.692307692307</v>
      </c>
      <c r="Q22" s="102">
        <f t="shared" si="2"/>
        <v>1.323076923076923</v>
      </c>
      <c r="R22" s="111">
        <f>SUM($Q$10:$Q22)</f>
        <v>70.994821221085715</v>
      </c>
      <c r="S22" s="89">
        <f t="shared" si="3"/>
        <v>138.03823759879214</v>
      </c>
      <c r="U22" s="107">
        <f>'Data Entry'!$C22</f>
        <v>11800</v>
      </c>
      <c r="V22" s="108">
        <f t="shared" si="4"/>
        <v>130</v>
      </c>
      <c r="W22" s="109">
        <f t="shared" si="5"/>
        <v>70.994821221085715</v>
      </c>
    </row>
    <row r="23" spans="2:24" ht="15.75" thickTop="1" x14ac:dyDescent="0.25">
      <c r="N23" s="103"/>
      <c r="O23" s="104">
        <f>(($C$22-$B10)*12)/$P$23</f>
        <v>0.15041728974178389</v>
      </c>
      <c r="P23" s="105">
        <f>SUM(P10:P22)</f>
        <v>781825.01627226372</v>
      </c>
      <c r="Q23" s="70">
        <f>SUM(Q$10:Q$22)</f>
        <v>70.994821221085715</v>
      </c>
      <c r="R23" s="103"/>
      <c r="S23" s="71">
        <f>($C$22-$B$10)/$Q$23</f>
        <v>138.03823759879214</v>
      </c>
    </row>
    <row r="24" spans="2:24" x14ac:dyDescent="0.25">
      <c r="Q24" s="82" cm="1">
        <f t="array" ref="Q24">SUM(Q10:Q22/24)</f>
        <v>2.9581175508785713</v>
      </c>
    </row>
  </sheetData>
  <mergeCells count="14">
    <mergeCell ref="R8:S8"/>
    <mergeCell ref="F8:G8"/>
    <mergeCell ref="B8:C8"/>
    <mergeCell ref="H8:I8"/>
    <mergeCell ref="J8:K8"/>
    <mergeCell ref="M8:N8"/>
    <mergeCell ref="D8:D9"/>
    <mergeCell ref="E8:E9"/>
    <mergeCell ref="B2:P3"/>
    <mergeCell ref="B4:P4"/>
    <mergeCell ref="B5:P5"/>
    <mergeCell ref="U6:W6"/>
    <mergeCell ref="U7:W7"/>
    <mergeCell ref="Q7:S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Roadmap</vt:lpstr>
      <vt:lpstr>Data Entry</vt:lpstr>
      <vt:lpstr>Roadmap!Print_Area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Butch Bawcom</dc:creator>
  <cp:lastModifiedBy>Curtis B. Stephens</cp:lastModifiedBy>
  <cp:lastPrinted>2025-01-17T19:52:04Z</cp:lastPrinted>
  <dcterms:created xsi:type="dcterms:W3CDTF">2022-10-04T00:11:39Z</dcterms:created>
  <dcterms:modified xsi:type="dcterms:W3CDTF">2025-01-17T19:57:21Z</dcterms:modified>
</cp:coreProperties>
</file>