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Engineering\01_Designs\6653\"/>
    </mc:Choice>
  </mc:AlternateContent>
  <xr:revisionPtr revIDLastSave="0" documentId="13_ncr:1_{D5E791F5-B6FF-4DF0-B015-B57BEF79572C}" xr6:coauthVersionLast="47" xr6:coauthVersionMax="47" xr10:uidLastSave="{00000000-0000-0000-0000-000000000000}"/>
  <bookViews>
    <workbookView xWindow="28680" yWindow="-120" windowWidth="29040" windowHeight="15840" xr2:uid="{791D5801-A38D-4E62-8CCF-36F49301157D}"/>
  </bookViews>
  <sheets>
    <sheet name="Roadmap" sheetId="1" r:id="rId1"/>
    <sheet name="Data Entry" sheetId="2" r:id="rId2"/>
  </sheets>
  <definedNames>
    <definedName name="_xlnm.Print_Area" localSheetId="0">Roadmap!$B$2:$O$74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2" i="1" l="1"/>
  <c r="B5" i="1"/>
  <c r="B2" i="1"/>
  <c r="H7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J11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P11" i="2"/>
  <c r="Q10" i="2"/>
  <c r="P10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C12" i="2"/>
  <c r="C13" i="2" s="1"/>
  <c r="P13" i="2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K25" i="1"/>
  <c r="K24" i="1"/>
  <c r="K23" i="1"/>
  <c r="K22" i="1"/>
  <c r="K19" i="1"/>
  <c r="K18" i="1"/>
  <c r="M10" i="1"/>
  <c r="F10" i="1"/>
  <c r="B10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11" i="1"/>
  <c r="E11" i="1"/>
  <c r="E10" i="1"/>
  <c r="P12" i="2" l="1"/>
  <c r="C14" i="2"/>
  <c r="B11" i="1"/>
  <c r="G14" i="1"/>
  <c r="M12" i="1"/>
  <c r="B12" i="1"/>
  <c r="N10" i="1"/>
  <c r="R11" i="2" s="1"/>
  <c r="M11" i="1"/>
  <c r="G12" i="1"/>
  <c r="G20" i="1"/>
  <c r="G24" i="1"/>
  <c r="G13" i="1"/>
  <c r="G17" i="1"/>
  <c r="G21" i="1"/>
  <c r="G25" i="1"/>
  <c r="G22" i="1"/>
  <c r="O10" i="1"/>
  <c r="G11" i="1"/>
  <c r="G15" i="1"/>
  <c r="G23" i="1"/>
  <c r="G18" i="1"/>
  <c r="G19" i="1"/>
  <c r="G16" i="1"/>
  <c r="G10" i="1"/>
  <c r="K17" i="1"/>
  <c r="K21" i="1"/>
  <c r="K20" i="1"/>
  <c r="K16" i="1"/>
  <c r="K15" i="1"/>
  <c r="K14" i="1"/>
  <c r="K13" i="1"/>
  <c r="K12" i="1"/>
  <c r="K10" i="1"/>
  <c r="K11" i="1"/>
  <c r="N12" i="1" l="1"/>
  <c r="O12" i="1"/>
  <c r="M13" i="1"/>
  <c r="O13" i="1" s="1"/>
  <c r="P14" i="2"/>
  <c r="B13" i="1"/>
  <c r="C15" i="2"/>
  <c r="N11" i="1"/>
  <c r="R12" i="2" s="1"/>
  <c r="R13" i="2"/>
  <c r="O11" i="1"/>
  <c r="N13" i="1" l="1"/>
  <c r="R14" i="2" s="1"/>
  <c r="M14" i="1"/>
  <c r="N14" i="1" s="1"/>
  <c r="R15" i="2" s="1"/>
  <c r="P15" i="2"/>
  <c r="C16" i="2"/>
  <c r="P16" i="2" s="1"/>
  <c r="B14" i="1"/>
  <c r="O14" i="1" l="1"/>
  <c r="C17" i="2"/>
  <c r="B15" i="1"/>
  <c r="M15" i="1"/>
  <c r="O15" i="1" s="1"/>
  <c r="B16" i="1" l="1"/>
  <c r="P17" i="2"/>
  <c r="N15" i="1"/>
  <c r="R16" i="2" s="1"/>
  <c r="M16" i="1"/>
  <c r="N16" i="1" s="1"/>
  <c r="R17" i="2" s="1"/>
  <c r="C18" i="2"/>
  <c r="M17" i="1" l="1"/>
  <c r="N17" i="1" s="1"/>
  <c r="R18" i="2" s="1"/>
  <c r="P18" i="2"/>
  <c r="B17" i="1"/>
  <c r="O16" i="1"/>
  <c r="C19" i="2"/>
  <c r="O17" i="1" l="1"/>
  <c r="B18" i="1"/>
  <c r="P19" i="2"/>
  <c r="M18" i="1"/>
  <c r="N18" i="1" s="1"/>
  <c r="R19" i="2" s="1"/>
  <c r="C20" i="2"/>
  <c r="M19" i="1" l="1"/>
  <c r="N19" i="1" s="1"/>
  <c r="R20" i="2" s="1"/>
  <c r="P20" i="2"/>
  <c r="O18" i="1"/>
  <c r="B19" i="1"/>
  <c r="C21" i="2"/>
  <c r="O19" i="1" l="1"/>
  <c r="M20" i="1"/>
  <c r="N20" i="1" s="1"/>
  <c r="R21" i="2" s="1"/>
  <c r="P21" i="2"/>
  <c r="B20" i="1"/>
  <c r="C22" i="2"/>
  <c r="O20" i="1" l="1"/>
  <c r="M21" i="1"/>
  <c r="N21" i="1" s="1"/>
  <c r="R22" i="2" s="1"/>
  <c r="P22" i="2"/>
  <c r="B21" i="1"/>
  <c r="C23" i="2"/>
  <c r="O21" i="1" l="1"/>
  <c r="M22" i="1"/>
  <c r="N22" i="1" s="1"/>
  <c r="R23" i="2" s="1"/>
  <c r="P23" i="2"/>
  <c r="B22" i="1"/>
  <c r="C24" i="2"/>
  <c r="O22" i="1" l="1"/>
  <c r="M23" i="1"/>
  <c r="N23" i="1" s="1"/>
  <c r="R24" i="2" s="1"/>
  <c r="P24" i="2"/>
  <c r="B23" i="1"/>
  <c r="C25" i="2"/>
  <c r="O23" i="1" l="1"/>
  <c r="M24" i="1"/>
  <c r="N24" i="1" s="1"/>
  <c r="R25" i="2" s="1"/>
  <c r="P25" i="2"/>
  <c r="B24" i="1"/>
  <c r="C26" i="2"/>
  <c r="P26" i="2" l="1"/>
  <c r="O24" i="1"/>
  <c r="B25" i="1"/>
  <c r="M25" i="1"/>
  <c r="O25" i="1" s="1"/>
  <c r="N25" i="1" l="1"/>
  <c r="R26" i="2" s="1"/>
  <c r="M26" i="1"/>
  <c r="M27" i="1" l="1"/>
  <c r="O26" i="1"/>
</calcChain>
</file>

<file path=xl/sharedStrings.xml><?xml version="1.0" encoding="utf-8"?>
<sst xmlns="http://schemas.openxmlformats.org/spreadsheetml/2006/main" count="74" uniqueCount="55">
  <si>
    <t>WOB</t>
  </si>
  <si>
    <t>Characteristics</t>
  </si>
  <si>
    <t>Expected ROP</t>
  </si>
  <si>
    <t>(ft)</t>
  </si>
  <si>
    <t>Depth</t>
  </si>
  <si>
    <t>(KLBS)</t>
  </si>
  <si>
    <t>(rpm)</t>
  </si>
  <si>
    <t>(GPM)</t>
  </si>
  <si>
    <t>Flow</t>
  </si>
  <si>
    <t>(ft/hr)</t>
  </si>
  <si>
    <t>Rotary</t>
  </si>
  <si>
    <t>Formation</t>
  </si>
  <si>
    <t>Low</t>
  </si>
  <si>
    <t>High</t>
  </si>
  <si>
    <t>Cumulative</t>
  </si>
  <si>
    <t>Roadmap --- Ø 12-1/4" 616-SR+9(K)(BR)</t>
  </si>
  <si>
    <t>Can be Lime stringers</t>
  </si>
  <si>
    <t>Shaley Sand</t>
  </si>
  <si>
    <t>Sand, Shale, Lime</t>
  </si>
  <si>
    <t>Lime, Dolomite</t>
  </si>
  <si>
    <t>On Bottom</t>
  </si>
  <si>
    <t>Anhydrite, Salt</t>
  </si>
  <si>
    <t>Cherty Dolomite, Limestone, Sands</t>
  </si>
  <si>
    <t>Limestone</t>
  </si>
  <si>
    <t>ROP</t>
  </si>
  <si>
    <t>hrs</t>
  </si>
  <si>
    <t>Section</t>
  </si>
  <si>
    <t>Rustler</t>
  </si>
  <si>
    <t>Midland Basin --- Intermediate Interval</t>
  </si>
  <si>
    <t>Salado</t>
  </si>
  <si>
    <t>Yates</t>
  </si>
  <si>
    <t>Seven Rivers</t>
  </si>
  <si>
    <t>Queen</t>
  </si>
  <si>
    <t>Grayburg</t>
  </si>
  <si>
    <t>San Andres &amp; Holt</t>
  </si>
  <si>
    <t>Glorietta</t>
  </si>
  <si>
    <t>Tubb</t>
  </si>
  <si>
    <t>Clearfork</t>
  </si>
  <si>
    <t>Upper Clearfork</t>
  </si>
  <si>
    <t>Sprayberry</t>
  </si>
  <si>
    <t>Dean</t>
  </si>
  <si>
    <t>Wolfcamp</t>
  </si>
  <si>
    <t>Sand, w/ Anhydrite Stringers, Shale</t>
  </si>
  <si>
    <t>Wichita Albany</t>
  </si>
  <si>
    <t>Dolomite - Hard cap (Can be Cherty)</t>
  </si>
  <si>
    <t>in</t>
  </si>
  <si>
    <t>out</t>
  </si>
  <si>
    <t>Hole Depth</t>
  </si>
  <si>
    <t>Rotary rpm</t>
  </si>
  <si>
    <t>Σ rpm</t>
  </si>
  <si>
    <t>Calc. for Chart</t>
  </si>
  <si>
    <t>DO NOT MODIFY</t>
  </si>
  <si>
    <t>Transition Zone</t>
  </si>
  <si>
    <t>Total</t>
  </si>
  <si>
    <t>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</si>
</sst>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\ &quot;hrs&quot;"/>
    <numFmt numFmtId="166" formatCode="#,##0.00\ &quot;days&quot;"/>
    <numFmt numFmtId="167" formatCode="#,##0\ &quot;ROP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rgb="FFEF412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4123"/>
        <bgColor indexed="64"/>
      </patternFill>
    </fill>
    <fill>
      <patternFill patternType="solid">
        <fgColor rgb="FFFFBDBD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 style="medium">
        <color auto="1"/>
      </right>
      <top style="double">
        <color rgb="FFFF0000"/>
      </top>
      <bottom style="medium">
        <color auto="1"/>
      </bottom>
      <diagonal/>
    </border>
    <border>
      <left/>
      <right style="thin">
        <color auto="1"/>
      </right>
      <top style="double">
        <color rgb="FFFF0000"/>
      </top>
      <bottom style="medium">
        <color auto="1"/>
      </bottom>
      <diagonal/>
    </border>
    <border>
      <left style="thin">
        <color auto="1"/>
      </left>
      <right style="double">
        <color rgb="FFFF0000"/>
      </right>
      <top style="double">
        <color rgb="FFFF0000"/>
      </top>
      <bottom style="medium">
        <color auto="1"/>
      </bottom>
      <diagonal/>
    </border>
    <border>
      <left style="double">
        <color rgb="FFFF0000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rgb="FFFF0000"/>
      </right>
      <top/>
      <bottom style="thin">
        <color auto="1"/>
      </bottom>
      <diagonal/>
    </border>
    <border>
      <left style="double">
        <color rgb="FFFF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FF0000"/>
      </right>
      <top style="thin">
        <color auto="1"/>
      </top>
      <bottom style="thin">
        <color auto="1"/>
      </bottom>
      <diagonal/>
    </border>
    <border>
      <left style="double">
        <color rgb="FFFF0000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/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double">
        <color rgb="FFFF0000"/>
      </right>
      <top style="thin">
        <color auto="1"/>
      </top>
      <bottom style="double">
        <color rgb="FFFF000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67" fontId="1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 wrapText="1"/>
    </xf>
    <xf numFmtId="0" fontId="0" fillId="0" borderId="0" xfId="0" applyFill="1"/>
    <xf numFmtId="0" fontId="1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3" fontId="11" fillId="0" borderId="41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3" fontId="11" fillId="0" borderId="43" xfId="0" applyNumberFormat="1" applyFont="1" applyBorder="1" applyAlignment="1">
      <alignment horizontal="center" vertical="center"/>
    </xf>
    <xf numFmtId="164" fontId="11" fillId="0" borderId="44" xfId="0" applyNumberFormat="1" applyFont="1" applyBorder="1" applyAlignment="1">
      <alignment horizontal="center" vertical="center"/>
    </xf>
    <xf numFmtId="3" fontId="11" fillId="0" borderId="45" xfId="0" applyNumberFormat="1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164" fontId="11" fillId="0" borderId="47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3" fontId="0" fillId="0" borderId="15" xfId="0" applyNumberFormat="1" applyFont="1" applyFill="1" applyBorder="1" applyAlignment="1">
      <alignment horizontal="center" vertical="center"/>
    </xf>
    <xf numFmtId="3" fontId="0" fillId="0" borderId="16" xfId="0" applyNumberFormat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3" fontId="0" fillId="0" borderId="30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3" fontId="0" fillId="0" borderId="19" xfId="0" applyNumberFormat="1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horizontal="center" vertical="center"/>
    </xf>
    <xf numFmtId="0" fontId="14" fillId="0" borderId="53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3" fontId="0" fillId="0" borderId="58" xfId="0" applyNumberFormat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164" fontId="0" fillId="0" borderId="60" xfId="0" applyNumberFormat="1" applyBorder="1" applyAlignment="1">
      <alignment horizontal="center" vertical="center" wrapText="1"/>
    </xf>
    <xf numFmtId="164" fontId="12" fillId="0" borderId="51" xfId="0" applyNumberFormat="1" applyFont="1" applyFill="1" applyBorder="1" applyAlignment="1">
      <alignment horizontal="center" vertical="center"/>
    </xf>
    <xf numFmtId="3" fontId="2" fillId="0" borderId="56" xfId="0" applyNumberFormat="1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49" fontId="2" fillId="0" borderId="62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3" fontId="0" fillId="0" borderId="65" xfId="0" applyNumberFormat="1" applyBorder="1" applyAlignment="1">
      <alignment horizontal="center" vertical="center" wrapText="1"/>
    </xf>
    <xf numFmtId="0" fontId="14" fillId="0" borderId="64" xfId="0" applyFont="1" applyFill="1" applyBorder="1" applyAlignment="1">
      <alignment horizontal="center" vertical="center"/>
    </xf>
    <xf numFmtId="0" fontId="2" fillId="0" borderId="64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 wrapText="1"/>
    </xf>
    <xf numFmtId="164" fontId="12" fillId="0" borderId="52" xfId="0" applyNumberFormat="1" applyFont="1" applyFill="1" applyBorder="1" applyAlignment="1">
      <alignment horizontal="center" vertical="center"/>
    </xf>
    <xf numFmtId="3" fontId="2" fillId="0" borderId="63" xfId="0" applyNumberFormat="1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5" borderId="61" xfId="0" applyFill="1" applyBorder="1" applyAlignment="1">
      <alignment horizontal="center" vertical="center"/>
    </xf>
    <xf numFmtId="49" fontId="2" fillId="5" borderId="62" xfId="0" applyNumberFormat="1" applyFont="1" applyFill="1" applyBorder="1" applyAlignment="1">
      <alignment horizontal="center" vertical="center"/>
    </xf>
    <xf numFmtId="49" fontId="2" fillId="5" borderId="63" xfId="0" applyNumberFormat="1" applyFont="1" applyFill="1" applyBorder="1" applyAlignment="1">
      <alignment horizontal="center" vertical="center"/>
    </xf>
    <xf numFmtId="49" fontId="2" fillId="0" borderId="63" xfId="0" applyNumberFormat="1" applyFont="1" applyBorder="1" applyAlignment="1">
      <alignment horizontal="center" vertical="center"/>
    </xf>
    <xf numFmtId="0" fontId="2" fillId="0" borderId="64" xfId="0" applyFont="1" applyFill="1" applyBorder="1" applyAlignment="1">
      <alignment vertical="center"/>
    </xf>
    <xf numFmtId="0" fontId="2" fillId="0" borderId="66" xfId="0" applyFont="1" applyFill="1" applyBorder="1" applyAlignment="1">
      <alignment vertical="center"/>
    </xf>
    <xf numFmtId="3" fontId="0" fillId="0" borderId="61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3" fontId="0" fillId="0" borderId="72" xfId="0" applyNumberFormat="1" applyBorder="1" applyAlignment="1">
      <alignment horizontal="center" vertical="center" wrapText="1"/>
    </xf>
    <xf numFmtId="0" fontId="14" fillId="0" borderId="71" xfId="0" applyFont="1" applyFill="1" applyBorder="1" applyAlignment="1">
      <alignment horizontal="center" vertical="center"/>
    </xf>
    <xf numFmtId="0" fontId="2" fillId="0" borderId="71" xfId="0" applyFont="1" applyFill="1" applyBorder="1" applyAlignment="1">
      <alignment vertical="center"/>
    </xf>
    <xf numFmtId="0" fontId="2" fillId="0" borderId="73" xfId="0" applyFont="1" applyFill="1" applyBorder="1" applyAlignment="1">
      <alignment vertical="center"/>
    </xf>
    <xf numFmtId="164" fontId="0" fillId="0" borderId="74" xfId="0" applyNumberFormat="1" applyBorder="1" applyAlignment="1">
      <alignment horizontal="center" vertical="center" wrapText="1"/>
    </xf>
    <xf numFmtId="164" fontId="12" fillId="0" borderId="53" xfId="0" applyNumberFormat="1" applyFont="1" applyFill="1" applyBorder="1" applyAlignment="1">
      <alignment horizontal="center" vertical="center"/>
    </xf>
    <xf numFmtId="3" fontId="2" fillId="0" borderId="7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4123"/>
      <color rgb="FFFFBDBD"/>
      <color rgb="FFFF0000"/>
      <color rgb="FFD9D9D9"/>
      <color rgb="FFF4AF80"/>
      <color rgb="FFED7D31"/>
      <color rgb="FFF9D6BF"/>
      <color rgb="FFAABFE4"/>
      <color rgb="FFFFC1C1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ROP</c:v>
          </c:tx>
          <c:spPr>
            <a:ln w="25400" cap="rnd" cmpd="sng" algn="ctr">
              <a:solidFill>
                <a:srgbClr val="EF4123"/>
              </a:solidFill>
              <a:round/>
            </a:ln>
            <a:effectLst/>
          </c:spPr>
          <c:marker>
            <c:symbol val="none"/>
          </c:marker>
          <c:cat>
            <c:numRef>
              <c:f>'Data Entry'!$P$10:$P$26</c:f>
              <c:numCache>
                <c:formatCode>#,##0</c:formatCode>
                <c:ptCount val="17"/>
                <c:pt idx="0">
                  <c:v>1800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  <c:pt idx="13">
                  <c:v>8500</c:v>
                </c:pt>
                <c:pt idx="14">
                  <c:v>9000</c:v>
                </c:pt>
                <c:pt idx="15">
                  <c:v>9500</c:v>
                </c:pt>
                <c:pt idx="16">
                  <c:v>10000</c:v>
                </c:pt>
              </c:numCache>
            </c:numRef>
          </c:cat>
          <c:val>
            <c:numRef>
              <c:f>'Data Entry'!$Q$10:$Q$26</c:f>
              <c:numCache>
                <c:formatCode>General</c:formatCode>
                <c:ptCount val="17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280</c:v>
                </c:pt>
                <c:pt idx="4">
                  <c:v>240</c:v>
                </c:pt>
                <c:pt idx="5">
                  <c:v>170</c:v>
                </c:pt>
                <c:pt idx="6">
                  <c:v>180</c:v>
                </c:pt>
                <c:pt idx="7">
                  <c:v>150</c:v>
                </c:pt>
                <c:pt idx="8">
                  <c:v>180</c:v>
                </c:pt>
                <c:pt idx="9">
                  <c:v>200</c:v>
                </c:pt>
                <c:pt idx="10">
                  <c:v>200</c:v>
                </c:pt>
                <c:pt idx="11">
                  <c:v>180</c:v>
                </c:pt>
                <c:pt idx="12">
                  <c:v>190</c:v>
                </c:pt>
                <c:pt idx="13">
                  <c:v>160</c:v>
                </c:pt>
                <c:pt idx="14">
                  <c:v>160</c:v>
                </c:pt>
                <c:pt idx="15">
                  <c:v>140</c:v>
                </c:pt>
                <c:pt idx="16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D-4497-B8E9-4E53CBA8D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29173224"/>
        <c:axId val="1129175744"/>
      </c:lineChart>
      <c:lineChart>
        <c:grouping val="standard"/>
        <c:varyColors val="0"/>
        <c:ser>
          <c:idx val="1"/>
          <c:order val="1"/>
          <c:tx>
            <c:strRef>
              <c:f>Roadmap!$N$9</c:f>
              <c:strCache>
                <c:ptCount val="1"/>
                <c:pt idx="0">
                  <c:v>(hrs)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Entry'!$R$10:$R$26</c:f>
              <c:numCache>
                <c:formatCode>#,##0.0</c:formatCode>
                <c:ptCount val="17"/>
                <c:pt idx="0" formatCode="General">
                  <c:v>0</c:v>
                </c:pt>
                <c:pt idx="1">
                  <c:v>2.2580645161290325</c:v>
                </c:pt>
                <c:pt idx="2">
                  <c:v>3.870967741935484</c:v>
                </c:pt>
                <c:pt idx="3">
                  <c:v>5.7228195937873361</c:v>
                </c:pt>
                <c:pt idx="4">
                  <c:v>7.8967326372655968</c:v>
                </c:pt>
                <c:pt idx="5">
                  <c:v>11.021732637265597</c:v>
                </c:pt>
                <c:pt idx="6">
                  <c:v>13.962909107853832</c:v>
                </c:pt>
                <c:pt idx="7">
                  <c:v>17.534337679282405</c:v>
                </c:pt>
                <c:pt idx="8">
                  <c:v>20.475514149870641</c:v>
                </c:pt>
                <c:pt idx="9">
                  <c:v>23.107093097239062</c:v>
                </c:pt>
                <c:pt idx="10">
                  <c:v>25.738672044607483</c:v>
                </c:pt>
                <c:pt idx="11">
                  <c:v>28.679848515195719</c:v>
                </c:pt>
                <c:pt idx="12">
                  <c:v>31.457626292973497</c:v>
                </c:pt>
                <c:pt idx="13">
                  <c:v>34.790959626306829</c:v>
                </c:pt>
                <c:pt idx="14">
                  <c:v>38.124292959640165</c:v>
                </c:pt>
                <c:pt idx="15">
                  <c:v>41.970446805794012</c:v>
                </c:pt>
                <c:pt idx="16">
                  <c:v>45.816600651947859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D-4497-B8E9-4E53CBA8D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540384"/>
        <c:axId val="1124540744"/>
      </c:lineChart>
      <c:catAx>
        <c:axId val="1129173224"/>
        <c:scaling>
          <c:orientation val="minMax"/>
        </c:scaling>
        <c:delete val="0"/>
        <c:axPos val="b"/>
        <c:numFmt formatCode="#,##0\'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75744"/>
        <c:crosses val="autoZero"/>
        <c:auto val="1"/>
        <c:lblAlgn val="ctr"/>
        <c:lblOffset val="0"/>
        <c:noMultiLvlLbl val="0"/>
      </c:catAx>
      <c:valAx>
        <c:axId val="112917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ln w="0">
                      <a:noFill/>
                    </a:ln>
                    <a:solidFill>
                      <a:srgbClr val="EF412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n w="0">
                      <a:noFill/>
                    </a:ln>
                    <a:solidFill>
                      <a:srgbClr val="EF4123"/>
                    </a:solidFill>
                  </a:rPr>
                  <a:t>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ln w="0">
                    <a:noFill/>
                  </a:ln>
                  <a:solidFill>
                    <a:srgbClr val="EF412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EF41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73224"/>
        <c:crosses val="autoZero"/>
        <c:crossBetween val="between"/>
      </c:valAx>
      <c:valAx>
        <c:axId val="112454074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ln>
                  <a:noFill/>
                </a:ln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40384"/>
        <c:crosses val="max"/>
        <c:crossBetween val="between"/>
      </c:valAx>
      <c:catAx>
        <c:axId val="1124540384"/>
        <c:scaling>
          <c:orientation val="minMax"/>
        </c:scaling>
        <c:delete val="1"/>
        <c:axPos val="b"/>
        <c:majorTickMark val="out"/>
        <c:minorTickMark val="none"/>
        <c:tickLblPos val="nextTo"/>
        <c:crossAx val="1124540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  <a:scene3d>
      <a:camera prst="orthographicFront"/>
      <a:lightRig rig="threePt" dir="t"/>
    </a:scene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50</xdr:row>
      <xdr:rowOff>123825</xdr:rowOff>
    </xdr:from>
    <xdr:to>
      <xdr:col>15</xdr:col>
      <xdr:colOff>161925</xdr:colOff>
      <xdr:row>69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E764AE-280C-DB06-30B1-752DF292D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1</xdr:row>
      <xdr:rowOff>0</xdr:rowOff>
    </xdr:from>
    <xdr:to>
      <xdr:col>2</xdr:col>
      <xdr:colOff>9525</xdr:colOff>
      <xdr:row>1</xdr:row>
      <xdr:rowOff>923925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871E7-2B8E-D805-2F6C-03FBD9A3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0"/>
          <a:ext cx="923925" cy="923925"/>
        </a:xfrm>
        <a:prstGeom prst="rect">
          <a:avLst/>
        </a:prstGeom>
      </xdr:spPr>
    </xdr:pic>
    <xdr:clientData/>
  </xdr:twoCellAnchor>
  <xdr:twoCellAnchor editAs="oneCell">
    <xdr:from>
      <xdr:col>10</xdr:col>
      <xdr:colOff>311150</xdr:colOff>
      <xdr:row>71</xdr:row>
      <xdr:rowOff>187326</xdr:rowOff>
    </xdr:from>
    <xdr:to>
      <xdr:col>14</xdr:col>
      <xdr:colOff>371475</xdr:colOff>
      <xdr:row>73</xdr:row>
      <xdr:rowOff>141660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895CBE-8098-22DC-925C-E658B61E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075" y="14189076"/>
          <a:ext cx="2584450" cy="335334"/>
        </a:xfrm>
        <a:prstGeom prst="rect">
          <a:avLst/>
        </a:prstGeom>
      </xdr:spPr>
    </xdr:pic>
    <xdr:clientData/>
  </xdr:twoCellAnchor>
  <xdr:twoCellAnchor editAs="oneCell">
    <xdr:from>
      <xdr:col>5</xdr:col>
      <xdr:colOff>390241</xdr:colOff>
      <xdr:row>29</xdr:row>
      <xdr:rowOff>114850</xdr:rowOff>
    </xdr:from>
    <xdr:to>
      <xdr:col>13</xdr:col>
      <xdr:colOff>123625</xdr:colOff>
      <xdr:row>59</xdr:row>
      <xdr:rowOff>186717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F03AEA-4FB5-6519-0D26-86438DCAD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608611">
          <a:off x="5257516" y="6258475"/>
          <a:ext cx="3924384" cy="578686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26</xdr:row>
      <xdr:rowOff>104775</xdr:rowOff>
    </xdr:from>
    <xdr:to>
      <xdr:col>5</xdr:col>
      <xdr:colOff>314325</xdr:colOff>
      <xdr:row>51</xdr:row>
      <xdr:rowOff>160260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8E9EF8-82E5-C7DF-86D0-71A068C9C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676900"/>
          <a:ext cx="4810125" cy="4817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814D-C38C-4078-87BE-028EAC078353}">
  <sheetPr>
    <pageSetUpPr fitToPage="1"/>
  </sheetPr>
  <dimension ref="B2:O72"/>
  <sheetViews>
    <sheetView showGridLines="0" tabSelected="1" zoomScaleNormal="100" workbookViewId="0">
      <selection activeCell="S5" sqref="S5"/>
    </sheetView>
  </sheetViews>
  <sheetFormatPr defaultColWidth="9" defaultRowHeight="15" x14ac:dyDescent="0.25"/>
  <cols>
    <col min="1" max="1" width="2.7109375" style="1" customWidth="1"/>
    <col min="2" max="2" width="13.85546875" style="1" bestFit="1" customWidth="1"/>
    <col min="3" max="3" width="17" style="1" bestFit="1" customWidth="1"/>
    <col min="4" max="4" width="32.85546875" style="1" bestFit="1" customWidth="1"/>
    <col min="5" max="5" width="6.5703125" style="1" customWidth="1"/>
    <col min="6" max="6" width="6.5703125" style="1" bestFit="1" customWidth="1"/>
    <col min="7" max="7" width="8.5703125" style="1" bestFit="1" customWidth="1"/>
    <col min="8" max="8" width="8.5703125" style="1" customWidth="1"/>
    <col min="9" max="9" width="8.5703125" style="1" bestFit="1" customWidth="1"/>
    <col min="10" max="10" width="0.42578125" style="1" customWidth="1"/>
    <col min="11" max="11" width="20.7109375" style="1" customWidth="1"/>
    <col min="12" max="12" width="0.42578125" style="1" customWidth="1"/>
    <col min="13" max="13" width="9" style="1" bestFit="1" customWidth="1"/>
    <col min="14" max="14" width="7.7109375" style="1" bestFit="1" customWidth="1"/>
    <col min="15" max="15" width="8.140625" style="1" bestFit="1" customWidth="1"/>
    <col min="16" max="16" width="2.7109375" style="1" customWidth="1"/>
    <col min="17" max="16384" width="9" style="1"/>
  </cols>
  <sheetData>
    <row r="2" spans="2:15" ht="73.5" customHeight="1" x14ac:dyDescent="0.45">
      <c r="B2" s="22" t="str">
        <f>IF('Data Entry'!$B$2="","",'Data Entry'!$B$2)</f>
        <v>Roadmap --- Ø 12-1/4" 616-SR+9(K)(BR)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2:15" ht="8.1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3.95" customHeight="1" x14ac:dyDescent="0.25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2:15" ht="25.5" customHeight="1" x14ac:dyDescent="0.25">
      <c r="B5" s="21" t="str">
        <f>IF('Data Entry'!$B$4="","",'Data Entry'!$B$4)</f>
        <v>Midland Basin --- Intermediate Interval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2:15" ht="15" customHeight="1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ht="15" customHeight="1" x14ac:dyDescent="0.25">
      <c r="H7" s="1">
        <f>IF('Data Entry'!N8="","",'Data Entry'!N8)</f>
        <v>0.16</v>
      </c>
      <c r="M7" s="18" t="s">
        <v>20</v>
      </c>
      <c r="N7" s="19"/>
      <c r="O7" s="20"/>
    </row>
    <row r="8" spans="2:15" x14ac:dyDescent="0.25">
      <c r="B8" s="2" t="s">
        <v>4</v>
      </c>
      <c r="C8" s="86" t="s">
        <v>11</v>
      </c>
      <c r="D8" s="25" t="s">
        <v>1</v>
      </c>
      <c r="E8" s="6" t="s">
        <v>0</v>
      </c>
      <c r="F8" s="90" t="s">
        <v>10</v>
      </c>
      <c r="G8" s="91" t="s">
        <v>53</v>
      </c>
      <c r="H8" s="12" t="s">
        <v>8</v>
      </c>
      <c r="I8" s="23" t="s">
        <v>2</v>
      </c>
      <c r="J8" s="23"/>
      <c r="K8" s="23"/>
      <c r="L8" s="7"/>
      <c r="M8" s="3" t="s">
        <v>26</v>
      </c>
      <c r="N8" s="17" t="s">
        <v>14</v>
      </c>
      <c r="O8" s="17"/>
    </row>
    <row r="9" spans="2:15" ht="12" customHeight="1" thickBot="1" x14ac:dyDescent="0.3">
      <c r="B9" s="8" t="s">
        <v>3</v>
      </c>
      <c r="C9" s="87"/>
      <c r="D9" s="26"/>
      <c r="E9" s="88" t="s">
        <v>5</v>
      </c>
      <c r="F9" s="92" t="s">
        <v>6</v>
      </c>
      <c r="G9" s="9" t="s">
        <v>6</v>
      </c>
      <c r="H9" s="89" t="s">
        <v>7</v>
      </c>
      <c r="I9" s="84" t="s">
        <v>9</v>
      </c>
      <c r="J9" s="84"/>
      <c r="K9" s="84"/>
      <c r="L9" s="85"/>
      <c r="M9" s="13" t="s">
        <v>54</v>
      </c>
      <c r="N9" s="14" t="s">
        <v>54</v>
      </c>
      <c r="O9" s="15" t="s">
        <v>24</v>
      </c>
    </row>
    <row r="10" spans="2:15" ht="15" customHeight="1" x14ac:dyDescent="0.25">
      <c r="B10" s="96" t="str">
        <f>CONCATENATE('Data Entry'!B11, " - ",'Data Entry'!C11)</f>
        <v>1800 - 2500</v>
      </c>
      <c r="C10" s="97" t="str">
        <f>IF('Data Entry'!D11="","",'Data Entry'!D11)</f>
        <v>Rustler</v>
      </c>
      <c r="D10" s="98" t="str">
        <f>IF('Data Entry'!E11="","",'Data Entry'!E11)</f>
        <v/>
      </c>
      <c r="E10" s="99" t="str">
        <f>IF(AND('Data Entry'!F11&gt;0,'Data Entry'!G11&gt;0),CONCATENATE('Data Entry'!F11," - ",'Data Entry'!G11),CONCATENATE('Data Entry'!F11,'Data Entry'!G11))</f>
        <v>35</v>
      </c>
      <c r="F10" s="100" t="str">
        <f>IF(AND('Data Entry'!H11&gt;0,'Data Entry'!I11&gt;0),CONCATENATE('Data Entry'!H11," - ",'Data Entry'!I11),CONCATENATE('Data Entry'!H11,'Data Entry'!I11))</f>
        <v>60 - 80</v>
      </c>
      <c r="G10" s="98" t="str">
        <f>IF(AND('Data Entry'!J11&gt;0,'Data Entry'!K11&gt;0),CONCATENATE('Data Entry'!J11," - ",'Data Entry'!K11),CONCATENATE('Data Entry'!J11,'Data Entry'!K11))</f>
        <v>220 - 240</v>
      </c>
      <c r="H10" s="101">
        <f>IF('Data Entry'!N11="","",'Data Entry'!N11)</f>
        <v>1000</v>
      </c>
      <c r="I10" s="93" t="str">
        <f>IF(AND('Data Entry'!L11&gt;0,'Data Entry'!M11&gt;0),CONCATENATE('Data Entry'!L11," - ",'Data Entry'!M11),CONCATENATE('Data Entry'!L11,'Data Entry'!M11))</f>
        <v>300 - 320</v>
      </c>
      <c r="J10" s="102"/>
      <c r="K10" s="103">
        <f>IFERROR(AVERAGE('Data Entry'!L11,'Data Entry'!M11),"")</f>
        <v>310</v>
      </c>
      <c r="L10" s="104"/>
      <c r="M10" s="105">
        <f>IFERROR(IF(AND('Data Entry'!$B11&gt;0,'Data Entry'!$C11&gt;0,'Data Entry'!$L11&gt;0,'Data Entry'!M11&gt;0),('Data Entry'!$C11-'Data Entry'!$B11)/AVERAGE('Data Entry'!$L11,'Data Entry'!$M11),""),"")</f>
        <v>2.2580645161290325</v>
      </c>
      <c r="N10" s="106">
        <f>SUM($M$10:$M10)</f>
        <v>2.2580645161290325</v>
      </c>
      <c r="O10" s="107">
        <f>('Data Entry'!$C11-'Data Entry'!$B$11)/(SUM($M$10:$M10))</f>
        <v>309.99999999999994</v>
      </c>
    </row>
    <row r="11" spans="2:15" x14ac:dyDescent="0.25">
      <c r="B11" s="108" t="str">
        <f>CONCATENATE('Data Entry'!B12, " - ",'Data Entry'!C12)</f>
        <v>2500 - 3000</v>
      </c>
      <c r="C11" s="109" t="str">
        <f>IF('Data Entry'!D12="","",'Data Entry'!D12)</f>
        <v>Salado</v>
      </c>
      <c r="D11" s="110" t="str">
        <f>IF('Data Entry'!E12="","",'Data Entry'!E12)</f>
        <v/>
      </c>
      <c r="E11" s="111" t="str">
        <f>IF(AND('Data Entry'!F12&gt;0,'Data Entry'!G12&gt;0),CONCATENATE('Data Entry'!F12," - ",'Data Entry'!G12),CONCATENATE('Data Entry'!F12,'Data Entry'!G12))</f>
        <v>42</v>
      </c>
      <c r="F11" s="112" t="str">
        <f>IF(AND('Data Entry'!H12&gt;0,'Data Entry'!I12&gt;0),CONCATENATE('Data Entry'!H12," - ",'Data Entry'!I12),CONCATENATE('Data Entry'!H12,'Data Entry'!I12))</f>
        <v>60 - 80</v>
      </c>
      <c r="G11" s="113" t="str">
        <f>IF(AND('Data Entry'!J12&gt;0,'Data Entry'!K12&gt;0),CONCATENATE('Data Entry'!J12," - ",'Data Entry'!K12),CONCATENATE('Data Entry'!J12,'Data Entry'!K12))</f>
        <v>220 - 240</v>
      </c>
      <c r="H11" s="114">
        <f>IF('Data Entry'!N12="","",'Data Entry'!N12)</f>
        <v>1000</v>
      </c>
      <c r="I11" s="94" t="str">
        <f>IF(AND('Data Entry'!L12&gt;0,'Data Entry'!M12&gt;0),CONCATENATE('Data Entry'!L12," - ",'Data Entry'!M12),CONCATENATE('Data Entry'!L12,'Data Entry'!M12))</f>
        <v>300 - 320</v>
      </c>
      <c r="J11" s="115"/>
      <c r="K11" s="116">
        <f>IFERROR(AVERAGE('Data Entry'!L12,'Data Entry'!M12),"")</f>
        <v>310</v>
      </c>
      <c r="L11" s="117"/>
      <c r="M11" s="118">
        <f>IFERROR(IF(AND('Data Entry'!$B12&gt;0,'Data Entry'!$C12&gt;0,'Data Entry'!$L12&gt;0,'Data Entry'!M12&gt;0),('Data Entry'!$C12-'Data Entry'!$B12)/AVERAGE('Data Entry'!$L12,'Data Entry'!$M12),""),"")</f>
        <v>1.6129032258064515</v>
      </c>
      <c r="N11" s="119">
        <f>SUM($M$10:$M11)</f>
        <v>3.870967741935484</v>
      </c>
      <c r="O11" s="120">
        <f>('Data Entry'!$C12-'Data Entry'!$B$11)/(SUM($M$10:$M11))</f>
        <v>310</v>
      </c>
    </row>
    <row r="12" spans="2:15" x14ac:dyDescent="0.25">
      <c r="B12" s="108" t="str">
        <f>CONCATENATE('Data Entry'!B13, " - ",'Data Entry'!C13)</f>
        <v>3000 - 3500</v>
      </c>
      <c r="C12" s="121" t="str">
        <f>IF('Data Entry'!D13="","",'Data Entry'!D13)</f>
        <v>Yates</v>
      </c>
      <c r="D12" s="113" t="str">
        <f>IF('Data Entry'!E13="","",'Data Entry'!E13)</f>
        <v>Anhydrite, Salt</v>
      </c>
      <c r="E12" s="111" t="str">
        <f>IF(AND('Data Entry'!F13&gt;0,'Data Entry'!G13&gt;0),CONCATENATE('Data Entry'!F13," - ",'Data Entry'!G13),CONCATENATE('Data Entry'!F13,'Data Entry'!G13))</f>
        <v>40</v>
      </c>
      <c r="F12" s="112" t="str">
        <f>IF(AND('Data Entry'!H13&gt;0,'Data Entry'!I13&gt;0),CONCATENATE('Data Entry'!H13," - ",'Data Entry'!I13),CONCATENATE('Data Entry'!H13,'Data Entry'!I13))</f>
        <v>60 - 70</v>
      </c>
      <c r="G12" s="113" t="str">
        <f>IF(AND('Data Entry'!J13&gt;0,'Data Entry'!K13&gt;0),CONCATENATE('Data Entry'!J13," - ",'Data Entry'!K13),CONCATENATE('Data Entry'!J13,'Data Entry'!K13))</f>
        <v>220 - 230</v>
      </c>
      <c r="H12" s="114">
        <f>IF('Data Entry'!N13="","",'Data Entry'!N13)</f>
        <v>1000</v>
      </c>
      <c r="I12" s="94" t="str">
        <f>IF(AND('Data Entry'!L13&gt;0,'Data Entry'!M13&gt;0),CONCATENATE('Data Entry'!L13," - ",'Data Entry'!M13),CONCATENATE('Data Entry'!L13,'Data Entry'!M13))</f>
        <v>260 - 280</v>
      </c>
      <c r="J12" s="115"/>
      <c r="K12" s="116">
        <f>IFERROR(AVERAGE('Data Entry'!L13,'Data Entry'!M13),"")</f>
        <v>270</v>
      </c>
      <c r="L12" s="117"/>
      <c r="M12" s="118">
        <f>IFERROR(IF(AND('Data Entry'!$B13&gt;0,'Data Entry'!$C13&gt;0,'Data Entry'!$L13&gt;0,'Data Entry'!M13&gt;0),('Data Entry'!$C13-'Data Entry'!$B13)/AVERAGE('Data Entry'!$L13,'Data Entry'!$M13),""),"")</f>
        <v>1.8518518518518519</v>
      </c>
      <c r="N12" s="119">
        <f>SUM($M$10:$M12)</f>
        <v>5.7228195937873361</v>
      </c>
      <c r="O12" s="120">
        <f>('Data Entry'!$C13-'Data Entry'!$B$11)/(SUM($M$10:$M12))</f>
        <v>297.0563674321503</v>
      </c>
    </row>
    <row r="13" spans="2:15" x14ac:dyDescent="0.25">
      <c r="B13" s="108" t="str">
        <f>CONCATENATE('Data Entry'!B14, " - ",'Data Entry'!C14)</f>
        <v>3500 - 4000</v>
      </c>
      <c r="C13" s="121" t="str">
        <f>IF('Data Entry'!D14="","",'Data Entry'!D14)</f>
        <v>Seven Rivers</v>
      </c>
      <c r="D13" s="113" t="str">
        <f>IF('Data Entry'!E14="","",'Data Entry'!E14)</f>
        <v>Sand, w/ Anhydrite Stringers, Shale</v>
      </c>
      <c r="E13" s="111" t="str">
        <f>IF(AND('Data Entry'!F14&gt;0,'Data Entry'!G14&gt;0),CONCATENATE('Data Entry'!F14," - ",'Data Entry'!G14),CONCATENATE('Data Entry'!F14,'Data Entry'!G14))</f>
        <v>44</v>
      </c>
      <c r="F13" s="112" t="str">
        <f>IF(AND('Data Entry'!H14&gt;0,'Data Entry'!I14&gt;0),CONCATENATE('Data Entry'!H14," - ",'Data Entry'!I14),CONCATENATE('Data Entry'!H14,'Data Entry'!I14))</f>
        <v>60 - 70</v>
      </c>
      <c r="G13" s="113" t="str">
        <f>IF(AND('Data Entry'!J14&gt;0,'Data Entry'!K14&gt;0),CONCATENATE('Data Entry'!J14," - ",'Data Entry'!K14),CONCATENATE('Data Entry'!J14,'Data Entry'!K14))</f>
        <v>220 - 230</v>
      </c>
      <c r="H13" s="114">
        <f>IF('Data Entry'!N14="","",'Data Entry'!N14)</f>
        <v>1000</v>
      </c>
      <c r="I13" s="94" t="str">
        <f>IF(AND('Data Entry'!L14&gt;0,'Data Entry'!M14&gt;0),CONCATENATE('Data Entry'!L14," - ",'Data Entry'!M14),CONCATENATE('Data Entry'!L14,'Data Entry'!M14))</f>
        <v>220 - 240</v>
      </c>
      <c r="J13" s="115"/>
      <c r="K13" s="116">
        <f>IFERROR(AVERAGE('Data Entry'!L14,'Data Entry'!M14),"")</f>
        <v>230</v>
      </c>
      <c r="L13" s="117"/>
      <c r="M13" s="118">
        <f>IFERROR(IF(AND('Data Entry'!$B14&gt;0,'Data Entry'!$C14&gt;0,'Data Entry'!$L14&gt;0,'Data Entry'!M14&gt;0),('Data Entry'!$C14-'Data Entry'!$B14)/AVERAGE('Data Entry'!$L14,'Data Entry'!$M14),""),"")</f>
        <v>2.1739130434782608</v>
      </c>
      <c r="N13" s="119">
        <f>SUM($M$10:$M13)</f>
        <v>7.8967326372655968</v>
      </c>
      <c r="O13" s="120">
        <f>('Data Entry'!$C14-'Data Entry'!$B$11)/(SUM($M$10:$M13))</f>
        <v>278.59623733719246</v>
      </c>
    </row>
    <row r="14" spans="2:15" x14ac:dyDescent="0.25">
      <c r="B14" s="122" t="str">
        <f>CONCATENATE('Data Entry'!B15, " - ",'Data Entry'!C15)</f>
        <v>4000 - 4500</v>
      </c>
      <c r="C14" s="123" t="str">
        <f>IF('Data Entry'!D15="","",'Data Entry'!D15)</f>
        <v>Transition Zone</v>
      </c>
      <c r="D14" s="124" t="str">
        <f>IF('Data Entry'!E15="","",'Data Entry'!E15)</f>
        <v>Can be Lime stringers</v>
      </c>
      <c r="E14" s="111" t="str">
        <f>IF(AND('Data Entry'!F15&gt;0,'Data Entry'!G15&gt;0),CONCATENATE('Data Entry'!F15," - ",'Data Entry'!G15),CONCATENATE('Data Entry'!F15,'Data Entry'!G15))</f>
        <v>50</v>
      </c>
      <c r="F14" s="112" t="str">
        <f>IF(AND('Data Entry'!H15&gt;0,'Data Entry'!I15&gt;0),CONCATENATE('Data Entry'!H15," - ",'Data Entry'!I15),CONCATENATE('Data Entry'!H15,'Data Entry'!I15))</f>
        <v>40 - 60</v>
      </c>
      <c r="G14" s="113" t="str">
        <f>IF(AND('Data Entry'!J15&gt;0,'Data Entry'!K15&gt;0),CONCATENATE('Data Entry'!J15," - ",'Data Entry'!K15),CONCATENATE('Data Entry'!J15,'Data Entry'!K15))</f>
        <v>184 - 204</v>
      </c>
      <c r="H14" s="114">
        <f>IF('Data Entry'!N15="","",'Data Entry'!N15)</f>
        <v>900</v>
      </c>
      <c r="I14" s="94" t="str">
        <f>IF(AND('Data Entry'!L15&gt;0,'Data Entry'!M15&gt;0),CONCATENATE('Data Entry'!L15," - ",'Data Entry'!M15),CONCATENATE('Data Entry'!L15,'Data Entry'!M15))</f>
        <v>150 - 170</v>
      </c>
      <c r="J14" s="115"/>
      <c r="K14" s="116">
        <f>IFERROR(AVERAGE('Data Entry'!L15,'Data Entry'!M15),"")</f>
        <v>160</v>
      </c>
      <c r="L14" s="117"/>
      <c r="M14" s="118">
        <f>IFERROR(IF(AND('Data Entry'!$B15&gt;0,'Data Entry'!$C15&gt;0,'Data Entry'!$L15&gt;0,'Data Entry'!M15&gt;0),('Data Entry'!$C15-'Data Entry'!$B15)/AVERAGE('Data Entry'!$L15,'Data Entry'!$M15),""),"")</f>
        <v>3.125</v>
      </c>
      <c r="N14" s="119">
        <f>SUM($M$10:$M14)</f>
        <v>11.021732637265597</v>
      </c>
      <c r="O14" s="120">
        <f>('Data Entry'!$C15-'Data Entry'!$B$11)/(SUM($M$10:$M14))</f>
        <v>244.97055851917747</v>
      </c>
    </row>
    <row r="15" spans="2:15" x14ac:dyDescent="0.25">
      <c r="B15" s="108" t="str">
        <f>CONCATENATE('Data Entry'!B16, " - ",'Data Entry'!C16)</f>
        <v>4500 - 5000</v>
      </c>
      <c r="C15" s="121" t="str">
        <f>IF('Data Entry'!D16="","",'Data Entry'!D16)</f>
        <v>Queen</v>
      </c>
      <c r="D15" s="113" t="str">
        <f>IF('Data Entry'!E16="","",'Data Entry'!E16)</f>
        <v>Sand, w/ Anhydrite Stringers, Shale</v>
      </c>
      <c r="E15" s="111" t="str">
        <f>IF(AND('Data Entry'!F16&gt;0,'Data Entry'!G16&gt;0),CONCATENATE('Data Entry'!F16," - ",'Data Entry'!G16),CONCATENATE('Data Entry'!F16,'Data Entry'!G16))</f>
        <v>46</v>
      </c>
      <c r="F15" s="112" t="str">
        <f>IF(AND('Data Entry'!H16&gt;0,'Data Entry'!I16&gt;0),CONCATENATE('Data Entry'!H16," - ",'Data Entry'!I16),CONCATENATE('Data Entry'!H16,'Data Entry'!I16))</f>
        <v>60 - 70</v>
      </c>
      <c r="G15" s="113" t="str">
        <f>IF(AND('Data Entry'!J16&gt;0,'Data Entry'!K16&gt;0),CONCATENATE('Data Entry'!J16," - ",'Data Entry'!K16),CONCATENATE('Data Entry'!J16,'Data Entry'!K16))</f>
        <v>204 - 214</v>
      </c>
      <c r="H15" s="114">
        <f>IF('Data Entry'!N16="","",'Data Entry'!N16)</f>
        <v>900</v>
      </c>
      <c r="I15" s="94" t="str">
        <f>IF(AND('Data Entry'!L16&gt;0,'Data Entry'!M16&gt;0),CONCATENATE('Data Entry'!L16," - ",'Data Entry'!M16),CONCATENATE('Data Entry'!L16,'Data Entry'!M16))</f>
        <v>160 - 180</v>
      </c>
      <c r="J15" s="115"/>
      <c r="K15" s="116">
        <f>IFERROR(AVERAGE('Data Entry'!L16,'Data Entry'!M16),"")</f>
        <v>170</v>
      </c>
      <c r="L15" s="117"/>
      <c r="M15" s="118">
        <f>IFERROR(IF(AND('Data Entry'!$B16&gt;0,'Data Entry'!$C16&gt;0,'Data Entry'!$L16&gt;0,'Data Entry'!M16&gt;0),('Data Entry'!$C16-'Data Entry'!$B16)/AVERAGE('Data Entry'!$L16,'Data Entry'!$M16),""),"")</f>
        <v>2.9411764705882355</v>
      </c>
      <c r="N15" s="119">
        <f>SUM($M$10:$M15)</f>
        <v>13.962909107853832</v>
      </c>
      <c r="O15" s="120">
        <f>('Data Entry'!$C16-'Data Entry'!$B$11)/(SUM($M$10:$M15))</f>
        <v>229.17860277412174</v>
      </c>
    </row>
    <row r="16" spans="2:15" x14ac:dyDescent="0.25">
      <c r="B16" s="108" t="str">
        <f>CONCATENATE('Data Entry'!B17, " - ",'Data Entry'!C17)</f>
        <v>5000 - 5500</v>
      </c>
      <c r="C16" s="109" t="str">
        <f>IF('Data Entry'!D17="","",'Data Entry'!D17)</f>
        <v>Grayburg</v>
      </c>
      <c r="D16" s="125" t="str">
        <f>IF('Data Entry'!E17="","",'Data Entry'!E17)</f>
        <v>Dolomite - Hard cap (Can be Cherty)</v>
      </c>
      <c r="E16" s="111" t="str">
        <f>IF(AND('Data Entry'!F17&gt;0,'Data Entry'!G17&gt;0),CONCATENATE('Data Entry'!F17," - ",'Data Entry'!G17),CONCATENATE('Data Entry'!F17,'Data Entry'!G17))</f>
        <v>49</v>
      </c>
      <c r="F16" s="112" t="str">
        <f>IF(AND('Data Entry'!H17&gt;0,'Data Entry'!I17&gt;0),CONCATENATE('Data Entry'!H17," - ",'Data Entry'!I17),CONCATENATE('Data Entry'!H17,'Data Entry'!I17))</f>
        <v>40 - 60</v>
      </c>
      <c r="G16" s="113" t="str">
        <f>IF(AND('Data Entry'!J17&gt;0,'Data Entry'!K17&gt;0),CONCATENATE('Data Entry'!J17," - ",'Data Entry'!K17),CONCATENATE('Data Entry'!J17,'Data Entry'!K17))</f>
        <v>184 - 204</v>
      </c>
      <c r="H16" s="114">
        <f>IF('Data Entry'!N17="","",'Data Entry'!N17)</f>
        <v>900</v>
      </c>
      <c r="I16" s="94" t="str">
        <f>IF(AND('Data Entry'!L17&gt;0,'Data Entry'!M17&gt;0),CONCATENATE('Data Entry'!L17," - ",'Data Entry'!M17),CONCATENATE('Data Entry'!L17,'Data Entry'!M17))</f>
        <v>130 - 150</v>
      </c>
      <c r="J16" s="115"/>
      <c r="K16" s="116">
        <f>IFERROR(AVERAGE('Data Entry'!L17,'Data Entry'!M17),"")</f>
        <v>140</v>
      </c>
      <c r="L16" s="117"/>
      <c r="M16" s="118">
        <f>IFERROR(IF(AND('Data Entry'!$B17&gt;0,'Data Entry'!$C17&gt;0,'Data Entry'!$L17&gt;0,'Data Entry'!M17&gt;0),('Data Entry'!$C17-'Data Entry'!$B17)/AVERAGE('Data Entry'!$L17,'Data Entry'!$M17),""),"")</f>
        <v>3.5714285714285716</v>
      </c>
      <c r="N16" s="119">
        <f>SUM($M$10:$M16)</f>
        <v>17.534337679282405</v>
      </c>
      <c r="O16" s="120">
        <f>('Data Entry'!$C17-'Data Entry'!$B$11)/(SUM($M$10:$M16))</f>
        <v>211.01452861671038</v>
      </c>
    </row>
    <row r="17" spans="2:15" x14ac:dyDescent="0.25">
      <c r="B17" s="108" t="str">
        <f>CONCATENATE('Data Entry'!B18, " - ",'Data Entry'!C18)</f>
        <v>5500 - 6000</v>
      </c>
      <c r="C17" s="121" t="str">
        <f>IF('Data Entry'!D18="","",'Data Entry'!D18)</f>
        <v>San Andres &amp; Holt</v>
      </c>
      <c r="D17" s="125" t="str">
        <f>IF('Data Entry'!E18="","",'Data Entry'!E18)</f>
        <v>Dolomite - Hard cap (Can be Cherty)</v>
      </c>
      <c r="E17" s="111" t="str">
        <f>IF(AND('Data Entry'!F18&gt;0,'Data Entry'!G18&gt;0),CONCATENATE('Data Entry'!F18," - ",'Data Entry'!G18),CONCATENATE('Data Entry'!F18,'Data Entry'!G18))</f>
        <v>52</v>
      </c>
      <c r="F17" s="112" t="str">
        <f>IF(AND('Data Entry'!H18&gt;0,'Data Entry'!I18&gt;0),CONCATENATE('Data Entry'!H18," - ",'Data Entry'!I18),CONCATENATE('Data Entry'!H18,'Data Entry'!I18))</f>
        <v>50 - 60</v>
      </c>
      <c r="G17" s="113" t="str">
        <f>IF(AND('Data Entry'!J18&gt;0,'Data Entry'!K18&gt;0),CONCATENATE('Data Entry'!J18," - ",'Data Entry'!K18),CONCATENATE('Data Entry'!J18,'Data Entry'!K18))</f>
        <v>194 - 204</v>
      </c>
      <c r="H17" s="114">
        <f>IF('Data Entry'!N18="","",'Data Entry'!N18)</f>
        <v>900</v>
      </c>
      <c r="I17" s="94" t="str">
        <f>IF(AND('Data Entry'!L18&gt;0,'Data Entry'!M18&gt;0),CONCATENATE('Data Entry'!L18," - ",'Data Entry'!M18),CONCATENATE('Data Entry'!L18,'Data Entry'!M18))</f>
        <v>160 - 180</v>
      </c>
      <c r="J17" s="115"/>
      <c r="K17" s="126">
        <f>IFERROR(AVERAGE('Data Entry'!L18,'Data Entry'!M18),"")</f>
        <v>170</v>
      </c>
      <c r="L17" s="127"/>
      <c r="M17" s="118">
        <f>IFERROR(IF(AND('Data Entry'!$B18&gt;0,'Data Entry'!$C18&gt;0,'Data Entry'!$L18&gt;0,'Data Entry'!M18&gt;0),('Data Entry'!$C18-'Data Entry'!$B18)/AVERAGE('Data Entry'!$L18,'Data Entry'!$M18),""),"")</f>
        <v>2.9411764705882355</v>
      </c>
      <c r="N17" s="119">
        <f>SUM($M$10:$M17)</f>
        <v>20.475514149870641</v>
      </c>
      <c r="O17" s="120">
        <f>('Data Entry'!$C18-'Data Entry'!$B$11)/(SUM($M$10:$M17))</f>
        <v>205.12305426169405</v>
      </c>
    </row>
    <row r="18" spans="2:15" x14ac:dyDescent="0.25">
      <c r="B18" s="128" t="str">
        <f>CONCATENATE('Data Entry'!B19, " - ",'Data Entry'!C19)</f>
        <v>6000 - 6500</v>
      </c>
      <c r="C18" s="121" t="str">
        <f>IF('Data Entry'!D19="","",'Data Entry'!D19)</f>
        <v>Glorietta</v>
      </c>
      <c r="D18" s="113" t="str">
        <f>IF('Data Entry'!E19="","",'Data Entry'!E19)</f>
        <v>Cherty Dolomite, Limestone, Sands</v>
      </c>
      <c r="E18" s="111" t="str">
        <f>IF(AND('Data Entry'!F19&gt;0,'Data Entry'!G19&gt;0),CONCATENATE('Data Entry'!F19," - ",'Data Entry'!G19),CONCATENATE('Data Entry'!F19,'Data Entry'!G19))</f>
        <v>55</v>
      </c>
      <c r="F18" s="112" t="str">
        <f>IF(AND('Data Entry'!H19&gt;0,'Data Entry'!I19&gt;0),CONCATENATE('Data Entry'!H19," - ",'Data Entry'!I19),CONCATENATE('Data Entry'!H19,'Data Entry'!I19))</f>
        <v>60 - 80</v>
      </c>
      <c r="G18" s="113" t="str">
        <f>IF(AND('Data Entry'!J19&gt;0,'Data Entry'!K19&gt;0),CONCATENATE('Data Entry'!J19," - ",'Data Entry'!K19),CONCATENATE('Data Entry'!J19,'Data Entry'!K19))</f>
        <v>204 - 224</v>
      </c>
      <c r="H18" s="114">
        <f>IF('Data Entry'!N19="","",'Data Entry'!N19)</f>
        <v>900</v>
      </c>
      <c r="I18" s="94" t="str">
        <f>IF(AND('Data Entry'!L19&gt;0,'Data Entry'!M19&gt;0),CONCATENATE('Data Entry'!L19," - ",'Data Entry'!M19),CONCATENATE('Data Entry'!L19,'Data Entry'!M19))</f>
        <v>180 - 200</v>
      </c>
      <c r="J18" s="115"/>
      <c r="K18" s="126">
        <f>IFERROR(AVERAGE('Data Entry'!L19,'Data Entry'!M19),"")</f>
        <v>190</v>
      </c>
      <c r="L18" s="127"/>
      <c r="M18" s="118">
        <f>IFERROR(IF(AND('Data Entry'!$B19&gt;0,'Data Entry'!$C19&gt;0,'Data Entry'!$L19&gt;0,'Data Entry'!M19&gt;0),('Data Entry'!$C19-'Data Entry'!$B19)/AVERAGE('Data Entry'!$L19,'Data Entry'!$M19),""),"")</f>
        <v>2.6315789473684212</v>
      </c>
      <c r="N18" s="119">
        <f>SUM($M$10:$M18)</f>
        <v>23.107093097239062</v>
      </c>
      <c r="O18" s="120">
        <f>('Data Entry'!$C19-'Data Entry'!$B$11)/(SUM($M$10:$M18))</f>
        <v>203.40074713082697</v>
      </c>
    </row>
    <row r="19" spans="2:15" x14ac:dyDescent="0.25">
      <c r="B19" s="108" t="str">
        <f>CONCATENATE('Data Entry'!B20, " - ",'Data Entry'!C20)</f>
        <v>6500 - 7000</v>
      </c>
      <c r="C19" s="121" t="str">
        <f>IF('Data Entry'!D20="","",'Data Entry'!D20)</f>
        <v>Tubb</v>
      </c>
      <c r="D19" s="113" t="str">
        <f>IF('Data Entry'!E20="","",'Data Entry'!E20)</f>
        <v>Limestone</v>
      </c>
      <c r="E19" s="111" t="str">
        <f>IF(AND('Data Entry'!F20&gt;0,'Data Entry'!G20&gt;0),CONCATENATE('Data Entry'!F20," - ",'Data Entry'!G20),CONCATENATE('Data Entry'!F20,'Data Entry'!G20))</f>
        <v>52</v>
      </c>
      <c r="F19" s="112" t="str">
        <f>IF(AND('Data Entry'!H20&gt;0,'Data Entry'!I20&gt;0),CONCATENATE('Data Entry'!H20," - ",'Data Entry'!I20),CONCATENATE('Data Entry'!H20,'Data Entry'!I20))</f>
        <v>60 - 70</v>
      </c>
      <c r="G19" s="113" t="str">
        <f>IF(AND('Data Entry'!J20&gt;0,'Data Entry'!K20&gt;0),CONCATENATE('Data Entry'!J20," - ",'Data Entry'!K20),CONCATENATE('Data Entry'!J20,'Data Entry'!K20))</f>
        <v>220 - 230</v>
      </c>
      <c r="H19" s="114">
        <f>IF('Data Entry'!N20="","",'Data Entry'!N20)</f>
        <v>1000</v>
      </c>
      <c r="I19" s="94" t="str">
        <f>IF(AND('Data Entry'!L20&gt;0,'Data Entry'!M20&gt;0),CONCATENATE('Data Entry'!L20," - ",'Data Entry'!M20),CONCATENATE('Data Entry'!L20,'Data Entry'!M20))</f>
        <v>180 - 200</v>
      </c>
      <c r="J19" s="115"/>
      <c r="K19" s="126">
        <f>IFERROR(AVERAGE('Data Entry'!L20,'Data Entry'!M20),"")</f>
        <v>190</v>
      </c>
      <c r="L19" s="127"/>
      <c r="M19" s="118">
        <f>IFERROR(IF(AND('Data Entry'!$B20&gt;0,'Data Entry'!$C20&gt;0,'Data Entry'!$L20&gt;0,'Data Entry'!M20&gt;0),('Data Entry'!$C20-'Data Entry'!$B20)/AVERAGE('Data Entry'!$L20,'Data Entry'!$M20),""),"")</f>
        <v>2.6315789473684212</v>
      </c>
      <c r="N19" s="119">
        <f>SUM($M$10:$M19)</f>
        <v>25.738672044607483</v>
      </c>
      <c r="O19" s="120">
        <f>('Data Entry'!$C20-'Data Entry'!$B$11)/(SUM($M$10:$M19))</f>
        <v>202.03062500613561</v>
      </c>
    </row>
    <row r="20" spans="2:15" x14ac:dyDescent="0.25">
      <c r="B20" s="108" t="str">
        <f>CONCATENATE('Data Entry'!B21, " - ",'Data Entry'!C21)</f>
        <v>7000 - 7500</v>
      </c>
      <c r="C20" s="121" t="str">
        <f>IF('Data Entry'!D21="","",'Data Entry'!D21)</f>
        <v>Upper Clearfork</v>
      </c>
      <c r="D20" s="113" t="str">
        <f>IF('Data Entry'!E21="","",'Data Entry'!E21)</f>
        <v/>
      </c>
      <c r="E20" s="111" t="str">
        <f>IF(AND('Data Entry'!F21&gt;0,'Data Entry'!G21&gt;0),CONCATENATE('Data Entry'!F21," - ",'Data Entry'!G21),CONCATENATE('Data Entry'!F21,'Data Entry'!G21))</f>
        <v>48</v>
      </c>
      <c r="F20" s="112" t="str">
        <f>IF(AND('Data Entry'!H21&gt;0,'Data Entry'!I21&gt;0),CONCATENATE('Data Entry'!H21," - ",'Data Entry'!I21),CONCATENATE('Data Entry'!H21,'Data Entry'!I21))</f>
        <v>60 - 70</v>
      </c>
      <c r="G20" s="113" t="str">
        <f>IF(AND('Data Entry'!J21&gt;0,'Data Entry'!K21&gt;0),CONCATENATE('Data Entry'!J21," - ",'Data Entry'!K21),CONCATENATE('Data Entry'!J21,'Data Entry'!K21))</f>
        <v>220 - 230</v>
      </c>
      <c r="H20" s="114">
        <f>IF('Data Entry'!N21="","",'Data Entry'!N21)</f>
        <v>1000</v>
      </c>
      <c r="I20" s="94" t="str">
        <f>IF(AND('Data Entry'!L21&gt;0,'Data Entry'!M21&gt;0),CONCATENATE('Data Entry'!L21," - ",'Data Entry'!M21),CONCATENATE('Data Entry'!L21,'Data Entry'!M21))</f>
        <v>160 - 180</v>
      </c>
      <c r="J20" s="115"/>
      <c r="K20" s="116">
        <f>IFERROR(AVERAGE('Data Entry'!L21,'Data Entry'!M21),"")</f>
        <v>170</v>
      </c>
      <c r="L20" s="117"/>
      <c r="M20" s="118">
        <f>IFERROR(IF(AND('Data Entry'!$B21&gt;0,'Data Entry'!$C21&gt;0,'Data Entry'!$L21&gt;0,'Data Entry'!M21&gt;0),('Data Entry'!$C21-'Data Entry'!$B21)/AVERAGE('Data Entry'!$L21,'Data Entry'!$M21),""),"")</f>
        <v>2.9411764705882355</v>
      </c>
      <c r="N20" s="119">
        <f>SUM($M$10:$M20)</f>
        <v>28.679848515195719</v>
      </c>
      <c r="O20" s="120">
        <f>('Data Entry'!$C21-'Data Entry'!$B$11)/(SUM($M$10:$M20))</f>
        <v>198.74581962941383</v>
      </c>
    </row>
    <row r="21" spans="2:15" x14ac:dyDescent="0.25">
      <c r="B21" s="108" t="str">
        <f>CONCATENATE('Data Entry'!B22, " - ",'Data Entry'!C22)</f>
        <v>7500 - 8000</v>
      </c>
      <c r="C21" s="121" t="str">
        <f>IF('Data Entry'!D22="","",'Data Entry'!D22)</f>
        <v>Clearfork</v>
      </c>
      <c r="D21" s="113" t="str">
        <f>IF('Data Entry'!E22="","",'Data Entry'!E22)</f>
        <v>Limestone</v>
      </c>
      <c r="E21" s="111" t="str">
        <f>IF(AND('Data Entry'!F22&gt;0,'Data Entry'!G22&gt;0),CONCATENATE('Data Entry'!F22," - ",'Data Entry'!G22),CONCATENATE('Data Entry'!F22,'Data Entry'!G22))</f>
        <v>50</v>
      </c>
      <c r="F21" s="112" t="str">
        <f>IF(AND('Data Entry'!H22&gt;0,'Data Entry'!I22&gt;0),CONCATENATE('Data Entry'!H22," - ",'Data Entry'!I22),CONCATENATE('Data Entry'!H22,'Data Entry'!I22))</f>
        <v>60 - 70</v>
      </c>
      <c r="G21" s="113" t="str">
        <f>IF(AND('Data Entry'!J22&gt;0,'Data Entry'!K22&gt;0),CONCATENATE('Data Entry'!J22," - ",'Data Entry'!K22),CONCATENATE('Data Entry'!J22,'Data Entry'!K22))</f>
        <v>220 - 230</v>
      </c>
      <c r="H21" s="114">
        <f>IF('Data Entry'!N22="","",'Data Entry'!N22)</f>
        <v>1000</v>
      </c>
      <c r="I21" s="94" t="str">
        <f>IF(AND('Data Entry'!L22&gt;0,'Data Entry'!M22&gt;0),CONCATENATE('Data Entry'!L22," - ",'Data Entry'!M22),CONCATENATE('Data Entry'!L22,'Data Entry'!M22))</f>
        <v>170 - 190</v>
      </c>
      <c r="J21" s="115"/>
      <c r="K21" s="126">
        <f>IFERROR(AVERAGE('Data Entry'!L22,'Data Entry'!M22),"")</f>
        <v>180</v>
      </c>
      <c r="L21" s="127"/>
      <c r="M21" s="118">
        <f>IFERROR(IF(AND('Data Entry'!$B22&gt;0,'Data Entry'!$C22&gt;0,'Data Entry'!$L22&gt;0,'Data Entry'!M22&gt;0),('Data Entry'!$C22-'Data Entry'!$B22)/AVERAGE('Data Entry'!$L22,'Data Entry'!$M22),""),"")</f>
        <v>2.7777777777777777</v>
      </c>
      <c r="N21" s="119">
        <f>SUM($M$10:$M21)</f>
        <v>31.457626292973497</v>
      </c>
      <c r="O21" s="120">
        <f>('Data Entry'!$C22-'Data Entry'!$B$11)/(SUM($M$10:$M21))</f>
        <v>197.09052241442822</v>
      </c>
    </row>
    <row r="22" spans="2:15" x14ac:dyDescent="0.25">
      <c r="B22" s="108" t="str">
        <f>CONCATENATE('Data Entry'!B23, " - ",'Data Entry'!C23)</f>
        <v>8000 - 8500</v>
      </c>
      <c r="C22" s="121" t="str">
        <f>IF('Data Entry'!D23="","",'Data Entry'!D23)</f>
        <v>Wichita Albany</v>
      </c>
      <c r="D22" s="113" t="str">
        <f>IF('Data Entry'!E23="","",'Data Entry'!E23)</f>
        <v>Lime, Dolomite</v>
      </c>
      <c r="E22" s="111" t="str">
        <f>IF(AND('Data Entry'!F23&gt;0,'Data Entry'!G23&gt;0),CONCATENATE('Data Entry'!F23," - ",'Data Entry'!G23),CONCATENATE('Data Entry'!F23,'Data Entry'!G23))</f>
        <v>46</v>
      </c>
      <c r="F22" s="112" t="str">
        <f>IF(AND('Data Entry'!H23&gt;0,'Data Entry'!I23&gt;0),CONCATENATE('Data Entry'!H23," - ",'Data Entry'!I23),CONCATENATE('Data Entry'!H23,'Data Entry'!I23))</f>
        <v>50 - 60</v>
      </c>
      <c r="G22" s="113" t="str">
        <f>IF(AND('Data Entry'!J23&gt;0,'Data Entry'!K23&gt;0),CONCATENATE('Data Entry'!J23," - ",'Data Entry'!K23),CONCATENATE('Data Entry'!J23,'Data Entry'!K23))</f>
        <v>194 - 204</v>
      </c>
      <c r="H22" s="114">
        <f>IF('Data Entry'!N23="","",'Data Entry'!N23)</f>
        <v>900</v>
      </c>
      <c r="I22" s="94" t="str">
        <f>IF(AND('Data Entry'!L23&gt;0,'Data Entry'!M23&gt;0),CONCATENATE('Data Entry'!L23," - ",'Data Entry'!M23),CONCATENATE('Data Entry'!L23,'Data Entry'!M23))</f>
        <v>140 - 160</v>
      </c>
      <c r="J22" s="115"/>
      <c r="K22" s="126">
        <f>IFERROR(AVERAGE('Data Entry'!L23,'Data Entry'!M23),"")</f>
        <v>150</v>
      </c>
      <c r="L22" s="127"/>
      <c r="M22" s="118">
        <f>IFERROR(IF(AND('Data Entry'!$B23&gt;0,'Data Entry'!$C23&gt;0,'Data Entry'!$L23&gt;0,'Data Entry'!M23&gt;0),('Data Entry'!$C23-'Data Entry'!$B23)/AVERAGE('Data Entry'!$L23,'Data Entry'!$M23),""),"")</f>
        <v>3.3333333333333335</v>
      </c>
      <c r="N22" s="119">
        <f>SUM($M$10:$M22)</f>
        <v>34.790959626306829</v>
      </c>
      <c r="O22" s="120">
        <f>('Data Entry'!$C23-'Data Entry'!$B$11)/(SUM($M$10:$M22))</f>
        <v>192.57876390779009</v>
      </c>
    </row>
    <row r="23" spans="2:15" x14ac:dyDescent="0.25">
      <c r="B23" s="108" t="str">
        <f>CONCATENATE('Data Entry'!B24, " - ",'Data Entry'!C24)</f>
        <v>8500 - 9000</v>
      </c>
      <c r="C23" s="121" t="str">
        <f>IF('Data Entry'!D24="","",'Data Entry'!D24)</f>
        <v>Sprayberry</v>
      </c>
      <c r="D23" s="113" t="str">
        <f>IF('Data Entry'!E24="","",'Data Entry'!E24)</f>
        <v>Shaley Sand</v>
      </c>
      <c r="E23" s="111" t="str">
        <f>IF(AND('Data Entry'!F24&gt;0,'Data Entry'!G24&gt;0),CONCATENATE('Data Entry'!F24," - ",'Data Entry'!G24),CONCATENATE('Data Entry'!F24,'Data Entry'!G24))</f>
        <v>48</v>
      </c>
      <c r="F23" s="112" t="str">
        <f>IF(AND('Data Entry'!H24&gt;0,'Data Entry'!I24&gt;0),CONCATENATE('Data Entry'!H24," - ",'Data Entry'!I24),CONCATENATE('Data Entry'!H24,'Data Entry'!I24))</f>
        <v>60 - 80</v>
      </c>
      <c r="G23" s="113" t="str">
        <f>IF(AND('Data Entry'!J24&gt;0,'Data Entry'!K24&gt;0),CONCATENATE('Data Entry'!J24," - ",'Data Entry'!K24),CONCATENATE('Data Entry'!J24,'Data Entry'!K24))</f>
        <v>220 - 240</v>
      </c>
      <c r="H23" s="114">
        <f>IF('Data Entry'!N24="","",'Data Entry'!N24)</f>
        <v>1000</v>
      </c>
      <c r="I23" s="94" t="str">
        <f>IF(AND('Data Entry'!L24&gt;0,'Data Entry'!M24&gt;0),CONCATENATE('Data Entry'!L24," - ",'Data Entry'!M24),CONCATENATE('Data Entry'!L24,'Data Entry'!M24))</f>
        <v>140 - 160</v>
      </c>
      <c r="J23" s="115"/>
      <c r="K23" s="126">
        <f>IFERROR(AVERAGE('Data Entry'!L24,'Data Entry'!M24),"")</f>
        <v>150</v>
      </c>
      <c r="L23" s="127"/>
      <c r="M23" s="118">
        <f>IFERROR(IF(AND('Data Entry'!$B24&gt;0,'Data Entry'!$C24&gt;0,'Data Entry'!$L24&gt;0,'Data Entry'!M24&gt;0),('Data Entry'!$C24-'Data Entry'!$B24)/AVERAGE('Data Entry'!$L24,'Data Entry'!$M24),""),"")</f>
        <v>3.3333333333333335</v>
      </c>
      <c r="N23" s="119">
        <f>SUM($M$10:$M23)</f>
        <v>38.124292959640165</v>
      </c>
      <c r="O23" s="120">
        <f>('Data Entry'!$C24-'Data Entry'!$B$11)/(SUM($M$10:$M23))</f>
        <v>188.85596141080427</v>
      </c>
    </row>
    <row r="24" spans="2:15" x14ac:dyDescent="0.25">
      <c r="B24" s="108" t="str">
        <f>CONCATENATE('Data Entry'!B25, " - ",'Data Entry'!C25)</f>
        <v>9000 - 9500</v>
      </c>
      <c r="C24" s="121" t="str">
        <f>IF('Data Entry'!D25="","",'Data Entry'!D25)</f>
        <v>Dean</v>
      </c>
      <c r="D24" s="113" t="str">
        <f>IF('Data Entry'!E25="","",'Data Entry'!E25)</f>
        <v/>
      </c>
      <c r="E24" s="111" t="str">
        <f>IF(AND('Data Entry'!F25&gt;0,'Data Entry'!G25&gt;0),CONCATENATE('Data Entry'!F25," - ",'Data Entry'!G25),CONCATENATE('Data Entry'!F25,'Data Entry'!G25))</f>
        <v>45</v>
      </c>
      <c r="F24" s="112" t="str">
        <f>IF(AND('Data Entry'!H25&gt;0,'Data Entry'!I25&gt;0),CONCATENATE('Data Entry'!H25," - ",'Data Entry'!I25),CONCATENATE('Data Entry'!H25,'Data Entry'!I25))</f>
        <v>60 - 80</v>
      </c>
      <c r="G24" s="113" t="str">
        <f>IF(AND('Data Entry'!J25&gt;0,'Data Entry'!K25&gt;0),CONCATENATE('Data Entry'!J25," - ",'Data Entry'!K25),CONCATENATE('Data Entry'!J25,'Data Entry'!K25))</f>
        <v>220 - 240</v>
      </c>
      <c r="H24" s="114">
        <f>IF('Data Entry'!N25="","",'Data Entry'!N25)</f>
        <v>1000</v>
      </c>
      <c r="I24" s="94" t="str">
        <f>IF(AND('Data Entry'!L25&gt;0,'Data Entry'!M25&gt;0),CONCATENATE('Data Entry'!L25," - ",'Data Entry'!M25),CONCATENATE('Data Entry'!L25,'Data Entry'!M25))</f>
        <v>120 - 140</v>
      </c>
      <c r="J24" s="115"/>
      <c r="K24" s="126">
        <f>IFERROR(AVERAGE('Data Entry'!L25,'Data Entry'!M25),"")</f>
        <v>130</v>
      </c>
      <c r="L24" s="127"/>
      <c r="M24" s="118">
        <f>IFERROR(IF(AND('Data Entry'!$B25&gt;0,'Data Entry'!$C25&gt;0,'Data Entry'!$L25&gt;0,'Data Entry'!M25&gt;0),('Data Entry'!$C25-'Data Entry'!$B25)/AVERAGE('Data Entry'!$L25,'Data Entry'!$M25),""),"")</f>
        <v>3.8461538461538463</v>
      </c>
      <c r="N24" s="119">
        <f>SUM($M$10:$M24)</f>
        <v>41.970446805794012</v>
      </c>
      <c r="O24" s="120">
        <f>('Data Entry'!$C25-'Data Entry'!$B$11)/(SUM($M$10:$M24))</f>
        <v>183.46242620740975</v>
      </c>
    </row>
    <row r="25" spans="2:15" ht="15.75" thickBot="1" x14ac:dyDescent="0.3">
      <c r="B25" s="129" t="str">
        <f>CONCATENATE('Data Entry'!B26, " - ",'Data Entry'!C26)</f>
        <v>9500 - 10000</v>
      </c>
      <c r="C25" s="130" t="str">
        <f>IF('Data Entry'!D26="","",'Data Entry'!D26)</f>
        <v>Wolfcamp</v>
      </c>
      <c r="D25" s="131" t="str">
        <f>IF('Data Entry'!E26="","",'Data Entry'!E26)</f>
        <v>Sand, Shale, Lime</v>
      </c>
      <c r="E25" s="132" t="str">
        <f>IF(AND('Data Entry'!F26&gt;0,'Data Entry'!G26&gt;0),CONCATENATE('Data Entry'!F26," - ",'Data Entry'!G26),CONCATENATE('Data Entry'!F26,'Data Entry'!G26))</f>
        <v>45</v>
      </c>
      <c r="F25" s="133" t="str">
        <f>IF(AND('Data Entry'!H26&gt;0,'Data Entry'!I26&gt;0),CONCATENATE('Data Entry'!H26," - ",'Data Entry'!I26),CONCATENATE('Data Entry'!H26,'Data Entry'!I26))</f>
        <v>60 - 70</v>
      </c>
      <c r="G25" s="131" t="str">
        <f>IF(AND('Data Entry'!J26&gt;0,'Data Entry'!K26&gt;0),CONCATENATE('Data Entry'!J26," - ",'Data Entry'!K26),CONCATENATE('Data Entry'!J26,'Data Entry'!K26))</f>
        <v>220 - 230</v>
      </c>
      <c r="H25" s="134">
        <f>IF('Data Entry'!N26="","",'Data Entry'!N26)</f>
        <v>1000</v>
      </c>
      <c r="I25" s="95" t="str">
        <f>IF(AND('Data Entry'!L26&gt;0,'Data Entry'!M26&gt;0),CONCATENATE('Data Entry'!L26," - ",'Data Entry'!M26),CONCATENATE('Data Entry'!L26,'Data Entry'!M26))</f>
        <v>120 - 140</v>
      </c>
      <c r="J25" s="135"/>
      <c r="K25" s="136">
        <f>IFERROR(AVERAGE('Data Entry'!L26,'Data Entry'!M26),"")</f>
        <v>130</v>
      </c>
      <c r="L25" s="137"/>
      <c r="M25" s="138">
        <f>IFERROR(IF(AND('Data Entry'!$B26&gt;0,'Data Entry'!$C26&gt;0,'Data Entry'!$L26&gt;0,'Data Entry'!M26&gt;0),('Data Entry'!$C26-'Data Entry'!$B26)/AVERAGE('Data Entry'!$L26,'Data Entry'!$M26),""),"")</f>
        <v>3.8461538461538463</v>
      </c>
      <c r="N25" s="139">
        <f>SUM($M$10:$M25)</f>
        <v>45.816600651947859</v>
      </c>
      <c r="O25" s="140">
        <f>('Data Entry'!$C26-'Data Entry'!$B$11)/(SUM($M$10:$M25))</f>
        <v>178.97443030076442</v>
      </c>
    </row>
    <row r="26" spans="2:15" ht="15.75" thickTop="1" x14ac:dyDescent="0.25">
      <c r="M26" s="10">
        <f>SUM(M$10:M$25)</f>
        <v>45.816600651947859</v>
      </c>
      <c r="O26" s="27">
        <f>('Data Entry'!$C$26-'Data Entry'!$B$11)/$M$26</f>
        <v>178.97443030076442</v>
      </c>
    </row>
    <row r="27" spans="2:15" x14ac:dyDescent="0.25">
      <c r="M27" s="11">
        <f>$M$26/24</f>
        <v>1.9090250271644942</v>
      </c>
    </row>
    <row r="70" spans="2:15" x14ac:dyDescent="0.25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</row>
    <row r="71" spans="2:15" ht="3.95" customHeight="1" x14ac:dyDescent="0.25"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</row>
    <row r="72" spans="2:15" x14ac:dyDescent="0.25">
      <c r="O72" s="16">
        <f>IF('Data Entry'!$B$5="","",'Data Entry'!$B$5)</f>
        <v>6653</v>
      </c>
    </row>
  </sheetData>
  <mergeCells count="8">
    <mergeCell ref="I9:K9"/>
    <mergeCell ref="C8:C9"/>
    <mergeCell ref="D8:D9"/>
    <mergeCell ref="I8:K8"/>
    <mergeCell ref="N8:O8"/>
    <mergeCell ref="M7:O7"/>
    <mergeCell ref="B5:O5"/>
    <mergeCell ref="B2:O2"/>
  </mergeCells>
  <conditionalFormatting sqref="I10:J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L25">
    <cfRule type="dataBar" priority="7">
      <dataBar showValue="0">
        <cfvo type="min"/>
        <cfvo type="max"/>
        <color rgb="FFEF4123"/>
      </dataBar>
      <extLst>
        <ext xmlns:x14="http://schemas.microsoft.com/office/spreadsheetml/2009/9/main" uri="{B025F937-C7B1-47D3-B67F-A62EFF666E3E}">
          <x14:id>{06D989B7-E5D0-4FA2-9FB4-1072EAE50395}</x14:id>
        </ext>
      </extLst>
    </cfRule>
  </conditionalFormatting>
  <pageMargins left="0.25" right="0.25" top="0.25" bottom="0.25" header="0.3" footer="0.3"/>
  <pageSetup scale="68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D989B7-E5D0-4FA2-9FB4-1072EAE50395}">
            <x14:dataBar minLength="0" maxLength="100" border="1" gradient="0" direction="leftToRight">
              <x14:cfvo type="autoMin"/>
              <x14:cfvo type="autoMax"/>
              <x14:borderColor theme="1"/>
              <x14:negativeFillColor rgb="FFFF0000"/>
              <x14:axisColor rgb="FF000000"/>
            </x14:dataBar>
          </x14:cfRule>
          <xm:sqref>K10:L25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364D-FCA6-41A7-A7C5-43EF9CA8AAD8}">
  <dimension ref="B2:R27"/>
  <sheetViews>
    <sheetView workbookViewId="0"/>
  </sheetViews>
  <sheetFormatPr defaultRowHeight="15" x14ac:dyDescent="0.25"/>
  <cols>
    <col min="1" max="1" width="2.7109375" customWidth="1"/>
    <col min="2" max="2" width="5.5703125" bestFit="1" customWidth="1"/>
    <col min="3" max="3" width="6.5703125" bestFit="1" customWidth="1"/>
    <col min="4" max="4" width="17" bestFit="1" customWidth="1"/>
    <col min="5" max="5" width="33.28515625" bestFit="1" customWidth="1"/>
    <col min="6" max="13" width="5.7109375" customWidth="1"/>
    <col min="14" max="14" width="6.5703125" bestFit="1" customWidth="1"/>
    <col min="15" max="15" width="2.7109375" style="32" customWidth="1"/>
    <col min="16" max="16" width="6.5703125" bestFit="1" customWidth="1"/>
    <col min="17" max="17" width="4.7109375" bestFit="1" customWidth="1"/>
    <col min="18" max="18" width="4.5703125" bestFit="1" customWidth="1"/>
    <col min="19" max="19" width="2.7109375" customWidth="1"/>
  </cols>
  <sheetData>
    <row r="2" spans="2:18" x14ac:dyDescent="0.25">
      <c r="B2" s="22" t="s">
        <v>15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8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2:18" x14ac:dyDescent="0.25">
      <c r="B4" s="24" t="s">
        <v>28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2:18" ht="15" customHeight="1" thickBot="1" x14ac:dyDescent="0.3">
      <c r="B5" s="24">
        <v>6653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2:18" ht="15.75" thickTop="1" x14ac:dyDescent="0.25">
      <c r="P6" s="40" t="s">
        <v>50</v>
      </c>
      <c r="Q6" s="41"/>
      <c r="R6" s="42"/>
    </row>
    <row r="7" spans="2:18" ht="15.75" thickBot="1" x14ac:dyDescent="0.3">
      <c r="P7" s="43" t="s">
        <v>51</v>
      </c>
      <c r="Q7" s="44"/>
      <c r="R7" s="45"/>
    </row>
    <row r="8" spans="2:18" ht="16.5" thickTop="1" thickBot="1" x14ac:dyDescent="0.3">
      <c r="N8" s="1">
        <v>0.16</v>
      </c>
      <c r="O8" s="28"/>
    </row>
    <row r="9" spans="2:18" ht="16.5" thickTop="1" thickBot="1" x14ac:dyDescent="0.3">
      <c r="B9" s="63" t="s">
        <v>47</v>
      </c>
      <c r="C9" s="64"/>
      <c r="D9" s="35" t="s">
        <v>11</v>
      </c>
      <c r="E9" s="36" t="s">
        <v>1</v>
      </c>
      <c r="F9" s="65" t="s">
        <v>0</v>
      </c>
      <c r="G9" s="64"/>
      <c r="H9" s="65" t="s">
        <v>48</v>
      </c>
      <c r="I9" s="64"/>
      <c r="J9" s="65" t="s">
        <v>49</v>
      </c>
      <c r="K9" s="64"/>
      <c r="L9" s="65" t="s">
        <v>24</v>
      </c>
      <c r="M9" s="64"/>
      <c r="N9" s="37" t="s">
        <v>8</v>
      </c>
      <c r="O9" s="29"/>
      <c r="P9" s="81" t="s">
        <v>4</v>
      </c>
      <c r="Q9" s="82" t="s">
        <v>24</v>
      </c>
      <c r="R9" s="83" t="s">
        <v>25</v>
      </c>
    </row>
    <row r="10" spans="2:18" ht="15.75" thickBot="1" x14ac:dyDescent="0.3">
      <c r="B10" s="66" t="s">
        <v>45</v>
      </c>
      <c r="C10" s="67" t="s">
        <v>46</v>
      </c>
      <c r="D10" s="33"/>
      <c r="E10" s="34"/>
      <c r="F10" s="68" t="s">
        <v>12</v>
      </c>
      <c r="G10" s="69" t="s">
        <v>13</v>
      </c>
      <c r="H10" s="68" t="s">
        <v>12</v>
      </c>
      <c r="I10" s="69" t="s">
        <v>13</v>
      </c>
      <c r="J10" s="68" t="s">
        <v>12</v>
      </c>
      <c r="K10" s="69" t="s">
        <v>13</v>
      </c>
      <c r="L10" s="68" t="s">
        <v>12</v>
      </c>
      <c r="M10" s="69" t="s">
        <v>13</v>
      </c>
      <c r="N10" s="70" t="s">
        <v>7</v>
      </c>
      <c r="O10" s="30"/>
      <c r="P10" s="46">
        <f>'Data Entry'!B11</f>
        <v>1800</v>
      </c>
      <c r="Q10" s="38">
        <f>'Data Entry'!M11</f>
        <v>320</v>
      </c>
      <c r="R10" s="47">
        <v>0</v>
      </c>
    </row>
    <row r="11" spans="2:18" x14ac:dyDescent="0.25">
      <c r="B11" s="71">
        <v>1800</v>
      </c>
      <c r="C11" s="72">
        <v>2500</v>
      </c>
      <c r="D11" s="73" t="s">
        <v>27</v>
      </c>
      <c r="E11" s="74"/>
      <c r="F11" s="56">
        <v>35</v>
      </c>
      <c r="G11" s="57"/>
      <c r="H11" s="56">
        <v>60</v>
      </c>
      <c r="I11" s="57">
        <v>80</v>
      </c>
      <c r="J11" s="56">
        <f>ROUND('Data Entry'!$H11+('Data Entry'!$N11*'Data Entry'!$N$8),0)</f>
        <v>220</v>
      </c>
      <c r="K11" s="57">
        <f>ROUND('Data Entry'!$I11+('Data Entry'!$N11*'Data Entry'!$N$8),0)</f>
        <v>240</v>
      </c>
      <c r="L11" s="73">
        <v>300</v>
      </c>
      <c r="M11" s="74">
        <v>320</v>
      </c>
      <c r="N11" s="75">
        <v>1000</v>
      </c>
      <c r="O11" s="31"/>
      <c r="P11" s="48">
        <f>'Data Entry'!C11</f>
        <v>2500</v>
      </c>
      <c r="Q11" s="39">
        <f>'Data Entry'!M11</f>
        <v>320</v>
      </c>
      <c r="R11" s="49">
        <f>Roadmap!N10</f>
        <v>2.2580645161290325</v>
      </c>
    </row>
    <row r="12" spans="2:18" x14ac:dyDescent="0.25">
      <c r="B12" s="76">
        <v>2500</v>
      </c>
      <c r="C12" s="77">
        <f>C11+500</f>
        <v>3000</v>
      </c>
      <c r="D12" s="58" t="s">
        <v>29</v>
      </c>
      <c r="E12" s="62"/>
      <c r="F12" s="58">
        <v>42</v>
      </c>
      <c r="G12" s="59"/>
      <c r="H12" s="60">
        <v>60</v>
      </c>
      <c r="I12" s="61">
        <v>80</v>
      </c>
      <c r="J12" s="60">
        <f>ROUND('Data Entry'!$H12+('Data Entry'!$N12*'Data Entry'!$N$8),0)</f>
        <v>220</v>
      </c>
      <c r="K12" s="61">
        <f>ROUND('Data Entry'!$I12+('Data Entry'!$N12*'Data Entry'!$N$8),0)</f>
        <v>240</v>
      </c>
      <c r="L12" s="78">
        <v>300</v>
      </c>
      <c r="M12" s="79">
        <v>320</v>
      </c>
      <c r="N12" s="80">
        <v>1000</v>
      </c>
      <c r="O12" s="31"/>
      <c r="P12" s="48">
        <f>'Data Entry'!C12</f>
        <v>3000</v>
      </c>
      <c r="Q12" s="39">
        <f>'Data Entry'!M12</f>
        <v>320</v>
      </c>
      <c r="R12" s="49">
        <f>Roadmap!N11</f>
        <v>3.870967741935484</v>
      </c>
    </row>
    <row r="13" spans="2:18" x14ac:dyDescent="0.25">
      <c r="B13" s="76">
        <f>B12+500</f>
        <v>3000</v>
      </c>
      <c r="C13" s="77">
        <f>C12+500</f>
        <v>3500</v>
      </c>
      <c r="D13" s="78" t="s">
        <v>30</v>
      </c>
      <c r="E13" s="79" t="s">
        <v>21</v>
      </c>
      <c r="F13" s="60">
        <v>40</v>
      </c>
      <c r="G13" s="61"/>
      <c r="H13" s="60">
        <v>60</v>
      </c>
      <c r="I13" s="61">
        <v>70</v>
      </c>
      <c r="J13" s="60">
        <f>ROUND('Data Entry'!$H13+('Data Entry'!$N13*'Data Entry'!$N$8),0)</f>
        <v>220</v>
      </c>
      <c r="K13" s="61">
        <f>ROUND('Data Entry'!$I13+('Data Entry'!$N13*'Data Entry'!$N$8),0)</f>
        <v>230</v>
      </c>
      <c r="L13" s="78">
        <v>260</v>
      </c>
      <c r="M13" s="79">
        <v>280</v>
      </c>
      <c r="N13" s="80">
        <v>1000</v>
      </c>
      <c r="O13" s="31"/>
      <c r="P13" s="48">
        <f>'Data Entry'!C13</f>
        <v>3500</v>
      </c>
      <c r="Q13" s="39">
        <f>'Data Entry'!M13</f>
        <v>280</v>
      </c>
      <c r="R13" s="49">
        <f>Roadmap!N12</f>
        <v>5.7228195937873361</v>
      </c>
    </row>
    <row r="14" spans="2:18" x14ac:dyDescent="0.25">
      <c r="B14" s="76">
        <f>B13+500</f>
        <v>3500</v>
      </c>
      <c r="C14" s="77">
        <f>C13+500</f>
        <v>4000</v>
      </c>
      <c r="D14" s="78" t="s">
        <v>31</v>
      </c>
      <c r="E14" s="79" t="s">
        <v>42</v>
      </c>
      <c r="F14" s="60">
        <v>44</v>
      </c>
      <c r="G14" s="61"/>
      <c r="H14" s="60">
        <v>60</v>
      </c>
      <c r="I14" s="61">
        <v>70</v>
      </c>
      <c r="J14" s="60">
        <f>ROUND('Data Entry'!$H14+('Data Entry'!$N14*'Data Entry'!$N$8),0)</f>
        <v>220</v>
      </c>
      <c r="K14" s="61">
        <f>ROUND('Data Entry'!$I14+('Data Entry'!$N14*'Data Entry'!$N$8),0)</f>
        <v>230</v>
      </c>
      <c r="L14" s="78">
        <v>220</v>
      </c>
      <c r="M14" s="79">
        <v>240</v>
      </c>
      <c r="N14" s="80">
        <v>1000</v>
      </c>
      <c r="O14" s="31"/>
      <c r="P14" s="48">
        <f>'Data Entry'!C14</f>
        <v>4000</v>
      </c>
      <c r="Q14" s="39">
        <f>'Data Entry'!M14</f>
        <v>240</v>
      </c>
      <c r="R14" s="49">
        <f>Roadmap!N13</f>
        <v>7.8967326372655968</v>
      </c>
    </row>
    <row r="15" spans="2:18" x14ac:dyDescent="0.25">
      <c r="B15" s="76">
        <f>B14+500</f>
        <v>4000</v>
      </c>
      <c r="C15" s="77">
        <f>C14+500</f>
        <v>4500</v>
      </c>
      <c r="D15" s="58" t="s">
        <v>52</v>
      </c>
      <c r="E15" s="59" t="s">
        <v>16</v>
      </c>
      <c r="F15" s="58">
        <v>50</v>
      </c>
      <c r="G15" s="59"/>
      <c r="H15" s="60">
        <v>40</v>
      </c>
      <c r="I15" s="61">
        <v>60</v>
      </c>
      <c r="J15" s="60">
        <f>ROUND('Data Entry'!$H15+('Data Entry'!$N15*'Data Entry'!$N$8),0)</f>
        <v>184</v>
      </c>
      <c r="K15" s="61">
        <f>ROUND('Data Entry'!$I15+('Data Entry'!$N15*'Data Entry'!$N$8),0)</f>
        <v>204</v>
      </c>
      <c r="L15" s="78">
        <v>150</v>
      </c>
      <c r="M15" s="79">
        <v>170</v>
      </c>
      <c r="N15" s="80">
        <v>900</v>
      </c>
      <c r="O15" s="31"/>
      <c r="P15" s="48">
        <f>'Data Entry'!C15</f>
        <v>4500</v>
      </c>
      <c r="Q15" s="39">
        <f>'Data Entry'!M15</f>
        <v>170</v>
      </c>
      <c r="R15" s="49">
        <f>Roadmap!N14</f>
        <v>11.021732637265597</v>
      </c>
    </row>
    <row r="16" spans="2:18" x14ac:dyDescent="0.25">
      <c r="B16" s="76">
        <f>B15+500</f>
        <v>4500</v>
      </c>
      <c r="C16" s="77">
        <f>C15+500</f>
        <v>5000</v>
      </c>
      <c r="D16" s="78" t="s">
        <v>32</v>
      </c>
      <c r="E16" s="79" t="s">
        <v>42</v>
      </c>
      <c r="F16" s="60">
        <v>46</v>
      </c>
      <c r="G16" s="61"/>
      <c r="H16" s="60">
        <v>60</v>
      </c>
      <c r="I16" s="61">
        <v>70</v>
      </c>
      <c r="J16" s="60">
        <f>ROUND('Data Entry'!$H16+('Data Entry'!$N16*'Data Entry'!$N$8),0)</f>
        <v>204</v>
      </c>
      <c r="K16" s="61">
        <f>ROUND('Data Entry'!$I16+('Data Entry'!$N16*'Data Entry'!$N$8),0)</f>
        <v>214</v>
      </c>
      <c r="L16" s="78">
        <v>160</v>
      </c>
      <c r="M16" s="79">
        <v>180</v>
      </c>
      <c r="N16" s="80">
        <v>900</v>
      </c>
      <c r="O16" s="31"/>
      <c r="P16" s="48">
        <f>'Data Entry'!C16</f>
        <v>5000</v>
      </c>
      <c r="Q16" s="39">
        <f>'Data Entry'!M16</f>
        <v>180</v>
      </c>
      <c r="R16" s="49">
        <f>Roadmap!N15</f>
        <v>13.962909107853832</v>
      </c>
    </row>
    <row r="17" spans="2:18" x14ac:dyDescent="0.25">
      <c r="B17" s="76">
        <f>B16+500</f>
        <v>5000</v>
      </c>
      <c r="C17" s="77">
        <f>C16+500</f>
        <v>5500</v>
      </c>
      <c r="D17" s="58" t="s">
        <v>33</v>
      </c>
      <c r="E17" s="59" t="s">
        <v>44</v>
      </c>
      <c r="F17" s="58">
        <v>49</v>
      </c>
      <c r="G17" s="59"/>
      <c r="H17" s="60">
        <v>40</v>
      </c>
      <c r="I17" s="61">
        <v>60</v>
      </c>
      <c r="J17" s="60">
        <f>ROUND('Data Entry'!$H17+('Data Entry'!$N17*'Data Entry'!$N$8),0)</f>
        <v>184</v>
      </c>
      <c r="K17" s="61">
        <f>ROUND('Data Entry'!$I17+('Data Entry'!$N17*'Data Entry'!$N$8),0)</f>
        <v>204</v>
      </c>
      <c r="L17" s="78">
        <v>130</v>
      </c>
      <c r="M17" s="79">
        <v>150</v>
      </c>
      <c r="N17" s="80">
        <v>900</v>
      </c>
      <c r="O17" s="31"/>
      <c r="P17" s="48">
        <f>'Data Entry'!C17</f>
        <v>5500</v>
      </c>
      <c r="Q17" s="39">
        <f>'Data Entry'!M17</f>
        <v>150</v>
      </c>
      <c r="R17" s="49">
        <f>Roadmap!N16</f>
        <v>17.534337679282405</v>
      </c>
    </row>
    <row r="18" spans="2:18" x14ac:dyDescent="0.25">
      <c r="B18" s="76">
        <f>B17+500</f>
        <v>5500</v>
      </c>
      <c r="C18" s="77">
        <f>C17+500</f>
        <v>6000</v>
      </c>
      <c r="D18" s="78" t="s">
        <v>34</v>
      </c>
      <c r="E18" s="59" t="s">
        <v>44</v>
      </c>
      <c r="F18" s="60">
        <v>52</v>
      </c>
      <c r="G18" s="61"/>
      <c r="H18" s="60">
        <v>50</v>
      </c>
      <c r="I18" s="61">
        <v>60</v>
      </c>
      <c r="J18" s="60">
        <f>ROUND('Data Entry'!$H18+('Data Entry'!$N18*'Data Entry'!$N$8),0)</f>
        <v>194</v>
      </c>
      <c r="K18" s="61">
        <f>ROUND('Data Entry'!$I18+('Data Entry'!$N18*'Data Entry'!$N$8),0)</f>
        <v>204</v>
      </c>
      <c r="L18" s="78">
        <v>160</v>
      </c>
      <c r="M18" s="79">
        <v>180</v>
      </c>
      <c r="N18" s="80">
        <v>900</v>
      </c>
      <c r="O18" s="31"/>
      <c r="P18" s="48">
        <f>'Data Entry'!C18</f>
        <v>6000</v>
      </c>
      <c r="Q18" s="39">
        <f>'Data Entry'!M18</f>
        <v>180</v>
      </c>
      <c r="R18" s="49">
        <f>Roadmap!N17</f>
        <v>20.475514149870641</v>
      </c>
    </row>
    <row r="19" spans="2:18" x14ac:dyDescent="0.25">
      <c r="B19" s="76">
        <f>B18+500</f>
        <v>6000</v>
      </c>
      <c r="C19" s="77">
        <f>C18+500</f>
        <v>6500</v>
      </c>
      <c r="D19" s="78" t="s">
        <v>35</v>
      </c>
      <c r="E19" s="79" t="s">
        <v>22</v>
      </c>
      <c r="F19" s="60">
        <v>55</v>
      </c>
      <c r="G19" s="61"/>
      <c r="H19" s="60">
        <v>60</v>
      </c>
      <c r="I19" s="61">
        <v>80</v>
      </c>
      <c r="J19" s="60">
        <f>ROUND('Data Entry'!$H19+('Data Entry'!$N19*'Data Entry'!$N$8),0)</f>
        <v>204</v>
      </c>
      <c r="K19" s="61">
        <f>ROUND('Data Entry'!$I19+('Data Entry'!$N19*'Data Entry'!$N$8),0)</f>
        <v>224</v>
      </c>
      <c r="L19" s="78">
        <v>180</v>
      </c>
      <c r="M19" s="79">
        <v>200</v>
      </c>
      <c r="N19" s="80">
        <v>900</v>
      </c>
      <c r="O19" s="31"/>
      <c r="P19" s="48">
        <f>'Data Entry'!C19</f>
        <v>6500</v>
      </c>
      <c r="Q19" s="39">
        <f>'Data Entry'!M19</f>
        <v>200</v>
      </c>
      <c r="R19" s="49">
        <f>Roadmap!N18</f>
        <v>23.107093097239062</v>
      </c>
    </row>
    <row r="20" spans="2:18" x14ac:dyDescent="0.25">
      <c r="B20" s="76">
        <f>B19+500</f>
        <v>6500</v>
      </c>
      <c r="C20" s="77">
        <f>C19+500</f>
        <v>7000</v>
      </c>
      <c r="D20" s="78" t="s">
        <v>36</v>
      </c>
      <c r="E20" s="79" t="s">
        <v>23</v>
      </c>
      <c r="F20" s="60">
        <v>52</v>
      </c>
      <c r="G20" s="61"/>
      <c r="H20" s="60">
        <v>60</v>
      </c>
      <c r="I20" s="61">
        <v>70</v>
      </c>
      <c r="J20" s="60">
        <f>ROUND('Data Entry'!$H20+('Data Entry'!$N20*'Data Entry'!$N$8),0)</f>
        <v>220</v>
      </c>
      <c r="K20" s="61">
        <f>ROUND('Data Entry'!$I20+('Data Entry'!$N20*'Data Entry'!$N$8),0)</f>
        <v>230</v>
      </c>
      <c r="L20" s="78">
        <v>180</v>
      </c>
      <c r="M20" s="79">
        <v>200</v>
      </c>
      <c r="N20" s="80">
        <v>1000</v>
      </c>
      <c r="O20" s="31"/>
      <c r="P20" s="48">
        <f>'Data Entry'!C20</f>
        <v>7000</v>
      </c>
      <c r="Q20" s="39">
        <f>'Data Entry'!M20</f>
        <v>200</v>
      </c>
      <c r="R20" s="49">
        <f>Roadmap!N19</f>
        <v>25.738672044607483</v>
      </c>
    </row>
    <row r="21" spans="2:18" x14ac:dyDescent="0.25">
      <c r="B21" s="76">
        <f>B20+500</f>
        <v>7000</v>
      </c>
      <c r="C21" s="77">
        <f>C20+500</f>
        <v>7500</v>
      </c>
      <c r="D21" s="78" t="s">
        <v>38</v>
      </c>
      <c r="E21" s="79"/>
      <c r="F21" s="60">
        <v>48</v>
      </c>
      <c r="G21" s="61"/>
      <c r="H21" s="60">
        <v>60</v>
      </c>
      <c r="I21" s="61">
        <v>70</v>
      </c>
      <c r="J21" s="60">
        <f>ROUND('Data Entry'!$H21+('Data Entry'!$N21*'Data Entry'!$N$8),0)</f>
        <v>220</v>
      </c>
      <c r="K21" s="61">
        <f>ROUND('Data Entry'!$I21+('Data Entry'!$N21*'Data Entry'!$N$8),0)</f>
        <v>230</v>
      </c>
      <c r="L21" s="78">
        <v>160</v>
      </c>
      <c r="M21" s="79">
        <v>180</v>
      </c>
      <c r="N21" s="80">
        <v>1000</v>
      </c>
      <c r="O21" s="31"/>
      <c r="P21" s="48">
        <f>'Data Entry'!C21</f>
        <v>7500</v>
      </c>
      <c r="Q21" s="39">
        <f>'Data Entry'!M21</f>
        <v>180</v>
      </c>
      <c r="R21" s="49">
        <f>Roadmap!N20</f>
        <v>28.679848515195719</v>
      </c>
    </row>
    <row r="22" spans="2:18" x14ac:dyDescent="0.25">
      <c r="B22" s="76">
        <f>B21+500</f>
        <v>7500</v>
      </c>
      <c r="C22" s="77">
        <f>C21+500</f>
        <v>8000</v>
      </c>
      <c r="D22" s="78" t="s">
        <v>37</v>
      </c>
      <c r="E22" s="79" t="s">
        <v>23</v>
      </c>
      <c r="F22" s="60">
        <v>50</v>
      </c>
      <c r="G22" s="61"/>
      <c r="H22" s="60">
        <v>60</v>
      </c>
      <c r="I22" s="61">
        <v>70</v>
      </c>
      <c r="J22" s="60">
        <f>ROUND('Data Entry'!$H22+('Data Entry'!$N22*'Data Entry'!$N$8),0)</f>
        <v>220</v>
      </c>
      <c r="K22" s="61">
        <f>ROUND('Data Entry'!$I22+('Data Entry'!$N22*'Data Entry'!$N$8),0)</f>
        <v>230</v>
      </c>
      <c r="L22" s="78">
        <v>170</v>
      </c>
      <c r="M22" s="79">
        <v>190</v>
      </c>
      <c r="N22" s="80">
        <v>1000</v>
      </c>
      <c r="O22" s="31"/>
      <c r="P22" s="48">
        <f>'Data Entry'!C22</f>
        <v>8000</v>
      </c>
      <c r="Q22" s="39">
        <f>'Data Entry'!M22</f>
        <v>190</v>
      </c>
      <c r="R22" s="49">
        <f>Roadmap!N21</f>
        <v>31.457626292973497</v>
      </c>
    </row>
    <row r="23" spans="2:18" x14ac:dyDescent="0.25">
      <c r="B23" s="76">
        <f>B22+500</f>
        <v>8000</v>
      </c>
      <c r="C23" s="77">
        <f>C22+500</f>
        <v>8500</v>
      </c>
      <c r="D23" s="78" t="s">
        <v>43</v>
      </c>
      <c r="E23" s="79" t="s">
        <v>19</v>
      </c>
      <c r="F23" s="60">
        <v>46</v>
      </c>
      <c r="G23" s="61"/>
      <c r="H23" s="60">
        <v>50</v>
      </c>
      <c r="I23" s="61">
        <v>60</v>
      </c>
      <c r="J23" s="60">
        <f>ROUND('Data Entry'!$H23+('Data Entry'!$N23*'Data Entry'!$N$8),0)</f>
        <v>194</v>
      </c>
      <c r="K23" s="61">
        <f>ROUND('Data Entry'!$I23+('Data Entry'!$N23*'Data Entry'!$N$8),0)</f>
        <v>204</v>
      </c>
      <c r="L23" s="78">
        <v>140</v>
      </c>
      <c r="M23" s="79">
        <v>160</v>
      </c>
      <c r="N23" s="80">
        <v>900</v>
      </c>
      <c r="O23" s="31"/>
      <c r="P23" s="48">
        <f>'Data Entry'!C23</f>
        <v>8500</v>
      </c>
      <c r="Q23" s="39">
        <f>'Data Entry'!M23</f>
        <v>160</v>
      </c>
      <c r="R23" s="49">
        <f>Roadmap!N22</f>
        <v>34.790959626306829</v>
      </c>
    </row>
    <row r="24" spans="2:18" x14ac:dyDescent="0.25">
      <c r="B24" s="76">
        <f>B23+500</f>
        <v>8500</v>
      </c>
      <c r="C24" s="77">
        <f>C23+500</f>
        <v>9000</v>
      </c>
      <c r="D24" s="78" t="s">
        <v>39</v>
      </c>
      <c r="E24" s="79" t="s">
        <v>17</v>
      </c>
      <c r="F24" s="60">
        <v>48</v>
      </c>
      <c r="G24" s="61"/>
      <c r="H24" s="60">
        <v>60</v>
      </c>
      <c r="I24" s="61">
        <v>80</v>
      </c>
      <c r="J24" s="60">
        <f>ROUND('Data Entry'!$H24+('Data Entry'!$N24*'Data Entry'!$N$8),0)</f>
        <v>220</v>
      </c>
      <c r="K24" s="61">
        <f>ROUND('Data Entry'!$I24+('Data Entry'!$N24*'Data Entry'!$N$8),0)</f>
        <v>240</v>
      </c>
      <c r="L24" s="78">
        <v>140</v>
      </c>
      <c r="M24" s="79">
        <v>160</v>
      </c>
      <c r="N24" s="80">
        <v>1000</v>
      </c>
      <c r="O24" s="31"/>
      <c r="P24" s="48">
        <f>'Data Entry'!C24</f>
        <v>9000</v>
      </c>
      <c r="Q24" s="39">
        <f>'Data Entry'!M24</f>
        <v>160</v>
      </c>
      <c r="R24" s="49">
        <f>Roadmap!N23</f>
        <v>38.124292959640165</v>
      </c>
    </row>
    <row r="25" spans="2:18" x14ac:dyDescent="0.25">
      <c r="B25" s="76">
        <f>B24+500</f>
        <v>9000</v>
      </c>
      <c r="C25" s="77">
        <f>C24+500</f>
        <v>9500</v>
      </c>
      <c r="D25" s="78" t="s">
        <v>40</v>
      </c>
      <c r="E25" s="79"/>
      <c r="F25" s="60">
        <v>45</v>
      </c>
      <c r="G25" s="61"/>
      <c r="H25" s="60">
        <v>60</v>
      </c>
      <c r="I25" s="61">
        <v>80</v>
      </c>
      <c r="J25" s="60">
        <f>ROUND('Data Entry'!$H25+('Data Entry'!$N25*'Data Entry'!$N$8),0)</f>
        <v>220</v>
      </c>
      <c r="K25" s="61">
        <f>ROUND('Data Entry'!$I25+('Data Entry'!$N25*'Data Entry'!$N$8),0)</f>
        <v>240</v>
      </c>
      <c r="L25" s="78">
        <v>120</v>
      </c>
      <c r="M25" s="79">
        <v>140</v>
      </c>
      <c r="N25" s="80">
        <v>1000</v>
      </c>
      <c r="O25" s="31"/>
      <c r="P25" s="48">
        <f>'Data Entry'!C25</f>
        <v>9500</v>
      </c>
      <c r="Q25" s="39">
        <f>'Data Entry'!M25</f>
        <v>140</v>
      </c>
      <c r="R25" s="49">
        <f>Roadmap!N24</f>
        <v>41.970446805794012</v>
      </c>
    </row>
    <row r="26" spans="2:18" ht="15.75" thickBot="1" x14ac:dyDescent="0.3">
      <c r="B26" s="76">
        <f>B25+500</f>
        <v>9500</v>
      </c>
      <c r="C26" s="77">
        <f>C25+500</f>
        <v>10000</v>
      </c>
      <c r="D26" s="78" t="s">
        <v>41</v>
      </c>
      <c r="E26" s="79" t="s">
        <v>18</v>
      </c>
      <c r="F26" s="60">
        <v>45</v>
      </c>
      <c r="G26" s="61"/>
      <c r="H26" s="60">
        <v>60</v>
      </c>
      <c r="I26" s="61">
        <v>70</v>
      </c>
      <c r="J26" s="60">
        <f>ROUND('Data Entry'!$H26+('Data Entry'!$N26*'Data Entry'!$N$8),0)</f>
        <v>220</v>
      </c>
      <c r="K26" s="61">
        <f>ROUND('Data Entry'!$I26+('Data Entry'!$N26*'Data Entry'!$N$8),0)</f>
        <v>230</v>
      </c>
      <c r="L26" s="78">
        <v>120</v>
      </c>
      <c r="M26" s="79">
        <v>140</v>
      </c>
      <c r="N26" s="80">
        <v>1000</v>
      </c>
      <c r="O26" s="31"/>
      <c r="P26" s="50">
        <f>'Data Entry'!C26</f>
        <v>10000</v>
      </c>
      <c r="Q26" s="51">
        <f>'Data Entry'!M26</f>
        <v>140</v>
      </c>
      <c r="R26" s="52">
        <f>Roadmap!N25</f>
        <v>45.816600651947859</v>
      </c>
    </row>
    <row r="27" spans="2:18" ht="15.75" thickTop="1" x14ac:dyDescent="0.25"/>
  </sheetData>
  <mergeCells count="12">
    <mergeCell ref="B2:N3"/>
    <mergeCell ref="B4:N4"/>
    <mergeCell ref="B5:N5"/>
    <mergeCell ref="P6:R6"/>
    <mergeCell ref="P7:R7"/>
    <mergeCell ref="F9:G9"/>
    <mergeCell ref="B9:C9"/>
    <mergeCell ref="H9:I9"/>
    <mergeCell ref="J9:K9"/>
    <mergeCell ref="L9:M9"/>
    <mergeCell ref="D9:D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Roadmap</vt:lpstr>
      <vt:lpstr>Data Entry</vt:lpstr>
      <vt:lpstr>Roadmap!Print_Area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Butch Bawcom</dc:creator>
  <cp:lastModifiedBy>Curtis B. Stephens</cp:lastModifiedBy>
  <cp:lastPrinted>2024-10-01T20:07:24Z</cp:lastPrinted>
  <dcterms:created xsi:type="dcterms:W3CDTF">2022-10-04T00:11:39Z</dcterms:created>
  <dcterms:modified xsi:type="dcterms:W3CDTF">2024-10-01T20:08:30Z</dcterms:modified>
</cp:coreProperties>
</file>