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Engineering\01_Designs\9692\"/>
    </mc:Choice>
  </mc:AlternateContent>
  <xr:revisionPtr revIDLastSave="0" documentId="13_ncr:1_{807BA06E-CF13-4E94-9762-85A586F45E17}" xr6:coauthVersionLast="47" xr6:coauthVersionMax="47" xr10:uidLastSave="{00000000-0000-0000-0000-000000000000}"/>
  <bookViews>
    <workbookView xWindow="-120" yWindow="-120" windowWidth="29040" windowHeight="15840" xr2:uid="{791D5801-A38D-4E62-8CCF-36F49301157D}"/>
  </bookViews>
  <sheets>
    <sheet name="Roadmap" sheetId="1" r:id="rId1"/>
    <sheet name="Data Entry" sheetId="2" r:id="rId2"/>
  </sheets>
  <definedNames>
    <definedName name="_xlnm.Print_Area" localSheetId="0">Roadmap!$B$2:$O$76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7" i="2" l="1"/>
  <c r="Q27" i="2"/>
  <c r="P27" i="2"/>
  <c r="R26" i="2"/>
  <c r="Q26" i="2"/>
  <c r="P26" i="2"/>
  <c r="R25" i="2"/>
  <c r="Q25" i="2"/>
  <c r="P25" i="2"/>
  <c r="R24" i="2"/>
  <c r="Q24" i="2"/>
  <c r="P24" i="2"/>
  <c r="R23" i="2"/>
  <c r="Q23" i="2"/>
  <c r="P23" i="2"/>
  <c r="R22" i="2"/>
  <c r="Q22" i="2"/>
  <c r="P22" i="2"/>
  <c r="R21" i="2"/>
  <c r="Q21" i="2"/>
  <c r="P21" i="2"/>
  <c r="R20" i="2"/>
  <c r="Q20" i="2"/>
  <c r="P20" i="2"/>
  <c r="R19" i="2"/>
  <c r="Q19" i="2"/>
  <c r="P19" i="2"/>
  <c r="R18" i="2"/>
  <c r="Q18" i="2"/>
  <c r="P18" i="2"/>
  <c r="R17" i="2"/>
  <c r="Q17" i="2"/>
  <c r="P17" i="2"/>
  <c r="R16" i="2"/>
  <c r="Q16" i="2"/>
  <c r="P16" i="2"/>
  <c r="R15" i="2"/>
  <c r="Q15" i="2"/>
  <c r="P15" i="2"/>
  <c r="R14" i="2"/>
  <c r="Q14" i="2"/>
  <c r="P14" i="2"/>
  <c r="R13" i="2"/>
  <c r="Q13" i="2"/>
  <c r="P13" i="2"/>
  <c r="R12" i="2"/>
  <c r="Q12" i="2"/>
  <c r="P12" i="2"/>
  <c r="R11" i="2"/>
  <c r="Q11" i="2"/>
  <c r="P11" i="2"/>
  <c r="M19" i="1"/>
  <c r="M27" i="1"/>
  <c r="K27" i="1"/>
  <c r="I27" i="1"/>
  <c r="H27" i="1"/>
  <c r="G27" i="1"/>
  <c r="F27" i="1"/>
  <c r="E27" i="1"/>
  <c r="D27" i="1"/>
  <c r="C27" i="1"/>
  <c r="B27" i="1"/>
  <c r="M26" i="1"/>
  <c r="K26" i="1"/>
  <c r="I26" i="1"/>
  <c r="H26" i="1"/>
  <c r="G26" i="1"/>
  <c r="F26" i="1"/>
  <c r="E26" i="1"/>
  <c r="D26" i="1"/>
  <c r="C26" i="1"/>
  <c r="B26" i="1"/>
  <c r="M25" i="1"/>
  <c r="K25" i="1"/>
  <c r="I25" i="1"/>
  <c r="H25" i="1"/>
  <c r="G25" i="1"/>
  <c r="F25" i="1"/>
  <c r="E25" i="1"/>
  <c r="D25" i="1"/>
  <c r="C25" i="1"/>
  <c r="B25" i="1"/>
  <c r="M24" i="1"/>
  <c r="K24" i="1"/>
  <c r="I24" i="1"/>
  <c r="H24" i="1"/>
  <c r="G24" i="1"/>
  <c r="F24" i="1"/>
  <c r="E24" i="1"/>
  <c r="D24" i="1"/>
  <c r="C24" i="1"/>
  <c r="B24" i="1"/>
  <c r="M23" i="1"/>
  <c r="K23" i="1"/>
  <c r="I23" i="1"/>
  <c r="H23" i="1"/>
  <c r="G23" i="1"/>
  <c r="F23" i="1"/>
  <c r="E23" i="1"/>
  <c r="D23" i="1"/>
  <c r="C23" i="1"/>
  <c r="B23" i="1"/>
  <c r="M22" i="1"/>
  <c r="K22" i="1"/>
  <c r="I22" i="1"/>
  <c r="H22" i="1"/>
  <c r="G22" i="1"/>
  <c r="F22" i="1"/>
  <c r="E22" i="1"/>
  <c r="D22" i="1"/>
  <c r="C22" i="1"/>
  <c r="B22" i="1"/>
  <c r="M21" i="1"/>
  <c r="K21" i="1"/>
  <c r="I21" i="1"/>
  <c r="H21" i="1"/>
  <c r="G21" i="1"/>
  <c r="F21" i="1"/>
  <c r="E21" i="1"/>
  <c r="D21" i="1"/>
  <c r="C21" i="1"/>
  <c r="B21" i="1"/>
  <c r="M20" i="1"/>
  <c r="K20" i="1"/>
  <c r="I20" i="1"/>
  <c r="H20" i="1"/>
  <c r="G20" i="1"/>
  <c r="F20" i="1"/>
  <c r="E20" i="1"/>
  <c r="D20" i="1"/>
  <c r="C20" i="1"/>
  <c r="B20" i="1"/>
  <c r="K19" i="1"/>
  <c r="I19" i="1"/>
  <c r="H19" i="1"/>
  <c r="G19" i="1"/>
  <c r="F19" i="1"/>
  <c r="E19" i="1"/>
  <c r="D19" i="1"/>
  <c r="C19" i="1"/>
  <c r="B19" i="1"/>
  <c r="M18" i="1"/>
  <c r="K18" i="1"/>
  <c r="I18" i="1"/>
  <c r="H18" i="1"/>
  <c r="G18" i="1"/>
  <c r="F18" i="1"/>
  <c r="E18" i="1"/>
  <c r="D18" i="1"/>
  <c r="C18" i="1"/>
  <c r="B18" i="1"/>
  <c r="M17" i="1"/>
  <c r="K17" i="1"/>
  <c r="I17" i="1"/>
  <c r="H17" i="1"/>
  <c r="G17" i="1"/>
  <c r="F17" i="1"/>
  <c r="E17" i="1"/>
  <c r="D17" i="1"/>
  <c r="C17" i="1"/>
  <c r="B17" i="1"/>
  <c r="M16" i="1"/>
  <c r="K16" i="1"/>
  <c r="I16" i="1"/>
  <c r="H16" i="1"/>
  <c r="G16" i="1"/>
  <c r="F16" i="1"/>
  <c r="E16" i="1"/>
  <c r="D16" i="1"/>
  <c r="C16" i="1"/>
  <c r="B16" i="1"/>
  <c r="M15" i="1"/>
  <c r="K15" i="1"/>
  <c r="I15" i="1"/>
  <c r="H15" i="1"/>
  <c r="G15" i="1"/>
  <c r="F15" i="1"/>
  <c r="E15" i="1"/>
  <c r="D15" i="1"/>
  <c r="C15" i="1"/>
  <c r="B15" i="1"/>
  <c r="M14" i="1"/>
  <c r="K14" i="1"/>
  <c r="I14" i="1"/>
  <c r="H14" i="1"/>
  <c r="G14" i="1"/>
  <c r="F14" i="1"/>
  <c r="E14" i="1"/>
  <c r="D14" i="1"/>
  <c r="C14" i="1"/>
  <c r="B14" i="1"/>
  <c r="M13" i="1"/>
  <c r="K13" i="1"/>
  <c r="I13" i="1"/>
  <c r="H13" i="1"/>
  <c r="G13" i="1"/>
  <c r="F13" i="1"/>
  <c r="E13" i="1"/>
  <c r="D13" i="1"/>
  <c r="C13" i="1"/>
  <c r="B13" i="1"/>
  <c r="M12" i="1"/>
  <c r="K12" i="1"/>
  <c r="I12" i="1"/>
  <c r="H12" i="1"/>
  <c r="G12" i="1"/>
  <c r="F12" i="1"/>
  <c r="E12" i="1"/>
  <c r="D12" i="1"/>
  <c r="C12" i="1"/>
  <c r="B12" i="1"/>
  <c r="M11" i="1"/>
  <c r="K11" i="1"/>
  <c r="I11" i="1"/>
  <c r="H11" i="1"/>
  <c r="G11" i="1"/>
  <c r="F11" i="1"/>
  <c r="E11" i="1"/>
  <c r="D11" i="1"/>
  <c r="C11" i="1"/>
  <c r="B11" i="1"/>
  <c r="M10" i="1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O74" i="1"/>
  <c r="B5" i="1"/>
  <c r="B2" i="1"/>
  <c r="H7" i="1"/>
  <c r="H10" i="1"/>
  <c r="D10" i="1"/>
  <c r="C10" i="1"/>
  <c r="Q10" i="2"/>
  <c r="P10" i="2"/>
  <c r="Q9" i="2"/>
  <c r="P9" i="2"/>
  <c r="F10" i="1"/>
  <c r="B10" i="1"/>
  <c r="I10" i="1"/>
  <c r="E10" i="1"/>
  <c r="O27" i="1" l="1"/>
  <c r="N12" i="1"/>
  <c r="N14" i="1"/>
  <c r="N16" i="1"/>
  <c r="N18" i="1"/>
  <c r="N20" i="1"/>
  <c r="N22" i="1"/>
  <c r="N24" i="1"/>
  <c r="N26" i="1"/>
  <c r="O12" i="1"/>
  <c r="O14" i="1"/>
  <c r="O16" i="1"/>
  <c r="O18" i="1"/>
  <c r="O20" i="1"/>
  <c r="O22" i="1"/>
  <c r="O24" i="1"/>
  <c r="O26" i="1"/>
  <c r="N11" i="1"/>
  <c r="N13" i="1"/>
  <c r="N15" i="1"/>
  <c r="N17" i="1"/>
  <c r="N19" i="1"/>
  <c r="N21" i="1"/>
  <c r="N23" i="1"/>
  <c r="N25" i="1"/>
  <c r="N27" i="1"/>
  <c r="O11" i="1"/>
  <c r="O13" i="1"/>
  <c r="O15" i="1"/>
  <c r="O17" i="1"/>
  <c r="O19" i="1"/>
  <c r="O21" i="1"/>
  <c r="O23" i="1"/>
  <c r="O25" i="1"/>
  <c r="N10" i="1"/>
  <c r="R10" i="2" s="1"/>
  <c r="O10" i="1"/>
  <c r="G10" i="1"/>
  <c r="K10" i="1"/>
  <c r="M28" i="1" l="1"/>
  <c r="M29" i="1" l="1"/>
  <c r="O28" i="1"/>
</calcChain>
</file>

<file path=xl/sharedStrings.xml><?xml version="1.0" encoding="utf-8"?>
<sst xmlns="http://schemas.openxmlformats.org/spreadsheetml/2006/main" count="82" uniqueCount="65">
  <si>
    <t>WOB</t>
  </si>
  <si>
    <t>Characteristics</t>
  </si>
  <si>
    <t>Expected ROP</t>
  </si>
  <si>
    <t>(ft)</t>
  </si>
  <si>
    <t>Depth</t>
  </si>
  <si>
    <t>(KLBS)</t>
  </si>
  <si>
    <t>(rpm)</t>
  </si>
  <si>
    <t>(GPM)</t>
  </si>
  <si>
    <t>Flow</t>
  </si>
  <si>
    <t>(ft/hr)</t>
  </si>
  <si>
    <t>Rotary</t>
  </si>
  <si>
    <t>Formation</t>
  </si>
  <si>
    <t>Low</t>
  </si>
  <si>
    <t>High</t>
  </si>
  <si>
    <t>Cumulative</t>
  </si>
  <si>
    <t>On Bottom</t>
  </si>
  <si>
    <t>Limestone</t>
  </si>
  <si>
    <t>ROP</t>
  </si>
  <si>
    <t>hrs</t>
  </si>
  <si>
    <t>Section</t>
  </si>
  <si>
    <t>Glorietta</t>
  </si>
  <si>
    <t>Clearfork</t>
  </si>
  <si>
    <t>Sprayberry</t>
  </si>
  <si>
    <t>Dean</t>
  </si>
  <si>
    <t>Wolfcamp</t>
  </si>
  <si>
    <t>in</t>
  </si>
  <si>
    <t>out</t>
  </si>
  <si>
    <t>Hole Depth</t>
  </si>
  <si>
    <t>Rotary rpm</t>
  </si>
  <si>
    <t>Σ rpm</t>
  </si>
  <si>
    <t>Calc. for Chart</t>
  </si>
  <si>
    <t>DO NOT MODIFY</t>
  </si>
  <si>
    <t>Total</t>
  </si>
  <si>
    <t>(hrs)</t>
  </si>
  <si>
    <t>San Andres</t>
  </si>
  <si>
    <t>Pennsylvanian</t>
  </si>
  <si>
    <t>Mississipian</t>
  </si>
  <si>
    <t>Barnett</t>
  </si>
  <si>
    <t>Dolomite-Hard Cap at Grayburg</t>
  </si>
  <si>
    <t>Cherty Dolomite, Limestone,Sands</t>
  </si>
  <si>
    <t>Shaly Sand</t>
  </si>
  <si>
    <t>Sand Shale</t>
  </si>
  <si>
    <t>Limey Shale</t>
  </si>
  <si>
    <t>Limestone,Shale</t>
  </si>
  <si>
    <t>Shaly Limestone</t>
  </si>
  <si>
    <t>Some Shaly Limestone,Shale</t>
  </si>
  <si>
    <t>Barnett Lateral</t>
  </si>
  <si>
    <t>Midland Basin ---VCL Run</t>
  </si>
  <si>
    <t>Dockum</t>
  </si>
  <si>
    <t>Red bed, Sand</t>
  </si>
  <si>
    <t>Santa Rosa</t>
  </si>
  <si>
    <t>Sand</t>
  </si>
  <si>
    <t>Rustler</t>
  </si>
  <si>
    <t>Sand, Anyhydrite</t>
  </si>
  <si>
    <t>Salado</t>
  </si>
  <si>
    <t>Salt, Anyhydrite Stringers</t>
  </si>
  <si>
    <t>Tansill</t>
  </si>
  <si>
    <t>Anyhydrite</t>
  </si>
  <si>
    <t>Yates</t>
  </si>
  <si>
    <t>Seven Rivers</t>
  </si>
  <si>
    <t>Queen</t>
  </si>
  <si>
    <t>Sand with Anyhydrite Stringers</t>
  </si>
  <si>
    <t>Limey Anyhydrite and Salt Stringers</t>
  </si>
  <si>
    <t>Sand, Anyhydrite Stringers, Shale</t>
  </si>
  <si>
    <t>Roadmap --- Ø 7-7/8" 613-XR(K)(BR)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</si>
</sst>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\ &quot;hrs&quot;"/>
    <numFmt numFmtId="166" formatCode="#,##0.00\ &quot;days&quot;"/>
    <numFmt numFmtId="167" formatCode="#,##0\ &quot;ROP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rgb="FFEF412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4123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 style="medium">
        <color auto="1"/>
      </right>
      <top style="double">
        <color rgb="FFFF0000"/>
      </top>
      <bottom style="medium">
        <color auto="1"/>
      </bottom>
      <diagonal/>
    </border>
    <border>
      <left/>
      <right style="thin">
        <color auto="1"/>
      </right>
      <top style="double">
        <color rgb="FFFF0000"/>
      </top>
      <bottom style="medium">
        <color auto="1"/>
      </bottom>
      <diagonal/>
    </border>
    <border>
      <left style="thin">
        <color auto="1"/>
      </left>
      <right style="double">
        <color rgb="FFFF0000"/>
      </right>
      <top style="double">
        <color rgb="FFFF0000"/>
      </top>
      <bottom style="medium">
        <color auto="1"/>
      </bottom>
      <diagonal/>
    </border>
    <border>
      <left style="double">
        <color rgb="FFFF0000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rgb="FFFF0000"/>
      </right>
      <top/>
      <bottom style="thin">
        <color auto="1"/>
      </bottom>
      <diagonal/>
    </border>
    <border>
      <left style="double">
        <color rgb="FFFF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3" fontId="10" fillId="0" borderId="40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2" xfId="0" applyNumberFormat="1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2" fillId="3" borderId="26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 wrapText="1"/>
    </xf>
    <xf numFmtId="164" fontId="11" fillId="0" borderId="50" xfId="0" applyNumberFormat="1" applyFont="1" applyBorder="1" applyAlignment="1">
      <alignment horizontal="center" vertical="center"/>
    </xf>
    <xf numFmtId="3" fontId="2" fillId="0" borderId="48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 wrapText="1"/>
    </xf>
    <xf numFmtId="164" fontId="11" fillId="0" borderId="54" xfId="0" applyNumberFormat="1" applyFont="1" applyBorder="1" applyAlignment="1">
      <alignment horizontal="center" vertical="center"/>
    </xf>
    <xf numFmtId="3" fontId="2" fillId="0" borderId="53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3" fontId="0" fillId="0" borderId="61" xfId="0" applyNumberForma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 wrapText="1"/>
    </xf>
    <xf numFmtId="164" fontId="11" fillId="0" borderId="60" xfId="0" applyNumberFormat="1" applyFont="1" applyBorder="1" applyAlignment="1">
      <alignment horizontal="center" vertical="center"/>
    </xf>
    <xf numFmtId="3" fontId="2" fillId="0" borderId="58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6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4123"/>
      <color rgb="FFFFBDBD"/>
      <color rgb="FFFF0000"/>
      <color rgb="FFD9D9D9"/>
      <color rgb="FFF4AF80"/>
      <color rgb="FFED7D31"/>
      <color rgb="FFF9D6BF"/>
      <color rgb="FFAABFE4"/>
      <color rgb="FFFFC1C1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ROP</c:v>
          </c:tx>
          <c:spPr>
            <a:ln w="25400" cap="rnd" cmpd="sng" algn="ctr">
              <a:solidFill>
                <a:srgbClr val="EF4123"/>
              </a:solidFill>
              <a:round/>
            </a:ln>
            <a:effectLst/>
          </c:spPr>
          <c:marker>
            <c:symbol val="none"/>
          </c:marker>
          <c:cat>
            <c:numRef>
              <c:f>'Data Entry'!$P$9:$P$27</c:f>
              <c:numCache>
                <c:formatCode>#,##0</c:formatCode>
                <c:ptCount val="19"/>
                <c:pt idx="0">
                  <c:v>700</c:v>
                </c:pt>
                <c:pt idx="1">
                  <c:v>1520</c:v>
                </c:pt>
                <c:pt idx="2">
                  <c:v>1750</c:v>
                </c:pt>
                <c:pt idx="3">
                  <c:v>2750</c:v>
                </c:pt>
                <c:pt idx="4">
                  <c:v>2800</c:v>
                </c:pt>
                <c:pt idx="5">
                  <c:v>3050</c:v>
                </c:pt>
                <c:pt idx="6">
                  <c:v>3200</c:v>
                </c:pt>
                <c:pt idx="7">
                  <c:v>3750</c:v>
                </c:pt>
                <c:pt idx="8">
                  <c:v>5500</c:v>
                </c:pt>
                <c:pt idx="9">
                  <c:v>5800</c:v>
                </c:pt>
                <c:pt idx="10">
                  <c:v>6015</c:v>
                </c:pt>
                <c:pt idx="11">
                  <c:v>7795</c:v>
                </c:pt>
                <c:pt idx="12">
                  <c:v>9154</c:v>
                </c:pt>
                <c:pt idx="13">
                  <c:v>9320</c:v>
                </c:pt>
                <c:pt idx="14">
                  <c:v>10630</c:v>
                </c:pt>
                <c:pt idx="15">
                  <c:v>11279</c:v>
                </c:pt>
                <c:pt idx="16">
                  <c:v>11868</c:v>
                </c:pt>
                <c:pt idx="17">
                  <c:v>11924</c:v>
                </c:pt>
                <c:pt idx="18">
                  <c:v>20000</c:v>
                </c:pt>
              </c:numCache>
            </c:numRef>
          </c:cat>
          <c:val>
            <c:numRef>
              <c:f>'Data Entry'!$Q$9:$Q$27</c:f>
              <c:numCache>
                <c:formatCode>General</c:formatCode>
                <c:ptCount val="19"/>
                <c:pt idx="0">
                  <c:v>350</c:v>
                </c:pt>
                <c:pt idx="1">
                  <c:v>350</c:v>
                </c:pt>
                <c:pt idx="2">
                  <c:v>250</c:v>
                </c:pt>
                <c:pt idx="3">
                  <c:v>250</c:v>
                </c:pt>
                <c:pt idx="4">
                  <c:v>200</c:v>
                </c:pt>
                <c:pt idx="5">
                  <c:v>200</c:v>
                </c:pt>
                <c:pt idx="6">
                  <c:v>175</c:v>
                </c:pt>
                <c:pt idx="7">
                  <c:v>175</c:v>
                </c:pt>
                <c:pt idx="8">
                  <c:v>175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175</c:v>
                </c:pt>
                <c:pt idx="13">
                  <c:v>155</c:v>
                </c:pt>
                <c:pt idx="14">
                  <c:v>160</c:v>
                </c:pt>
                <c:pt idx="15">
                  <c:v>150</c:v>
                </c:pt>
                <c:pt idx="16">
                  <c:v>120</c:v>
                </c:pt>
                <c:pt idx="17">
                  <c:v>160</c:v>
                </c:pt>
                <c:pt idx="18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D-4497-B8E9-4E53CBA8D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29173224"/>
        <c:axId val="1129175744"/>
      </c:lineChart>
      <c:lineChart>
        <c:grouping val="standard"/>
        <c:varyColors val="0"/>
        <c:ser>
          <c:idx val="1"/>
          <c:order val="1"/>
          <c:tx>
            <c:strRef>
              <c:f>Roadmap!$N$9</c:f>
              <c:strCache>
                <c:ptCount val="1"/>
                <c:pt idx="0">
                  <c:v>(hrs)</c:v>
                </c:pt>
              </c:strCache>
            </c:strRef>
          </c:tx>
          <c:spPr>
            <a:ln w="25400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Entry'!$R$9:$R$27</c:f>
              <c:numCache>
                <c:formatCode>#,##0.0</c:formatCode>
                <c:ptCount val="19"/>
                <c:pt idx="0" formatCode="General">
                  <c:v>0</c:v>
                </c:pt>
                <c:pt idx="1">
                  <c:v>2.7333333333333334</c:v>
                </c:pt>
                <c:pt idx="2">
                  <c:v>3.7555555555555555</c:v>
                </c:pt>
                <c:pt idx="3">
                  <c:v>8.1999999999999993</c:v>
                </c:pt>
                <c:pt idx="4">
                  <c:v>8.4666666666666668</c:v>
                </c:pt>
                <c:pt idx="5">
                  <c:v>9.8000000000000007</c:v>
                </c:pt>
                <c:pt idx="6">
                  <c:v>10.695522388059702</c:v>
                </c:pt>
                <c:pt idx="7">
                  <c:v>13.979104477611941</c:v>
                </c:pt>
                <c:pt idx="8">
                  <c:v>24.426865671641792</c:v>
                </c:pt>
                <c:pt idx="9">
                  <c:v>26.362349542609536</c:v>
                </c:pt>
                <c:pt idx="10">
                  <c:v>27.871121472434098</c:v>
                </c:pt>
                <c:pt idx="11">
                  <c:v>39.354992440176034</c:v>
                </c:pt>
                <c:pt idx="12">
                  <c:v>47.349110087234855</c:v>
                </c:pt>
                <c:pt idx="13">
                  <c:v>48.455776753901525</c:v>
                </c:pt>
                <c:pt idx="14">
                  <c:v>56.907389657127332</c:v>
                </c:pt>
                <c:pt idx="15">
                  <c:v>61.543103942841618</c:v>
                </c:pt>
                <c:pt idx="16">
                  <c:v>66.89764939738707</c:v>
                </c:pt>
                <c:pt idx="17">
                  <c:v>67.290631853527415</c:v>
                </c:pt>
                <c:pt idx="18">
                  <c:v>107.67063185352742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D-4497-B8E9-4E53CBA8D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540384"/>
        <c:axId val="1124540744"/>
      </c:lineChart>
      <c:catAx>
        <c:axId val="1129173224"/>
        <c:scaling>
          <c:orientation val="minMax"/>
        </c:scaling>
        <c:delete val="0"/>
        <c:axPos val="b"/>
        <c:numFmt formatCode="#,##0\'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75744"/>
        <c:crosses val="autoZero"/>
        <c:auto val="1"/>
        <c:lblAlgn val="ctr"/>
        <c:lblOffset val="0"/>
        <c:noMultiLvlLbl val="0"/>
      </c:catAx>
      <c:valAx>
        <c:axId val="1129175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ln w="0">
                      <a:noFill/>
                    </a:ln>
                    <a:solidFill>
                      <a:srgbClr val="EF412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 w="0">
                      <a:noFill/>
                    </a:ln>
                    <a:solidFill>
                      <a:srgbClr val="EF4123"/>
                    </a:solidFill>
                  </a:rPr>
                  <a:t>ROP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ln w="0">
                    <a:noFill/>
                  </a:ln>
                  <a:solidFill>
                    <a:srgbClr val="EF412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EF41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73224"/>
        <c:crosses val="autoZero"/>
        <c:crossBetween val="between"/>
      </c:valAx>
      <c:valAx>
        <c:axId val="1124540744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ln>
                  <a:noFill/>
                </a:ln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40384"/>
        <c:crosses val="max"/>
        <c:crossBetween val="between"/>
      </c:valAx>
      <c:catAx>
        <c:axId val="1124540384"/>
        <c:scaling>
          <c:orientation val="minMax"/>
        </c:scaling>
        <c:delete val="1"/>
        <c:axPos val="b"/>
        <c:majorTickMark val="out"/>
        <c:minorTickMark val="none"/>
        <c:tickLblPos val="nextTo"/>
        <c:crossAx val="1124540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  <a:scene3d>
      <a:camera prst="orthographicFront"/>
      <a:lightRig rig="threePt" dir="t"/>
    </a:scene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52</xdr:row>
      <xdr:rowOff>123825</xdr:rowOff>
    </xdr:from>
    <xdr:to>
      <xdr:col>15</xdr:col>
      <xdr:colOff>161925</xdr:colOff>
      <xdr:row>71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E764AE-280C-DB06-30B1-752DF292D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1</xdr:row>
      <xdr:rowOff>0</xdr:rowOff>
    </xdr:from>
    <xdr:to>
      <xdr:col>2</xdr:col>
      <xdr:colOff>9525</xdr:colOff>
      <xdr:row>1</xdr:row>
      <xdr:rowOff>923925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871E7-2B8E-D805-2F6C-03FBD9A37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0"/>
          <a:ext cx="923925" cy="923925"/>
        </a:xfrm>
        <a:prstGeom prst="rect">
          <a:avLst/>
        </a:prstGeom>
      </xdr:spPr>
    </xdr:pic>
    <xdr:clientData/>
  </xdr:twoCellAnchor>
  <xdr:twoCellAnchor editAs="oneCell">
    <xdr:from>
      <xdr:col>10</xdr:col>
      <xdr:colOff>311150</xdr:colOff>
      <xdr:row>73</xdr:row>
      <xdr:rowOff>187326</xdr:rowOff>
    </xdr:from>
    <xdr:to>
      <xdr:col>14</xdr:col>
      <xdr:colOff>371475</xdr:colOff>
      <xdr:row>75</xdr:row>
      <xdr:rowOff>141660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895CBE-8098-22DC-925C-E658B61E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1075" y="14189076"/>
          <a:ext cx="2584450" cy="335334"/>
        </a:xfrm>
        <a:prstGeom prst="rect">
          <a:avLst/>
        </a:prstGeom>
      </xdr:spPr>
    </xdr:pic>
    <xdr:clientData/>
  </xdr:twoCellAnchor>
  <xdr:twoCellAnchor editAs="oneCell">
    <xdr:from>
      <xdr:col>6</xdr:col>
      <xdr:colOff>42565</xdr:colOff>
      <xdr:row>33</xdr:row>
      <xdr:rowOff>97641</xdr:rowOff>
    </xdr:from>
    <xdr:to>
      <xdr:col>13</xdr:col>
      <xdr:colOff>33151</xdr:colOff>
      <xdr:row>60</xdr:row>
      <xdr:rowOff>13426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EF03AEA-4FB5-6519-0D26-86438DCAD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608611">
          <a:off x="5347990" y="7003266"/>
          <a:ext cx="3743436" cy="5059285"/>
        </a:xfrm>
        <a:prstGeom prst="rect">
          <a:avLst/>
        </a:prstGeom>
      </xdr:spPr>
    </xdr:pic>
    <xdr:clientData/>
  </xdr:twoCellAnchor>
  <xdr:twoCellAnchor editAs="oneCell">
    <xdr:from>
      <xdr:col>1</xdr:col>
      <xdr:colOff>237446</xdr:colOff>
      <xdr:row>28</xdr:row>
      <xdr:rowOff>104775</xdr:rowOff>
    </xdr:from>
    <xdr:to>
      <xdr:col>5</xdr:col>
      <xdr:colOff>267378</xdr:colOff>
      <xdr:row>53</xdr:row>
      <xdr:rowOff>160260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58E9EF8-82E5-C7DF-86D0-71A068C9C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8421" y="6057900"/>
          <a:ext cx="4716232" cy="4817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814D-C38C-4078-87BE-028EAC078353}">
  <sheetPr>
    <pageSetUpPr fitToPage="1"/>
  </sheetPr>
  <dimension ref="B2:O74"/>
  <sheetViews>
    <sheetView showGridLines="0" tabSelected="1" zoomScaleNormal="100" workbookViewId="0"/>
  </sheetViews>
  <sheetFormatPr defaultColWidth="9" defaultRowHeight="15" x14ac:dyDescent="0.25"/>
  <cols>
    <col min="1" max="1" width="2.7109375" style="1" customWidth="1"/>
    <col min="2" max="2" width="13.85546875" style="1" bestFit="1" customWidth="1"/>
    <col min="3" max="3" width="17" style="1" bestFit="1" customWidth="1"/>
    <col min="4" max="4" width="32.85546875" style="1" bestFit="1" customWidth="1"/>
    <col min="5" max="5" width="6.5703125" style="1" customWidth="1"/>
    <col min="6" max="6" width="6.5703125" style="1" bestFit="1" customWidth="1"/>
    <col min="7" max="7" width="8.5703125" style="1" bestFit="1" customWidth="1"/>
    <col min="8" max="8" width="8.5703125" style="1" customWidth="1"/>
    <col min="9" max="9" width="8.5703125" style="1" bestFit="1" customWidth="1"/>
    <col min="10" max="10" width="0.42578125" style="1" customWidth="1"/>
    <col min="11" max="11" width="20.7109375" style="1" customWidth="1"/>
    <col min="12" max="12" width="0.42578125" style="1" customWidth="1"/>
    <col min="13" max="13" width="9" style="1" bestFit="1" customWidth="1"/>
    <col min="14" max="14" width="7.7109375" style="1" bestFit="1" customWidth="1"/>
    <col min="15" max="15" width="8.140625" style="1" bestFit="1" customWidth="1"/>
    <col min="16" max="16" width="2.7109375" style="1" customWidth="1"/>
    <col min="17" max="16384" width="9" style="1"/>
  </cols>
  <sheetData>
    <row r="2" spans="2:15" ht="73.5" customHeight="1" x14ac:dyDescent="0.45">
      <c r="B2" s="100" t="str">
        <f>IF('Data Entry'!$B$2="","",'Data Entry'!$B$2)</f>
        <v>Roadmap --- Ø 7-7/8" 613-XR(K)(BR)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2:15" ht="8.1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3.95" customHeight="1" x14ac:dyDescent="0.2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ht="25.5" customHeight="1" x14ac:dyDescent="0.25">
      <c r="B5" s="99" t="str">
        <f>IF('Data Entry'!$B$4="","",'Data Entry'!$B$4)</f>
        <v>Midland Basin ---VCL Run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</row>
    <row r="6" spans="2:15" ht="15" customHeight="1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 ht="15" customHeight="1" x14ac:dyDescent="0.25">
      <c r="H7" s="1">
        <f>IF('Data Entry'!N7="","",'Data Entry'!N7)</f>
        <v>0.16</v>
      </c>
      <c r="M7" s="96" t="s">
        <v>15</v>
      </c>
      <c r="N7" s="97"/>
      <c r="O7" s="98"/>
    </row>
    <row r="8" spans="2:15" x14ac:dyDescent="0.25">
      <c r="B8" s="2" t="s">
        <v>4</v>
      </c>
      <c r="C8" s="102" t="s">
        <v>11</v>
      </c>
      <c r="D8" s="104" t="s">
        <v>1</v>
      </c>
      <c r="E8" s="6" t="s">
        <v>0</v>
      </c>
      <c r="F8" s="57" t="s">
        <v>10</v>
      </c>
      <c r="G8" s="58" t="s">
        <v>32</v>
      </c>
      <c r="H8" s="12" t="s">
        <v>8</v>
      </c>
      <c r="I8" s="106" t="s">
        <v>2</v>
      </c>
      <c r="J8" s="106"/>
      <c r="K8" s="106"/>
      <c r="L8" s="7"/>
      <c r="M8" s="3" t="s">
        <v>19</v>
      </c>
      <c r="N8" s="107" t="s">
        <v>14</v>
      </c>
      <c r="O8" s="107"/>
    </row>
    <row r="9" spans="2:15" ht="12" customHeight="1" thickBot="1" x14ac:dyDescent="0.3">
      <c r="B9" s="8" t="s">
        <v>3</v>
      </c>
      <c r="C9" s="103"/>
      <c r="D9" s="105"/>
      <c r="E9" s="55" t="s">
        <v>5</v>
      </c>
      <c r="F9" s="59" t="s">
        <v>6</v>
      </c>
      <c r="G9" s="9" t="s">
        <v>6</v>
      </c>
      <c r="H9" s="56" t="s">
        <v>7</v>
      </c>
      <c r="I9" s="101" t="s">
        <v>9</v>
      </c>
      <c r="J9" s="101"/>
      <c r="K9" s="101"/>
      <c r="L9" s="54"/>
      <c r="M9" s="13" t="s">
        <v>33</v>
      </c>
      <c r="N9" s="14" t="s">
        <v>33</v>
      </c>
      <c r="O9" s="15" t="s">
        <v>17</v>
      </c>
    </row>
    <row r="10" spans="2:15" ht="15" customHeight="1" x14ac:dyDescent="0.25">
      <c r="B10" s="45" t="str">
        <f>CONCATENATE('Data Entry'!B10, " - ",'Data Entry'!C10)</f>
        <v>700 - 1520</v>
      </c>
      <c r="C10" s="62" t="str">
        <f>IF('Data Entry'!D10="","",'Data Entry'!D10)</f>
        <v>Dockum</v>
      </c>
      <c r="D10" s="63" t="str">
        <f>IF('Data Entry'!E10="","",'Data Entry'!E10)</f>
        <v>Red bed, Sand</v>
      </c>
      <c r="E10" s="64" t="str">
        <f>IF(AND('Data Entry'!F10&gt;0,'Data Entry'!G10&gt;0),CONCATENATE('Data Entry'!F10," - ",'Data Entry'!G10),CONCATENATE('Data Entry'!F10,'Data Entry'!G10))</f>
        <v>30 - 45</v>
      </c>
      <c r="F10" s="65" t="str">
        <f>IF(AND('Data Entry'!H10&gt;0,'Data Entry'!I10&gt;0),CONCATENATE('Data Entry'!H10," - ",'Data Entry'!I10),CONCATENATE('Data Entry'!H10,'Data Entry'!I10))</f>
        <v>65 - 75</v>
      </c>
      <c r="G10" s="63" t="str">
        <f>IF(AND('Data Entry'!J10&gt;0,'Data Entry'!K10&gt;0),CONCATENATE('Data Entry'!J10," - ",'Data Entry'!K10),CONCATENATE('Data Entry'!J10,'Data Entry'!K10))</f>
        <v>177 - 187</v>
      </c>
      <c r="H10" s="66">
        <f>IF('Data Entry'!N10="","",'Data Entry'!N10)</f>
        <v>700</v>
      </c>
      <c r="I10" s="67" t="str">
        <f>IF(AND('Data Entry'!L10&gt;0,'Data Entry'!M10&gt;0),CONCATENATE('Data Entry'!L10," - ",'Data Entry'!M10),CONCATENATE('Data Entry'!L10,'Data Entry'!M10))</f>
        <v>250 - 350</v>
      </c>
      <c r="J10" s="68"/>
      <c r="K10" s="64">
        <f>IFERROR(AVERAGE('Data Entry'!L10,'Data Entry'!M10),"")</f>
        <v>300</v>
      </c>
      <c r="L10" s="69"/>
      <c r="M10" s="70">
        <f>IFERROR(IF(AND('Data Entry'!$B10&gt;0,'Data Entry'!$C10&gt;0,'Data Entry'!$L10&gt;0,'Data Entry'!M10&gt;0),('Data Entry'!$C10-'Data Entry'!$B10)/AVERAGE('Data Entry'!$L10,'Data Entry'!$M10),""),"")</f>
        <v>2.7333333333333334</v>
      </c>
      <c r="N10" s="71">
        <f>SUM($M$10:$M10)</f>
        <v>2.7333333333333334</v>
      </c>
      <c r="O10" s="72">
        <f>('Data Entry'!$C10-'Data Entry'!$B$10)/(SUM($M$10:$M10))</f>
        <v>300</v>
      </c>
    </row>
    <row r="11" spans="2:15" x14ac:dyDescent="0.25">
      <c r="B11" s="49" t="str">
        <f>CONCATENATE('Data Entry'!B11, " - ",'Data Entry'!C11)</f>
        <v>1520 - 1750</v>
      </c>
      <c r="C11" s="73" t="str">
        <f>IF('Data Entry'!D11="","",'Data Entry'!D11)</f>
        <v>Santa Rosa</v>
      </c>
      <c r="D11" s="74" t="str">
        <f>IF('Data Entry'!E11="","",'Data Entry'!E11)</f>
        <v>Sand</v>
      </c>
      <c r="E11" s="75" t="str">
        <f>IF(AND('Data Entry'!F11&gt;0,'Data Entry'!G11&gt;0),CONCATENATE('Data Entry'!F11," - ",'Data Entry'!G11),CONCATENATE('Data Entry'!F11,'Data Entry'!G11))</f>
        <v>30 - 45</v>
      </c>
      <c r="F11" s="76" t="str">
        <f>IF(AND('Data Entry'!H11&gt;0,'Data Entry'!I11&gt;0),CONCATENATE('Data Entry'!H11," - ",'Data Entry'!I11),CONCATENATE('Data Entry'!H11,'Data Entry'!I11))</f>
        <v>65 - 75</v>
      </c>
      <c r="G11" s="74" t="str">
        <f>IF(AND('Data Entry'!J11&gt;0,'Data Entry'!K11&gt;0),CONCATENATE('Data Entry'!J11," - ",'Data Entry'!K11),CONCATENATE('Data Entry'!J11,'Data Entry'!K11))</f>
        <v>177 - 187</v>
      </c>
      <c r="H11" s="77">
        <f>IF('Data Entry'!N11="","",'Data Entry'!N11)</f>
        <v>700</v>
      </c>
      <c r="I11" s="78" t="str">
        <f>IF(AND('Data Entry'!L11&gt;0,'Data Entry'!M11&gt;0),CONCATENATE('Data Entry'!L11," - ",'Data Entry'!M11),CONCATENATE('Data Entry'!L11,'Data Entry'!M11))</f>
        <v>200 - 250</v>
      </c>
      <c r="J11" s="79"/>
      <c r="K11" s="75">
        <f>IFERROR(AVERAGE('Data Entry'!L11,'Data Entry'!M11),"")</f>
        <v>225</v>
      </c>
      <c r="L11" s="80"/>
      <c r="M11" s="81">
        <f>IFERROR(IF(AND('Data Entry'!$B11&gt;0,'Data Entry'!$C11&gt;0,'Data Entry'!$L11&gt;0,'Data Entry'!M11&gt;0),('Data Entry'!$C11-'Data Entry'!$B11)/AVERAGE('Data Entry'!$L11,'Data Entry'!$M11),""),"")</f>
        <v>1.0222222222222221</v>
      </c>
      <c r="N11" s="82">
        <f>SUM($M$10:$M11)</f>
        <v>3.7555555555555555</v>
      </c>
      <c r="O11" s="83">
        <f>('Data Entry'!$C11-'Data Entry'!$B$10)/(SUM($M$10:$M11))</f>
        <v>279.58579881656806</v>
      </c>
    </row>
    <row r="12" spans="2:15" x14ac:dyDescent="0.25">
      <c r="B12" s="49" t="str">
        <f>CONCATENATE('Data Entry'!B12, " - ",'Data Entry'!C12)</f>
        <v>1750 - 2750</v>
      </c>
      <c r="C12" s="73" t="str">
        <f>IF('Data Entry'!D12="","",'Data Entry'!D12)</f>
        <v>Rustler</v>
      </c>
      <c r="D12" s="74" t="str">
        <f>IF('Data Entry'!E12="","",'Data Entry'!E12)</f>
        <v>Sand, Anyhydrite</v>
      </c>
      <c r="E12" s="75" t="str">
        <f>IF(AND('Data Entry'!F12&gt;0,'Data Entry'!G12&gt;0),CONCATENATE('Data Entry'!F12," - ",'Data Entry'!G12),CONCATENATE('Data Entry'!F12,'Data Entry'!G12))</f>
        <v>30 - 45</v>
      </c>
      <c r="F12" s="76" t="str">
        <f>IF(AND('Data Entry'!H12&gt;0,'Data Entry'!I12&gt;0),CONCATENATE('Data Entry'!H12," - ",'Data Entry'!I12),CONCATENATE('Data Entry'!H12,'Data Entry'!I12))</f>
        <v>65 - 75</v>
      </c>
      <c r="G12" s="74" t="str">
        <f>IF(AND('Data Entry'!J12&gt;0,'Data Entry'!K12&gt;0),CONCATENATE('Data Entry'!J12," - ",'Data Entry'!K12),CONCATENATE('Data Entry'!J12,'Data Entry'!K12))</f>
        <v>177 - 187</v>
      </c>
      <c r="H12" s="77">
        <f>IF('Data Entry'!N12="","",'Data Entry'!N12)</f>
        <v>700</v>
      </c>
      <c r="I12" s="78" t="str">
        <f>IF(AND('Data Entry'!L12&gt;0,'Data Entry'!M12&gt;0),CONCATENATE('Data Entry'!L12," - ",'Data Entry'!M12),CONCATENATE('Data Entry'!L12,'Data Entry'!M12))</f>
        <v>200 - 250</v>
      </c>
      <c r="J12" s="79"/>
      <c r="K12" s="75">
        <f>IFERROR(AVERAGE('Data Entry'!L12,'Data Entry'!M12),"")</f>
        <v>225</v>
      </c>
      <c r="L12" s="80"/>
      <c r="M12" s="81">
        <f>IFERROR(IF(AND('Data Entry'!$B12&gt;0,'Data Entry'!$C12&gt;0,'Data Entry'!$L12&gt;0,'Data Entry'!M12&gt;0),('Data Entry'!$C12-'Data Entry'!$B12)/AVERAGE('Data Entry'!$L12,'Data Entry'!$M12),""),"")</f>
        <v>4.4444444444444446</v>
      </c>
      <c r="N12" s="82">
        <f>SUM($M$10:$M12)</f>
        <v>8.1999999999999993</v>
      </c>
      <c r="O12" s="83">
        <f>('Data Entry'!$C12-'Data Entry'!$B$10)/(SUM($M$10:$M12))</f>
        <v>250.00000000000003</v>
      </c>
    </row>
    <row r="13" spans="2:15" x14ac:dyDescent="0.25">
      <c r="B13" s="49" t="str">
        <f>CONCATENATE('Data Entry'!B13, " - ",'Data Entry'!C13)</f>
        <v>2750 - 2800</v>
      </c>
      <c r="C13" s="73" t="str">
        <f>IF('Data Entry'!D13="","",'Data Entry'!D13)</f>
        <v>Salado</v>
      </c>
      <c r="D13" s="74" t="str">
        <f>IF('Data Entry'!E13="","",'Data Entry'!E13)</f>
        <v>Salt, Anyhydrite Stringers</v>
      </c>
      <c r="E13" s="75" t="str">
        <f>IF(AND('Data Entry'!F13&gt;0,'Data Entry'!G13&gt;0),CONCATENATE('Data Entry'!F13," - ",'Data Entry'!G13),CONCATENATE('Data Entry'!F13,'Data Entry'!G13))</f>
        <v>30 - 45</v>
      </c>
      <c r="F13" s="76" t="str">
        <f>IF(AND('Data Entry'!H13&gt;0,'Data Entry'!I13&gt;0),CONCATENATE('Data Entry'!H13," - ",'Data Entry'!I13),CONCATENATE('Data Entry'!H13,'Data Entry'!I13))</f>
        <v>65 - 75</v>
      </c>
      <c r="G13" s="74" t="str">
        <f>IF(AND('Data Entry'!J13&gt;0,'Data Entry'!K13&gt;0),CONCATENATE('Data Entry'!J13," - ",'Data Entry'!K13),CONCATENATE('Data Entry'!J13,'Data Entry'!K13))</f>
        <v>177 - 187</v>
      </c>
      <c r="H13" s="77">
        <f>IF('Data Entry'!N13="","",'Data Entry'!N13)</f>
        <v>700</v>
      </c>
      <c r="I13" s="78" t="str">
        <f>IF(AND('Data Entry'!L13&gt;0,'Data Entry'!M13&gt;0),CONCATENATE('Data Entry'!L13," - ",'Data Entry'!M13),CONCATENATE('Data Entry'!L13,'Data Entry'!M13))</f>
        <v>175 - 200</v>
      </c>
      <c r="J13" s="79"/>
      <c r="K13" s="75">
        <f>IFERROR(AVERAGE('Data Entry'!L13,'Data Entry'!M13),"")</f>
        <v>187.5</v>
      </c>
      <c r="L13" s="80"/>
      <c r="M13" s="81">
        <f>IFERROR(IF(AND('Data Entry'!$B13&gt;0,'Data Entry'!$C13&gt;0,'Data Entry'!$L13&gt;0,'Data Entry'!M13&gt;0),('Data Entry'!$C13-'Data Entry'!$B13)/AVERAGE('Data Entry'!$L13,'Data Entry'!$M13),""),"")</f>
        <v>0.26666666666666666</v>
      </c>
      <c r="N13" s="82">
        <f>SUM($M$10:$M13)</f>
        <v>8.4666666666666668</v>
      </c>
      <c r="O13" s="83">
        <f>('Data Entry'!$C13-'Data Entry'!$B$10)/(SUM($M$10:$M13))</f>
        <v>248.03149606299212</v>
      </c>
    </row>
    <row r="14" spans="2:15" x14ac:dyDescent="0.25">
      <c r="B14" s="49" t="str">
        <f>CONCATENATE('Data Entry'!B14, " - ",'Data Entry'!C14)</f>
        <v>2800 - 3050</v>
      </c>
      <c r="C14" s="73" t="str">
        <f>IF('Data Entry'!D14="","",'Data Entry'!D14)</f>
        <v>Tansill</v>
      </c>
      <c r="D14" s="74" t="str">
        <f>IF('Data Entry'!E14="","",'Data Entry'!E14)</f>
        <v>Anyhydrite</v>
      </c>
      <c r="E14" s="75" t="str">
        <f>IF(AND('Data Entry'!F14&gt;0,'Data Entry'!G14&gt;0),CONCATENATE('Data Entry'!F14," - ",'Data Entry'!G14),CONCATENATE('Data Entry'!F14,'Data Entry'!G14))</f>
        <v>30 - 45</v>
      </c>
      <c r="F14" s="76" t="str">
        <f>IF(AND('Data Entry'!H14&gt;0,'Data Entry'!I14&gt;0),CONCATENATE('Data Entry'!H14," - ",'Data Entry'!I14),CONCATENATE('Data Entry'!H14,'Data Entry'!I14))</f>
        <v>65 - 75</v>
      </c>
      <c r="G14" s="74" t="str">
        <f>IF(AND('Data Entry'!J14&gt;0,'Data Entry'!K14&gt;0),CONCATENATE('Data Entry'!J14," - ",'Data Entry'!K14),CONCATENATE('Data Entry'!J14,'Data Entry'!K14))</f>
        <v>177 - 187</v>
      </c>
      <c r="H14" s="77">
        <f>IF('Data Entry'!N14="","",'Data Entry'!N14)</f>
        <v>700</v>
      </c>
      <c r="I14" s="78" t="str">
        <f>IF(AND('Data Entry'!L14&gt;0,'Data Entry'!M14&gt;0),CONCATENATE('Data Entry'!L14," - ",'Data Entry'!M14),CONCATENATE('Data Entry'!L14,'Data Entry'!M14))</f>
        <v>175 - 200</v>
      </c>
      <c r="J14" s="79"/>
      <c r="K14" s="75">
        <f>IFERROR(AVERAGE('Data Entry'!L14,'Data Entry'!M14),"")</f>
        <v>187.5</v>
      </c>
      <c r="L14" s="80"/>
      <c r="M14" s="81">
        <f>IFERROR(IF(AND('Data Entry'!$B14&gt;0,'Data Entry'!$C14&gt;0,'Data Entry'!$L14&gt;0,'Data Entry'!M14&gt;0),('Data Entry'!$C14-'Data Entry'!$B14)/AVERAGE('Data Entry'!$L14,'Data Entry'!$M14),""),"")</f>
        <v>1.3333333333333333</v>
      </c>
      <c r="N14" s="82">
        <f>SUM($M$10:$M14)</f>
        <v>9.8000000000000007</v>
      </c>
      <c r="O14" s="83">
        <f>('Data Entry'!$C14-'Data Entry'!$B$10)/(SUM($M$10:$M14))</f>
        <v>239.79591836734693</v>
      </c>
    </row>
    <row r="15" spans="2:15" x14ac:dyDescent="0.25">
      <c r="B15" s="49" t="str">
        <f>CONCATENATE('Data Entry'!B15, " - ",'Data Entry'!C15)</f>
        <v>3050 - 3200</v>
      </c>
      <c r="C15" s="73" t="str">
        <f>IF('Data Entry'!D15="","",'Data Entry'!D15)</f>
        <v>Yates</v>
      </c>
      <c r="D15" s="74" t="str">
        <f>IF('Data Entry'!E15="","",'Data Entry'!E15)</f>
        <v>Sand, Anyhydrite Stringers, Shale</v>
      </c>
      <c r="E15" s="75" t="str">
        <f>IF(AND('Data Entry'!F15&gt;0,'Data Entry'!G15&gt;0),CONCATENATE('Data Entry'!F15," - ",'Data Entry'!G15),CONCATENATE('Data Entry'!F15,'Data Entry'!G15))</f>
        <v>30 - 45</v>
      </c>
      <c r="F15" s="76" t="str">
        <f>IF(AND('Data Entry'!H15&gt;0,'Data Entry'!I15&gt;0),CONCATENATE('Data Entry'!H15," - ",'Data Entry'!I15),CONCATENATE('Data Entry'!H15,'Data Entry'!I15))</f>
        <v>65 - 75</v>
      </c>
      <c r="G15" s="74" t="str">
        <f>IF(AND('Data Entry'!J15&gt;0,'Data Entry'!K15&gt;0),CONCATENATE('Data Entry'!J15," - ",'Data Entry'!K15),CONCATENATE('Data Entry'!J15,'Data Entry'!K15))</f>
        <v>177 - 187</v>
      </c>
      <c r="H15" s="77">
        <f>IF('Data Entry'!N15="","",'Data Entry'!N15)</f>
        <v>700</v>
      </c>
      <c r="I15" s="78" t="str">
        <f>IF(AND('Data Entry'!L15&gt;0,'Data Entry'!M15&gt;0),CONCATENATE('Data Entry'!L15," - ",'Data Entry'!M15),CONCATENATE('Data Entry'!L15,'Data Entry'!M15))</f>
        <v>160 - 175</v>
      </c>
      <c r="J15" s="79"/>
      <c r="K15" s="75">
        <f>IFERROR(AVERAGE('Data Entry'!L15,'Data Entry'!M15),"")</f>
        <v>167.5</v>
      </c>
      <c r="L15" s="80"/>
      <c r="M15" s="81">
        <f>IFERROR(IF(AND('Data Entry'!$B15&gt;0,'Data Entry'!$C15&gt;0,'Data Entry'!$L15&gt;0,'Data Entry'!M15&gt;0),('Data Entry'!$C15-'Data Entry'!$B15)/AVERAGE('Data Entry'!$L15,'Data Entry'!$M15),""),"")</f>
        <v>0.89552238805970152</v>
      </c>
      <c r="N15" s="82">
        <f>SUM($M$10:$M15)</f>
        <v>10.695522388059702</v>
      </c>
      <c r="O15" s="83">
        <f>('Data Entry'!$C15-'Data Entry'!$B$10)/(SUM($M$10:$M15))</f>
        <v>233.74267373709182</v>
      </c>
    </row>
    <row r="16" spans="2:15" x14ac:dyDescent="0.25">
      <c r="B16" s="49" t="str">
        <f>CONCATENATE('Data Entry'!B16, " - ",'Data Entry'!C16)</f>
        <v>3200 - 3750</v>
      </c>
      <c r="C16" s="73" t="str">
        <f>IF('Data Entry'!D16="","",'Data Entry'!D16)</f>
        <v>Seven Rivers</v>
      </c>
      <c r="D16" s="74" t="str">
        <f>IF('Data Entry'!E16="","",'Data Entry'!E16)</f>
        <v>Limey Anyhydrite and Salt Stringers</v>
      </c>
      <c r="E16" s="75" t="str">
        <f>IF(AND('Data Entry'!F16&gt;0,'Data Entry'!G16&gt;0),CONCATENATE('Data Entry'!F16," - ",'Data Entry'!G16),CONCATENATE('Data Entry'!F16,'Data Entry'!G16))</f>
        <v>30 - 45</v>
      </c>
      <c r="F16" s="76" t="str">
        <f>IF(AND('Data Entry'!H16&gt;0,'Data Entry'!I16&gt;0),CONCATENATE('Data Entry'!H16," - ",'Data Entry'!I16),CONCATENATE('Data Entry'!H16,'Data Entry'!I16))</f>
        <v>65 - 75</v>
      </c>
      <c r="G16" s="74" t="str">
        <f>IF(AND('Data Entry'!J16&gt;0,'Data Entry'!K16&gt;0),CONCATENATE('Data Entry'!J16," - ",'Data Entry'!K16),CONCATENATE('Data Entry'!J16,'Data Entry'!K16))</f>
        <v>177 - 187</v>
      </c>
      <c r="H16" s="77">
        <f>IF('Data Entry'!N16="","",'Data Entry'!N16)</f>
        <v>700</v>
      </c>
      <c r="I16" s="78" t="str">
        <f>IF(AND('Data Entry'!L16&gt;0,'Data Entry'!M16&gt;0),CONCATENATE('Data Entry'!L16," - ",'Data Entry'!M16),CONCATENATE('Data Entry'!L16,'Data Entry'!M16))</f>
        <v>160 - 175</v>
      </c>
      <c r="J16" s="79"/>
      <c r="K16" s="75">
        <f>IFERROR(AVERAGE('Data Entry'!L16,'Data Entry'!M16),"")</f>
        <v>167.5</v>
      </c>
      <c r="L16" s="80"/>
      <c r="M16" s="81">
        <f>IFERROR(IF(AND('Data Entry'!$B16&gt;0,'Data Entry'!$C16&gt;0,'Data Entry'!$L16&gt;0,'Data Entry'!M16&gt;0),('Data Entry'!$C16-'Data Entry'!$B16)/AVERAGE('Data Entry'!$L16,'Data Entry'!$M16),""),"")</f>
        <v>3.283582089552239</v>
      </c>
      <c r="N16" s="82">
        <f>SUM($M$10:$M16)</f>
        <v>13.979104477611941</v>
      </c>
      <c r="O16" s="83">
        <f>('Data Entry'!$C16-'Data Entry'!$B$10)/(SUM($M$10:$M16))</f>
        <v>218.18278881059149</v>
      </c>
    </row>
    <row r="17" spans="2:15" x14ac:dyDescent="0.25">
      <c r="B17" s="49" t="str">
        <f>CONCATENATE('Data Entry'!B17, " - ",'Data Entry'!C17)</f>
        <v>3750 - 5500</v>
      </c>
      <c r="C17" s="73" t="str">
        <f>IF('Data Entry'!D17="","",'Data Entry'!D17)</f>
        <v>Queen</v>
      </c>
      <c r="D17" s="74" t="str">
        <f>IF('Data Entry'!E17="","",'Data Entry'!E17)</f>
        <v>Sand with Anyhydrite Stringers</v>
      </c>
      <c r="E17" s="75" t="str">
        <f>IF(AND('Data Entry'!F17&gt;0,'Data Entry'!G17&gt;0),CONCATENATE('Data Entry'!F17," - ",'Data Entry'!G17),CONCATENATE('Data Entry'!F17,'Data Entry'!G17))</f>
        <v>30 - 45</v>
      </c>
      <c r="F17" s="76" t="str">
        <f>IF(AND('Data Entry'!H17&gt;0,'Data Entry'!I17&gt;0),CONCATENATE('Data Entry'!H17," - ",'Data Entry'!I17),CONCATENATE('Data Entry'!H17,'Data Entry'!I17))</f>
        <v>65 - 75</v>
      </c>
      <c r="G17" s="74" t="str">
        <f>IF(AND('Data Entry'!J17&gt;0,'Data Entry'!K17&gt;0),CONCATENATE('Data Entry'!J17," - ",'Data Entry'!K17),CONCATENATE('Data Entry'!J17,'Data Entry'!K17))</f>
        <v>177 - 187</v>
      </c>
      <c r="H17" s="77">
        <f>IF('Data Entry'!N17="","",'Data Entry'!N17)</f>
        <v>700</v>
      </c>
      <c r="I17" s="78" t="str">
        <f>IF(AND('Data Entry'!L17&gt;0,'Data Entry'!M17&gt;0),CONCATENATE('Data Entry'!L17," - ",'Data Entry'!M17),CONCATENATE('Data Entry'!L17,'Data Entry'!M17))</f>
        <v>160 - 175</v>
      </c>
      <c r="J17" s="79"/>
      <c r="K17" s="75">
        <f>IFERROR(AVERAGE('Data Entry'!L17,'Data Entry'!M17),"")</f>
        <v>167.5</v>
      </c>
      <c r="L17" s="80"/>
      <c r="M17" s="81">
        <f>IFERROR(IF(AND('Data Entry'!$B17&gt;0,'Data Entry'!$C17&gt;0,'Data Entry'!$L17&gt;0,'Data Entry'!M17&gt;0),('Data Entry'!$C17-'Data Entry'!$B17)/AVERAGE('Data Entry'!$L17,'Data Entry'!$M17),""),"")</f>
        <v>10.447761194029852</v>
      </c>
      <c r="N17" s="82">
        <f>SUM($M$10:$M17)</f>
        <v>24.426865671641792</v>
      </c>
      <c r="O17" s="83">
        <f>('Data Entry'!$C17-'Data Entry'!$B$10)/(SUM($M$10:$M17))</f>
        <v>196.50494928510327</v>
      </c>
    </row>
    <row r="18" spans="2:15" x14ac:dyDescent="0.25">
      <c r="B18" s="49" t="str">
        <f>CONCATENATE('Data Entry'!B18, " - ",'Data Entry'!C18)</f>
        <v>5500 - 5800</v>
      </c>
      <c r="C18" s="73" t="str">
        <f>IF('Data Entry'!D18="","",'Data Entry'!D18)</f>
        <v>San Andres</v>
      </c>
      <c r="D18" s="74" t="str">
        <f>IF('Data Entry'!E18="","",'Data Entry'!E18)</f>
        <v>Dolomite-Hard Cap at Grayburg</v>
      </c>
      <c r="E18" s="75" t="str">
        <f>IF(AND('Data Entry'!F18&gt;0,'Data Entry'!G18&gt;0),CONCATENATE('Data Entry'!F18," - ",'Data Entry'!G18),CONCATENATE('Data Entry'!F18,'Data Entry'!G18))</f>
        <v>35 - 45</v>
      </c>
      <c r="F18" s="76" t="str">
        <f>IF(AND('Data Entry'!H18&gt;0,'Data Entry'!I18&gt;0),CONCATENATE('Data Entry'!H18," - ",'Data Entry'!I18),CONCATENATE('Data Entry'!H18,'Data Entry'!I18))</f>
        <v>50 - 60</v>
      </c>
      <c r="G18" s="74" t="str">
        <f>IF(AND('Data Entry'!J18&gt;0,'Data Entry'!K18&gt;0),CONCATENATE('Data Entry'!J18," - ",'Data Entry'!K18),CONCATENATE('Data Entry'!J18,'Data Entry'!K18))</f>
        <v>162 - 172</v>
      </c>
      <c r="H18" s="77">
        <f>IF('Data Entry'!N18="","",'Data Entry'!N18)</f>
        <v>700</v>
      </c>
      <c r="I18" s="78" t="str">
        <f>IF(AND('Data Entry'!L18&gt;0,'Data Entry'!M18&gt;0),CONCATENATE('Data Entry'!L18," - ",'Data Entry'!M18),CONCATENATE('Data Entry'!L18,'Data Entry'!M18))</f>
        <v>150 - 160</v>
      </c>
      <c r="J18" s="79"/>
      <c r="K18" s="75">
        <f>IFERROR(AVERAGE('Data Entry'!L18,'Data Entry'!M18),"")</f>
        <v>155</v>
      </c>
      <c r="L18" s="80"/>
      <c r="M18" s="81">
        <f>IFERROR(IF(AND('Data Entry'!$B18&gt;0,'Data Entry'!$C18&gt;0,'Data Entry'!$L18&gt;0,'Data Entry'!M18&gt;0),('Data Entry'!$C18-'Data Entry'!$B18)/AVERAGE('Data Entry'!$L18,'Data Entry'!$M18),""),"")</f>
        <v>1.935483870967742</v>
      </c>
      <c r="N18" s="82">
        <f>SUM($M$10:$M18)</f>
        <v>26.362349542609536</v>
      </c>
      <c r="O18" s="83">
        <f>('Data Entry'!$C18-'Data Entry'!$B$10)/(SUM($M$10:$M18))</f>
        <v>193.45771862090123</v>
      </c>
    </row>
    <row r="19" spans="2:15" x14ac:dyDescent="0.25">
      <c r="B19" s="49" t="str">
        <f>CONCATENATE('Data Entry'!B19, " - ",'Data Entry'!C19)</f>
        <v>5800 - 6015</v>
      </c>
      <c r="C19" s="73" t="str">
        <f>IF('Data Entry'!D19="","",'Data Entry'!D19)</f>
        <v>Glorietta</v>
      </c>
      <c r="D19" s="74" t="str">
        <f>IF('Data Entry'!E19="","",'Data Entry'!E19)</f>
        <v>Cherty Dolomite, Limestone,Sands</v>
      </c>
      <c r="E19" s="75" t="str">
        <f>IF(AND('Data Entry'!F19&gt;0,'Data Entry'!G19&gt;0),CONCATENATE('Data Entry'!F19," - ",'Data Entry'!G19),CONCATENATE('Data Entry'!F19,'Data Entry'!G19))</f>
        <v>35 - 38</v>
      </c>
      <c r="F19" s="76" t="str">
        <f>IF(AND('Data Entry'!H19&gt;0,'Data Entry'!I19&gt;0),CONCATENATE('Data Entry'!H19," - ",'Data Entry'!I19),CONCATENATE('Data Entry'!H19,'Data Entry'!I19))</f>
        <v>60 - 80</v>
      </c>
      <c r="G19" s="74" t="str">
        <f>IF(AND('Data Entry'!J19&gt;0,'Data Entry'!K19&gt;0),CONCATENATE('Data Entry'!J19," - ",'Data Entry'!K19),CONCATENATE('Data Entry'!J19,'Data Entry'!K19))</f>
        <v>172 - 192</v>
      </c>
      <c r="H19" s="77">
        <f>IF('Data Entry'!N19="","",'Data Entry'!N19)</f>
        <v>700</v>
      </c>
      <c r="I19" s="78" t="str">
        <f>IF(AND('Data Entry'!L19&gt;0,'Data Entry'!M19&gt;0),CONCATENATE('Data Entry'!L19," - ",'Data Entry'!M19),CONCATENATE('Data Entry'!L19,'Data Entry'!M19))</f>
        <v>125 - 160</v>
      </c>
      <c r="J19" s="79"/>
      <c r="K19" s="75">
        <f>IFERROR(AVERAGE('Data Entry'!L19,'Data Entry'!M19),"")</f>
        <v>142.5</v>
      </c>
      <c r="L19" s="80"/>
      <c r="M19" s="81">
        <f>IFERROR(IF(AND('Data Entry'!$B19&gt;0,'Data Entry'!$C19&gt;0,'Data Entry'!$L19&gt;0,'Data Entry'!M19&gt;0),('Data Entry'!$C19-'Data Entry'!$B19)/AVERAGE('Data Entry'!$L19,'Data Entry'!$M19),""),"")</f>
        <v>1.5087719298245614</v>
      </c>
      <c r="N19" s="82">
        <f>SUM($M$10:$M19)</f>
        <v>27.871121472434098</v>
      </c>
      <c r="O19" s="83">
        <f>('Data Entry'!$C19-'Data Entry'!$B$10)/(SUM($M$10:$M19))</f>
        <v>190.69917962421408</v>
      </c>
    </row>
    <row r="20" spans="2:15" x14ac:dyDescent="0.25">
      <c r="B20" s="49" t="str">
        <f>CONCATENATE('Data Entry'!B20, " - ",'Data Entry'!C20)</f>
        <v>6015 - 7795</v>
      </c>
      <c r="C20" s="73" t="str">
        <f>IF('Data Entry'!D20="","",'Data Entry'!D20)</f>
        <v>Clearfork</v>
      </c>
      <c r="D20" s="74" t="str">
        <f>IF('Data Entry'!E20="","",'Data Entry'!E20)</f>
        <v>Limestone</v>
      </c>
      <c r="E20" s="75" t="str">
        <f>IF(AND('Data Entry'!F20&gt;0,'Data Entry'!G20&gt;0),CONCATENATE('Data Entry'!F20," - ",'Data Entry'!G20),CONCATENATE('Data Entry'!F20,'Data Entry'!G20))</f>
        <v>38 - 40</v>
      </c>
      <c r="F20" s="76" t="str">
        <f>IF(AND('Data Entry'!H20&gt;0,'Data Entry'!I20&gt;0),CONCATENATE('Data Entry'!H20," - ",'Data Entry'!I20),CONCATENATE('Data Entry'!H20,'Data Entry'!I20))</f>
        <v>60 - 70</v>
      </c>
      <c r="G20" s="74" t="str">
        <f>IF(AND('Data Entry'!J20&gt;0,'Data Entry'!K20&gt;0),CONCATENATE('Data Entry'!J20," - ",'Data Entry'!K20),CONCATENATE('Data Entry'!J20,'Data Entry'!K20))</f>
        <v>172 - 182</v>
      </c>
      <c r="H20" s="77">
        <f>IF('Data Entry'!N20="","",'Data Entry'!N20)</f>
        <v>700</v>
      </c>
      <c r="I20" s="78" t="str">
        <f>IF(AND('Data Entry'!L20&gt;0,'Data Entry'!M20&gt;0),CONCATENATE('Data Entry'!L20," - ",'Data Entry'!M20),CONCATENATE('Data Entry'!L20,'Data Entry'!M20))</f>
        <v>150 - 160</v>
      </c>
      <c r="J20" s="79"/>
      <c r="K20" s="75">
        <f>IFERROR(AVERAGE('Data Entry'!L20,'Data Entry'!M20),"")</f>
        <v>155</v>
      </c>
      <c r="L20" s="80"/>
      <c r="M20" s="81">
        <f>IFERROR(IF(AND('Data Entry'!$B20&gt;0,'Data Entry'!$C20&gt;0,'Data Entry'!$L20&gt;0,'Data Entry'!M20&gt;0),('Data Entry'!$C20-'Data Entry'!$B20)/AVERAGE('Data Entry'!$L20,'Data Entry'!$M20),""),"")</f>
        <v>11.483870967741936</v>
      </c>
      <c r="N20" s="82">
        <f>SUM($M$10:$M20)</f>
        <v>39.354992440176034</v>
      </c>
      <c r="O20" s="83">
        <f>('Data Entry'!$C20-'Data Entry'!$B$10)/(SUM($M$10:$M20))</f>
        <v>180.28208265533755</v>
      </c>
    </row>
    <row r="21" spans="2:15" x14ac:dyDescent="0.25">
      <c r="B21" s="49" t="str">
        <f>CONCATENATE('Data Entry'!B21, " - ",'Data Entry'!C21)</f>
        <v>7795 - 9154</v>
      </c>
      <c r="C21" s="73" t="str">
        <f>IF('Data Entry'!D21="","",'Data Entry'!D21)</f>
        <v>Sprayberry</v>
      </c>
      <c r="D21" s="74" t="str">
        <f>IF('Data Entry'!E21="","",'Data Entry'!E21)</f>
        <v>Shaly Sand</v>
      </c>
      <c r="E21" s="75" t="str">
        <f>IF(AND('Data Entry'!F21&gt;0,'Data Entry'!G21&gt;0),CONCATENATE('Data Entry'!F21," - ",'Data Entry'!G21),CONCATENATE('Data Entry'!F21,'Data Entry'!G21))</f>
        <v>25 - 35</v>
      </c>
      <c r="F21" s="76" t="str">
        <f>IF(AND('Data Entry'!H21&gt;0,'Data Entry'!I21&gt;0),CONCATENATE('Data Entry'!H21," - ",'Data Entry'!I21),CONCATENATE('Data Entry'!H21,'Data Entry'!I21))</f>
        <v>60 - 70</v>
      </c>
      <c r="G21" s="74" t="str">
        <f>IF(AND('Data Entry'!J21&gt;0,'Data Entry'!K21&gt;0),CONCATENATE('Data Entry'!J21," - ",'Data Entry'!K21),CONCATENATE('Data Entry'!J21,'Data Entry'!K21))</f>
        <v>172 - 182</v>
      </c>
      <c r="H21" s="77">
        <f>IF('Data Entry'!N21="","",'Data Entry'!N21)</f>
        <v>700</v>
      </c>
      <c r="I21" s="78" t="str">
        <f>IF(AND('Data Entry'!L21&gt;0,'Data Entry'!M21&gt;0),CONCATENATE('Data Entry'!L21," - ",'Data Entry'!M21),CONCATENATE('Data Entry'!L21,'Data Entry'!M21))</f>
        <v>165 - 175</v>
      </c>
      <c r="J21" s="79"/>
      <c r="K21" s="75">
        <f>IFERROR(AVERAGE('Data Entry'!L21,'Data Entry'!M21),"")</f>
        <v>170</v>
      </c>
      <c r="L21" s="80"/>
      <c r="M21" s="81">
        <f>IFERROR(IF(AND('Data Entry'!$B21&gt;0,'Data Entry'!$C21&gt;0,'Data Entry'!$L21&gt;0,'Data Entry'!M21&gt;0),('Data Entry'!$C21-'Data Entry'!$B21)/AVERAGE('Data Entry'!$L21,'Data Entry'!$M21),""),"")</f>
        <v>7.9941176470588236</v>
      </c>
      <c r="N21" s="82">
        <f>SUM($M$10:$M21)</f>
        <v>47.349110087234855</v>
      </c>
      <c r="O21" s="83">
        <f>('Data Entry'!$C21-'Data Entry'!$B$10)/(SUM($M$10:$M21))</f>
        <v>178.54612229088477</v>
      </c>
    </row>
    <row r="22" spans="2:15" x14ac:dyDescent="0.25">
      <c r="B22" s="49" t="str">
        <f>CONCATENATE('Data Entry'!B22, " - ",'Data Entry'!C22)</f>
        <v>9154 - 9320</v>
      </c>
      <c r="C22" s="73" t="str">
        <f>IF('Data Entry'!D22="","",'Data Entry'!D22)</f>
        <v>Dean</v>
      </c>
      <c r="D22" s="74" t="str">
        <f>IF('Data Entry'!E22="","",'Data Entry'!E22)</f>
        <v>Sand Shale</v>
      </c>
      <c r="E22" s="75" t="str">
        <f>IF(AND('Data Entry'!F22&gt;0,'Data Entry'!G22&gt;0),CONCATENATE('Data Entry'!F22," - ",'Data Entry'!G22),CONCATENATE('Data Entry'!F22,'Data Entry'!G22))</f>
        <v>30 - 35</v>
      </c>
      <c r="F22" s="76" t="str">
        <f>IF(AND('Data Entry'!H22&gt;0,'Data Entry'!I22&gt;0),CONCATENATE('Data Entry'!H22," - ",'Data Entry'!I22),CONCATENATE('Data Entry'!H22,'Data Entry'!I22))</f>
        <v>40 - 60</v>
      </c>
      <c r="G22" s="74" t="str">
        <f>IF(AND('Data Entry'!J22&gt;0,'Data Entry'!K22&gt;0),CONCATENATE('Data Entry'!J22," - ",'Data Entry'!K22),CONCATENATE('Data Entry'!J22,'Data Entry'!K22))</f>
        <v>152 - 172</v>
      </c>
      <c r="H22" s="77">
        <f>IF('Data Entry'!N22="","",'Data Entry'!N22)</f>
        <v>700</v>
      </c>
      <c r="I22" s="78" t="str">
        <f>IF(AND('Data Entry'!L22&gt;0,'Data Entry'!M22&gt;0),CONCATENATE('Data Entry'!L22," - ",'Data Entry'!M22),CONCATENATE('Data Entry'!L22,'Data Entry'!M22))</f>
        <v>145 - 155</v>
      </c>
      <c r="J22" s="79"/>
      <c r="K22" s="75">
        <f>IFERROR(AVERAGE('Data Entry'!L22,'Data Entry'!M22),"")</f>
        <v>150</v>
      </c>
      <c r="L22" s="80"/>
      <c r="M22" s="81">
        <f>IFERROR(IF(AND('Data Entry'!$B22&gt;0,'Data Entry'!$C22&gt;0,'Data Entry'!$L22&gt;0,'Data Entry'!M22&gt;0),('Data Entry'!$C22-'Data Entry'!$B22)/AVERAGE('Data Entry'!$L22,'Data Entry'!$M22),""),"")</f>
        <v>1.1066666666666667</v>
      </c>
      <c r="N22" s="82">
        <f>SUM($M$10:$M22)</f>
        <v>48.455776753901525</v>
      </c>
      <c r="O22" s="83">
        <f>('Data Entry'!$C22-'Data Entry'!$B$10)/(SUM($M$10:$M22))</f>
        <v>177.89416613378179</v>
      </c>
    </row>
    <row r="23" spans="2:15" x14ac:dyDescent="0.25">
      <c r="B23" s="49" t="str">
        <f>CONCATENATE('Data Entry'!B23, " - ",'Data Entry'!C23)</f>
        <v>9320 - 10630</v>
      </c>
      <c r="C23" s="73" t="str">
        <f>IF('Data Entry'!D23="","",'Data Entry'!D23)</f>
        <v>Wolfcamp</v>
      </c>
      <c r="D23" s="74" t="str">
        <f>IF('Data Entry'!E23="","",'Data Entry'!E23)</f>
        <v>Limey Shale</v>
      </c>
      <c r="E23" s="75" t="str">
        <f>IF(AND('Data Entry'!F23&gt;0,'Data Entry'!G23&gt;0),CONCATENATE('Data Entry'!F23," - ",'Data Entry'!G23),CONCATENATE('Data Entry'!F23,'Data Entry'!G23))</f>
        <v>35 - 38</v>
      </c>
      <c r="F23" s="76" t="str">
        <f>IF(AND('Data Entry'!H23&gt;0,'Data Entry'!I23&gt;0),CONCATENATE('Data Entry'!H23," - ",'Data Entry'!I23),CONCATENATE('Data Entry'!H23,'Data Entry'!I23))</f>
        <v>60 - 70</v>
      </c>
      <c r="G23" s="74" t="str">
        <f>IF(AND('Data Entry'!J23&gt;0,'Data Entry'!K23&gt;0),CONCATENATE('Data Entry'!J23," - ",'Data Entry'!K23),CONCATENATE('Data Entry'!J23,'Data Entry'!K23))</f>
        <v>172 - 182</v>
      </c>
      <c r="H23" s="77">
        <f>IF('Data Entry'!N23="","",'Data Entry'!N23)</f>
        <v>700</v>
      </c>
      <c r="I23" s="78" t="str">
        <f>IF(AND('Data Entry'!L23&gt;0,'Data Entry'!M23&gt;0),CONCATENATE('Data Entry'!L23," - ",'Data Entry'!M23),CONCATENATE('Data Entry'!L23,'Data Entry'!M23))</f>
        <v>150 - 160</v>
      </c>
      <c r="J23" s="79"/>
      <c r="K23" s="75">
        <f>IFERROR(AVERAGE('Data Entry'!L23,'Data Entry'!M23),"")</f>
        <v>155</v>
      </c>
      <c r="L23" s="80"/>
      <c r="M23" s="81">
        <f>IFERROR(IF(AND('Data Entry'!$B23&gt;0,'Data Entry'!$C23&gt;0,'Data Entry'!$L23&gt;0,'Data Entry'!M23&gt;0),('Data Entry'!$C23-'Data Entry'!$B23)/AVERAGE('Data Entry'!$L23,'Data Entry'!$M23),""),"")</f>
        <v>8.4516129032258061</v>
      </c>
      <c r="N23" s="82">
        <f>SUM($M$10:$M23)</f>
        <v>56.907389657127332</v>
      </c>
      <c r="O23" s="83">
        <f>('Data Entry'!$C23-'Data Entry'!$B$10)/(SUM($M$10:$M23))</f>
        <v>174.49403425160133</v>
      </c>
    </row>
    <row r="24" spans="2:15" x14ac:dyDescent="0.25">
      <c r="B24" s="49" t="str">
        <f>CONCATENATE('Data Entry'!B24, " - ",'Data Entry'!C24)</f>
        <v>10630 - 11279</v>
      </c>
      <c r="C24" s="73" t="str">
        <f>IF('Data Entry'!D24="","",'Data Entry'!D24)</f>
        <v>Pennsylvanian</v>
      </c>
      <c r="D24" s="74" t="str">
        <f>IF('Data Entry'!E24="","",'Data Entry'!E24)</f>
        <v>Limestone,Shale</v>
      </c>
      <c r="E24" s="75" t="str">
        <f>IF(AND('Data Entry'!F24&gt;0,'Data Entry'!G24&gt;0),CONCATENATE('Data Entry'!F24," - ",'Data Entry'!G24),CONCATENATE('Data Entry'!F24,'Data Entry'!G24))</f>
        <v>35 - 40</v>
      </c>
      <c r="F24" s="76" t="str">
        <f>IF(AND('Data Entry'!H24&gt;0,'Data Entry'!I24&gt;0),CONCATENATE('Data Entry'!H24," - ",'Data Entry'!I24),CONCATENATE('Data Entry'!H24,'Data Entry'!I24))</f>
        <v>60 - 70</v>
      </c>
      <c r="G24" s="74" t="str">
        <f>IF(AND('Data Entry'!J24&gt;0,'Data Entry'!K24&gt;0),CONCATENATE('Data Entry'!J24," - ",'Data Entry'!K24),CONCATENATE('Data Entry'!J24,'Data Entry'!K24))</f>
        <v>172 - 182</v>
      </c>
      <c r="H24" s="77">
        <f>IF('Data Entry'!N24="","",'Data Entry'!N24)</f>
        <v>700</v>
      </c>
      <c r="I24" s="78" t="str">
        <f>IF(AND('Data Entry'!L24&gt;0,'Data Entry'!M24&gt;0),CONCATENATE('Data Entry'!L24," - ",'Data Entry'!M24),CONCATENATE('Data Entry'!L24,'Data Entry'!M24))</f>
        <v>130 - 150</v>
      </c>
      <c r="J24" s="79"/>
      <c r="K24" s="75">
        <f>IFERROR(AVERAGE('Data Entry'!L24,'Data Entry'!M24),"")</f>
        <v>140</v>
      </c>
      <c r="L24" s="80"/>
      <c r="M24" s="81">
        <f>IFERROR(IF(AND('Data Entry'!$B24&gt;0,'Data Entry'!$C24&gt;0,'Data Entry'!$L24&gt;0,'Data Entry'!M24&gt;0),('Data Entry'!$C24-'Data Entry'!$B24)/AVERAGE('Data Entry'!$L24,'Data Entry'!$M24),""),"")</f>
        <v>4.6357142857142861</v>
      </c>
      <c r="N24" s="82">
        <f>SUM($M$10:$M24)</f>
        <v>61.543103942841618</v>
      </c>
      <c r="O24" s="83">
        <f>('Data Entry'!$C24-'Data Entry'!$B$10)/(SUM($M$10:$M24))</f>
        <v>171.895782341841</v>
      </c>
    </row>
    <row r="25" spans="2:15" x14ac:dyDescent="0.25">
      <c r="B25" s="49" t="str">
        <f>CONCATENATE('Data Entry'!B25, " - ",'Data Entry'!C25)</f>
        <v>11279 - 11868</v>
      </c>
      <c r="C25" s="73" t="str">
        <f>IF('Data Entry'!D25="","",'Data Entry'!D25)</f>
        <v>Mississipian</v>
      </c>
      <c r="D25" s="74" t="str">
        <f>IF('Data Entry'!E25="","",'Data Entry'!E25)</f>
        <v>Shaly Limestone</v>
      </c>
      <c r="E25" s="75" t="str">
        <f>IF(AND('Data Entry'!F25&gt;0,'Data Entry'!G25&gt;0),CONCATENATE('Data Entry'!F25," - ",'Data Entry'!G25),CONCATENATE('Data Entry'!F25,'Data Entry'!G25))</f>
        <v>38 - 40</v>
      </c>
      <c r="F25" s="76" t="str">
        <f>IF(AND('Data Entry'!H25&gt;0,'Data Entry'!I25&gt;0),CONCATENATE('Data Entry'!H25," - ",'Data Entry'!I25),CONCATENATE('Data Entry'!H25,'Data Entry'!I25))</f>
        <v>60 - 80</v>
      </c>
      <c r="G25" s="74" t="str">
        <f>IF(AND('Data Entry'!J25&gt;0,'Data Entry'!K25&gt;0),CONCATENATE('Data Entry'!J25," - ",'Data Entry'!K25),CONCATENATE('Data Entry'!J25,'Data Entry'!K25))</f>
        <v>172 - 192</v>
      </c>
      <c r="H25" s="77">
        <f>IF('Data Entry'!N25="","",'Data Entry'!N25)</f>
        <v>700</v>
      </c>
      <c r="I25" s="78" t="str">
        <f>IF(AND('Data Entry'!L25&gt;0,'Data Entry'!M25&gt;0),CONCATENATE('Data Entry'!L25," - ",'Data Entry'!M25),CONCATENATE('Data Entry'!L25,'Data Entry'!M25))</f>
        <v>100 - 120</v>
      </c>
      <c r="J25" s="79"/>
      <c r="K25" s="75">
        <f>IFERROR(AVERAGE('Data Entry'!L25,'Data Entry'!M25),"")</f>
        <v>110</v>
      </c>
      <c r="L25" s="80"/>
      <c r="M25" s="81">
        <f>IFERROR(IF(AND('Data Entry'!$B25&gt;0,'Data Entry'!$C25&gt;0,'Data Entry'!$L25&gt;0,'Data Entry'!M25&gt;0),('Data Entry'!$C25-'Data Entry'!$B25)/AVERAGE('Data Entry'!$L25,'Data Entry'!$M25),""),"")</f>
        <v>5.3545454545454545</v>
      </c>
      <c r="N25" s="82">
        <f>SUM($M$10:$M25)</f>
        <v>66.89764939738707</v>
      </c>
      <c r="O25" s="83">
        <f>('Data Entry'!$C25-'Data Entry'!$B$10)/(SUM($M$10:$M25))</f>
        <v>166.94159063287216</v>
      </c>
    </row>
    <row r="26" spans="2:15" x14ac:dyDescent="0.25">
      <c r="B26" s="49" t="str">
        <f>CONCATENATE('Data Entry'!B26, " - ",'Data Entry'!C26)</f>
        <v>11868 - 11924</v>
      </c>
      <c r="C26" s="73" t="str">
        <f>IF('Data Entry'!D26="","",'Data Entry'!D26)</f>
        <v>Barnett</v>
      </c>
      <c r="D26" s="74" t="str">
        <f>IF('Data Entry'!E26="","",'Data Entry'!E26)</f>
        <v>Some Shaly Limestone,Shale</v>
      </c>
      <c r="E26" s="75" t="str">
        <f>IF(AND('Data Entry'!F26&gt;0,'Data Entry'!G26&gt;0),CONCATENATE('Data Entry'!F26," - ",'Data Entry'!G26),CONCATENATE('Data Entry'!F26,'Data Entry'!G26))</f>
        <v>35 - 40</v>
      </c>
      <c r="F26" s="76" t="str">
        <f>IF(AND('Data Entry'!H26&gt;0,'Data Entry'!I26&gt;0),CONCATENATE('Data Entry'!H26," - ",'Data Entry'!I26),CONCATENATE('Data Entry'!H26,'Data Entry'!I26))</f>
        <v>60 - 80</v>
      </c>
      <c r="G26" s="74" t="str">
        <f>IF(AND('Data Entry'!J26&gt;0,'Data Entry'!K26&gt;0),CONCATENATE('Data Entry'!J26," - ",'Data Entry'!K26),CONCATENATE('Data Entry'!J26,'Data Entry'!K26))</f>
        <v>172 - 192</v>
      </c>
      <c r="H26" s="77">
        <f>IF('Data Entry'!N26="","",'Data Entry'!N26)</f>
        <v>700</v>
      </c>
      <c r="I26" s="78" t="str">
        <f>IF(AND('Data Entry'!L26&gt;0,'Data Entry'!M26&gt;0),CONCATENATE('Data Entry'!L26," - ",'Data Entry'!M26),CONCATENATE('Data Entry'!L26,'Data Entry'!M26))</f>
        <v>125 - 160</v>
      </c>
      <c r="J26" s="79"/>
      <c r="K26" s="75">
        <f>IFERROR(AVERAGE('Data Entry'!L26,'Data Entry'!M26),"")</f>
        <v>142.5</v>
      </c>
      <c r="L26" s="80"/>
      <c r="M26" s="81">
        <f>IFERROR(IF(AND('Data Entry'!$B26&gt;0,'Data Entry'!$C26&gt;0,'Data Entry'!$L26&gt;0,'Data Entry'!M26&gt;0),('Data Entry'!$C26-'Data Entry'!$B26)/AVERAGE('Data Entry'!$L26,'Data Entry'!$M26),""),"")</f>
        <v>0.39298245614035088</v>
      </c>
      <c r="N26" s="82">
        <f>SUM($M$10:$M26)</f>
        <v>67.290631853527415</v>
      </c>
      <c r="O26" s="83">
        <f>('Data Entry'!$C26-'Data Entry'!$B$10)/(SUM($M$10:$M26))</f>
        <v>166.79884986711758</v>
      </c>
    </row>
    <row r="27" spans="2:15" ht="15.75" thickBot="1" x14ac:dyDescent="0.3">
      <c r="B27" s="84" t="str">
        <f>CONCATENATE('Data Entry'!B27, " - ",'Data Entry'!C27)</f>
        <v>11924 - 20000</v>
      </c>
      <c r="C27" s="85" t="str">
        <f>IF('Data Entry'!D27="","",'Data Entry'!D27)</f>
        <v>Barnett Lateral</v>
      </c>
      <c r="D27" s="86" t="str">
        <f>IF('Data Entry'!E27="","",'Data Entry'!E27)</f>
        <v>Limestone</v>
      </c>
      <c r="E27" s="87" t="str">
        <f>IF(AND('Data Entry'!F27&gt;0,'Data Entry'!G27&gt;0),CONCATENATE('Data Entry'!F27," - ",'Data Entry'!G27),CONCATENATE('Data Entry'!F27,'Data Entry'!G27))</f>
        <v>40 - 45</v>
      </c>
      <c r="F27" s="88" t="str">
        <f>IF(AND('Data Entry'!H27&gt;0,'Data Entry'!I27&gt;0),CONCATENATE('Data Entry'!H27," - ",'Data Entry'!I27),CONCATENATE('Data Entry'!H27,'Data Entry'!I27))</f>
        <v>60 - 80</v>
      </c>
      <c r="G27" s="86" t="str">
        <f>IF(AND('Data Entry'!J27&gt;0,'Data Entry'!K27&gt;0),CONCATENATE('Data Entry'!J27," - ",'Data Entry'!K27),CONCATENATE('Data Entry'!J27,'Data Entry'!K27))</f>
        <v>172 - 192</v>
      </c>
      <c r="H27" s="89">
        <f>IF('Data Entry'!N27="","",'Data Entry'!N27)</f>
        <v>700</v>
      </c>
      <c r="I27" s="90" t="str">
        <f>IF(AND('Data Entry'!L27&gt;0,'Data Entry'!M27&gt;0),CONCATENATE('Data Entry'!L27," - ",'Data Entry'!M27),CONCATENATE('Data Entry'!L27,'Data Entry'!M27))</f>
        <v>175 - 225</v>
      </c>
      <c r="J27" s="91"/>
      <c r="K27" s="87">
        <f>IFERROR(AVERAGE('Data Entry'!L27,'Data Entry'!M27),"")</f>
        <v>200</v>
      </c>
      <c r="L27" s="92"/>
      <c r="M27" s="93">
        <f>IFERROR(IF(AND('Data Entry'!$B27&gt;0,'Data Entry'!$C27&gt;0,'Data Entry'!$L27&gt;0,'Data Entry'!M27&gt;0),('Data Entry'!$C27-'Data Entry'!$B27)/AVERAGE('Data Entry'!$L27,'Data Entry'!$M27),""),"")</f>
        <v>40.380000000000003</v>
      </c>
      <c r="N27" s="94">
        <f>SUM($M$10:$M27)</f>
        <v>107.67063185352742</v>
      </c>
      <c r="O27" s="95">
        <f>('Data Entry'!$C27-'Data Entry'!$B$10)/(SUM($M$10:$M27))</f>
        <v>179.25036444715272</v>
      </c>
    </row>
    <row r="28" spans="2:15" ht="15.75" thickTop="1" x14ac:dyDescent="0.25">
      <c r="M28" s="10">
        <f>SUM(M$10:M$27)</f>
        <v>107.67063185352742</v>
      </c>
      <c r="O28" s="17">
        <f>('Data Entry'!$C$27-'Data Entry'!$B$10)/$M$28</f>
        <v>179.25036444715272</v>
      </c>
    </row>
    <row r="29" spans="2:15" x14ac:dyDescent="0.25">
      <c r="M29" s="11">
        <f>$M$28/24</f>
        <v>4.4862763272303097</v>
      </c>
    </row>
    <row r="72" spans="2:15" x14ac:dyDescent="0.25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 spans="2:15" ht="3.95" customHeight="1" x14ac:dyDescent="0.25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</row>
    <row r="74" spans="2:15" x14ac:dyDescent="0.25">
      <c r="O74" s="16">
        <f>IF('Data Entry'!$B$5="","",'Data Entry'!$B$5)</f>
        <v>9692</v>
      </c>
    </row>
  </sheetData>
  <mergeCells count="8">
    <mergeCell ref="M7:O7"/>
    <mergeCell ref="B5:O5"/>
    <mergeCell ref="B2:O2"/>
    <mergeCell ref="I9:K9"/>
    <mergeCell ref="C8:C9"/>
    <mergeCell ref="D8:D9"/>
    <mergeCell ref="I8:K8"/>
    <mergeCell ref="N8:O8"/>
  </mergeCells>
  <conditionalFormatting sqref="I10:J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:L27">
    <cfRule type="dataBar" priority="7">
      <dataBar showValue="0">
        <cfvo type="min"/>
        <cfvo type="max"/>
        <color rgb="FFEF4123"/>
      </dataBar>
      <extLst>
        <ext xmlns:x14="http://schemas.microsoft.com/office/spreadsheetml/2009/9/main" uri="{B025F937-C7B1-47D3-B67F-A62EFF666E3E}">
          <x14:id>{06D989B7-E5D0-4FA2-9FB4-1072EAE50395}</x14:id>
        </ext>
      </extLst>
    </cfRule>
  </conditionalFormatting>
  <pageMargins left="0.25" right="0.25" top="0.25" bottom="0.25" header="0.3" footer="0.3"/>
  <pageSetup scale="6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D989B7-E5D0-4FA2-9FB4-1072EAE50395}">
            <x14:dataBar minLength="0" maxLength="100" border="1" gradient="0" direction="leftToRight">
              <x14:cfvo type="autoMin"/>
              <x14:cfvo type="autoMax"/>
              <x14:borderColor theme="1"/>
              <x14:negativeFillColor rgb="FFFF0000"/>
              <x14:axisColor rgb="FF000000"/>
            </x14:dataBar>
          </x14:cfRule>
          <xm:sqref>K10:L27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364D-FCA6-41A7-A7C5-43EF9CA8AAD8}">
  <dimension ref="B2:R27"/>
  <sheetViews>
    <sheetView workbookViewId="0"/>
  </sheetViews>
  <sheetFormatPr defaultRowHeight="15" x14ac:dyDescent="0.25"/>
  <cols>
    <col min="1" max="1" width="2.7109375" customWidth="1"/>
    <col min="2" max="2" width="6.28515625" bestFit="1" customWidth="1"/>
    <col min="3" max="3" width="6.5703125" bestFit="1" customWidth="1"/>
    <col min="4" max="4" width="17" bestFit="1" customWidth="1"/>
    <col min="5" max="5" width="33.28515625" bestFit="1" customWidth="1"/>
    <col min="6" max="13" width="5.7109375" customWidth="1"/>
    <col min="14" max="14" width="6.5703125" bestFit="1" customWidth="1"/>
    <col min="15" max="15" width="2.7109375" customWidth="1"/>
    <col min="16" max="16" width="6.5703125" bestFit="1" customWidth="1"/>
    <col min="17" max="17" width="4.7109375" bestFit="1" customWidth="1"/>
    <col min="18" max="18" width="5.5703125" bestFit="1" customWidth="1"/>
    <col min="19" max="19" width="2.7109375" customWidth="1"/>
  </cols>
  <sheetData>
    <row r="2" spans="2:18" x14ac:dyDescent="0.25">
      <c r="B2" s="100" t="s">
        <v>64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</row>
    <row r="3" spans="2:18" x14ac:dyDescent="0.25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</row>
    <row r="4" spans="2:18" ht="15.75" thickBot="1" x14ac:dyDescent="0.3">
      <c r="B4" s="115" t="s">
        <v>47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2:18" ht="15.75" thickTop="1" x14ac:dyDescent="0.25">
      <c r="B5" s="115">
        <v>9692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P5" s="116" t="s">
        <v>30</v>
      </c>
      <c r="Q5" s="117"/>
      <c r="R5" s="118"/>
    </row>
    <row r="6" spans="2:18" ht="15.75" thickBot="1" x14ac:dyDescent="0.3">
      <c r="P6" s="119" t="s">
        <v>31</v>
      </c>
      <c r="Q6" s="120"/>
      <c r="R6" s="121"/>
    </row>
    <row r="7" spans="2:18" ht="16.5" thickTop="1" thickBot="1" x14ac:dyDescent="0.3">
      <c r="N7" s="1">
        <v>0.16</v>
      </c>
      <c r="O7" s="1"/>
    </row>
    <row r="8" spans="2:18" ht="16.5" thickTop="1" thickBot="1" x14ac:dyDescent="0.3">
      <c r="B8" s="110" t="s">
        <v>27</v>
      </c>
      <c r="C8" s="109"/>
      <c r="D8" s="111" t="s">
        <v>11</v>
      </c>
      <c r="E8" s="113" t="s">
        <v>1</v>
      </c>
      <c r="F8" s="108" t="s">
        <v>0</v>
      </c>
      <c r="G8" s="109"/>
      <c r="H8" s="108" t="s">
        <v>28</v>
      </c>
      <c r="I8" s="109"/>
      <c r="J8" s="108" t="s">
        <v>29</v>
      </c>
      <c r="K8" s="109"/>
      <c r="L8" s="108" t="s">
        <v>17</v>
      </c>
      <c r="M8" s="109"/>
      <c r="N8" s="21" t="s">
        <v>8</v>
      </c>
      <c r="O8" s="18"/>
      <c r="P8" s="51" t="s">
        <v>4</v>
      </c>
      <c r="Q8" s="52" t="s">
        <v>17</v>
      </c>
      <c r="R8" s="53" t="s">
        <v>18</v>
      </c>
    </row>
    <row r="9" spans="2:18" ht="15.75" thickBot="1" x14ac:dyDescent="0.3">
      <c r="B9" s="37" t="s">
        <v>25</v>
      </c>
      <c r="C9" s="38" t="s">
        <v>26</v>
      </c>
      <c r="D9" s="112"/>
      <c r="E9" s="114"/>
      <c r="F9" s="39" t="s">
        <v>12</v>
      </c>
      <c r="G9" s="40" t="s">
        <v>13</v>
      </c>
      <c r="H9" s="39" t="s">
        <v>12</v>
      </c>
      <c r="I9" s="40" t="s">
        <v>13</v>
      </c>
      <c r="J9" s="39" t="s">
        <v>12</v>
      </c>
      <c r="K9" s="40" t="s">
        <v>13</v>
      </c>
      <c r="L9" s="39" t="s">
        <v>12</v>
      </c>
      <c r="M9" s="40" t="s">
        <v>13</v>
      </c>
      <c r="N9" s="41" t="s">
        <v>7</v>
      </c>
      <c r="O9" s="19"/>
      <c r="P9" s="24">
        <f>'Data Entry'!B10</f>
        <v>700</v>
      </c>
      <c r="Q9" s="22">
        <f>'Data Entry'!M10</f>
        <v>350</v>
      </c>
      <c r="R9" s="25">
        <v>0</v>
      </c>
    </row>
    <row r="10" spans="2:18" x14ac:dyDescent="0.25">
      <c r="B10" s="42">
        <v>700</v>
      </c>
      <c r="C10" s="43">
        <v>1520</v>
      </c>
      <c r="D10" s="44" t="s">
        <v>48</v>
      </c>
      <c r="E10" s="45" t="s">
        <v>49</v>
      </c>
      <c r="F10" s="31">
        <v>30</v>
      </c>
      <c r="G10" s="32">
        <v>45</v>
      </c>
      <c r="H10" s="35">
        <v>65</v>
      </c>
      <c r="I10" s="36">
        <v>75</v>
      </c>
      <c r="J10" s="60">
        <f>ROUND('Data Entry'!$H10+('Data Entry'!$N10*'Data Entry'!$N$7),0)</f>
        <v>177</v>
      </c>
      <c r="K10" s="61">
        <f>ROUND('Data Entry'!$I10+('Data Entry'!$N10*'Data Entry'!$N$7),0)</f>
        <v>187</v>
      </c>
      <c r="L10" s="44">
        <v>250</v>
      </c>
      <c r="M10" s="45">
        <v>350</v>
      </c>
      <c r="N10" s="50">
        <v>700</v>
      </c>
      <c r="O10" s="20"/>
      <c r="P10" s="26">
        <f>'Data Entry'!C10</f>
        <v>1520</v>
      </c>
      <c r="Q10" s="23">
        <f>'Data Entry'!M10</f>
        <v>350</v>
      </c>
      <c r="R10" s="27">
        <f>Roadmap!N10</f>
        <v>2.7333333333333334</v>
      </c>
    </row>
    <row r="11" spans="2:18" x14ac:dyDescent="0.25">
      <c r="B11" s="46">
        <v>1520</v>
      </c>
      <c r="C11" s="47">
        <v>1750</v>
      </c>
      <c r="D11" s="33" t="s">
        <v>50</v>
      </c>
      <c r="E11" s="34" t="s">
        <v>51</v>
      </c>
      <c r="F11" s="35">
        <v>30</v>
      </c>
      <c r="G11" s="36">
        <v>45</v>
      </c>
      <c r="H11" s="35">
        <v>65</v>
      </c>
      <c r="I11" s="36">
        <v>75</v>
      </c>
      <c r="J11" s="60">
        <f>ROUND('Data Entry'!$H11+('Data Entry'!$N11*'Data Entry'!$N$7),0)</f>
        <v>177</v>
      </c>
      <c r="K11" s="61">
        <f>ROUND('Data Entry'!$I11+('Data Entry'!$N11*'Data Entry'!$N$7),0)</f>
        <v>187</v>
      </c>
      <c r="L11" s="48">
        <v>200</v>
      </c>
      <c r="M11" s="49">
        <v>250</v>
      </c>
      <c r="N11" s="50">
        <v>700</v>
      </c>
      <c r="O11" s="20"/>
      <c r="P11" s="26">
        <f>'Data Entry'!C11</f>
        <v>1750</v>
      </c>
      <c r="Q11" s="23">
        <f>'Data Entry'!M11</f>
        <v>250</v>
      </c>
      <c r="R11" s="27">
        <f>Roadmap!N11</f>
        <v>3.7555555555555555</v>
      </c>
    </row>
    <row r="12" spans="2:18" x14ac:dyDescent="0.25">
      <c r="B12" s="46">
        <v>1750</v>
      </c>
      <c r="C12" s="47">
        <v>2750</v>
      </c>
      <c r="D12" s="48" t="s">
        <v>52</v>
      </c>
      <c r="E12" s="49" t="s">
        <v>53</v>
      </c>
      <c r="F12" s="35">
        <v>30</v>
      </c>
      <c r="G12" s="36">
        <v>45</v>
      </c>
      <c r="H12" s="35">
        <v>65</v>
      </c>
      <c r="I12" s="36">
        <v>75</v>
      </c>
      <c r="J12" s="60">
        <f>ROUND('Data Entry'!$H12+('Data Entry'!$N12*'Data Entry'!$N$7),0)</f>
        <v>177</v>
      </c>
      <c r="K12" s="61">
        <f>ROUND('Data Entry'!$I12+('Data Entry'!$N12*'Data Entry'!$N$7),0)</f>
        <v>187</v>
      </c>
      <c r="L12" s="48">
        <v>200</v>
      </c>
      <c r="M12" s="49">
        <v>250</v>
      </c>
      <c r="N12" s="50">
        <v>700</v>
      </c>
      <c r="O12" s="20"/>
      <c r="P12" s="26">
        <f>'Data Entry'!C12</f>
        <v>2750</v>
      </c>
      <c r="Q12" s="23">
        <f>'Data Entry'!M12</f>
        <v>250</v>
      </c>
      <c r="R12" s="27">
        <f>Roadmap!N12</f>
        <v>8.1999999999999993</v>
      </c>
    </row>
    <row r="13" spans="2:18" x14ac:dyDescent="0.25">
      <c r="B13" s="46">
        <v>2750</v>
      </c>
      <c r="C13" s="47">
        <v>2800</v>
      </c>
      <c r="D13" s="48" t="s">
        <v>54</v>
      </c>
      <c r="E13" s="49" t="s">
        <v>55</v>
      </c>
      <c r="F13" s="35">
        <v>30</v>
      </c>
      <c r="G13" s="36">
        <v>45</v>
      </c>
      <c r="H13" s="35">
        <v>65</v>
      </c>
      <c r="I13" s="36">
        <v>75</v>
      </c>
      <c r="J13" s="60">
        <f>ROUND('Data Entry'!$H13+('Data Entry'!$N13*'Data Entry'!$N$7),0)</f>
        <v>177</v>
      </c>
      <c r="K13" s="61">
        <f>ROUND('Data Entry'!$I13+('Data Entry'!$N13*'Data Entry'!$N$7),0)</f>
        <v>187</v>
      </c>
      <c r="L13" s="48">
        <v>175</v>
      </c>
      <c r="M13" s="49">
        <v>200</v>
      </c>
      <c r="N13" s="50">
        <v>700</v>
      </c>
      <c r="O13" s="20"/>
      <c r="P13" s="26">
        <f>'Data Entry'!C13</f>
        <v>2800</v>
      </c>
      <c r="Q13" s="23">
        <f>'Data Entry'!M13</f>
        <v>200</v>
      </c>
      <c r="R13" s="27">
        <f>Roadmap!N13</f>
        <v>8.4666666666666668</v>
      </c>
    </row>
    <row r="14" spans="2:18" x14ac:dyDescent="0.25">
      <c r="B14" s="46">
        <v>2800</v>
      </c>
      <c r="C14" s="47">
        <v>3050</v>
      </c>
      <c r="D14" s="48" t="s">
        <v>56</v>
      </c>
      <c r="E14" s="49" t="s">
        <v>57</v>
      </c>
      <c r="F14" s="35">
        <v>30</v>
      </c>
      <c r="G14" s="36">
        <v>45</v>
      </c>
      <c r="H14" s="35">
        <v>65</v>
      </c>
      <c r="I14" s="36">
        <v>75</v>
      </c>
      <c r="J14" s="60">
        <f>ROUND('Data Entry'!$H14+('Data Entry'!$N14*'Data Entry'!$N$7),0)</f>
        <v>177</v>
      </c>
      <c r="K14" s="61">
        <f>ROUND('Data Entry'!$I14+('Data Entry'!$N14*'Data Entry'!$N$7),0)</f>
        <v>187</v>
      </c>
      <c r="L14" s="48">
        <v>175</v>
      </c>
      <c r="M14" s="49">
        <v>200</v>
      </c>
      <c r="N14" s="50">
        <v>700</v>
      </c>
      <c r="O14" s="20"/>
      <c r="P14" s="26">
        <f>'Data Entry'!C14</f>
        <v>3050</v>
      </c>
      <c r="Q14" s="23">
        <f>'Data Entry'!M14</f>
        <v>200</v>
      </c>
      <c r="R14" s="27">
        <f>Roadmap!N14</f>
        <v>9.8000000000000007</v>
      </c>
    </row>
    <row r="15" spans="2:18" x14ac:dyDescent="0.25">
      <c r="B15" s="46">
        <v>3050</v>
      </c>
      <c r="C15" s="47">
        <v>3200</v>
      </c>
      <c r="D15" s="33" t="s">
        <v>58</v>
      </c>
      <c r="E15" s="49" t="s">
        <v>63</v>
      </c>
      <c r="F15" s="35">
        <v>30</v>
      </c>
      <c r="G15" s="36">
        <v>45</v>
      </c>
      <c r="H15" s="35">
        <v>65</v>
      </c>
      <c r="I15" s="36">
        <v>75</v>
      </c>
      <c r="J15" s="60">
        <f>ROUND('Data Entry'!$H15+('Data Entry'!$N15*'Data Entry'!$N$7),0)</f>
        <v>177</v>
      </c>
      <c r="K15" s="61">
        <f>ROUND('Data Entry'!$I15+('Data Entry'!$N15*'Data Entry'!$N$7),0)</f>
        <v>187</v>
      </c>
      <c r="L15" s="48">
        <v>160</v>
      </c>
      <c r="M15" s="49">
        <v>175</v>
      </c>
      <c r="N15" s="50">
        <v>700</v>
      </c>
      <c r="O15" s="20"/>
      <c r="P15" s="26">
        <f>'Data Entry'!C15</f>
        <v>3200</v>
      </c>
      <c r="Q15" s="23">
        <f>'Data Entry'!M15</f>
        <v>175</v>
      </c>
      <c r="R15" s="27">
        <f>Roadmap!N15</f>
        <v>10.695522388059702</v>
      </c>
    </row>
    <row r="16" spans="2:18" x14ac:dyDescent="0.25">
      <c r="B16" s="46">
        <v>3200</v>
      </c>
      <c r="C16" s="47">
        <v>3750</v>
      </c>
      <c r="D16" s="33" t="s">
        <v>59</v>
      </c>
      <c r="E16" s="49" t="s">
        <v>62</v>
      </c>
      <c r="F16" s="35">
        <v>30</v>
      </c>
      <c r="G16" s="36">
        <v>45</v>
      </c>
      <c r="H16" s="35">
        <v>65</v>
      </c>
      <c r="I16" s="36">
        <v>75</v>
      </c>
      <c r="J16" s="60">
        <f>ROUND('Data Entry'!$H16+('Data Entry'!$N16*'Data Entry'!$N$7),0)</f>
        <v>177</v>
      </c>
      <c r="K16" s="61">
        <f>ROUND('Data Entry'!$I16+('Data Entry'!$N16*'Data Entry'!$N$7),0)</f>
        <v>187</v>
      </c>
      <c r="L16" s="48">
        <v>160</v>
      </c>
      <c r="M16" s="49">
        <v>175</v>
      </c>
      <c r="N16" s="50">
        <v>700</v>
      </c>
      <c r="O16" s="20"/>
      <c r="P16" s="26">
        <f>'Data Entry'!C16</f>
        <v>3750</v>
      </c>
      <c r="Q16" s="23">
        <f>'Data Entry'!M16</f>
        <v>175</v>
      </c>
      <c r="R16" s="27">
        <f>Roadmap!N16</f>
        <v>13.979104477611941</v>
      </c>
    </row>
    <row r="17" spans="2:18" x14ac:dyDescent="0.25">
      <c r="B17" s="46">
        <v>3750</v>
      </c>
      <c r="C17" s="47">
        <v>5500</v>
      </c>
      <c r="D17" s="33" t="s">
        <v>60</v>
      </c>
      <c r="E17" s="49" t="s">
        <v>61</v>
      </c>
      <c r="F17" s="35">
        <v>30</v>
      </c>
      <c r="G17" s="36">
        <v>45</v>
      </c>
      <c r="H17" s="35">
        <v>65</v>
      </c>
      <c r="I17" s="36">
        <v>75</v>
      </c>
      <c r="J17" s="60">
        <f>ROUND('Data Entry'!$H17+('Data Entry'!$N17*'Data Entry'!$N$7),0)</f>
        <v>177</v>
      </c>
      <c r="K17" s="61">
        <f>ROUND('Data Entry'!$I17+('Data Entry'!$N17*'Data Entry'!$N$7),0)</f>
        <v>187</v>
      </c>
      <c r="L17" s="48">
        <v>160</v>
      </c>
      <c r="M17" s="49">
        <v>175</v>
      </c>
      <c r="N17" s="50">
        <v>700</v>
      </c>
      <c r="O17" s="20"/>
      <c r="P17" s="26">
        <f>'Data Entry'!C17</f>
        <v>5500</v>
      </c>
      <c r="Q17" s="23">
        <f>'Data Entry'!M17</f>
        <v>175</v>
      </c>
      <c r="R17" s="27">
        <f>Roadmap!N17</f>
        <v>24.426865671641792</v>
      </c>
    </row>
    <row r="18" spans="2:18" x14ac:dyDescent="0.25">
      <c r="B18" s="46">
        <v>5500</v>
      </c>
      <c r="C18" s="47">
        <v>5800</v>
      </c>
      <c r="D18" s="48" t="s">
        <v>34</v>
      </c>
      <c r="E18" s="49" t="s">
        <v>38</v>
      </c>
      <c r="F18" s="35">
        <v>35</v>
      </c>
      <c r="G18" s="36">
        <v>45</v>
      </c>
      <c r="H18" s="35">
        <v>50</v>
      </c>
      <c r="I18" s="36">
        <v>60</v>
      </c>
      <c r="J18" s="60">
        <f>ROUND('Data Entry'!$H18+('Data Entry'!$N18*'Data Entry'!$N$7),0)</f>
        <v>162</v>
      </c>
      <c r="K18" s="61">
        <f>ROUND('Data Entry'!$I18+('Data Entry'!$N18*'Data Entry'!$N$7),0)</f>
        <v>172</v>
      </c>
      <c r="L18" s="48">
        <v>150</v>
      </c>
      <c r="M18" s="49">
        <v>160</v>
      </c>
      <c r="N18" s="50">
        <v>700</v>
      </c>
      <c r="O18" s="20"/>
      <c r="P18" s="26">
        <f>'Data Entry'!C18</f>
        <v>5800</v>
      </c>
      <c r="Q18" s="23">
        <f>'Data Entry'!M18</f>
        <v>160</v>
      </c>
      <c r="R18" s="27">
        <f>Roadmap!N18</f>
        <v>26.362349542609536</v>
      </c>
    </row>
    <row r="19" spans="2:18" x14ac:dyDescent="0.25">
      <c r="B19" s="46">
        <v>5800</v>
      </c>
      <c r="C19" s="47">
        <v>6015</v>
      </c>
      <c r="D19" s="33" t="s">
        <v>20</v>
      </c>
      <c r="E19" s="34" t="s">
        <v>39</v>
      </c>
      <c r="F19" s="35">
        <v>35</v>
      </c>
      <c r="G19" s="36">
        <v>38</v>
      </c>
      <c r="H19" s="35">
        <v>60</v>
      </c>
      <c r="I19" s="36">
        <v>80</v>
      </c>
      <c r="J19" s="60">
        <f>ROUND('Data Entry'!$H19+('Data Entry'!$N19*'Data Entry'!$N$7),0)</f>
        <v>172</v>
      </c>
      <c r="K19" s="61">
        <f>ROUND('Data Entry'!$I19+('Data Entry'!$N19*'Data Entry'!$N$7),0)</f>
        <v>192</v>
      </c>
      <c r="L19" s="48">
        <v>125</v>
      </c>
      <c r="M19" s="49">
        <v>160</v>
      </c>
      <c r="N19" s="50">
        <v>700</v>
      </c>
      <c r="O19" s="20"/>
      <c r="P19" s="26">
        <f>'Data Entry'!C19</f>
        <v>6015</v>
      </c>
      <c r="Q19" s="23">
        <f>'Data Entry'!M19</f>
        <v>160</v>
      </c>
      <c r="R19" s="27">
        <f>Roadmap!N19</f>
        <v>27.871121472434098</v>
      </c>
    </row>
    <row r="20" spans="2:18" x14ac:dyDescent="0.25">
      <c r="B20" s="46">
        <v>6015</v>
      </c>
      <c r="C20" s="47">
        <v>7795</v>
      </c>
      <c r="D20" s="48" t="s">
        <v>21</v>
      </c>
      <c r="E20" s="49" t="s">
        <v>16</v>
      </c>
      <c r="F20" s="35">
        <v>38</v>
      </c>
      <c r="G20" s="36">
        <v>40</v>
      </c>
      <c r="H20" s="35">
        <v>60</v>
      </c>
      <c r="I20" s="36">
        <v>70</v>
      </c>
      <c r="J20" s="60">
        <f>ROUND('Data Entry'!$H20+('Data Entry'!$N20*'Data Entry'!$N$7),0)</f>
        <v>172</v>
      </c>
      <c r="K20" s="61">
        <f>ROUND('Data Entry'!$I20+('Data Entry'!$N20*'Data Entry'!$N$7),0)</f>
        <v>182</v>
      </c>
      <c r="L20" s="48">
        <v>150</v>
      </c>
      <c r="M20" s="49">
        <v>160</v>
      </c>
      <c r="N20" s="50">
        <v>700</v>
      </c>
      <c r="O20" s="20"/>
      <c r="P20" s="26">
        <f>'Data Entry'!C20</f>
        <v>7795</v>
      </c>
      <c r="Q20" s="23">
        <f>'Data Entry'!M20</f>
        <v>160</v>
      </c>
      <c r="R20" s="27">
        <f>Roadmap!N20</f>
        <v>39.354992440176034</v>
      </c>
    </row>
    <row r="21" spans="2:18" x14ac:dyDescent="0.25">
      <c r="B21" s="46">
        <v>7795</v>
      </c>
      <c r="C21" s="47">
        <v>9154</v>
      </c>
      <c r="D21" s="48" t="s">
        <v>22</v>
      </c>
      <c r="E21" s="49" t="s">
        <v>40</v>
      </c>
      <c r="F21" s="35">
        <v>25</v>
      </c>
      <c r="G21" s="36">
        <v>35</v>
      </c>
      <c r="H21" s="35">
        <v>60</v>
      </c>
      <c r="I21" s="36">
        <v>70</v>
      </c>
      <c r="J21" s="60">
        <f>ROUND('Data Entry'!$H21+('Data Entry'!$N21*'Data Entry'!$N$7),0)</f>
        <v>172</v>
      </c>
      <c r="K21" s="61">
        <f>ROUND('Data Entry'!$I21+('Data Entry'!$N21*'Data Entry'!$N$7),0)</f>
        <v>182</v>
      </c>
      <c r="L21" s="48">
        <v>165</v>
      </c>
      <c r="M21" s="49">
        <v>175</v>
      </c>
      <c r="N21" s="50">
        <v>700</v>
      </c>
      <c r="O21" s="20"/>
      <c r="P21" s="26">
        <f>'Data Entry'!C21</f>
        <v>9154</v>
      </c>
      <c r="Q21" s="23">
        <f>'Data Entry'!M21</f>
        <v>175</v>
      </c>
      <c r="R21" s="27">
        <f>Roadmap!N21</f>
        <v>47.349110087234855</v>
      </c>
    </row>
    <row r="22" spans="2:18" x14ac:dyDescent="0.25">
      <c r="B22" s="46">
        <v>9154</v>
      </c>
      <c r="C22" s="47">
        <v>9320</v>
      </c>
      <c r="D22" s="33" t="s">
        <v>23</v>
      </c>
      <c r="E22" s="34" t="s">
        <v>41</v>
      </c>
      <c r="F22" s="35">
        <v>30</v>
      </c>
      <c r="G22" s="36">
        <v>35</v>
      </c>
      <c r="H22" s="35">
        <v>40</v>
      </c>
      <c r="I22" s="36">
        <v>60</v>
      </c>
      <c r="J22" s="60">
        <f>ROUND('Data Entry'!$H22+('Data Entry'!$N22*'Data Entry'!$N$7),0)</f>
        <v>152</v>
      </c>
      <c r="K22" s="61">
        <f>ROUND('Data Entry'!$I22+('Data Entry'!$N22*'Data Entry'!$N$7),0)</f>
        <v>172</v>
      </c>
      <c r="L22" s="48">
        <v>145</v>
      </c>
      <c r="M22" s="49">
        <v>155</v>
      </c>
      <c r="N22" s="50">
        <v>700</v>
      </c>
      <c r="O22" s="20"/>
      <c r="P22" s="26">
        <f>'Data Entry'!C22</f>
        <v>9320</v>
      </c>
      <c r="Q22" s="23">
        <f>'Data Entry'!M22</f>
        <v>155</v>
      </c>
      <c r="R22" s="27">
        <f>Roadmap!N22</f>
        <v>48.455776753901525</v>
      </c>
    </row>
    <row r="23" spans="2:18" x14ac:dyDescent="0.25">
      <c r="B23" s="46">
        <v>9320</v>
      </c>
      <c r="C23" s="47">
        <v>10630</v>
      </c>
      <c r="D23" s="48" t="s">
        <v>24</v>
      </c>
      <c r="E23" s="49" t="s">
        <v>42</v>
      </c>
      <c r="F23" s="35">
        <v>35</v>
      </c>
      <c r="G23" s="36">
        <v>38</v>
      </c>
      <c r="H23" s="35">
        <v>60</v>
      </c>
      <c r="I23" s="36">
        <v>70</v>
      </c>
      <c r="J23" s="60">
        <f>ROUND('Data Entry'!$H23+('Data Entry'!$N23*'Data Entry'!$N$7),0)</f>
        <v>172</v>
      </c>
      <c r="K23" s="61">
        <f>ROUND('Data Entry'!$I23+('Data Entry'!$N23*'Data Entry'!$N$7),0)</f>
        <v>182</v>
      </c>
      <c r="L23" s="48">
        <v>150</v>
      </c>
      <c r="M23" s="49">
        <v>160</v>
      </c>
      <c r="N23" s="50">
        <v>700</v>
      </c>
      <c r="O23" s="20"/>
      <c r="P23" s="26">
        <f>'Data Entry'!C23</f>
        <v>10630</v>
      </c>
      <c r="Q23" s="23">
        <f>'Data Entry'!M23</f>
        <v>160</v>
      </c>
      <c r="R23" s="27">
        <f>Roadmap!N23</f>
        <v>56.907389657127332</v>
      </c>
    </row>
    <row r="24" spans="2:18" x14ac:dyDescent="0.25">
      <c r="B24" s="46">
        <v>10630</v>
      </c>
      <c r="C24" s="47">
        <v>11279</v>
      </c>
      <c r="D24" s="33" t="s">
        <v>35</v>
      </c>
      <c r="E24" s="34" t="s">
        <v>43</v>
      </c>
      <c r="F24" s="35">
        <v>35</v>
      </c>
      <c r="G24" s="36">
        <v>40</v>
      </c>
      <c r="H24" s="35">
        <v>60</v>
      </c>
      <c r="I24" s="36">
        <v>70</v>
      </c>
      <c r="J24" s="60">
        <f>ROUND('Data Entry'!$H24+('Data Entry'!$N24*'Data Entry'!$N$7),0)</f>
        <v>172</v>
      </c>
      <c r="K24" s="61">
        <f>ROUND('Data Entry'!$I24+('Data Entry'!$N24*'Data Entry'!$N$7),0)</f>
        <v>182</v>
      </c>
      <c r="L24" s="48">
        <v>130</v>
      </c>
      <c r="M24" s="49">
        <v>150</v>
      </c>
      <c r="N24" s="50">
        <v>700</v>
      </c>
      <c r="O24" s="20"/>
      <c r="P24" s="26">
        <f>'Data Entry'!C24</f>
        <v>11279</v>
      </c>
      <c r="Q24" s="23">
        <f>'Data Entry'!M24</f>
        <v>150</v>
      </c>
      <c r="R24" s="27">
        <f>Roadmap!N24</f>
        <v>61.543103942841618</v>
      </c>
    </row>
    <row r="25" spans="2:18" x14ac:dyDescent="0.25">
      <c r="B25" s="46">
        <v>11279</v>
      </c>
      <c r="C25" s="47">
        <v>11868</v>
      </c>
      <c r="D25" s="48" t="s">
        <v>36</v>
      </c>
      <c r="E25" s="34" t="s">
        <v>44</v>
      </c>
      <c r="F25" s="35">
        <v>38</v>
      </c>
      <c r="G25" s="36">
        <v>40</v>
      </c>
      <c r="H25" s="35">
        <v>60</v>
      </c>
      <c r="I25" s="36">
        <v>80</v>
      </c>
      <c r="J25" s="60">
        <f>ROUND('Data Entry'!$H25+('Data Entry'!$N25*'Data Entry'!$N$7),0)</f>
        <v>172</v>
      </c>
      <c r="K25" s="61">
        <f>ROUND('Data Entry'!$I25+('Data Entry'!$N25*'Data Entry'!$N$7),0)</f>
        <v>192</v>
      </c>
      <c r="L25" s="48">
        <v>100</v>
      </c>
      <c r="M25" s="49">
        <v>120</v>
      </c>
      <c r="N25" s="50">
        <v>700</v>
      </c>
      <c r="O25" s="20"/>
      <c r="P25" s="26">
        <f>'Data Entry'!C25</f>
        <v>11868</v>
      </c>
      <c r="Q25" s="23">
        <f>'Data Entry'!M25</f>
        <v>120</v>
      </c>
      <c r="R25" s="27">
        <f>Roadmap!N25</f>
        <v>66.89764939738707</v>
      </c>
    </row>
    <row r="26" spans="2:18" x14ac:dyDescent="0.25">
      <c r="B26" s="46">
        <v>11868</v>
      </c>
      <c r="C26" s="47">
        <v>11924</v>
      </c>
      <c r="D26" s="48" t="s">
        <v>37</v>
      </c>
      <c r="E26" s="49" t="s">
        <v>45</v>
      </c>
      <c r="F26" s="35">
        <v>35</v>
      </c>
      <c r="G26" s="36">
        <v>40</v>
      </c>
      <c r="H26" s="35">
        <v>60</v>
      </c>
      <c r="I26" s="36">
        <v>80</v>
      </c>
      <c r="J26" s="60">
        <f>ROUND('Data Entry'!$H26+('Data Entry'!$N26*'Data Entry'!$N$7),0)</f>
        <v>172</v>
      </c>
      <c r="K26" s="61">
        <f>ROUND('Data Entry'!$I26+('Data Entry'!$N26*'Data Entry'!$N$7),0)</f>
        <v>192</v>
      </c>
      <c r="L26" s="48">
        <v>125</v>
      </c>
      <c r="M26" s="49">
        <v>160</v>
      </c>
      <c r="N26" s="50">
        <v>700</v>
      </c>
      <c r="O26" s="20"/>
      <c r="P26" s="26">
        <f>'Data Entry'!C26</f>
        <v>11924</v>
      </c>
      <c r="Q26" s="23">
        <f>'Data Entry'!M26</f>
        <v>160</v>
      </c>
      <c r="R26" s="27">
        <f>Roadmap!N26</f>
        <v>67.290631853527415</v>
      </c>
    </row>
    <row r="27" spans="2:18" x14ac:dyDescent="0.25">
      <c r="B27" s="46">
        <v>11924</v>
      </c>
      <c r="C27" s="47">
        <v>20000</v>
      </c>
      <c r="D27" s="48" t="s">
        <v>46</v>
      </c>
      <c r="E27" s="49" t="s">
        <v>16</v>
      </c>
      <c r="F27" s="35">
        <v>40</v>
      </c>
      <c r="G27" s="36">
        <v>45</v>
      </c>
      <c r="H27" s="35">
        <v>60</v>
      </c>
      <c r="I27" s="36">
        <v>80</v>
      </c>
      <c r="J27" s="60">
        <f>ROUND('Data Entry'!$H27+('Data Entry'!$N27*'Data Entry'!$N$7),0)</f>
        <v>172</v>
      </c>
      <c r="K27" s="61">
        <f>ROUND('Data Entry'!$I27+('Data Entry'!$N27*'Data Entry'!$N$7),0)</f>
        <v>192</v>
      </c>
      <c r="L27" s="48">
        <v>175</v>
      </c>
      <c r="M27" s="49">
        <v>225</v>
      </c>
      <c r="N27" s="50">
        <v>700</v>
      </c>
      <c r="O27" s="20"/>
      <c r="P27" s="26">
        <f>'Data Entry'!C27</f>
        <v>20000</v>
      </c>
      <c r="Q27" s="23">
        <f>'Data Entry'!M27</f>
        <v>225</v>
      </c>
      <c r="R27" s="27">
        <f>Roadmap!N27</f>
        <v>107.67063185352742</v>
      </c>
    </row>
  </sheetData>
  <mergeCells count="12">
    <mergeCell ref="B2:N3"/>
    <mergeCell ref="B4:N4"/>
    <mergeCell ref="B5:N5"/>
    <mergeCell ref="P5:R5"/>
    <mergeCell ref="P6:R6"/>
    <mergeCell ref="F8:G8"/>
    <mergeCell ref="B8:C8"/>
    <mergeCell ref="H8:I8"/>
    <mergeCell ref="J8:K8"/>
    <mergeCell ref="L8:M8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Roadmap</vt:lpstr>
      <vt:lpstr>Data Entry</vt:lpstr>
      <vt:lpstr>Roadmap!Print_Area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Butch Bawcom</dc:creator>
  <cp:lastModifiedBy>Curtis B. Stephens</cp:lastModifiedBy>
  <cp:lastPrinted>2025-01-09T21:19:11Z</cp:lastPrinted>
  <dcterms:created xsi:type="dcterms:W3CDTF">2022-10-04T00:11:39Z</dcterms:created>
  <dcterms:modified xsi:type="dcterms:W3CDTF">2025-01-09T21:19:18Z</dcterms:modified>
</cp:coreProperties>
</file>